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05" yWindow="120" windowWidth="13590" windowHeight="13215" tabRatio="721" activeTab="0"/>
  </bookViews>
  <sheets>
    <sheet name="OBJEKT_CELKOVÉ NÁKLADY" sheetId="1" r:id="rId1"/>
    <sheet name="ESI-ESA" sheetId="2" r:id="rId2"/>
    <sheet name="kuchyn" sheetId="3" state="hidden" r:id="rId3"/>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NÁKLADY'!$H$182</definedName>
    <definedName name="Cena_2a">'OBJEKT_CELKOVÉ NÁKLADY'!$H$205</definedName>
    <definedName name="Cena_2b">'OBJEKT_CELKOVÉ NÁKLADY'!$H$217</definedName>
    <definedName name="Cena_2c">'OBJEKT_CELKOVÉ NÁKLADY'!$H$299</definedName>
    <definedName name="Cena_2d">'OBJEKT_CELKOVÉ NÁKLADY'!$H$434</definedName>
    <definedName name="Cena_2e">'OBJEKT_CELKOVÉ NÁKLADY'!$H$453</definedName>
    <definedName name="Cena_2f">'OBJEKT_CELKOVÉ NÁKLADY'!$H$484</definedName>
    <definedName name="Cena_2g">'OBJEKT_CELKOVÉ NÁKLADY'!$H$587</definedName>
    <definedName name="Cena_2h">'OBJEKT_CELKOVÉ NÁKLADY'!#REF!</definedName>
    <definedName name="Cena_2i">'OBJEKT_CELKOVÉ NÁKLADY'!$H$500</definedName>
    <definedName name="Cena_2j">'OBJEKT_CELKOVÉ NÁKLADY'!#REF!</definedName>
    <definedName name="Cena_2k">'OBJEKT_CELKOVÉ NÁKLADY'!#REF!</definedName>
    <definedName name="Cena_2l">'OBJEKT_CELKOVÉ NÁKLADY'!#REF!</definedName>
    <definedName name="Cena_2m">'OBJEKT_CELKOVÉ NÁKLADY'!$H$401</definedName>
    <definedName name="Cena_3a">'OBJEKT_CELKOVÉ NÁKLADY'!$H$587</definedName>
    <definedName name="Cena_3b">'OBJEKT_CELKOVÉ NÁKLADY'!#REF!</definedName>
    <definedName name="Cena_3c">'OBJEKT_CELKOVÉ NÁKLADY'!$H$500</definedName>
    <definedName name="Cena_3d">'OBJEKT_CELKOVÉ NÁKLADY'!#REF!</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NÁKLADY'!#REF!</definedName>
    <definedName name="Cena_doplňky_dodavatele">'OBJEKT_CELKOVÉ NÁKLADY'!#REF!</definedName>
    <definedName name="Dokoncovaci_prace">'OBJEKT_CELKOVÉ NÁKLADY'!#REF!</definedName>
    <definedName name="Doplňky_dodavatele">'OBJEKT_CELKOVÉ NÁKLADY'!#REF!</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NÁKLADY'!$D$105</definedName>
    <definedName name="Kapitola_2">'OBJEKT_CELKOVÉ NÁKLADY'!$D$184</definedName>
    <definedName name="Kapitola_2a">'OBJEKT_CELKOVÉ NÁKLADY'!$D$185</definedName>
    <definedName name="Kapitola_2b">'OBJEKT_CELKOVÉ NÁKLADY'!$D$207</definedName>
    <definedName name="Kapitola_2c">'OBJEKT_CELKOVÉ NÁKLADY'!$D$219</definedName>
    <definedName name="Kapitola_2d">'OBJEKT_CELKOVÉ NÁKLADY'!$D$417</definedName>
    <definedName name="Kapitola_2e">'OBJEKT_CELKOVÉ NÁKLADY'!$D$436</definedName>
    <definedName name="Kapitola_2f">'OBJEKT_CELKOVÉ NÁKLADY'!#REF!</definedName>
    <definedName name="Kapitola_2g">'OBJEKT_CELKOVÉ NÁKLADY'!$D$583</definedName>
    <definedName name="Kapitola_2h">'OBJEKT_CELKOVÉ NÁKLADY'!$D$589</definedName>
    <definedName name="Kapitola_2i">'OBJEKT_CELKOVÉ NÁKLADY'!$D$486</definedName>
    <definedName name="Kapitola_2j">'OBJEKT_CELKOVÉ NÁKLADY'!$D$301</definedName>
    <definedName name="Kapitola_2k">'OBJEKT_CELKOVÉ NÁKLADY'!$D$338</definedName>
    <definedName name="Kapitola_2l">'OBJEKT_CELKOVÉ NÁKLADY'!#REF!</definedName>
    <definedName name="Kapitola_2m">'OBJEKT_CELKOVÉ NÁKLADY'!#REF!</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NÁKLADY'!$1:$1</definedName>
    <definedName name="_xlnm.Print_Area" localSheetId="1">'ESI-ESA'!$A$1:$H$102</definedName>
    <definedName name="_xlnm.Print_Area" localSheetId="0">'OBJEKT_CELKOVÉ NÁKLADY'!$A$1:$I$595</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NÁKLADY'!$D$13</definedName>
    <definedName name="Rekapitulace_2">'OBJEKT_CELKOVÉ NÁKLADY'!$D$14</definedName>
    <definedName name="Rekapitulace_2a">'OBJEKT_CELKOVÉ NÁKLADY'!$D$15</definedName>
    <definedName name="Rekapitulace_2b">'OBJEKT_CELKOVÉ NÁKLADY'!$D$16</definedName>
    <definedName name="Rekapitulace_2c">'OBJEKT_CELKOVÉ NÁKLADY'!$D$17</definedName>
    <definedName name="Rekapitulace_2d">'OBJEKT_CELKOVÉ NÁKLADY'!$D$24</definedName>
    <definedName name="Rekapitulace_2e">'OBJEKT_CELKOVÉ NÁKLADY'!$D$25</definedName>
    <definedName name="Rekapitulace_2f">'OBJEKT_CELKOVÉ NÁKLADY'!$D$26</definedName>
    <definedName name="Rekapitulace_2g">'OBJEKT_CELKOVÉ NÁKLADY'!$D$30</definedName>
    <definedName name="Rekapitulace_2h">'OBJEKT_CELKOVÉ NÁKLADY'!$D$31</definedName>
    <definedName name="Rekapitulace_2i">'OBJEKT_CELKOVÉ NÁKLADY'!$D$27</definedName>
    <definedName name="Rekapitulace_2j">'OBJEKT_CELKOVÉ NÁKLADY'!$D$18</definedName>
    <definedName name="Rekapitulace_2k">'OBJEKT_CELKOVÉ NÁKLADY'!$D$19</definedName>
    <definedName name="Rekapitulace_2l">'OBJEKT_CELKOVÉ NÁKLADY'!$D$20</definedName>
    <definedName name="Rekapitulace_2m">'OBJEKT_CELKOVÉ NÁKLADY'!$D$21</definedName>
    <definedName name="Rekapitulace_3">'OBJEKT_CELKOVÉ NÁKLADY'!#REF!</definedName>
    <definedName name="Rekapitulace_3a">'OBJEKT_CELKOVÉ NÁKLADY'!$D$31</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NÁKLADY'!$D$32</definedName>
    <definedName name="Rekapitulace_Doplňky_dodavatele">'OBJEKT_CELKOVÉ NÁKLADY'!#REF!</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<sst xmlns="http://schemas.openxmlformats.org/spreadsheetml/2006/main" count="2075" uniqueCount="1098">
  <si>
    <t>Montáž držáku sprchy a hlavice</t>
  </si>
  <si>
    <t>Izolace návleková  tl. stěny 13 mm vnitřní průměr 25 mm</t>
  </si>
  <si>
    <t>SOK2-D</t>
  </si>
  <si>
    <t>SOK2-M</t>
  </si>
  <si>
    <t>o</t>
  </si>
  <si>
    <t>Opravy</t>
  </si>
  <si>
    <t>Investice</t>
  </si>
  <si>
    <t>i</t>
  </si>
  <si>
    <t>Cena bez DPH</t>
  </si>
  <si>
    <t>KD(I)1-M</t>
  </si>
  <si>
    <t>Přípravné a bourací práce</t>
  </si>
  <si>
    <t xml:space="preserve">Tmelení akrylátovým tmelem </t>
  </si>
  <si>
    <t>Úpravy povrchů vnitřní (stěny, stropy)</t>
  </si>
  <si>
    <t>Hydroizolační koutová těsnící páska vč. rohových tvarovek (svislé stěny)</t>
  </si>
  <si>
    <t>Hydroizolační koutová těsnící páska vč. rohových tvarovek (vororovné plochy)</t>
  </si>
  <si>
    <t>DU1</t>
  </si>
  <si>
    <t>DU2</t>
  </si>
  <si>
    <t>DU3-M</t>
  </si>
  <si>
    <t>DU3-D</t>
  </si>
  <si>
    <t xml:space="preserve"> </t>
  </si>
  <si>
    <t xml:space="preserve">Elektroinstalace - silnoproud </t>
  </si>
  <si>
    <t>Elektroinstalace - slaboproud</t>
  </si>
  <si>
    <t>svorka Bernard vč.Cu pásku</t>
  </si>
  <si>
    <t>sekání průrazů</t>
  </si>
  <si>
    <t>sekání (vrtání) otvoru pro krabice</t>
  </si>
  <si>
    <t>demontážní práce</t>
  </si>
  <si>
    <t xml:space="preserve">opravy </t>
  </si>
  <si>
    <t xml:space="preserve">investice </t>
  </si>
  <si>
    <t xml:space="preserve">kontrola </t>
  </si>
  <si>
    <t>Podlahy dřevěné a povlakové</t>
  </si>
  <si>
    <t>DU3</t>
  </si>
  <si>
    <t>poznámka</t>
  </si>
  <si>
    <t>Nástěnka závitová plastová PPR PN 20, 25x4.2, 1/2</t>
  </si>
  <si>
    <t>Nástěnný komplet (Nástěnka dvojitá závitová plastová) PPR PN 20, 25x4.2, 1/2</t>
  </si>
  <si>
    <t>m3</t>
  </si>
  <si>
    <t>Topení</t>
  </si>
  <si>
    <t>Demontáž ventilu výtokového nástěnného</t>
  </si>
  <si>
    <t>Demontáž klozetu včetně splachovací nádrže</t>
  </si>
  <si>
    <t>Ukončovací lišta hliníková elox, vzhled stříbrná, profilu L10mm, L=2,5m (rohy,přizdívky,výklenek, ukončení obkladu)</t>
  </si>
  <si>
    <t>Izolace návleková pružná, λ=0,035, tl. stěny 8 mm, vnitřní průměr 15 mm</t>
  </si>
  <si>
    <t>Izolace návleková pružná, λ=0,035, tl. stěny 11,5 mm, vnitřní průměr 18 mm</t>
  </si>
  <si>
    <t>Izolace návleková pružná, λ=0,035, tl. stěny 14,5 mm, vnitřní průměr 22 mm</t>
  </si>
  <si>
    <t>Malba nadpraží a stropu</t>
  </si>
  <si>
    <t>965081713RT2</t>
  </si>
  <si>
    <t>965042141RT3</t>
  </si>
  <si>
    <t>317941121R00</t>
  </si>
  <si>
    <t>728114112R00</t>
  </si>
  <si>
    <t>Montáž potrubí plastového kruhového do d 200 mm</t>
  </si>
  <si>
    <t>968062455R00</t>
  </si>
  <si>
    <t>Bourání zděných příček z plných cihel tl. 65 mm vč. omítky</t>
  </si>
  <si>
    <t>Bourání dlažeb keramických do tl.10 mm, nad 1 m2, sbíječka, dlaždice keramické</t>
  </si>
  <si>
    <t>Bourání mazanin betonových tl. 6 cm, nad 4 m2, pneumat. kladivo, tl. mazaniny 5 - 8 cm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</si>
  <si>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</si>
  <si>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</si>
  <si>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</si>
  <si>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VRN4</t>
  </si>
  <si>
    <t>Inženýrská činnost</t>
  </si>
  <si>
    <t>VRN5</t>
  </si>
  <si>
    <t>Provozní vlivy</t>
  </si>
  <si>
    <t>VRN7</t>
  </si>
  <si>
    <t>Ostatní náklady</t>
  </si>
  <si>
    <t>Izolace návleková  tl. stěny 13 mm vnitřní průměr 32 mm</t>
  </si>
  <si>
    <t>Kohout kulový nerozebíratelný PP-R D 32</t>
  </si>
  <si>
    <t>Kohout kulový nerozebíratelný PP-R D 25</t>
  </si>
  <si>
    <t xml:space="preserve">Omítka vnitřních stěn vápenocem. Jednovrstvá do tl. 15 mm,  pro vyrovnání rovinnosti stávajícíh stěn v místě stávajících obkladů </t>
  </si>
  <si>
    <t>Řezání dlaždic keramických pro soklíky</t>
  </si>
  <si>
    <t>DP1</t>
  </si>
  <si>
    <t>Demontáž prahů dveří 1křídlových</t>
  </si>
  <si>
    <t>766662811R00</t>
  </si>
  <si>
    <t>Odstranění nesoudržných štukových omítek (odhad 10% z plochy stěn)</t>
  </si>
  <si>
    <t>731412577R00_P</t>
  </si>
  <si>
    <r>
      <rPr>
        <i/>
        <sz val="10"/>
        <rFont val="Arial CE"/>
        <family val="2"/>
      </rPr>
      <t>Investor:</t>
    </r>
    <r>
      <rPr>
        <sz val="14"/>
        <rFont val="Arial CE"/>
        <family val="2"/>
      </rPr>
      <t xml:space="preserve"> Městská část Praha 5 zastoupená firmou Centra a.s.</t>
    </r>
  </si>
  <si>
    <r>
      <rPr>
        <i/>
        <sz val="10"/>
        <rFont val="Arial CE"/>
        <family val="2"/>
      </rPr>
      <t>Zpracovatel:</t>
    </r>
    <r>
      <rPr>
        <sz val="14"/>
        <rFont val="Arial CE"/>
        <family val="2"/>
      </rPr>
      <t xml:space="preserve"> Atelier PHA spol. s r.o.</t>
    </r>
  </si>
  <si>
    <t>https://www.ventilatory.cz/izolacni-navlek-o-125-mm-delka-5-m-x12563</t>
  </si>
  <si>
    <t>Ventily odvzdušňovací automatické, G1/2</t>
  </si>
  <si>
    <t>722181214RT6_P</t>
  </si>
  <si>
    <t>722181214RT5_P</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</si>
  <si>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</si>
  <si>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</si>
  <si>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</si>
  <si>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</si>
  <si>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</si>
  <si>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</si>
  <si>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</si>
  <si>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</si>
  <si>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</si>
  <si>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</si>
  <si>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</si>
  <si>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</si>
  <si>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</si>
  <si>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Potrubí z PPR, D 32x5,4 mm, PN 20, vč. zed. výpom.</t>
  </si>
  <si>
    <t>V2</t>
  </si>
  <si>
    <t>713191100RT9</t>
  </si>
  <si>
    <t>722172333R00</t>
  </si>
  <si>
    <t>Demontáž potrubí ocelových závitových DN 25</t>
  </si>
  <si>
    <t>723290823R00</t>
  </si>
  <si>
    <t>Přesun vybouraných hmot - plynovody, H 12 - 24 m</t>
  </si>
  <si>
    <t>https://www.ventilatory.cz/pvc-vetraci-mrizka-kruhova-s-prirubou-a-sitkou-o-100-mm-bila-x1802</t>
  </si>
  <si>
    <t>Podlahová lišta dle specifikace v PD vč. prořezu 10%</t>
  </si>
  <si>
    <t>DU4</t>
  </si>
  <si>
    <t>Návleková izolace potrubí VZT prům. 125mm, minerální tl.40mm</t>
  </si>
  <si>
    <t>https://geberit-shop-triker.cz/kombifix-pro-zavesne-wc-109-cm-s-nadrzi-sigma-8-cm-predni-ovladani-676110790001/</t>
  </si>
  <si>
    <r>
      <t>Odstranění stávajících maleb oškrábáním (STĚNY+STROP) H do 3,8m, mimo přizdívky a pohledy.</t>
    </r>
    <r>
      <rPr>
        <sz val="9"/>
        <rFont val="Arial"/>
        <family val="2"/>
      </rPr>
      <t xml:space="preserve"> </t>
    </r>
    <r>
      <rPr>
        <sz val="8"/>
        <rFont val="Arial"/>
        <family val="2"/>
      </rPr>
      <t>(označení místností dle stávajícího stavu)</t>
    </r>
  </si>
  <si>
    <t>D2-D</t>
  </si>
  <si>
    <t>počet mj</t>
  </si>
  <si>
    <t>cena mj</t>
  </si>
  <si>
    <t>cena celkem</t>
  </si>
  <si>
    <t>Rekapitulace</t>
  </si>
  <si>
    <t>Celkem základní cena</t>
  </si>
  <si>
    <t>DPH stavby</t>
  </si>
  <si>
    <t>Celkem vč. DPH</t>
  </si>
  <si>
    <t>Poznámky pro uchazeče</t>
  </si>
  <si>
    <t>Jednotkové ceny by měly obsahovat:</t>
  </si>
  <si>
    <t>b) náklady na opatření k zajištění bezpečnosti práce</t>
  </si>
  <si>
    <t xml:space="preserve">e) náklady na protihluková a protiprašná zařízení </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</si>
  <si>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</si>
  <si>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</si>
  <si>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</si>
  <si>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</si>
  <si>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</si>
  <si>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</si>
  <si>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</si>
  <si>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</si>
  <si>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</si>
  <si>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</si>
  <si>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</si>
  <si>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</si>
  <si>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</si>
  <si>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</si>
  <si>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</si>
  <si>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Potrubí z měděných plyn.trubek D 22 x 1,0 mm  (DN 20), dle ČSN EN 1057, montáž pájením</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</si>
  <si>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</si>
  <si>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t>c)  všechny potřebné pomocné dodávky a práce pro upevnění, zabezpečení funkčnosti a finální pohledové 
úpravy, které jsou běžně součástí dodávaného výrobku nebo systému  nebo jsou předepsány projektem a 
nejsou výslovně uvedeny jako samostatné položky</t>
  </si>
  <si>
    <t>d) náklady na zakrývání (nebo jiné zajištění) konstrukcí a prací ostatních zhotovitelů nebo stávajících konstrukcí před znečištěním a poškozením a odstranění zakrytí</t>
  </si>
  <si>
    <t>f) náklady na zkoušky a atesty během výstavby, výkresy skutečného provedení a zúčtovací podklady</t>
  </si>
  <si>
    <t>g)  náklady na požadované záruky, pojištění a ostatní finanční náklady</t>
  </si>
  <si>
    <t>Stěny a příčky</t>
  </si>
  <si>
    <t>725119306R00</t>
  </si>
  <si>
    <t>Montáž klozetu závěsného</t>
  </si>
  <si>
    <t>725869203R00_P</t>
  </si>
  <si>
    <t>Kohouty plnící a vypouštěcí ČSN 13 7061, G1/2</t>
  </si>
  <si>
    <t>Stavební přípomoce - drážky, prostupy, zapravení</t>
  </si>
  <si>
    <t>jen materiál</t>
  </si>
  <si>
    <t>https://www.topenilevne.cz/vaillant-vrt-50-p51506/</t>
  </si>
  <si>
    <t>https://www.spalensky.com/e/ostatni-drevene-vyrobky-676/dverni-prahy-971/?page=1&amp;sort=title&amp;parameters=2582</t>
  </si>
  <si>
    <t>REZERVA</t>
  </si>
  <si>
    <t>766812114R00_P</t>
  </si>
  <si>
    <t>721171808R00_P</t>
  </si>
  <si>
    <t>Revize spalinových cest</t>
  </si>
  <si>
    <t>Demontáž připojovacího potrubí kanalizace</t>
  </si>
  <si>
    <t>722260902R00_P</t>
  </si>
  <si>
    <t>735179110R00</t>
  </si>
  <si>
    <t>722130801R00</t>
  </si>
  <si>
    <t>https://www.koupelnovevybaveni.cz/flexira-hadice-xconnect-gas-basic-1000-mm-r1-2-g1-2-h121g1-10</t>
  </si>
  <si>
    <t>5513101491_P</t>
  </si>
  <si>
    <t>34196376_P</t>
  </si>
  <si>
    <t>4848173030_P</t>
  </si>
  <si>
    <t>https://www.ypsilonplus.cz/kk-s-filtrem-filterball-51f</t>
  </si>
  <si>
    <t>979011219R00</t>
  </si>
  <si>
    <t>Přípl.k svislé dopr.suti za každé další NP nošením</t>
  </si>
  <si>
    <t>979082111R00</t>
  </si>
  <si>
    <t>Vnitrostaveništní doprava suti a vybouraných hmot do 10 m</t>
  </si>
  <si>
    <t>Vnitrostaveništní doprava suti a vybouraných hmot do 10m</t>
  </si>
  <si>
    <t>Poplatek za skládku materiálu</t>
  </si>
  <si>
    <t>979095312R00</t>
  </si>
  <si>
    <t>Naložení a složení suti</t>
  </si>
  <si>
    <t>998011003R00_P</t>
  </si>
  <si>
    <t>Vedlejší rozpočtové náklady</t>
  </si>
  <si>
    <t>M.J.</t>
  </si>
  <si>
    <t>Množství</t>
  </si>
  <si>
    <t>Jedn. cena</t>
  </si>
  <si>
    <t>Cena celkem</t>
  </si>
  <si>
    <t>VRN1</t>
  </si>
  <si>
    <t xml:space="preserve">Průzkumné, geodetické a projektové práce </t>
  </si>
  <si>
    <t>VRN2</t>
  </si>
  <si>
    <t xml:space="preserve">Příprava staveniště </t>
  </si>
  <si>
    <t>Do této položky patří náklady spojené:</t>
  </si>
  <si>
    <t>VRN3</t>
  </si>
  <si>
    <t xml:space="preserve">Zařízení staveniště </t>
  </si>
  <si>
    <t>V rámci nákladů na zařízení staveniště ocení zhotovitel veškeré náklady spojené s vybudováním, provozem a odstraněním zařízení staveniště, a to ve fázích:</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</si>
  <si>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</si>
  <si>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</si>
  <si>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t>Náklady na předání dokladové části  o vlastnostech materiálů, o provedených zkouškách a měření, o výchozích kontrolách provozuschopnosti,  o zaškolení obsluhy, revizní zprávy s výsledkem-bez závad, doklady o oprávnění k provádění prací, doklady o likvidaci odpadů, návody k obsluze, kopie záručních listů   - 2x tištěně a 1x v elektronické podobě</t>
  </si>
  <si>
    <t>Vedlejší rozpočtové náklady (VRN)</t>
  </si>
  <si>
    <t>Rozdělení podle investic a oprav (bez VRN a DPH)</t>
  </si>
  <si>
    <t>346244811RT2</t>
  </si>
  <si>
    <t>Montáž SDK podhledu do vlhkého prostředí jednoduše opláštěného na samonosný rošt, vč dodávky nosných profilů a zatmelení návazností na zděné stěny (akrylátovým tmelem) dle PD</t>
  </si>
  <si>
    <t>Prostorový termostat digitální s týdenním programem, s podsvíceným displejem pro jeden přímý topný okruh a přípravu TUV v nepřímotopném zásobníku</t>
  </si>
  <si>
    <t xml:space="preserve">frézování drážky na stěnách </t>
  </si>
  <si>
    <t>přrážka za podružný materiál</t>
  </si>
  <si>
    <t>Demontáž kuchyňské skříňky s dřezem š.900mm</t>
  </si>
  <si>
    <t>Demontáž polic komory</t>
  </si>
  <si>
    <t xml:space="preserve"> - s účastí zhotovitele na předání a převzetí staveniště
 - náklady na přezkoumání podkladů o stavu sítí vedených v řešeném objektu
 - náklady na vyhotovení návrhu dočasného dopravního značení a zvláštního užívání komunikace, vč. projednání, odsouhlasení s dotčenými orgány a organizacemi a zajištění správních rozhodnutí, dodání dopravních značek a světelné signalizace, jejich rozmístění a přemísťování a jejich údržba v průběhu výstavby včetně následného odstranění, poplatky za správní řízení, splnění podmínek správních rozhodnutí a orgánu DOSS.  
 - Bezpečnostní a hygienická opatření na staveništi, náklady na ochranu staveniště před vstupem nepovolaných osob, včetně příslušného značení, náklady na ohraničení staveniště či na jeho osvětlení, náklady na vypracování potřebné dokumentace pro provoz staveniště z hlediska požární ochrany (požární řád a poplachová směrnice) a z hlediska provozu staveniště (provozně dopravní řád)
 - náklady na koordinaci s dalšími zhotoviteli </t>
  </si>
  <si>
    <t>Začištění omítek kolem stávajících oken,dveří apod. s použitím suché maltové směsi</t>
  </si>
  <si>
    <t>Těsnící stěrka, předpokládaná spotřeba 1,5 kg/m2</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</si>
  <si>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</si>
  <si>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Zkouška těsnosti potrubí kanalizace vodou do DN 125</t>
  </si>
  <si>
    <t>SOK1-D</t>
  </si>
  <si>
    <t>SOK1-M</t>
  </si>
  <si>
    <t>Ostatní materiály, práce, dodávky, služby a výkony jinde neuvedené</t>
  </si>
  <si>
    <t>968062245R00</t>
  </si>
  <si>
    <t>Vybourání dřevěných rámů oken jednoduch. pl. 2 m2</t>
  </si>
  <si>
    <t xml:space="preserve">Omítka stropů, napraží vnitřní tenkovrstvá vápenná, položka obsahuje nátěr podkladu spojovacím můstkem, a štukovou omítku tl. 5 mm. Ruční provedení. </t>
  </si>
  <si>
    <t xml:space="preserve">Omítka vápenná vnitřního ostění. Položka obsahuje nátěr podkladu spojovacím můstkem a štukovou omítku tl. 5 mm. Ruční provedení. </t>
  </si>
  <si>
    <t>230120041R00_P</t>
  </si>
  <si>
    <t>735191903R00</t>
  </si>
  <si>
    <t>Propláchnutí otopných těles ocel., nebo Al</t>
  </si>
  <si>
    <t>735191901R00</t>
  </si>
  <si>
    <t>Vyzkoušení otopných těles ocelových tlakem</t>
  </si>
  <si>
    <t>725220851R00</t>
  </si>
  <si>
    <t>Demontáž van včetně vybourání obezdezdívky</t>
  </si>
  <si>
    <t>725849200R00</t>
  </si>
  <si>
    <t>42972302_P</t>
  </si>
  <si>
    <t>725514802R00_P</t>
  </si>
  <si>
    <t>728115812R00_P</t>
  </si>
  <si>
    <t>723235511R00</t>
  </si>
  <si>
    <t>Chránička potrubí Fe, délka 0,5 m, 31,8 x 2,6  vč. úpravy rozměru dle tl. stěny</t>
  </si>
  <si>
    <t>dozdívka prostupu = 0,2*0,2*3</t>
  </si>
  <si>
    <t>979094211R00</t>
  </si>
  <si>
    <t>Nakládání nebo překládání vybourané suti</t>
  </si>
  <si>
    <t>979990107R00</t>
  </si>
  <si>
    <t>Poplatek za skládku suti - směs betonu,cihel</t>
  </si>
  <si>
    <t>Poplatek za skládku suti - dřevo</t>
  </si>
  <si>
    <t>979990161R00</t>
  </si>
  <si>
    <t>d</t>
  </si>
  <si>
    <t>346244313R00</t>
  </si>
  <si>
    <t>DS1R</t>
  </si>
  <si>
    <t>dodávka kování - štíty+zámek</t>
  </si>
  <si>
    <t>dodávka kování - štíty WC+zámek</t>
  </si>
  <si>
    <t>781497121R00_P</t>
  </si>
  <si>
    <t>Rozdělení podle investic a oprav vč. VRN bez DPH</t>
  </si>
  <si>
    <t>Rozdělení VRN podle investic a oprav</t>
  </si>
  <si>
    <t>342264101R00</t>
  </si>
  <si>
    <t>Hydroizolační stěrka dvouvrstvá, pod obklady</t>
  </si>
  <si>
    <t>https://www.dek.cz/produkty/detail/1640140505-weber-akryzol-hydroizolacni-hmota-15kg?tab_id=popis</t>
  </si>
  <si>
    <t>585811012_P</t>
  </si>
  <si>
    <t>23152419_P</t>
  </si>
  <si>
    <t>61581624.A_P</t>
  </si>
  <si>
    <t>615290744_P</t>
  </si>
  <si>
    <t>54112115_P</t>
  </si>
  <si>
    <t>53821107_P</t>
  </si>
  <si>
    <t>23152401_P</t>
  </si>
  <si>
    <t>61413711_P</t>
  </si>
  <si>
    <t>5537000213_P</t>
  </si>
  <si>
    <t>551620220_P</t>
  </si>
  <si>
    <t>551620214_P</t>
  </si>
  <si>
    <t>551620240_P</t>
  </si>
  <si>
    <t>55145015_P</t>
  </si>
  <si>
    <t>55145001_P</t>
  </si>
  <si>
    <t xml:space="preserve">Větrací plastová mřížka do SDK podhledu, průměr 100 mm (větrání plynu)  včetně kotvícího materiálu </t>
  </si>
  <si>
    <t>Montáž mřížek</t>
  </si>
  <si>
    <t>SK2-D+M</t>
  </si>
  <si>
    <t>612475111RT3</t>
  </si>
  <si>
    <t>784496500R00</t>
  </si>
  <si>
    <t>Penetrace podkladu (před vystěrkováním)</t>
  </si>
  <si>
    <t>612409991RT2</t>
  </si>
  <si>
    <t>612425931RT2</t>
  </si>
  <si>
    <t>Příplatek za zabudované rohovníky, stěny</t>
  </si>
  <si>
    <t>612473186R00</t>
  </si>
  <si>
    <t>781479711R00</t>
  </si>
  <si>
    <t>Montáž obložkové zárubně a dřevěného křídla dveří</t>
  </si>
  <si>
    <t>766670011R00</t>
  </si>
  <si>
    <t>SK1-D+M</t>
  </si>
  <si>
    <t>Separační folie vodorovná, vč. přelepení spojů, vč. dodávky materiálu</t>
  </si>
  <si>
    <t>Montáž kuchyňské linké linky, vč. úpravy pracovní desky a montáže spotřebičů</t>
  </si>
  <si>
    <t>771111122R00</t>
  </si>
  <si>
    <t>https://ok-levne.cz/hl138-podomitkovy-sifon-ke-klimatizacnim-jednotkam-dn32-100x100mm.html</t>
  </si>
  <si>
    <t>Dřezový sifon plastový</t>
  </si>
  <si>
    <t>978059531R00</t>
  </si>
  <si>
    <t xml:space="preserve">Montáž uzávěrek zápach. </t>
  </si>
  <si>
    <t>Stavební přípomoce (potrubí v přizdívce-drážky vymazány maltou, prostupy-osazení chráničky)</t>
  </si>
  <si>
    <t>rámeček 3x, trojrámeček</t>
  </si>
  <si>
    <t>CYKYLo 3Cx1,5 vč.prořezu</t>
  </si>
  <si>
    <t>722181213RT7_P</t>
  </si>
  <si>
    <t>722181213RU1_P</t>
  </si>
  <si>
    <t>722181214RT7_P</t>
  </si>
  <si>
    <t>722202213R00_P</t>
  </si>
  <si>
    <t>722202413R00_P</t>
  </si>
  <si>
    <t>722202414R00_P</t>
  </si>
  <si>
    <t>722202221R00_P</t>
  </si>
  <si>
    <t>722190401R00</t>
  </si>
  <si>
    <t>Vyvedení a upevnění výpustek DN 15</t>
  </si>
  <si>
    <t>998011002R00_P</t>
  </si>
  <si>
    <t>Osazení ocelových válcovaných nosníků do č.12</t>
  </si>
  <si>
    <t>968061112R00</t>
  </si>
  <si>
    <t>Vyvěšení dřevěných okenních křídel pl. do 1,5 m2</t>
  </si>
  <si>
    <t xml:space="preserve">Montáž výztužné sítě (perlinky) do stěrky - vnit.stěny, ostění, včetně výztužné sítě, stěrkového tmelu </t>
  </si>
  <si>
    <t xml:space="preserve">Montáž výztužné sítě (perlinky) do stěrky - stropy, nadpraží včetně výztužné sítě, stěrkového tmelu </t>
  </si>
  <si>
    <t>611481211RT2</t>
  </si>
  <si>
    <t>784496500R00_P1</t>
  </si>
  <si>
    <t>712990813RT2</t>
  </si>
  <si>
    <t>712990813RT3</t>
  </si>
  <si>
    <t>Odstranění násypu nebo nánosu tl. 5 - 10 cm, z ploch jednotlivě nad 20 m2</t>
  </si>
  <si>
    <t>Odstranění násypu nebo nánosu tl. 5 - 10 cm, z ploch jednotlivě od 10 m2 do 20 m2</t>
  </si>
  <si>
    <t>D4-D</t>
  </si>
  <si>
    <t>https://www.ventilatory.net/hu-125.html?___SID=S</t>
  </si>
  <si>
    <t>Ukončovací protidešťová stříška včetně propojovacích prvků</t>
  </si>
  <si>
    <t>Rezerva - úprava komínové hlavy, manžeta protidešťová</t>
  </si>
  <si>
    <t>http://www.ricomgas.cz/product/?id=49310</t>
  </si>
  <si>
    <t>D1-D</t>
  </si>
  <si>
    <t>Demontáž umyvadla</t>
  </si>
  <si>
    <t>725290020RA0</t>
  </si>
  <si>
    <t>Vodní zápachová uzávěrka DN32 pro odvod kondenzátu (kotel) s přídavnou mechanickou zápachovou uzávěrkou (kulička), podomítkové provedení. (ref. v. HL 138K - do niky)</t>
  </si>
  <si>
    <t>Spojka potrubí kruh. se zpětnou klapkou VP 100 KSK</t>
  </si>
  <si>
    <t>28349061_P</t>
  </si>
  <si>
    <t>4848127107_P</t>
  </si>
  <si>
    <t>Montáž závěsných kotlů s TUV a příslušenství</t>
  </si>
  <si>
    <t>642938200_P</t>
  </si>
  <si>
    <t>55428102.A_P</t>
  </si>
  <si>
    <t>Vybourání otv. zeď cihel. 0,0225 m2, tl. 60cm, MVC (kanalizace, VZT)</t>
  </si>
  <si>
    <t>https://www.datart.cz/odsavac-par-faber-inca-lux-glass-ev8-x-bk-a70-cerny-nerez-sklo.html?gclid=CjwKCAiAgJWABhArEiwAmNVTBwj92MNkVHtqYNk6yQm0cg06vPd9dr7jwF1HPSLBZhaSBLssMwM9NRoC3jQQAvD_BwE</t>
  </si>
  <si>
    <t>Kohout kulový 1/2" plyn (kotel)</t>
  </si>
  <si>
    <t>https://www.ivarcs.cz/katalog/vytapeni-ivartrio/flexibilni-hadice-dvouplastova-pro-bajonetove-uzavery-na-plyn-p142032/</t>
  </si>
  <si>
    <t>Uzávěr plynu 1/2" s bajonetovým připojením (kuchyně), ref. výrobek Ivar.R4-T</t>
  </si>
  <si>
    <t>https://www.ivarcs.cz/katalog/vytapeni-ivartrio/uzaver-plynu-s-bajonetovym-pripojenim-flexibilni-hadice-ivar-rt-e-p142025/</t>
  </si>
  <si>
    <t>Flexibilní hadice dvouplášťová (hadice nerezová s ocelovým opletením a PVC plášťěm) pro bajonetové připojení (plyn) 1000 mm. ref. výrobek Ivar.RT-E</t>
  </si>
  <si>
    <t>Stropy, stropní konstrukce a podhledy</t>
  </si>
  <si>
    <t xml:space="preserve">kód cenové soustavy RTS </t>
  </si>
  <si>
    <t>kód dle PD</t>
  </si>
  <si>
    <t>investice/opravy</t>
  </si>
  <si>
    <t>Příplatek za plochu podlah keram. do 5m2 jednotl.</t>
  </si>
  <si>
    <t>771579791R00</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</si>
  <si>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</si>
  <si>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Ventil rohový G 1/2 bez připojovací hadičky</t>
  </si>
  <si>
    <t>ELEKTROINSTALACE</t>
  </si>
  <si>
    <t>SILNOPROUD</t>
  </si>
  <si>
    <t>Položka</t>
  </si>
  <si>
    <t>Materiál + montáž</t>
  </si>
  <si>
    <t>materiál</t>
  </si>
  <si>
    <t>montáž</t>
  </si>
  <si>
    <t>R</t>
  </si>
  <si>
    <t>zásuvka 230V  s ochranou před přepětím</t>
  </si>
  <si>
    <t>rámeček 1x - jednoduchý</t>
  </si>
  <si>
    <t>rámeček 2x, dvojrámeček</t>
  </si>
  <si>
    <t>hmoždinky vč.vrutu, vrtání</t>
  </si>
  <si>
    <t>vodič CY 4 - zel.žl.</t>
  </si>
  <si>
    <t>přezkoušení vedení</t>
  </si>
  <si>
    <t>práce neoceněné položkami ceníku (drobný pomocný materiál)</t>
  </si>
  <si>
    <t>soub</t>
  </si>
  <si>
    <t>hod</t>
  </si>
  <si>
    <t>revize el.zařízení</t>
  </si>
  <si>
    <t xml:space="preserve">Materiál + montáž silnoproud celkem </t>
  </si>
  <si>
    <t>svorkovnice KLM</t>
  </si>
  <si>
    <t>zapojení rozvaděče</t>
  </si>
  <si>
    <t>SLABOPROUD</t>
  </si>
  <si>
    <t xml:space="preserve">Materiál + montáž slaboproud celkem </t>
  </si>
  <si>
    <t>Dokumentace skutečného provedení (2 vyhotovení)</t>
  </si>
  <si>
    <t xml:space="preserve">Celkem </t>
  </si>
  <si>
    <t>Celkové rozpočtové náklady elektroinstalace bez DPH</t>
  </si>
  <si>
    <t xml:space="preserve">DPH </t>
  </si>
  <si>
    <t>Cena vč. DPH</t>
  </si>
  <si>
    <t>Poznámky pro zhotovitele</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</si>
  <si>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</si>
  <si>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</si>
  <si>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</si>
  <si>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</si>
  <si>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</si>
  <si>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Stavební úpravy bytové jednotky</t>
  </si>
  <si>
    <t>Izolace návleková  tl. stěny 20 mm vnitřní průměr 25 mm</t>
  </si>
  <si>
    <t>Odsekání vnitřních obkladů stěn nad 2 m2</t>
  </si>
  <si>
    <t>Příplatek k obkladu stěn keram.,za plochu do 10 m2</t>
  </si>
  <si>
    <t>978013121R00</t>
  </si>
  <si>
    <t>979011211R00</t>
  </si>
  <si>
    <t>979081111RT2</t>
  </si>
  <si>
    <t xml:space="preserve">Odvoz suti a vybour. hmot na skládku do 1 km kontejnerem </t>
  </si>
  <si>
    <t>979081121RT2</t>
  </si>
  <si>
    <t>Příplatek k odvozu za každý další 1 km (uvažováno 9km)</t>
  </si>
  <si>
    <t>725310823R00</t>
  </si>
  <si>
    <t>Protipož. trubní ucpávka EI 45, do D 25 mm, stěna</t>
  </si>
  <si>
    <t>Vybourání dřevěných dveřních zárubní pl. do 2 m2</t>
  </si>
  <si>
    <t>pom.materiál (svorky, vodiče)</t>
  </si>
  <si>
    <t>https://www.kovani-kliky.cz/cobra-ochranne-kovani-alt-wien--staromosaz/</t>
  </si>
  <si>
    <t>Demontáž garnyží vč. konzol a kotvících prvků</t>
  </si>
  <si>
    <t>962031113R00</t>
  </si>
  <si>
    <t>962032231R00</t>
  </si>
  <si>
    <t>Bourání zděných příček z plných cihel tl. 300 mm vč. omítky</t>
  </si>
  <si>
    <t>971033141R00</t>
  </si>
  <si>
    <t>971033261R00</t>
  </si>
  <si>
    <t>Odstranění PVC a koberců lepených bez podložky z ploch 10 - 20 m2</t>
  </si>
  <si>
    <t>776511810RT2</t>
  </si>
  <si>
    <t>776511810RT3</t>
  </si>
  <si>
    <t>https://www.akoupelnyatopeni.cz/topeni-a-ohrev-vody/#gallery</t>
  </si>
  <si>
    <t>Kohout kulový, vnitř.-vnitř., G 3/4</t>
  </si>
  <si>
    <t>Kohout kulový s filtrem, vnitř.-vnitř., G 3/4</t>
  </si>
  <si>
    <t>Napuštění topného systému - bez kotle</t>
  </si>
  <si>
    <t>Penetrace podkladu v místech vyrovnání plochy v místech stávajících obkladů</t>
  </si>
  <si>
    <t>Otlučení omítek vnitřních stěn v rozsahu do 100 % v místech nově prováděných obkladů</t>
  </si>
  <si>
    <t>978013191R00</t>
  </si>
  <si>
    <t>KD(I)1</t>
  </si>
  <si>
    <t>V3 - D</t>
  </si>
  <si>
    <t>V3 - M</t>
  </si>
  <si>
    <t xml:space="preserve">Omítka stěn vnitřní tenkovrstvá vápenná - jemný štuk, Položka obsahuje nátěr podkladu spojovacím můstkem a štukovou omítku tl. 5 mm. Ruční provedení. </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</si>
  <si>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</si>
  <si>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</si>
  <si>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</si>
  <si>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</si>
  <si>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VZT PVC potrubí plastové kruhové hladké potrubí 125mm </t>
  </si>
  <si>
    <t>4298150103_P</t>
  </si>
  <si>
    <t>PVC oblouk horizontální 125/90°</t>
  </si>
  <si>
    <t>Spojka potrubí kruhová VP 125 KS</t>
  </si>
  <si>
    <t>Montážní rámeček kruhový VP 125 KMR</t>
  </si>
  <si>
    <t>55348430.A_P</t>
  </si>
  <si>
    <t>Nerezový T kus vč. víčka - úprava na sběr kondenzátu  Ø 125 mm (digestoř)</t>
  </si>
  <si>
    <t>https://www.vzduchotechnika.cz/detail/5251-t---kus-125125</t>
  </si>
  <si>
    <t>728212712R00</t>
  </si>
  <si>
    <t>N</t>
  </si>
  <si>
    <t>Montáž střišky nebo hlavice plech.kruh.do d 200 mm</t>
  </si>
  <si>
    <t xml:space="preserve"> - Ostatní materiály, práce, dodávky, služby, ztížené výrobní podmínky související s umístěním stavby a výkony neuvedené v položkových soupisech jednotlivých částí zakázky, potřebné k provedení, dokončení a předání bezvadného díla (jedná se o veškeré samostatně nerozpočtované práce, materiály, výkony, služby a konstrukce), vyplývající ze smlouvy o dílo, dotačního titulu, projektové dokumentace nebo správních rozhodnutí a dokladů shromážděných v dokladové části projektu či jinde. Součástí této položky je i doprava pracovníků na staveniště. Dále sem patří veškeré samostatně nerozpočtované práce a dodávky (dodavatel je povinen provést kontrolu a případnou opravu soupisu prací v rámci podání nabídky na stavební práce). </t>
  </si>
  <si>
    <t xml:space="preserve">Zabezpečení stávajících zařízení a vybavení   </t>
  </si>
  <si>
    <t>https://www.alza.cz/mora-vdp-645gb3-d5129956.htm?kampan=adw2_bile-elektro_pla_all_bile-elektro-css_ostatni_ostatni_c_1003788__MORVD001&amp;gclid=CjwKCAiAgJWABhArEiwAmNVTByCMqJFbBz2xJs32ucOKW9SRJ7Eyb1qVzL0Ixw7Lr21g05SEFBUPxBoCFHgQAvD_BwE</t>
  </si>
  <si>
    <t>Potrubí z měděných plyn.trubek D 18 x 1,0 mm (DN 15), dle ČSN EN 1057, montáž pájením</t>
  </si>
  <si>
    <t>342241162R00_P</t>
  </si>
  <si>
    <t>P</t>
  </si>
  <si>
    <t>Revizní zpráva při uvedení kotle do provozu</t>
  </si>
  <si>
    <t>767885001R00_P</t>
  </si>
  <si>
    <t>Žlab podpůrný pro potrubí D 20 (chránička plynového rozvodu vedeného ve zdivu)</t>
  </si>
  <si>
    <t>https://www.dek.cz/produkty/detail/6000025640-podpurny-zlab-pozink-20x2000mm-77200120-25ks?gclid=CjwKCAiAo5qABhBdEiwAOtGmbuv1RNqxXeK06HB9EPTHd1GY-zP31LRI_Q7qiwbKZoe5qtICQZ5_PhoCXgMQAvD_BwE&amp;tab_id=parametry</t>
  </si>
  <si>
    <t>Z01</t>
  </si>
  <si>
    <t xml:space="preserve">Úhelník rovnoramenný L jakost S235 50x50x6 mm </t>
  </si>
  <si>
    <t>971033241R00</t>
  </si>
  <si>
    <t>971033161R00</t>
  </si>
  <si>
    <t>971033131R00</t>
  </si>
  <si>
    <t xml:space="preserve">Drobný pomocný materiál </t>
  </si>
  <si>
    <t>713552111R00</t>
  </si>
  <si>
    <t>Není-li uvedeno jinak jsou položky uvažovány společně dodávka i montáž. Položky označené kódem jsou detailně popsány v tabulce skladeb konstrukcí a povrchových úprav.</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</si>
  <si>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</si>
  <si>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</si>
  <si>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</si>
  <si>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</si>
  <si>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</si>
  <si>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</si>
  <si>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</si>
  <si>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</si>
  <si>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</si>
  <si>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Vyvěšení dřevěných dveřních křídel pl. do 2 m2</t>
  </si>
  <si>
    <t>Demontáž uzávěrek zápachových jednoduchých</t>
  </si>
  <si>
    <t>Uzávěrka zápachová pračková podomítková společná s připojovacím kolenem na vodovod, nerez krytka</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</si>
  <si>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</si>
  <si>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</si>
  <si>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podíl přidružených výkonů</t>
  </si>
  <si>
    <t>Montáž uzávěrek zápach. umyvadlových D32</t>
  </si>
  <si>
    <t>"O"opravy
"I" Investice</t>
  </si>
  <si>
    <t>Bandáž koutů - provedení</t>
  </si>
  <si>
    <t xml:space="preserve">Tmelení spár silikonem, obklad, sokl - dlažba, obklad vnitřní rohy , tmelení návazností na zárubně, zařizovací předměty </t>
  </si>
  <si>
    <t>Provedení hydroizol. stěrky pod dlažby dvouvrstvé vč. osazení systémových prvků</t>
  </si>
  <si>
    <t>3a</t>
  </si>
  <si>
    <t>Zdravotechnika - demontáže</t>
  </si>
  <si>
    <t>725290010RA0</t>
  </si>
  <si>
    <t>725810811R00</t>
  </si>
  <si>
    <t>Svislá doprava suti a vybour. hmot za 2.NP nošením</t>
  </si>
  <si>
    <t>3b</t>
  </si>
  <si>
    <t>3c</t>
  </si>
  <si>
    <t>3d</t>
  </si>
  <si>
    <t>3e</t>
  </si>
  <si>
    <t>3f</t>
  </si>
  <si>
    <t>3g</t>
  </si>
  <si>
    <t>Zdravotechnika</t>
  </si>
  <si>
    <t>Vyvedení odpadních výpustek D 110 x 2,7 (wc)</t>
  </si>
  <si>
    <t>721194109R00</t>
  </si>
  <si>
    <t>725869204R00</t>
  </si>
  <si>
    <t>Montáž uzávěrek zápach.dřez.jednoduchý D 40</t>
  </si>
  <si>
    <t>763761201R00</t>
  </si>
  <si>
    <t>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</si>
  <si>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</si>
  <si>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r>
      <t>Těsnící stěrka dle specifikace v PD, předpokládaná spotřeba 1,5kg/m</t>
    </r>
    <r>
      <rPr>
        <i/>
        <vertAlign val="superscript"/>
        <sz val="10"/>
        <color indexed="49"/>
        <rFont val="Arial"/>
        <family val="2"/>
      </rPr>
      <t>2</t>
    </r>
  </si>
  <si>
    <t>725860811R00</t>
  </si>
  <si>
    <t>784011221RT2</t>
  </si>
  <si>
    <t>968061125R00</t>
  </si>
  <si>
    <t>Potrubí z PPR, D 25x4,2 mm, PN 20, vč. zed. výpom.</t>
  </si>
  <si>
    <t>Tlaková zkouška vodovodního potrubí DN32</t>
  </si>
  <si>
    <t>725869101R00</t>
  </si>
  <si>
    <t xml:space="preserve"> - Vybudování zařízení staveniště - náklady na zřízení přípojek energií, vybudování případných měřících odběrných míst a vlastní vybudování objektů zařízení staveniště vč. soc. zázemí
 - Provoz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
- Odstranění zařízení staveniště. Položka zahrnuje i náklady na úpravu povrchů po odstranění zařízení staveniště a úklid ploch, na kterých bylo zařízení staveniště provozováno.
 - Součástí této položky jsou standardní prvky BOZP, včetně jejich dodávky, montáže, údržby a demontáže, respektive likvidace) a plnění povinosti vyplývajících z plánu BOZP včetně připomínek příslušných úřadů. Součástí položky Zařízení staveniště je poskytnutí části zařízení staveniště pro umožnění činnosti TD, AD a SÚ za účelem konání kontrolním dnů a všech dalších svolávaných jednání (předpokládá se čistý prostor - např. stavební buňka či jiná kancelář stavby).
- uvedení plochy pro zařízení staveniště do původního stavu</t>
  </si>
  <si>
    <t>Nákladů na ztížené podmínky provádění tam, kde jsou stavební práce zcela nebo zčásti omezovány provozem jiných osob. Jedná se zejména o zvýšené náklady související s omezením provozem v objektu, náklady v důsledku nezbytného respektování stávající dopravy v okolí stavby ovlivňující stavební práce (ochrana kolem vstupů do budovy). Náklady na ztížené provádění stavebních prací v důsledku provozu budovy po dobu stavby (nutnost ochranných konstrukcí, ochranných zábradlí a hrazení, apod.). Bytový dům bude investorem užíván po celou dobu stavby ke svému obvyklému účelu a náklady s tím spojené jsou součástí této položky.</t>
  </si>
  <si>
    <t>734223223R00_P1</t>
  </si>
  <si>
    <t>731249322R00_P</t>
  </si>
  <si>
    <t>731249321R00</t>
  </si>
  <si>
    <t>Odstranění PVC a koberců lepených bez podložky z ploch do 10 m2</t>
  </si>
  <si>
    <t>Příčka z tvárnic porobet. tl. 125 mm hlad. tvárnice 600 x 250 x 100 mm, P2 - 500, vč. spražení se zděnou stěnou (navrtané trny nebo pásovina do každé třetí spáry po cca 1,0 m</t>
  </si>
  <si>
    <t>28349015_P</t>
  </si>
  <si>
    <t>28349012_P</t>
  </si>
  <si>
    <t>Montáž SDK podhledu jednoduše opláštěného na samonosný rošt, vč dodávky nosných profilů a zatmelení návazností na zděné stěny (akrylátovým tmelem) dle PD</t>
  </si>
  <si>
    <t>342264514R00_P</t>
  </si>
  <si>
    <t xml:space="preserve">Umyvadlový sifon s vtokem vč. napojovací manžety, chrom </t>
  </si>
  <si>
    <t>55231355_P</t>
  </si>
  <si>
    <t>725014163R00_P</t>
  </si>
  <si>
    <t>726212321R00_P</t>
  </si>
  <si>
    <t>725860184RT1</t>
  </si>
  <si>
    <t>725810402R00</t>
  </si>
  <si>
    <t>735191910R00</t>
  </si>
  <si>
    <t>Odvzdušnění ut těles</t>
  </si>
  <si>
    <t>735191905R00</t>
  </si>
  <si>
    <t>220711301R00_P</t>
  </si>
  <si>
    <t xml:space="preserve">Provedení revize plynovodu </t>
  </si>
  <si>
    <t>723190909R00_P</t>
  </si>
  <si>
    <t>220261662R00_P</t>
  </si>
  <si>
    <t>Přemístění vodoměru a uzávěru vody a úpravy potrubí</t>
  </si>
  <si>
    <t>Termostatické hlavice s vestavěným čidlem</t>
  </si>
  <si>
    <t>416021121R00_P</t>
  </si>
  <si>
    <t>416021123R00_P</t>
  </si>
  <si>
    <t>podřezání dveří</t>
  </si>
  <si>
    <t>D3-D</t>
  </si>
  <si>
    <t>Obklad soklíků keram.rovných, tmel, výška 100 mm do lepidla vč. spár. a úpravy horní hrany v návaznosti na omítku</t>
  </si>
  <si>
    <t>642940012RA0_P</t>
  </si>
  <si>
    <t>642940014RA0_P</t>
  </si>
  <si>
    <t>Základní nátěr ocelového nosníku</t>
  </si>
  <si>
    <t>KDI1-M</t>
  </si>
  <si>
    <t>KDI1-D</t>
  </si>
  <si>
    <t>721176103R00_P</t>
  </si>
  <si>
    <t>721176105R00_P</t>
  </si>
  <si>
    <t>721290111R00</t>
  </si>
  <si>
    <t>725850145R00_P</t>
  </si>
  <si>
    <t>64213637_P1</t>
  </si>
  <si>
    <t>725849201R00</t>
  </si>
  <si>
    <t>Montáž baterií sprchových, pevná výška</t>
  </si>
  <si>
    <t>D1-D6-M</t>
  </si>
  <si>
    <t>734233112R00_P</t>
  </si>
  <si>
    <t>734293312R00_P</t>
  </si>
  <si>
    <t>734215133R00_P</t>
  </si>
  <si>
    <t>5512001400_P</t>
  </si>
  <si>
    <t>Radiátorové šroubení uzavírací s vyp. funkcí rohové G1/2, pro dvojtrubkový systém</t>
  </si>
  <si>
    <t>734209103R00</t>
  </si>
  <si>
    <t>Montáž armatur závitových,s 1závitem, G 1/2</t>
  </si>
  <si>
    <t>734209113R00</t>
  </si>
  <si>
    <t>Montáž armatur závitových,se 2závity, G 1/2</t>
  </si>
  <si>
    <t>734209114R00</t>
  </si>
  <si>
    <t>Montáž armatur závitových,se 2závity, G 3/4</t>
  </si>
  <si>
    <t xml:space="preserve"> - Zabezpečení stávajících zařízení a vybavení proti mechanickému poškození, prachu,zatečení (při opravách a rekonstrukcích) - položka zahrnuje každodenní zabezpečování objektu (po dobu trvání stavby) proti zatečení zakrýváním úřinným způsobem, pokud vlivem špatného zabezpečení stavby dojde ke škodám na budově, budou tyto škody zhotovitelem odstraněny na jeho náklady neprodleně (a zároveň nejpozději před předáním stavby investorovi)
- Náklady na kompletační činnost včetně denních úklidů staveniště a závěrečného úklidu</t>
  </si>
  <si>
    <t>Ventily odvzdušňovací radiátorové</t>
  </si>
  <si>
    <t>734215123R00_P</t>
  </si>
  <si>
    <t>5513730630_P</t>
  </si>
  <si>
    <t>Proplach potrubí</t>
  </si>
  <si>
    <t>Přizdívka a příčka z tvárnic porobet. tl. 100 mm hlad. tvárnice 600 x 250 x 100 mm, P2 - 500, vč. spražení se zděnou stěnou (navrtané trny nebo pásovina do každé třetí spáry po cca 1,0 m</t>
  </si>
  <si>
    <t xml:space="preserve">Dozdívky - zdivo nosné cihelné z CP 29 P15 na MVC 2,5 zdivem, tl.60 cm, vč. vysekání kapes pro zavázání  </t>
  </si>
  <si>
    <t>202.1 = 0,24*2,7</t>
  </si>
  <si>
    <t>https://www.alza.cz/bosch-hbg5370b0-d5771242.htm?kampan=adw2_bile-elektro_pla_all_vendor_mpla114458-bosch_c_1003788__BOTRO28&amp;gclid=CjwKCAiAu8SABhAxEiwAsodSZBKlTkK56InHtQGyCQbf6DM_9unAO1OeTXxumcuJ2fU7b13EkkR8ZRoC_MgQAvD_BwE</t>
  </si>
  <si>
    <t>Z02</t>
  </si>
  <si>
    <t>725530826R00_P</t>
  </si>
  <si>
    <t>Demontáž ohřívače vody/ boileru</t>
  </si>
  <si>
    <t>723190251R00</t>
  </si>
  <si>
    <t>Vyvedení a upevnění plynovodních výpustek DN 15</t>
  </si>
  <si>
    <t>55145009_P1</t>
  </si>
  <si>
    <t>Montáž baterie umyv.a dřezové stojánkové</t>
  </si>
  <si>
    <t>721194103R00</t>
  </si>
  <si>
    <t>721194104R00</t>
  </si>
  <si>
    <t>Vyvedení odpadních výpustek D 40 x 1,8 (pro dřez)</t>
  </si>
  <si>
    <t>721194105R00</t>
  </si>
  <si>
    <t>Montáž sprchových koutů (vanička vč. napojení na sifon, zástěna)</t>
  </si>
  <si>
    <t>784402801R00</t>
  </si>
  <si>
    <t>Potrubí HT připojovací DN 110 x 2,7mm, vč. nezbytných kolen, odboček, redukcí a montáže</t>
  </si>
  <si>
    <t>Potrubí HT připojovací D 50 x 1,8 mm, vč. nezbytných kolen, odboček, redukcí a montáže</t>
  </si>
  <si>
    <t>Penetrace podkladu pod obklady, položka obsahuje provedení penetračního nátěru včetně dodávky materiálu.</t>
  </si>
  <si>
    <t>781101210RT2</t>
  </si>
  <si>
    <t>612474410R00</t>
  </si>
  <si>
    <t>781111121R00</t>
  </si>
  <si>
    <t>Montáž lišt rohových, vanových a dilatačních</t>
  </si>
  <si>
    <t>781101142R00</t>
  </si>
  <si>
    <t>771101147R00</t>
  </si>
  <si>
    <t>612481211RT2</t>
  </si>
  <si>
    <t xml:space="preserve">Malba standard, bílá, bez penetr.,min. 2x stěny a stropy </t>
  </si>
  <si>
    <t>784115212R00</t>
  </si>
  <si>
    <t>D+M</t>
  </si>
  <si>
    <t>722172331R00</t>
  </si>
  <si>
    <t>722290234R00</t>
  </si>
  <si>
    <t xml:space="preserve">Proplach a dezinfekce vodovod.potrubí </t>
  </si>
  <si>
    <t>Montáž umyvadel na šrouby do zdiva</t>
  </si>
  <si>
    <t>725219401R00</t>
  </si>
  <si>
    <t>725829202R00</t>
  </si>
  <si>
    <t>725249101R00</t>
  </si>
  <si>
    <t>Vaničkový sifon, průměr otvoru 90 mm, DN50, krytka leštěná nerez průměr 120 mm, otvor sifonu 90 mm, průměr odpadu 50 mm, průtok 39 l/min, shora čistitelný odpadní systém</t>
  </si>
  <si>
    <t>725319101R00</t>
  </si>
  <si>
    <t>Montáž dřezů jednoduchých</t>
  </si>
  <si>
    <t>771101142R00</t>
  </si>
  <si>
    <t>771475014RU7</t>
  </si>
  <si>
    <t>Montáž podlahových lišt přechodových</t>
  </si>
  <si>
    <t>784111101R00</t>
  </si>
  <si>
    <t xml:space="preserve">Penetrace podkladu nátěrem </t>
  </si>
  <si>
    <t>Montáž revizních dvířek, mřížek</t>
  </si>
  <si>
    <t>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</si>
  <si>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Plyn</t>
  </si>
  <si>
    <t>Zkouška plynu dle ČSN, zkouška pevnosti a těsnosti</t>
  </si>
  <si>
    <t>Zakrytí předmětů včetně dodávky fólie tl.0,04mm (dveře, rozvaděče, okna, podlahy, prvky elektroinstalce)</t>
  </si>
  <si>
    <t>https://www.siko.cz/lista-ukoncovaci-l-hlinik-elox-stribrna-delka-250-cm-vyska-10-mm-ale10250/p/ALE10250?gclid=Cj0KCQiA9P__BRC0ARIsAEZ6iriUFCvPfDFm63Tta9iemIg6LPSMDKSCYPiZbtg7MIgDR_wcOYbWNo4aAst_EALw_wcB</t>
  </si>
  <si>
    <t>Protipožární utěsnění prostupů vody, včetně kotvícího materiálu</t>
  </si>
  <si>
    <t>631312621R00</t>
  </si>
  <si>
    <t>Mazanina betonová tl. 5 - 8 cm C 20/25</t>
  </si>
  <si>
    <t>631361921RT1</t>
  </si>
  <si>
    <t>Výztuž mazanin svařovanou sítí průměr drátu  4,0, oka 100/100 mm KA16</t>
  </si>
  <si>
    <t>713121118RU1</t>
  </si>
  <si>
    <t>Montáž dilatačního pásku podél stěn vč. dodávky</t>
  </si>
  <si>
    <t>KD(I)1, DP1</t>
  </si>
  <si>
    <t>632411904R00_P</t>
  </si>
  <si>
    <t xml:space="preserve">Penetrace savých podkladů </t>
  </si>
  <si>
    <t>771479001R00</t>
  </si>
  <si>
    <t>762522811R00</t>
  </si>
  <si>
    <t>342255024R00</t>
  </si>
  <si>
    <t>342255026R00</t>
  </si>
  <si>
    <t>784011221R00_P</t>
  </si>
  <si>
    <t>766662912R00_P</t>
  </si>
  <si>
    <t>59764224_P</t>
  </si>
  <si>
    <t>979990111R00_P</t>
  </si>
  <si>
    <t>28650014_P</t>
  </si>
  <si>
    <t>429851122_P</t>
  </si>
  <si>
    <t>713381411R00_P</t>
  </si>
  <si>
    <t>734293272R00_P</t>
  </si>
  <si>
    <t>https://www.sapeli.cz/interierove-dvere-sapeli-bergamo-28-dekor-dub-sherwood</t>
  </si>
  <si>
    <t>728414611R00_P</t>
  </si>
  <si>
    <t>53925121_P</t>
  </si>
  <si>
    <t>Automatická pračka, parametry dle PD,  ref. výrobek  BOSCH WAU24T60BY</t>
  </si>
  <si>
    <t>https://www.vidaxl.cz/e/vidaxl-led-koupelnova-zrcadlova-skrinka-50-x-13-x-70-cm/8719883728421.html</t>
  </si>
  <si>
    <t xml:space="preserve">Galerka s LED osvětlením, 50x70x13cm, bílá ref. výrobek vidaXL LED </t>
  </si>
  <si>
    <t>https://www.kondor.cz/ipe-100/d-78521/</t>
  </si>
  <si>
    <t>https://www.aquatopshop.cz/Umyvadlovy-sifon-5-4-odpad-32mm-valcovy-ECO-chrom-d1826.htm?gclid=CjwKCAjwuYWSBhByEiwAKd_n_vCcPtFKyRRldwZwNLpDHeD9lvej_nMg6jmjzW-ZiIeemU-e0A5jIxoCXLIQAvD_BwE</t>
  </si>
  <si>
    <t>https://www.mall.cz/kotle/vaillant-vu-246-5-3-a-ecotec-pro-6-9-25-5-kw-100019444631?gclid=CjwKCAjwuYWSBhByEiwAKd_n_pSMnFr-N-uqWYEwfSMW_FgCaJQqbJ3-T_x7_aIaCAt1D0eF5fKMPRoCBw4QAvD_BwE</t>
  </si>
  <si>
    <t>723163103R00_P</t>
  </si>
  <si>
    <t>723163104R00_P</t>
  </si>
  <si>
    <t>https://digestore.heureka.cz/electrolux-lfg716w/#prehled/</t>
  </si>
  <si>
    <t>Vestavná nerezová digestoř, min. výkon při nulových ztrátách 700m3/h, ref. výrobek.Electrolux LFG716R, černý, vč. montáže (technické parametry dle PD) BJ č.3</t>
  </si>
  <si>
    <t>210220321RT1</t>
  </si>
  <si>
    <t>650031621R00</t>
  </si>
  <si>
    <t>974051215R00</t>
  </si>
  <si>
    <t>974031164R00</t>
  </si>
  <si>
    <t>Vysekání rýh ve zdi cihelné 15 x 15 cm</t>
  </si>
  <si>
    <t>974031142R00</t>
  </si>
  <si>
    <t>Vysekání rýh ve zdi cihelné 7 x 7 cm</t>
  </si>
  <si>
    <t>Deska varná vestavná černá, plynová dle specifikace v PD (např. Mora VDP 645 GB 3), vč. montáže</t>
  </si>
  <si>
    <t>https://www.electroworld.cz/mora-vdp-645gb3-plynova-varna-deska?gclid=CjwKCAjwsMGYBhAEEiwAGUXJaY79e1kol3p0r30emedGxrrs6UuCXEuD2Fc05jm9I8K2Z1owsTsU5hoCmMUQAvD_BwE</t>
  </si>
  <si>
    <t>Vestavná el. Trouba, černá ref. výrobek Beko Bie 24302B, vč. montáže</t>
  </si>
  <si>
    <t>https://www.e-beko.cz/cs/beko-bie-24302-b?gclid=CjwKCAjwsMGYBhAEEiwAGUXJae5MX91Szjj-ynozn0e_D0CZHei6ZdQ4mGS4Ck6J6SZIT2tNuK7wfhoCsgIQAvD_BwE</t>
  </si>
  <si>
    <t>Lednice s mrazákem v krémové/béžové/bronzové barvě, parametry dle PD, ref. Výrobek  Gorenje NRK6192AC4</t>
  </si>
  <si>
    <t>https://www.electroworld.cz/gorenje-nrk6192ac4-kombinovana-chladnicka?gclid=CjwKCAjwsMGYBhAEEiwAGUXJafZ6iqLrBmfzYDZ_eQXgZkz5ZSOqoxE6rsy-DYytflZRTB1bUJn1xxoCSicQAvD_BwE</t>
  </si>
  <si>
    <t>Myčka nádobí pro zabudování, parametry dle PD, ref. výrobek Gorenje GI62040X</t>
  </si>
  <si>
    <t>https://www.alza.cz/gorenje-gi62040x-d6252019.htm</t>
  </si>
  <si>
    <t>771579790R00</t>
  </si>
  <si>
    <t>Příplatek za pokládku dlažby nakoso</t>
  </si>
  <si>
    <t>Kuchyn</t>
  </si>
  <si>
    <t>rozmer</t>
  </si>
  <si>
    <t>dvirka</t>
  </si>
  <si>
    <t>korpus</t>
  </si>
  <si>
    <t>popis</t>
  </si>
  <si>
    <t>60/82/51</t>
  </si>
  <si>
    <t>šuplíky 3x</t>
  </si>
  <si>
    <t>Korpus spodní skříňky pro 3 šuplíky,
Dub Arlington, Dno a záda šuplíků jsou z LTDT desky. Viditelná strana, která se montuje dovnitř šuplíku, je ve stříbrném dekoru. Nepohledová strana je v&amp;nbsp, jiném dekoru než stříbrný.</t>
  </si>
  <si>
    <t>kč</t>
  </si>
  <si>
    <t>mm</t>
  </si>
  <si>
    <t>š/v/h (cm)</t>
  </si>
  <si>
    <t xml:space="preserve">množství </t>
  </si>
  <si>
    <t>cena za MJ</t>
  </si>
  <si>
    <t>40/82/53</t>
  </si>
  <si>
    <t>cena korpus</t>
  </si>
  <si>
    <t>80/82/51</t>
  </si>
  <si>
    <t>Spodní</t>
  </si>
  <si>
    <t>Horní</t>
  </si>
  <si>
    <t>celé</t>
  </si>
  <si>
    <t>Korpus spodní skříňky, 1 x police,</t>
  </si>
  <si>
    <t>100/82/55</t>
  </si>
  <si>
    <t xml:space="preserve"> Rohová spodní skříňka, Součástí balení, Police, kování k dvířkům, madlo</t>
  </si>
  <si>
    <t>https://www.hornbach.cz/c/kuchyne/S11540/</t>
  </si>
  <si>
    <t>60/70/28</t>
  </si>
  <si>
    <t>horní skřínka, 2 x police</t>
  </si>
  <si>
    <t>horní skřínka, obdelníkova</t>
  </si>
  <si>
    <t>60/35/28</t>
  </si>
  <si>
    <t>Rohová spodní</t>
  </si>
  <si>
    <t>Rohová horní</t>
  </si>
  <si>
    <t>celé 2x30</t>
  </si>
  <si>
    <t>celé 60</t>
  </si>
  <si>
    <t>1000/600</t>
  </si>
  <si>
    <t>celé 40</t>
  </si>
  <si>
    <t>40/82/51</t>
  </si>
  <si>
    <t>celá</t>
  </si>
  <si>
    <t>60/60/1,8</t>
  </si>
  <si>
    <t>15/82/51</t>
  </si>
  <si>
    <t>skřínka s výsuvem ?</t>
  </si>
  <si>
    <t>40/70/28</t>
  </si>
  <si>
    <t>15/70/28</t>
  </si>
  <si>
    <t>celé 30</t>
  </si>
  <si>
    <t>30/82/51</t>
  </si>
  <si>
    <t>soklová lišta</t>
  </si>
  <si>
    <t>nerezová podnož</t>
  </si>
  <si>
    <t>12,4/200</t>
  </si>
  <si>
    <t>Skříňka na vestavný sporák, Zásuvka s měkkým dovíráním Softclose</t>
  </si>
  <si>
    <t>Vysoká skřín</t>
  </si>
  <si>
    <t>2x dvířka 60/90</t>
  </si>
  <si>
    <t>60/207/56</t>
  </si>
  <si>
    <t>vysoká skřín 5 polic</t>
  </si>
  <si>
    <t>Krycí deska na myčku+bez korpusu,</t>
  </si>
  <si>
    <t>2x dvířka 60/195</t>
  </si>
  <si>
    <t>cena dvirka  kazety, BE SMART 2 C60 3Z bílá matná/kašmír</t>
  </si>
  <si>
    <t>horní skřínka rohová , 2 x police + dvířka dvojice</t>
  </si>
  <si>
    <t>600/600</t>
  </si>
  <si>
    <t>410/70/3,8</t>
  </si>
  <si>
    <t>cena VČ. DPH</t>
  </si>
  <si>
    <t>cena BEZ DPH</t>
  </si>
  <si>
    <t>KČ</t>
  </si>
  <si>
    <t>Beton nature</t>
  </si>
  <si>
    <t>Pracovní deska</t>
  </si>
  <si>
    <t>korpus dub + dvířka Kkrémévá kašmír</t>
  </si>
  <si>
    <t>Krycí lišta /PANEL</t>
  </si>
  <si>
    <t>celé 2x40</t>
  </si>
  <si>
    <t>80/70/28</t>
  </si>
  <si>
    <t>UCHYTY</t>
  </si>
  <si>
    <t>DIGESTOŘ SKRIN??</t>
  </si>
  <si>
    <t>30/70/28</t>
  </si>
  <si>
    <t>https://www.mall.cz/pracky-predni-plneni/bosch-wau24t60by?gclid=CjwKCAjwvNaYBhA3EiwACgndgmDsOBxZGidvrMho6xfZ6bLqmoibXLBvyjk5Ju6ezlskJG5rR3XluxoCOZIQAvD_BwE</t>
  </si>
  <si>
    <t>220261665R00</t>
  </si>
  <si>
    <t>Začištění drážky, konečná úprava</t>
  </si>
  <si>
    <t>vč. marže</t>
  </si>
  <si>
    <t xml:space="preserve">Užívání veřejných ploch a prostranství </t>
  </si>
  <si>
    <t>VRN8</t>
  </si>
  <si>
    <t>735159210R00</t>
  </si>
  <si>
    <t>Montáž panelových těles 2řadých do délky 1140 mm</t>
  </si>
  <si>
    <t>735158220R00</t>
  </si>
  <si>
    <t>Tlakové zkoušky panelových těles 2řadých</t>
  </si>
  <si>
    <t>733163102R00</t>
  </si>
  <si>
    <t>Potrubí z měděných trubek vytápění D 15 x 1,0 mm, dle ČSN EN 1057, montáž pájením</t>
  </si>
  <si>
    <t>733163103R00</t>
  </si>
  <si>
    <t>Potrubí z měděných trubek vytápění D 18 x 1,0 mm,dle ČSN EN 1057, montáž pájením</t>
  </si>
  <si>
    <t>733163104R00</t>
  </si>
  <si>
    <t>Potrubí z měděných trubek vytápění D 22 x 1,0 mm, dle ČSN EN 1057, montáž pájením</t>
  </si>
  <si>
    <t>733190306R00</t>
  </si>
  <si>
    <t>Tlaková zkouška Cu potrubí do D 35</t>
  </si>
  <si>
    <t>Stavební úpravy bytové jednotky č.10, Musílkova 303/3, 150 00 Praha 5</t>
  </si>
  <si>
    <t>766812840R00_P</t>
  </si>
  <si>
    <t>Demontáž kuchyňských linek do 2,1 m a likvidace</t>
  </si>
  <si>
    <t>m.č. 310.4 = 9,27*1,53-1,12*1,53-0,3*0,4</t>
  </si>
  <si>
    <t>m.č. 310.6 = 4,65*1,53-0,23*0,4-0,95*1,53</t>
  </si>
  <si>
    <t>m.č. 310.4 = 9,27*2,4-1,12*2,4-0,8*0,4</t>
  </si>
  <si>
    <t>m.č. 310.6 = 4,65*2,4-0,8*0,4-0,95*2,4</t>
  </si>
  <si>
    <t>m.č. 310.1 = 1,5*2,1</t>
  </si>
  <si>
    <t>m.č. 310.4 = 0,8*2,1*0,3</t>
  </si>
  <si>
    <t>962084131R00</t>
  </si>
  <si>
    <t>Bourání příček deskových,sádrokartonových tl.10 cm</t>
  </si>
  <si>
    <t>m.č. 310.4 = 1,81*3</t>
  </si>
  <si>
    <t>m.č. 310.3 = 0,4*0,8</t>
  </si>
  <si>
    <t>m.č. 310.3 = 0,37*1,0</t>
  </si>
  <si>
    <t>m.č. 310.1 = 17,6</t>
  </si>
  <si>
    <t>m.č. 310.4 = 4,8-0,7*1,6</t>
  </si>
  <si>
    <t>m.č. 310.5 = 0,8</t>
  </si>
  <si>
    <t>m.č. 310.6 = 1,3</t>
  </si>
  <si>
    <t>Vybourání otvorů zeď cihel. d=6 cm, tl. 15 cm, MVC (plyn)</t>
  </si>
  <si>
    <t>Vybourání otvorů zeď cihel. d=6 cm, tl. 60 cm, MVC (vodovod)</t>
  </si>
  <si>
    <t>Vybourání otvorů zeď cihel. d=6 cm, tl. 30 cm, MVC (plyn)</t>
  </si>
  <si>
    <t>Vybourání otv. zeď cihel. 0,0225 m2, tl. 30cm, MVC (VZT,spalovací vzduch prům. 80mm)</t>
  </si>
  <si>
    <t>970031100R00</t>
  </si>
  <si>
    <t>Vrtání jádrové do zdiva cihelného do D 100 mm (odkouření)</t>
  </si>
  <si>
    <t>m.č. 310.1 = 17,6*0,06</t>
  </si>
  <si>
    <t>m.č. 310.4 = 4,8*0,09</t>
  </si>
  <si>
    <t>m.č. 310.5 = 0,8*0,06</t>
  </si>
  <si>
    <t>m.č. 310.6 = 1,3*0,06</t>
  </si>
  <si>
    <t>965042131RT1</t>
  </si>
  <si>
    <t>Bourání mazanin betonových  tl. 10 cm, pl. 4 m2, ručně tl. mazaniny 5 - 8 cm</t>
  </si>
  <si>
    <t>m.č. 310.3 = 19,6</t>
  </si>
  <si>
    <t>m.č. 310.2 = 24,5</t>
  </si>
  <si>
    <t>Odstranění PVC a koberců volně položených z ploch nad 20 m2</t>
  </si>
  <si>
    <t>776511810RT1</t>
  </si>
  <si>
    <t>Demontáž dřevěných podlah z prken s polštáři</t>
  </si>
  <si>
    <t>775521800R00</t>
  </si>
  <si>
    <t>Demontáž podlah vlysových přibíjených včetně lišt</t>
  </si>
  <si>
    <t>762521811R00_P</t>
  </si>
  <si>
    <t xml:space="preserve">Průzkumné práce - průzkum stávající dřevěné podlahy - pásová sonda podél vnější nosné stěny  </t>
  </si>
  <si>
    <t>762911111R00_P</t>
  </si>
  <si>
    <t xml:space="preserve">Chemickém ošetření zhlaví nosných stropních trámů </t>
  </si>
  <si>
    <t>Zpětná úprava podlahy po chemickém ošetření zhlaví nosných stropních trámů (Záklop z hrubých prken na sraz tl. 25 mm)</t>
  </si>
  <si>
    <t>631582111R00</t>
  </si>
  <si>
    <t>Vrácení násypů škvárou o ploše nad 2 m2, tl. cca 60mm v místě pásové sondy</t>
  </si>
  <si>
    <t>973031344R00_P</t>
  </si>
  <si>
    <t>Zvětšení, vysekání kapes kolem dřevěných trámů (odhad)</t>
  </si>
  <si>
    <t>762811210RT3_P</t>
  </si>
  <si>
    <t>Zakrytí okenních výplní, parapetů a vstupních dveří PE folií vč. dodání</t>
  </si>
  <si>
    <t>310.3 =0,4*0,8</t>
  </si>
  <si>
    <t>310.4 = 1,12*2,04</t>
  </si>
  <si>
    <t>310.4 = 1,2*2,7</t>
  </si>
  <si>
    <t>310.4 = 0,61*1,2</t>
  </si>
  <si>
    <t>310.4 = 1,59*1,2</t>
  </si>
  <si>
    <t xml:space="preserve">Podezdívka sprchové vaničky (90/90cm), horní hrana vaničky max. výšky do 150 mm, podezdívka cca v.90mm,  tl. 100 mm </t>
  </si>
  <si>
    <t>Dozdívky vč. zakapsování - příčka do stávajícího objektu, bez omítky, tl.14 cm, cihly plné, vysekání kapes pro zavázání  (vč. zazdění sopouchy, otvory po demontáží potrubí)</t>
  </si>
  <si>
    <t>310.1 =1,15*2,37-0,9*2,02+1,09*2,37-0,9*2,02+(1-0,8)*2,02*2</t>
  </si>
  <si>
    <t>dozdívka prostupu = (0,2*0,2)*2+0,3*0,3</t>
  </si>
  <si>
    <t>V2a</t>
  </si>
  <si>
    <t>https://www.palmat.cz/revizni-dvirka-pod-obklad-do-zdiva-rdszo-400x400x12-5-gkbi-us/</t>
  </si>
  <si>
    <t>https://www.palmat.cz/revizni-dvirka-do-sadrokartonu-rdl-400x400-x12-5-gkb-us/</t>
  </si>
  <si>
    <t>V2b</t>
  </si>
  <si>
    <t>Revizní dvířka do SDK pohledu 400/400mm s tlačným zámkem, včetně kotvícího materiálu</t>
  </si>
  <si>
    <t>V01</t>
  </si>
  <si>
    <t>V1,2</t>
  </si>
  <si>
    <t>416093131R00_P</t>
  </si>
  <si>
    <t>Čelo podhledu SDK, v.do 800 mm, 1xCD, 1xRB 12,5 mm (kuchyň VZT)</t>
  </si>
  <si>
    <t>416091083R00</t>
  </si>
  <si>
    <t>Příplatek k podhledu sádrokart. za plochu do 10 m2</t>
  </si>
  <si>
    <t>612421111R00</t>
  </si>
  <si>
    <t>Oprava vápen.omítek stěn do 5 % pl. - hrubých</t>
  </si>
  <si>
    <t>m.č. 301.1 = 2,1*1,5</t>
  </si>
  <si>
    <t>310.4 = 9,27*(2,7-1,53)-1,0*1,96</t>
  </si>
  <si>
    <t>310.6 = 4,65*3,1-0,86*1,97-0,3*0,8</t>
  </si>
  <si>
    <t>310.3 = 18,7*2,92-1,38*1,6-1,06*2,27+19,6</t>
  </si>
  <si>
    <t>310.3 = 18,7*2,92-1,38*1,6-0,9*2,02</t>
  </si>
  <si>
    <t>310.5 = 4,06*3,1-0,86*1,97-0,3*0,8+0,74</t>
  </si>
  <si>
    <t>310.5 = 3,92*3,1-0,8*2,02-0,3*0,8+0,74</t>
  </si>
  <si>
    <t>SK1,2</t>
  </si>
  <si>
    <t>stropy = 24,8+19,8+0,74</t>
  </si>
  <si>
    <t>310.1 = 19,4*2,8-2*0,9*2,02-1,3*2,28-1,04*0,98-2*0,8*2,02</t>
  </si>
  <si>
    <t>310.1 = 2*0,15*0,98+2*0,35*2,37+2*0,5*2,37</t>
  </si>
  <si>
    <t>310.1 = 19,4*2,8-2*0,9*2,02-1,3*2,28-1,04*0,98-2*0,8*2,02+2*0,15*0,98+2*0,35*2,37+2*0,5*2,37</t>
  </si>
  <si>
    <t>310.2 = 2*0,15*1,68</t>
  </si>
  <si>
    <t>310.2 = 20,1*2,95-2,23*1,68-0,9*2,02+2*0,15*1,68</t>
  </si>
  <si>
    <t>310.3 = 2*0,12*1,6</t>
  </si>
  <si>
    <t>310.3 = 18,7*2,92-1,38*1,6-0,9*2,02+2*0,12*1,6</t>
  </si>
  <si>
    <t>310.5 = 2*0,15*0,8</t>
  </si>
  <si>
    <t>310.5 = 3,92*3,1-0,8*2,02-0,3*0,8+0,74+2*0,15*0,8</t>
  </si>
  <si>
    <t>310.4 = 2*2*0,2+0,2+1</t>
  </si>
  <si>
    <t>310.1 = 2,9+2*0,98+2*2*2,37+1,04+1,15+1,09</t>
  </si>
  <si>
    <t>310.2 = 2*1,68+2,93+2,23</t>
  </si>
  <si>
    <t>310.3 = 2*1,6+1,52</t>
  </si>
  <si>
    <t>310.5 = 2*0,8+0,3</t>
  </si>
  <si>
    <t>310.1 = 1,3+2*2,28+2*0,98*2*1,04</t>
  </si>
  <si>
    <t>310.2 = 2,23+2*1,68</t>
  </si>
  <si>
    <t>310.3 = 1,15+2*1,6</t>
  </si>
  <si>
    <t>https://www.siko.cz/obklad-fineza-happy-moon-tmave-bezova-20x40-cm-mat-waamb343-1/p/SIKOOE74435</t>
  </si>
  <si>
    <t>Keramický obklad 200/400/7mm dle specifikace v PD, vč. prořezu 10%, (koupelna), tmavě béžová</t>
  </si>
  <si>
    <t>https://www.siko.cz/obklad-fineza-happy-moon-svetle-bezova-20x40-cm-mat-waamb341-1/p/SIKOOE74411</t>
  </si>
  <si>
    <t>Keramický obklad 200/400/7mm dle specifikace v PD, vč. prořezu 10%, (koupelna, kuchyň), světlá krémová</t>
  </si>
  <si>
    <t>310.2 = 0,6*3,52+0,25</t>
  </si>
  <si>
    <t>Obkládání stěn vnitř.keram. do tmele 200x400mm, položka obsahuje lepící a spárovací tmel</t>
  </si>
  <si>
    <t>310.4 = 8,8*2,4-(1,2*1,59+0,13*1,59+1,0*2,04)-0,3*0,8</t>
  </si>
  <si>
    <t>310.4 = 1,2*1,59+0,13*1,59+1,12*2,04</t>
  </si>
  <si>
    <t>https://www.siko.cz/dlazba-rako-garda-hnedoseda-33x33-cm-mat-daa3b569-1/p/DAA3B569.1</t>
  </si>
  <si>
    <r>
      <t>Keramická dlažba 333/333mm,béžová, dle specifikace</t>
    </r>
    <r>
      <rPr>
        <i/>
        <sz val="10"/>
        <color indexed="40"/>
        <rFont val="Arial"/>
        <family val="2"/>
      </rPr>
      <t xml:space="preserve"> </t>
    </r>
    <r>
      <rPr>
        <i/>
        <sz val="10"/>
        <color indexed="49"/>
        <rFont val="Arial"/>
        <family val="2"/>
      </rPr>
      <t>v PD vč. prořezu 10%, včetně lepícího tmelu</t>
    </r>
  </si>
  <si>
    <t>Montáž podlah keram.,režné hladké, včetně lepícího tmelu, 33/33cm</t>
  </si>
  <si>
    <t>781475120RT6_P</t>
  </si>
  <si>
    <t>59764203_P</t>
  </si>
  <si>
    <t>59764203_P2</t>
  </si>
  <si>
    <t>kuchyně, délka =0,6</t>
  </si>
  <si>
    <t>310.4 délka = 1,59+0,13+2,04*2+0,62+2*2,4+0,3</t>
  </si>
  <si>
    <t>310.4 = 2*0,15*0,8+2*0,58*1</t>
  </si>
  <si>
    <t>310.4 = 12,1*0,25+4,3*2,65-0,3*0,8-0,8*2,02</t>
  </si>
  <si>
    <t>310.4 = 12,1*0,25+2*2*0,15*0,8+4,3*2,65-0,3*0,8+2*0,58*1-0,8*2,02</t>
  </si>
  <si>
    <t>nadpraží = 3*0,04+0,16+0,4+0,55+0,34+0,18+0,37*0,58</t>
  </si>
  <si>
    <t>310.2 = 20,1*2,95-2,23*1,68-0,9*2,02-0,6*3,52</t>
  </si>
  <si>
    <t>Malba ostění</t>
  </si>
  <si>
    <t>Malba stěn</t>
  </si>
  <si>
    <t>310.1 = 19,4*2,8-1,3*2,28</t>
  </si>
  <si>
    <t>310.2 = 20,1*2,95-2,23*1,68</t>
  </si>
  <si>
    <t>310.3 = 18,7*2,92-1,38*1,6</t>
  </si>
  <si>
    <t>310.4 = 12,1*0,25+4,3*2,65</t>
  </si>
  <si>
    <t>310.5 = 3,92*3,1+0,74</t>
  </si>
  <si>
    <t>310.1 = 21,0*2,8-1,15*2,37-1,3*2,28-1,09*2,37-2*0,86*1,97-1,04*0,98-1,5*2,09</t>
  </si>
  <si>
    <t>310.2 = 20,1*2,95-2,23*1,68-1,0*1,96-1,0*2,26-0,6*3,52+24,5</t>
  </si>
  <si>
    <t xml:space="preserve">Nátěr ocelové rámu a části okna, základní + 2x krycí </t>
  </si>
  <si>
    <t>Dveře dřevěné vnitřní 1křídlové 700x1970mm vč. zárubně obložkové,  podříznuté dle specifikace v PD</t>
  </si>
  <si>
    <t>Dveře dřevěné vnitřní 1křídlové 800x1970mm vč. zárubně obložkové   dle specifikace v PD</t>
  </si>
  <si>
    <t>zakladní dveře , DTD, SAPELI talia typ 25</t>
  </si>
  <si>
    <t>obložka,, lakované, příčka 6-17cm, HPL</t>
  </si>
  <si>
    <t>Dveře dřevěné vnitřní 1křídlové prosklené 800x1970mm vč. zárubně obložkové   dle specifikace v PD</t>
  </si>
  <si>
    <t>sklo</t>
  </si>
  <si>
    <t>zakladní dveře , DTD, SAPELI talia typ 50 prosklene</t>
  </si>
  <si>
    <t>závěsy</t>
  </si>
  <si>
    <t>766669921R00_P</t>
  </si>
  <si>
    <t>Výměna zámku a štítu vč. dodávky šítu, bezpečnostního kování, zámku s klíči, dle specifikace v PD</t>
  </si>
  <si>
    <t>Prah dřevěný dubový d. 1100 mm, š.220mm, vč. povrchové úpravy a kotvení, tl.20mm dle specifikace v PD</t>
  </si>
  <si>
    <t>Kuchyňská linka vč. pracovní desky, bez spotřebičů dle specifikace v PD</t>
  </si>
  <si>
    <t>Tyč průřezu IPE 120, střední, jakost oceli S235</t>
  </si>
  <si>
    <t>Deska EPS 100, tl.40mm, (500x1000mm)</t>
  </si>
  <si>
    <t>tl.55mm = (5,8+0,8+16,8)*0,055</t>
  </si>
  <si>
    <t>310.5 = 0,8</t>
  </si>
  <si>
    <t>310.4 = 5,8</t>
  </si>
  <si>
    <t>310.1 = 16,8</t>
  </si>
  <si>
    <t>713121111R00</t>
  </si>
  <si>
    <t>Izolace tepelná podlah na sucho, jednovrstvá</t>
  </si>
  <si>
    <t>310.1 = 19,5-1,3-2*0,9-2*0,8</t>
  </si>
  <si>
    <t>310.4 = 4,4-0,8</t>
  </si>
  <si>
    <t>310.5 = 3,92-0,8</t>
  </si>
  <si>
    <t>Keramická dlažba 333/333 dle specifikace v PD (sokl - proveden pásky 100 mm z řezané dlažby, 2 ks z dlaždice)</t>
  </si>
  <si>
    <t>439kč/12ks</t>
  </si>
  <si>
    <t>Příplatek za třetí vrstvu desky tl.10 mm</t>
  </si>
  <si>
    <t>Penetrace savých podkladů (0,25 l/m2)</t>
  </si>
  <si>
    <t>632411904R00</t>
  </si>
  <si>
    <t>635111032R00_P</t>
  </si>
  <si>
    <t>776521200RT1_P</t>
  </si>
  <si>
    <t>Položení podlah lamelových se zámkovým spojem</t>
  </si>
  <si>
    <t>775541600R00</t>
  </si>
  <si>
    <t>Přírážka za plošné lepení k podkladu, vč. lepidla a penetrace</t>
  </si>
  <si>
    <t>61151391_P</t>
  </si>
  <si>
    <t>775413040R00</t>
  </si>
  <si>
    <t>Montáž dřevěné soklové podlahové lišty lepením</t>
  </si>
  <si>
    <t>713392613R00</t>
  </si>
  <si>
    <t>Vysypáním prostoru lehčenou hmotou</t>
  </si>
  <si>
    <t>Podlahová voština 1500x1000x30 mm, dle specifikace v PD</t>
  </si>
  <si>
    <t>Voštinový zásyp 1 - 4 mm bal. 22,5 kg, Spotřeba:  2 pytle/m2 při voštině 30 mm, dle specifikace v PD</t>
  </si>
  <si>
    <t>Dodávka a montáž podlahy z desek sádrovláknitých tl 2x12,5 mm + 1x minerální izolace 20mm  (např.2E35), Včetně okrajové pásky 50x10 mm. Cena obsahuje slepení spojů, přišroubování k podkladu 15 ks/m2 a přetmelení spár, dle specifikace v PD</t>
  </si>
  <si>
    <t>Násyp pod podlahy z porobetnového grnaulátu do tl. 25mm</t>
  </si>
  <si>
    <t>631591115R00_P</t>
  </si>
  <si>
    <t>310.1,4,5 = (5,8+0,8+16,8)*0,015</t>
  </si>
  <si>
    <t>DP1 = (19,8+24,8)*2*22,5</t>
  </si>
  <si>
    <t>635111091R00_P</t>
  </si>
  <si>
    <t>59597100_P</t>
  </si>
  <si>
    <t>62740100_P</t>
  </si>
  <si>
    <t>https://www.e-podlaha.cz/drevena-podlaha-dub-sukovity-rustikal-1518245-lak--parador-trivrstva/</t>
  </si>
  <si>
    <t>310.2,3 = (19,8+24,8)*0,03</t>
  </si>
  <si>
    <t>Podlahy lamelové - dřevo, třívrstvé, specifikace dle PD, vč. prořezu 10%</t>
  </si>
  <si>
    <t>Lišta hliníková, vzhled elox, přechodová, Podrobně viz tabulka prvků PSV</t>
  </si>
  <si>
    <t>https://www.acara.cz/ap7-prechodova-lista-vrtana-p391827/?cid=3156&amp;vid=391839</t>
  </si>
  <si>
    <t>Vyvedení odpadních výpustek D 50 x 1,8 (vana)</t>
  </si>
  <si>
    <t>Rezerva na případné dobetonování popř. požární utěsnění prostupů stoupaček vody, kanalizace a vzt, bude účtováno dle skutečnosti, oceněna jen jedn. cena</t>
  </si>
  <si>
    <t>721170955R00_P</t>
  </si>
  <si>
    <t>vsazení odbočky na litinovém potrubí (REZERVA) DN 110 (HT,  DN110/110/50/87°) napojená na PVC potrubí</t>
  </si>
  <si>
    <t>Vyvedení odpadních výpustek D 32 x 1,8 (pro umyvadlo, pračku)</t>
  </si>
  <si>
    <t>https://www.siko.cz/umyvadlo-jika-lyra-plus-55x45-cm-otvor-pro-baterii-uprostred-h8143820001041/p/1438.2.000.104.1?gclid=CjwKCAjwpqCZBhAbEiwAa7pXeZAwzAPrTMTajc9vk2G2DNEkgvfDlIegLL58onHRJH4ARa0rmAvG9xoC9w8QAvD_BwE</t>
  </si>
  <si>
    <t>https://www.siko.cz/drezova-baterie-s-line-pro-s-otocnym-ramenkem-chrom-sikobslpro280/p/SIKOBSLPRO280</t>
  </si>
  <si>
    <t>Baterie dřezová stojánková páková směšovací, kovové ramínko,  vč.flexo hadiček - specifikace dle PD, (v.baterie 20cm) např. ref vyrobek. ref vyrobek. S-Line Pro</t>
  </si>
  <si>
    <t>https://www.siko.cz/umyvadlova-baterie-novaservis-titania-cosmos-bez-vypusti-chrom-90201-1-0/p/902011.0</t>
  </si>
  <si>
    <t>Baterie umyvadlová stoján. Ruční páková, bez otvír.odpadu standard vč.flexo hadiček, např.  ref vyrobek. NovaServis Titania Cosmos (v.baterie 14cm)</t>
  </si>
  <si>
    <t>Umyvadlo keramické 550/450/195 mm připevněné na stěnu šrouby vč. pilety clickclack- specifikace dle PD (ref. výrobek Jika Lyra Plus)</t>
  </si>
  <si>
    <t>https://www.siko.cz/sprchovy-system-novaservis-titania-fresh-na-stenu-s-mydlenkou-chrom-set040-96-0/p/SET04096.0?gclid=CjwKCAjwpqCZBhAbEiwAa7pXebvEZmpyZsRw4rAhCMbc8NaQ1LbHWTn9Zc-p3ZUBGQxq9X39E7fyBxoChUgQAvD_BwE</t>
  </si>
  <si>
    <t>Baterie sprchová nástěnná páková včetně sprchového setu na stěnu (kulatá hlavová sprcha prum.200mm + ruční) a příslušenství - specifikace dle PD, např. ref. vyrobek NovaServis Titania Cosmos, rozteč 150mm</t>
  </si>
  <si>
    <t>https://www.siko.cz/sprchovy-system-novaservis-na-stenu-bez-baterie-chrom-set030-0/p/SET030.0</t>
  </si>
  <si>
    <t>Vanička sprchová čtvrtkruhová 900x900/30 mm litý mramor - specifikace dle PD</t>
  </si>
  <si>
    <t>https://www.sanitino.cz/ravak-sifony-vanickovy-sifon-profesional-90-90-mm-x01309</t>
  </si>
  <si>
    <t>https://www.sanitino.cz/polysan-zoom-line-ctvrtkruhova-sprchova-zastena-900-x-900-mm-cire-sklo-leva-lesteny-hlinik-zl2615l</t>
  </si>
  <si>
    <t>https://www.sanitino.cz/polysan-vanicky-vanicka-z-liteho-mramoru-sera-ctvrtkruh-90x90x4-cm-r550-bila-41511</t>
  </si>
  <si>
    <t xml:space="preserve">Sprchová pivotové dveře, šířka prostoru 900mm, dveře otvíravé, š. min.570mm s profilem z hliníku s leštěným povrchem, chrom a výplní z bezpečnostního skla tl.6mm, výška 1900 mm, otočný systém otevírání.  </t>
  </si>
  <si>
    <t>https://www.ikea.com/cz/cs/p/langudden-vestavny-drez-nerezavejici-ocel-s29157477/?utm_source=google&amp;utm_medium=surfaces&amp;utm_campaign=shopping_feed&amp;utm_content=free_google_shopping_clicks_Kitchen&amp;gclid=CjwKCAjwpqCZBhAbEiwAa7pXeTE-SV7W9G7Q3mV2udNr0zuZWCP6ca4bfSTwBw13J8bQxRosOmFMDRoCcScQAvD_BwE</t>
  </si>
  <si>
    <t>Dřez jednoduchý 560x530mm, směs křemene, černý, se zápachovou uzávěrkou, specifikace dle PD, ref. vyrobek Ikea Langudden</t>
  </si>
  <si>
    <t>https://www.siko.cz/wc-jika-mio-zadni-odpad-h8207120000001/p/H8207120000001?gclid=CjwKCAjwpqCZBhAbEiwAa7pXeb8qWjqyvvM_QuwKxPRkq1Aip9W92z9-bH0pcr77DAPJY0TcMq_0oxoCn1AQAvD_BwE</t>
  </si>
  <si>
    <t>Klozet závěsný s hlubokým splachováním odpad zadní, vč. sedátka a připojovací tlakové hadice - specifikace dle PD, ref. výrobek Jika Mio</t>
  </si>
  <si>
    <t>Modul pro závěsné WC, pro zazdívání, výška přízdívka max. 1200mm, š.100mm, vč. ovládacích tlačítek - matný chrom, ref. výrobek Geberit</t>
  </si>
  <si>
    <t>https://www.jika.cz/katalog/koupelnove-kolekce-koupelnove-kolekce/modul/tlacitko-pl3-dual-flush-bila-barva-893662</t>
  </si>
  <si>
    <t>https://www.jika.cz/katalog/koupelnove-kolekce-koupelnove-kolekce/koupelnove-kolekce/mio/duroplastove-sedatko-s-poklopem-slowclose-891711</t>
  </si>
  <si>
    <t>https://www.vodo-plasttop.cz/podomitkova-zapachova-uzaverka-hl405-sifon-prackovy-s-pripojenim-rozvod-vody</t>
  </si>
  <si>
    <t xml:space="preserve">Ohebná Al laminátová hadice s kostrou z ocelového drátu  d 125mm, včetně spojovacího materiálu </t>
  </si>
  <si>
    <t>PVC oblouk 125/90°</t>
  </si>
  <si>
    <t>728112112R00</t>
  </si>
  <si>
    <t>Montáž potrubí plechového kruhového do d 200 mm</t>
  </si>
  <si>
    <t>42981182_P</t>
  </si>
  <si>
    <t>Spiro roura hladká d 125, délka 1 m, nerez, digestoř</t>
  </si>
  <si>
    <t>Ověření možnosti použití stávajícího potrubí ve světlíku</t>
  </si>
  <si>
    <t>Demontáž plynového topidla</t>
  </si>
  <si>
    <t>Koleno DN80mm,2x45°</t>
  </si>
  <si>
    <t>Koleno DN80mm,90°</t>
  </si>
  <si>
    <t>Patní koleno s podpěrou DN 80mm</t>
  </si>
  <si>
    <t xml:space="preserve">Montáž odkouření kondenzačního kotle </t>
  </si>
  <si>
    <t>Rozvodnice RB celkem</t>
  </si>
  <si>
    <t xml:space="preserve">Různé </t>
  </si>
  <si>
    <t>Materiál + montáž silnoproudých rozvodů celkem</t>
  </si>
  <si>
    <t>Materiál + montáž slaboproud celkem</t>
  </si>
  <si>
    <t>m.č. 310.3 = 19,6*2</t>
  </si>
  <si>
    <t>m.č. 310.4 = 4,8</t>
  </si>
  <si>
    <t>712990813RT1</t>
  </si>
  <si>
    <t>Odstranění násypu nebo nánosu tl. 5 - 10 cm, z ploch jednotlivě do 10 m2</t>
  </si>
  <si>
    <t>771575109RT0</t>
  </si>
  <si>
    <t>722280106R00</t>
  </si>
  <si>
    <t>723235111R00_P</t>
  </si>
  <si>
    <r>
      <rPr>
        <i/>
        <sz val="10"/>
        <rFont val="Arial CE"/>
        <family val="2"/>
      </rPr>
      <t>Cenová soustava:</t>
    </r>
    <r>
      <rPr>
        <sz val="14"/>
        <rFont val="Arial CE"/>
        <family val="2"/>
      </rPr>
      <t xml:space="preserve"> RTS - cenová hladina podzim 2022</t>
    </r>
  </si>
  <si>
    <r>
      <rPr>
        <i/>
        <sz val="10"/>
        <rFont val="Arial CE"/>
        <family val="2"/>
      </rPr>
      <t>Datum/revize:</t>
    </r>
    <r>
      <rPr>
        <sz val="14"/>
        <rFont val="Arial CE"/>
        <family val="2"/>
      </rPr>
      <t xml:space="preserve"> 10/2022/R0</t>
    </r>
  </si>
  <si>
    <t>783125230R00_P</t>
  </si>
  <si>
    <t>766695213R00_P</t>
  </si>
  <si>
    <t>783125730R00_P</t>
  </si>
  <si>
    <t>553433858_P</t>
  </si>
  <si>
    <t>230012020R00_P</t>
  </si>
  <si>
    <t xml:space="preserve">310.4 = 0,57*2,7 </t>
  </si>
  <si>
    <t>Revizní dvířka do zdiva pro obkladání keramickým obkladem, s tlačným zámkem š.500/400mm dle PD, včetně kotvícího materiálu</t>
  </si>
  <si>
    <t>484813510_P</t>
  </si>
  <si>
    <t>Flexibil. hadice pro pružné vedení DN 80 mm, nerez, stěna 2x0,12mm, uvnitř hladká - odkouření, (ohebná trubka, spojovací prvky, rozpěrné držáky, kotvící spona, krycí deska)</t>
  </si>
  <si>
    <t>Připojovací paralelní adaptér 80/80mm</t>
  </si>
  <si>
    <t>Revizní kus na potrubí DN 80mm</t>
  </si>
  <si>
    <t>Mřížka na vstupní potrubí</t>
  </si>
  <si>
    <t>Těleso otopné trubkové Linear Classic M KLCM výška 1220 mm, délka 600 mm, spodní středové připojení</t>
  </si>
  <si>
    <t>Montáž otopných těles koupelnových (žebříků) vč. topné patrony</t>
  </si>
  <si>
    <t>Těleso otopné des. Ref výrobek Radik  typ 21 VKU v. 500 dl. 900</t>
  </si>
  <si>
    <t>Těleso otopné des. Ref výrobek Radik  typ 22 VKU v. 500 dl. 1200</t>
  </si>
  <si>
    <t>Těleso otopné des. Ref výrobek Radik  typ 22 VKU v. 500 dl. 1600</t>
  </si>
  <si>
    <t>48457493.A_P</t>
  </si>
  <si>
    <t>48457567.A_P</t>
  </si>
  <si>
    <t>48457569.A_P</t>
  </si>
  <si>
    <t>735159230R00</t>
  </si>
  <si>
    <t>Montáž panelových těles 2řadých do délky 1980 mm</t>
  </si>
  <si>
    <t>Elektrické topné těleso pro ohřev, zahřívání, vyhřívání kapalin</t>
  </si>
  <si>
    <t>484518228_P</t>
  </si>
  <si>
    <t xml:space="preserve">Radiátorová armatura s přednastavením rohová pro stř. p. G3/4, pro dvojtrubkový systém, </t>
  </si>
  <si>
    <t>Plynový kondenzační kotel s ohřevem teplé vody, specifikace dle PD část D14</t>
  </si>
  <si>
    <t>553431600_P</t>
  </si>
  <si>
    <t>https://www.vodateplo.cz/immergas-odkoureni-kondenzacni-10080b---koleno-87-pr-80</t>
  </si>
  <si>
    <t>https://www.vodateplo.cz/immergas-odkoureni-kondenzacni-11080b---koleno-45-pr-80</t>
  </si>
  <si>
    <t>https://www.vodateplo.cz/odkoureni-kondenzacni-brilon-52106201---patni-koleno-s-podperou-dn80-koleno-kolej-operna-tyc</t>
  </si>
  <si>
    <t>https://www.vodateplo.cz/vaillant-odkoureni-kondenzacni-20147470---pripojovaci-adapter-pr-8080-mm</t>
  </si>
  <si>
    <t>https://www.aaakominy.cz/prechodka-flexi/pevna-dn-80-vrchni</t>
  </si>
  <si>
    <t>Spojovací prvek s hrdlem na flexibilní hadici  DN80/80</t>
  </si>
  <si>
    <t>Spojovací prvek s hrdlem na flexibilní hadici  DN80/120</t>
  </si>
  <si>
    <t>https://www.aaakominy.cz/prechodka-pevna/flexi-dn-80-nerez-se-zavitem</t>
  </si>
  <si>
    <t>Komínový nádstavec vč. komin. stříšky, potrubí odkouření do DN130, nerez</t>
  </si>
  <si>
    <t>https://www.kominy-obchod.cz/nerezovy-kominovy-nastavec-1m-DN-130mm-d242.htm</t>
  </si>
  <si>
    <t xml:space="preserve">Demontáž komínové vložky hliníkové prum 120mm, do 20m vč. připojovací tvarovky, </t>
  </si>
  <si>
    <t>dle posouzení na místě případné ponechání pro VZT</t>
  </si>
  <si>
    <t>484813534_P</t>
  </si>
  <si>
    <t>Potrubí pro odkouření DN80, trub.0,5m</t>
  </si>
  <si>
    <t>Potrubí pro odkouření DN80, trub.1,0m</t>
  </si>
  <si>
    <t>429727810_P</t>
  </si>
  <si>
    <t>Plastové PP potrubí pro spalovací vzduch DN80</t>
  </si>
  <si>
    <t>https://www.eshopregulus.cz/Prodlouzeni-prumer-80-mm-Polypropylen-0-5-m-d371.htm</t>
  </si>
  <si>
    <t>https://www.eshopregulus.cz/Sifon-s-kulickou-vcetne-hadice-pro-odvod-kondenzatu-d450.htm</t>
  </si>
  <si>
    <t>Set k odvodu kondenzátu, sifon s kuličkou včetně hadice pro odvod kondenzátu</t>
  </si>
  <si>
    <t>484813530_P</t>
  </si>
  <si>
    <t>484813531_P</t>
  </si>
  <si>
    <t>959791113R00_P</t>
  </si>
  <si>
    <t>4841731525_P</t>
  </si>
  <si>
    <t>484813533_P</t>
  </si>
  <si>
    <t>Oprava nadstřešní části komínového zdiva v místě nové komínové vložky</t>
  </si>
  <si>
    <t xml:space="preserve">Zvětšení otvoru - frézování (ostění) pro zapuštění rámů nových oken do světlíku (po osazení viditelná hrana rámu z vnitřní strany 30 mm) </t>
  </si>
  <si>
    <t>974051215R00_P</t>
  </si>
  <si>
    <t>tmavá</t>
  </si>
  <si>
    <t>světlá</t>
  </si>
  <si>
    <t xml:space="preserve">Repase vstupních dveří vč. nového fládrování a obložkové zárubně vč. výměny kování, dle specifikace v PD, (ve výkazu uvedena plocha dveří z obou stran a obložky) </t>
  </si>
  <si>
    <t>Stavební úpravy bytové jednotky 10, Musílkova 303/3, Praha 5 –Košíře</t>
  </si>
  <si>
    <t>650101611R00</t>
  </si>
  <si>
    <t>210201511R00</t>
  </si>
  <si>
    <t>650052711R00</t>
  </si>
  <si>
    <t>650052713R00</t>
  </si>
  <si>
    <t>zásuvka 230V, dvojitá</t>
  </si>
  <si>
    <t>650051311R00</t>
  </si>
  <si>
    <t>spínač č.1 – jednopólový (strojek,kryt)</t>
  </si>
  <si>
    <t>650051341R00</t>
  </si>
  <si>
    <t>spínač č. 6 – střídavý (strojek,kryt)</t>
  </si>
  <si>
    <t>650051331R00</t>
  </si>
  <si>
    <t>650051361R00</t>
  </si>
  <si>
    <t>rámeček 4x, čtyřrámeček</t>
  </si>
  <si>
    <t>650020261R00</t>
  </si>
  <si>
    <t>CYKY 3Cx2,5 vč.prořezu</t>
  </si>
  <si>
    <t>CYKY 3Cx1,5 vč.prořezu</t>
  </si>
  <si>
    <t>210120561R00</t>
  </si>
  <si>
    <t>Jistič jednopólový do 25 A se zapojením</t>
  </si>
  <si>
    <t>rozvodnice RB – montáž</t>
  </si>
  <si>
    <t>připojovací poplatek – navýšení jističe</t>
  </si>
  <si>
    <t>Rozvodnice RB</t>
  </si>
  <si>
    <t>650031121R00</t>
  </si>
  <si>
    <t>650063611R00</t>
  </si>
  <si>
    <t>650061611R00</t>
  </si>
  <si>
    <t>650041121R00</t>
  </si>
  <si>
    <t>zásuvka 230V v rozvaděči</t>
  </si>
  <si>
    <t xml:space="preserve">Rozvodnice RB celkem </t>
  </si>
  <si>
    <t>rozvaděč provedení na povrch,  RNA</t>
  </si>
  <si>
    <t>krabice přístrojová</t>
  </si>
  <si>
    <t>zasekání přívodu pro DT</t>
  </si>
  <si>
    <t xml:space="preserve">přesun hmot, doprava </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</si>
  <si>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</si>
  <si>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https://www.svet-svitidel.cz/fulgur-23721-led-stropni-svitidlo-aneta-led-16w-230v-2700k/?gclid=CjwKCAiAvK2bBhB8EiwAZUbP1Ja_Ns8Gexn_nqWgtRZi1iaW5A8j3HLVIwPfpgLiIKFqbDTpa9RMgBoCFSIQAvD_BwE</t>
  </si>
  <si>
    <t>https://www.navalla.cz/mantra-toja-6254-nastnne-svitidla-64693?utm_source=google_shopping&amp;utm_medium=cpp&amp;utm_campaign=direct_link&amp;gclid=CjwKCAiAvK2bBhB8EiwAZUbP1IvLD_9ZhFaD11A1QKFVLHVUC1srZ5N7I_Fo6PGKRgK9da0MjgRsdxoCdCAQAvD_BwE</t>
  </si>
  <si>
    <t>A – svítidlo nástěnné LED 16W, IP20, ref. výrobek MANTRA TOJA 6254 BÍLÁ HLINÍK</t>
  </si>
  <si>
    <t>B - svítidlo stropní  LED,16W, IP20, ref. výrobek Fulgur 23721 - LED Stropní svítidlo ANETA (vč. komory)</t>
  </si>
  <si>
    <t>Vývod pro svítidlo vč.objímky a žárovky (obytné místnosti)</t>
  </si>
  <si>
    <t>led pásek  pod linku LED 10W/12V+ trafo + LED LIŠTA ROHOVÁ SIMPLE - stříbrná s mléčnou krytkou vč. koncovek (2,0+1,0 m)</t>
  </si>
  <si>
    <t>650101663R00</t>
  </si>
  <si>
    <t>zásuvka 230V, ref. výrobek ABB Tango</t>
  </si>
  <si>
    <t>650052711R00_P</t>
  </si>
  <si>
    <t xml:space="preserve">spínač č.5 – dvoupólový (strojek,kryt) </t>
  </si>
  <si>
    <t>spínač č.7 - křížový (strojek + kryt)</t>
  </si>
  <si>
    <t>210010301RT1</t>
  </si>
  <si>
    <t>krabice přístrojová KP 68</t>
  </si>
  <si>
    <t>krabicová rozvodka KPR 68</t>
  </si>
  <si>
    <t>https://www.kvelektro.cz/kabel-cyky-j-3x2-5-cyky-3cx2-5-p1257420</t>
  </si>
  <si>
    <t>210800106R00</t>
  </si>
  <si>
    <t>https://www.kvelektro.cz/kabel-cyky-j-3x1-5-cyky-3cx1-5-p1257383</t>
  </si>
  <si>
    <t>210800105R00</t>
  </si>
  <si>
    <t>https://www.kvelektro.cz/kabel-cykylo-j-3x1-5-cykylo-3cx1-5-p1257453</t>
  </si>
  <si>
    <t>210800023R00</t>
  </si>
  <si>
    <t>https://www.kvelektro.cz/vodic-h07v-u-4-zlutozelena-cy-4-p1189181</t>
  </si>
  <si>
    <t>210800546R00</t>
  </si>
  <si>
    <t xml:space="preserve">ukončení vodiče Wago svorky </t>
  </si>
  <si>
    <t>210010535R00</t>
  </si>
  <si>
    <t>974032221R00</t>
  </si>
  <si>
    <t>Vysekání rýh u stropu 3x3 cm</t>
  </si>
  <si>
    <t>https://triton.cz/produkty/datove-rozvadece/specialni-rozvadece/sna/</t>
  </si>
  <si>
    <t>hybridní rozvaděč pro ESI+ESA, provedení na povrch, 26 modulů SNA, ref. výrobek fy Triton</t>
  </si>
  <si>
    <t>https://www.kvelektro.cz/svodic-prepeti-b-c-eaton-spbt12-280-3-158330-p1159540</t>
  </si>
  <si>
    <t>https://www.kvelektro.cz/proudovy-chranic-s-jisticem-eaton-pfl7-16-1n-b-003-b-16a-30ma-ac-263534-p1187847</t>
  </si>
  <si>
    <t>proudový chránič 16/1N/0,03, ref. výrobek EATON</t>
  </si>
  <si>
    <t>https://www.kvelektro.cz/hledat?query=proudov%C3%BD%20chr%C3%A1ni%C4%8D%2025/2/0,03</t>
  </si>
  <si>
    <t>Jistič 10/1-B, 10kA, ref. výrobek EATON</t>
  </si>
  <si>
    <t>Jistič 16/1-B, 10kA, ref. výrobek EATON</t>
  </si>
  <si>
    <t>proudový chránič 25/2/0,03, ref. výrobek EATON</t>
  </si>
  <si>
    <t>svodič přepětí SPB-12/280/1, B+C, ref. výrobek EATON</t>
  </si>
  <si>
    <t>televizní zásuvka STA (strojek, kryt)</t>
  </si>
  <si>
    <t xml:space="preserve">telefonní zásuvka (zásuvka,maska,kryt) </t>
  </si>
  <si>
    <t>komunikační zásuvka PC (zásuvka,maska,kryt), Cat5e</t>
  </si>
  <si>
    <t>https://www.kvelektro.cz/abb-telefonni-zasuvka-5013u-a00103-jednonasobna-p1185932</t>
  </si>
  <si>
    <t>222730008R00</t>
  </si>
  <si>
    <t>222290101R00</t>
  </si>
  <si>
    <t>koaxiální kabel vč.prořezu, vnější průměr 6,5 mm a impedanci 75 ohm. Průměr vnitřního vodiče je 1 mm</t>
  </si>
  <si>
    <t>222280241R00_P</t>
  </si>
  <si>
    <t>https://www.kvelektro.cz/koaxialni-kabel-cb100f-emos-s5141-bily-p1188947</t>
  </si>
  <si>
    <t>https://www.kvelektro.cz/utp-kabel-solarix-sxkd-5e-utp-pvc-z-bubnu-1000m-p1223184</t>
  </si>
  <si>
    <t>222280214R00_P</t>
  </si>
  <si>
    <t>husí krk trubka PVC 1416E K50 16mm</t>
  </si>
  <si>
    <t>https://www.kvelektro.cz/husi-krk-trubka-kopos-monoflex-1416e-k50-16mm-svetle-seda-50m-p1217412</t>
  </si>
  <si>
    <t>974051212R00</t>
  </si>
  <si>
    <t xml:space="preserve">kabel UTP Cat5e vč.prořezu hvězdicový rozvod </t>
  </si>
  <si>
    <t>974031121R00</t>
  </si>
  <si>
    <t>zapojení dig., ventilátoru,bojleru,topidla,el.žebříku, zrcadla s osvětlením</t>
  </si>
  <si>
    <t>V4</t>
  </si>
  <si>
    <t>Detektor kouře a oxidu uhelnatého, vč. montáže</t>
  </si>
  <si>
    <r>
      <t xml:space="preserve">Náklady a poplatky spojené s užíváním veřejných ploch a prostranství, pokud jsou stavebními pracemi nebo souvisejícími činnostmi dotčeny, a to včetně užívání ploch v souvislosti s uložením stavebního materiálu nebo stavebního odpadu. 
</t>
    </r>
    <r>
      <rPr>
        <sz val="10"/>
        <color indexed="10"/>
        <rFont val="Arial"/>
        <family val="2"/>
      </rPr>
      <t>Poplatek za zábory komunikace by neměl být účtován, bude řešeno formou zápůjčky na základě žádosti o prominutí záborů.</t>
    </r>
    <r>
      <rPr>
        <sz val="10"/>
        <rFont val="Arial"/>
        <family val="2"/>
      </rPr>
      <t xml:space="preserve"> </t>
    </r>
    <r>
      <rPr>
        <sz val="10"/>
        <color indexed="10"/>
        <rFont val="Arial"/>
        <family val="2"/>
      </rPr>
      <t>Naceněny budou jen náklady spojené s projednáním záborů vč. úhrady správních poplatků.</t>
    </r>
  </si>
</sst>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 numFmtId="184" formatCode="#,##0.000\ &quot;Kč&quot;"/>
    <numFmt numFmtId="185" formatCode="#,##0.000"/>
    <numFmt numFmtId="186" formatCode="0.000%"/>
    <numFmt numFmtId="187" formatCode="0.0000%"/>
    <numFmt numFmtId="188" formatCode="0.00000%"/>
  </numFmts>
  <fonts count="65">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i/>
      <sz val="10"/>
      <color indexed="49"/>
      <name val="Arial"/>
      <family val="2"/>
    </font>
    <font>
      <b/>
      <sz val="11"/>
      <color indexed="8"/>
      <name val="Arial"/>
      <family val="2"/>
    </font>
    <font>
      <b/>
      <sz val="10"/>
      <color indexed="8"/>
      <name val="Arial"/>
      <family val="2"/>
    </font>
    <font>
      <sz val="10"/>
      <color indexed="8"/>
      <name val="Arial CE"/>
      <family val="2"/>
    </font>
    <font>
      <b/>
      <sz val="10"/>
      <color indexed="8"/>
      <name val="Arial CE"/>
      <family val="2"/>
    </font>
    <font>
      <sz val="7"/>
      <color indexed="8"/>
      <name val="Arial CE"/>
      <family val="2"/>
    </font>
    <font>
      <sz val="11"/>
      <color indexed="8"/>
      <name val="Arial CE"/>
      <family val="2"/>
    </font>
    <font>
      <sz val="10"/>
      <color indexed="10"/>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sz val="10"/>
      <color indexed="10"/>
      <name val="Arial"/>
      <family val="2"/>
    </font>
    <font>
      <i/>
      <vertAlign val="superscript"/>
      <sz val="10"/>
      <color indexed="49"/>
      <name val="Arial"/>
      <family val="2"/>
    </font>
    <font>
      <b/>
      <sz val="11"/>
      <name val="Calibri"/>
      <family val="2"/>
    </font>
    <font>
      <sz val="11"/>
      <name val="Calibri"/>
      <family val="2"/>
    </font>
    <font>
      <i/>
      <sz val="10"/>
      <color indexed="40"/>
      <name val="Arial"/>
      <family val="2"/>
    </font>
    <font>
      <b/>
      <sz val="8"/>
      <name val="Arial"/>
      <family val="2"/>
    </font>
    <font>
      <b/>
      <sz val="8"/>
      <color indexed="10"/>
      <name val="Arial CE"/>
      <family val="0"/>
    </font>
    <font>
      <i/>
      <sz val="8"/>
      <color indexed="49"/>
      <name val="Arial"/>
      <family val="2"/>
    </font>
    <font>
      <sz val="9"/>
      <name val="Arial"/>
      <family val="2"/>
    </font>
    <font>
      <sz val="8"/>
      <color indexed="10"/>
      <name val="Arial"/>
      <family val="2"/>
    </font>
    <font>
      <b/>
      <sz val="8"/>
      <name val="Arial CE"/>
      <family val="0"/>
    </font>
    <font>
      <u val="single"/>
      <sz val="13"/>
      <name val="Arial CE"/>
      <family val="2"/>
    </font>
    <font>
      <i/>
      <sz val="8"/>
      <color indexed="30"/>
      <name val="Arial"/>
      <family val="2"/>
    </font>
    <font>
      <i/>
      <sz val="10"/>
      <color indexed="12"/>
      <name val="Arial"/>
      <family val="2"/>
    </font>
    <font>
      <sz val="10"/>
      <color indexed="8"/>
      <name val="Calibri"/>
      <family val="2"/>
    </font>
    <font>
      <sz val="10"/>
      <color theme="1"/>
      <name val="Arial CE"/>
      <family val="2"/>
    </font>
    <font>
      <sz val="10"/>
      <color rgb="FFFF0000"/>
      <name val="Arial CE"/>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theme="0" tint="-0.4999699890613556"/>
        <bgColor indexed="64"/>
      </patternFill>
    </fill>
    <fill>
      <patternFill patternType="solid">
        <fgColor theme="0"/>
        <bgColor indexed="64"/>
      </patternFill>
    </fill>
    <fill>
      <patternFill patternType="solid">
        <fgColor indexed="27"/>
        <bgColor indexed="64"/>
      </patternFill>
    </fill>
  </fills>
  <borders count="3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bottom style="hair"/>
    </border>
    <border>
      <left>
        <color indexed="63"/>
      </left>
      <right>
        <color indexed="63"/>
      </right>
      <top style="hair"/>
      <bottom>
        <color indexed="63"/>
      </bottom>
    </border>
    <border>
      <left style="thin"/>
      <right style="thin"/>
      <top>
        <color indexed="63"/>
      </top>
      <bottom>
        <color indexed="63"/>
      </bottom>
    </border>
    <border>
      <left style="hair">
        <color indexed="8"/>
      </left>
      <right style="hair">
        <color indexed="8"/>
      </right>
      <top>
        <color indexed="63"/>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right/>
      <top style="hair"/>
      <bottom style="mediu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165" fontId="1" fillId="0" borderId="0" applyFill="0" applyBorder="0" applyAlignment="0" applyProtection="0"/>
    <xf numFmtId="164" fontId="1" fillId="0" borderId="0" applyFill="0" applyBorder="0" applyAlignment="0" applyProtection="0"/>
    <xf numFmtId="0" fontId="2" fillId="0" borderId="0">
      <alignment/>
      <protection/>
    </xf>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32" fillId="0" borderId="0" applyNumberFormat="0" applyFill="0" applyBorder="0" applyAlignment="0" applyProtection="0"/>
    <xf numFmtId="0" fontId="0" fillId="4"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465">
    <xf numFmtId="0" fontId="0" fillId="0" borderId="0" xfId="0" applyAlignment="1">
      <alignment/>
    </xf>
    <xf numFmtId="0" fontId="0" fillId="0" borderId="0" xfId="0" applyFont="1" applyAlignment="1">
      <alignment/>
    </xf>
    <xf numFmtId="0" fontId="20" fillId="0" borderId="0" xfId="0" applyFont="1" applyAlignment="1">
      <alignment/>
    </xf>
    <xf numFmtId="0" fontId="29" fillId="0" borderId="0" xfId="0" applyFont="1" applyAlignment="1">
      <alignment/>
    </xf>
    <xf numFmtId="0" fontId="30" fillId="0" borderId="0" xfId="0" applyFont="1" applyAlignment="1">
      <alignment/>
    </xf>
    <xf numFmtId="0" fontId="35" fillId="0" borderId="0" xfId="0" applyFont="1" applyAlignment="1">
      <alignment/>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16" borderId="0" xfId="0" applyFont="1" applyFill="1" applyAlignment="1" applyProtection="1">
      <alignment vertical="center"/>
      <protection/>
    </xf>
    <xf numFmtId="0" fontId="0" fillId="0" borderId="0" xfId="0" applyFont="1" applyAlignment="1" applyProtection="1">
      <alignment/>
      <protection/>
    </xf>
    <xf numFmtId="0" fontId="39" fillId="0" borderId="0" xfId="0" applyFont="1" applyAlignment="1" applyProtection="1">
      <alignment horizontal="center" vertical="center"/>
      <protection/>
    </xf>
    <xf numFmtId="0" fontId="0" fillId="0" borderId="0" xfId="0" applyFont="1" applyAlignment="1" applyProtection="1">
      <alignment vertical="center"/>
      <protection/>
    </xf>
    <xf numFmtId="0" fontId="20" fillId="0" borderId="0" xfId="0" applyFont="1" applyBorder="1" applyAlignment="1" applyProtection="1">
      <alignment/>
      <protection/>
    </xf>
    <xf numFmtId="0" fontId="0" fillId="0" borderId="0" xfId="67" applyNumberFormat="1" applyFont="1" applyFill="1" applyBorder="1" applyAlignment="1" applyProtection="1">
      <alignment horizontal="left" vertical="center"/>
      <protection/>
    </xf>
    <xf numFmtId="0" fontId="25" fillId="17" borderId="9" xfId="55" applyNumberFormat="1" applyFill="1" applyBorder="1" applyAlignment="1" applyProtection="1">
      <alignment horizontal="left" vertical="center"/>
      <protection/>
    </xf>
    <xf numFmtId="0" fontId="20" fillId="17" borderId="9" xfId="0" applyFont="1" applyFill="1" applyBorder="1" applyAlignment="1" applyProtection="1">
      <alignment/>
      <protection/>
    </xf>
    <xf numFmtId="176" fontId="20" fillId="0" borderId="9" xfId="0" applyNumberFormat="1" applyFont="1" applyBorder="1" applyAlignment="1" applyProtection="1">
      <alignment/>
      <protection/>
    </xf>
    <xf numFmtId="0" fontId="40" fillId="0" borderId="0" xfId="0" applyFont="1" applyAlignment="1" applyProtection="1">
      <alignment horizontal="center" vertical="center"/>
      <protection/>
    </xf>
    <xf numFmtId="0" fontId="0" fillId="0" borderId="0" xfId="67" applyNumberFormat="1" applyFont="1" applyFill="1" applyBorder="1" applyAlignment="1" applyProtection="1">
      <alignment horizontal="left" vertical="center" indent="1"/>
      <protection/>
    </xf>
    <xf numFmtId="0" fontId="0" fillId="0" borderId="0" xfId="67" applyNumberFormat="1" applyFont="1" applyFill="1" applyBorder="1" applyAlignment="1" applyProtection="1">
      <alignment horizontal="left" vertical="center" indent="1"/>
      <protection/>
    </xf>
    <xf numFmtId="0" fontId="0" fillId="0" borderId="0" xfId="67" applyFont="1" applyFill="1" applyAlignment="1" applyProtection="1">
      <alignment horizontal="left" vertical="center" indent="1"/>
      <protection/>
    </xf>
    <xf numFmtId="0" fontId="0" fillId="0" borderId="0" xfId="0" applyFont="1" applyBorder="1" applyAlignment="1" applyProtection="1">
      <alignment vertical="center"/>
      <protection/>
    </xf>
    <xf numFmtId="176" fontId="0" fillId="0" borderId="0" xfId="0" applyNumberFormat="1" applyFont="1" applyBorder="1" applyAlignment="1" applyProtection="1">
      <alignment/>
      <protection/>
    </xf>
    <xf numFmtId="0" fontId="26" fillId="0" borderId="10" xfId="0" applyFont="1" applyBorder="1" applyAlignment="1" applyProtection="1">
      <alignment vertical="center"/>
      <protection/>
    </xf>
    <xf numFmtId="0" fontId="0" fillId="0" borderId="10" xfId="0" applyFont="1" applyBorder="1" applyAlignment="1" applyProtection="1">
      <alignment/>
      <protection/>
    </xf>
    <xf numFmtId="0" fontId="0" fillId="0" borderId="10" xfId="0" applyFont="1" applyBorder="1" applyAlignment="1" applyProtection="1">
      <alignment vertical="center"/>
      <protection/>
    </xf>
    <xf numFmtId="3" fontId="20" fillId="0" borderId="10" xfId="0" applyNumberFormat="1" applyFont="1" applyBorder="1" applyAlignment="1" applyProtection="1">
      <alignment/>
      <protection/>
    </xf>
    <xf numFmtId="3" fontId="0" fillId="0" borderId="10" xfId="0" applyNumberFormat="1" applyFont="1" applyBorder="1" applyAlignment="1" applyProtection="1">
      <alignment horizontal="right"/>
      <protection/>
    </xf>
    <xf numFmtId="176" fontId="20" fillId="0" borderId="10" xfId="0" applyNumberFormat="1" applyFont="1" applyBorder="1" applyAlignment="1" applyProtection="1">
      <alignment/>
      <protection/>
    </xf>
    <xf numFmtId="176" fontId="0" fillId="0" borderId="10" xfId="0" applyNumberFormat="1" applyFont="1" applyBorder="1" applyAlignment="1" applyProtection="1">
      <alignment/>
      <protection/>
    </xf>
    <xf numFmtId="0" fontId="0" fillId="0" borderId="11" xfId="0" applyFont="1" applyBorder="1" applyAlignment="1" applyProtection="1">
      <alignment vertical="center"/>
      <protection/>
    </xf>
    <xf numFmtId="0" fontId="0" fillId="0" borderId="11" xfId="0" applyFont="1" applyBorder="1" applyAlignment="1" applyProtection="1">
      <alignment/>
      <protection/>
    </xf>
    <xf numFmtId="0" fontId="26" fillId="0" borderId="12" xfId="0" applyFont="1" applyBorder="1" applyAlignment="1" applyProtection="1">
      <alignment vertical="center"/>
      <protection/>
    </xf>
    <xf numFmtId="0" fontId="0" fillId="0" borderId="13" xfId="0" applyFont="1" applyBorder="1" applyAlignment="1" applyProtection="1">
      <alignment/>
      <protection/>
    </xf>
    <xf numFmtId="176" fontId="20" fillId="0" borderId="14" xfId="0" applyNumberFormat="1" applyFont="1" applyBorder="1" applyAlignment="1" applyProtection="1">
      <alignment/>
      <protection/>
    </xf>
    <xf numFmtId="0" fontId="0" fillId="0" borderId="15" xfId="0" applyFont="1" applyBorder="1" applyAlignment="1" applyProtection="1">
      <alignment vertical="center"/>
      <protection/>
    </xf>
    <xf numFmtId="0" fontId="0" fillId="0" borderId="15" xfId="0" applyFont="1" applyBorder="1" applyAlignment="1" applyProtection="1">
      <alignment/>
      <protection/>
    </xf>
    <xf numFmtId="0" fontId="39" fillId="0" borderId="0" xfId="0" applyFont="1" applyFill="1" applyAlignment="1" applyProtection="1">
      <alignment horizontal="center" vertical="center"/>
      <protection/>
    </xf>
    <xf numFmtId="0" fontId="0" fillId="0" borderId="16" xfId="0" applyFont="1" applyBorder="1" applyAlignment="1" applyProtection="1">
      <alignment vertical="center"/>
      <protection/>
    </xf>
    <xf numFmtId="0" fontId="0" fillId="0" borderId="16" xfId="0" applyFont="1" applyBorder="1" applyAlignment="1" applyProtection="1">
      <alignment/>
      <protection/>
    </xf>
    <xf numFmtId="0" fontId="27" fillId="0" borderId="16" xfId="0" applyFont="1" applyBorder="1" applyAlignment="1" applyProtection="1">
      <alignment vertical="center"/>
      <protection/>
    </xf>
    <xf numFmtId="0" fontId="37" fillId="0" borderId="0" xfId="0" applyFont="1" applyFill="1" applyBorder="1" applyAlignment="1" applyProtection="1">
      <alignment horizontal="left"/>
      <protection/>
    </xf>
    <xf numFmtId="0" fontId="0" fillId="0" borderId="0" xfId="0" applyAlignment="1" applyProtection="1">
      <alignment/>
      <protection/>
    </xf>
    <xf numFmtId="0" fontId="38" fillId="0" borderId="0" xfId="0" applyFont="1" applyFill="1" applyBorder="1" applyAlignment="1" applyProtection="1">
      <alignment horizontal="left"/>
      <protection/>
    </xf>
    <xf numFmtId="182" fontId="38" fillId="0" borderId="0" xfId="0" applyNumberFormat="1" applyFont="1" applyAlignment="1" applyProtection="1">
      <alignment/>
      <protection/>
    </xf>
    <xf numFmtId="183" fontId="20" fillId="0" borderId="0" xfId="0" applyNumberFormat="1" applyFont="1" applyAlignment="1" applyProtection="1">
      <alignment/>
      <protection/>
    </xf>
    <xf numFmtId="9" fontId="39" fillId="0" borderId="0" xfId="0" applyNumberFormat="1" applyFont="1" applyAlignment="1" applyProtection="1">
      <alignment horizontal="center" vertical="center"/>
      <protection/>
    </xf>
    <xf numFmtId="0" fontId="20" fillId="0" borderId="0" xfId="0" applyFont="1" applyAlignment="1" applyProtection="1">
      <alignment/>
      <protection/>
    </xf>
    <xf numFmtId="176" fontId="20" fillId="0" borderId="0" xfId="0" applyNumberFormat="1" applyFont="1" applyAlignment="1" applyProtection="1">
      <alignment/>
      <protection/>
    </xf>
    <xf numFmtId="0" fontId="28" fillId="0" borderId="0" xfId="0" applyFont="1" applyFill="1" applyBorder="1" applyAlignment="1" applyProtection="1">
      <alignment vertical="center"/>
      <protection/>
    </xf>
    <xf numFmtId="0" fontId="20" fillId="0" borderId="0" xfId="0" applyFont="1" applyAlignment="1" applyProtection="1">
      <alignment vertical="center"/>
      <protection/>
    </xf>
    <xf numFmtId="3" fontId="0" fillId="2" borderId="0" xfId="0" applyNumberFormat="1" applyFont="1" applyFill="1" applyBorder="1" applyAlignment="1" applyProtection="1">
      <alignment vertical="center"/>
      <protection/>
    </xf>
    <xf numFmtId="4" fontId="0" fillId="0" borderId="0" xfId="67" applyNumberFormat="1" applyFont="1" applyFill="1" applyBorder="1" applyProtection="1">
      <alignment/>
      <protection/>
    </xf>
    <xf numFmtId="167" fontId="0" fillId="0" borderId="0" xfId="0" applyNumberFormat="1" applyFont="1" applyFill="1" applyBorder="1" applyAlignment="1" applyProtection="1">
      <alignment horizontal="left" vertical="top" wrapText="1"/>
      <protection/>
    </xf>
    <xf numFmtId="0" fontId="29" fillId="0" borderId="0" xfId="0" applyFont="1" applyBorder="1" applyAlignment="1" applyProtection="1">
      <alignment/>
      <protection/>
    </xf>
    <xf numFmtId="0" fontId="29" fillId="0" borderId="0" xfId="0" applyFont="1" applyFill="1" applyBorder="1" applyAlignment="1" applyProtection="1">
      <alignment horizontal="center"/>
      <protection/>
    </xf>
    <xf numFmtId="0" fontId="29" fillId="0" borderId="0" xfId="0" applyFont="1" applyAlignment="1" applyProtection="1">
      <alignment vertical="center"/>
      <protection/>
    </xf>
    <xf numFmtId="0" fontId="29" fillId="0" borderId="0" xfId="0" applyFont="1" applyAlignment="1" applyProtection="1">
      <alignment/>
      <protection/>
    </xf>
    <xf numFmtId="167" fontId="29" fillId="0" borderId="0" xfId="0" applyNumberFormat="1" applyFont="1" applyAlignment="1" applyProtection="1">
      <alignment/>
      <protection/>
    </xf>
    <xf numFmtId="0" fontId="41" fillId="0" borderId="0" xfId="0" applyFont="1" applyAlignment="1" applyProtection="1">
      <alignment horizontal="center" vertical="center"/>
      <protection/>
    </xf>
    <xf numFmtId="0" fontId="0" fillId="0" borderId="0" xfId="0" applyFont="1" applyFill="1" applyBorder="1" applyAlignment="1" applyProtection="1">
      <alignment/>
      <protection/>
    </xf>
    <xf numFmtId="0" fontId="0" fillId="0" borderId="0" xfId="67" applyFont="1" applyFill="1" applyBorder="1" applyAlignment="1" applyProtection="1">
      <alignment vertical="center"/>
      <protection/>
    </xf>
    <xf numFmtId="49" fontId="30" fillId="0" borderId="0" xfId="0" applyNumberFormat="1" applyFont="1" applyFill="1" applyBorder="1" applyAlignment="1" applyProtection="1">
      <alignment horizontal="center" vertical="center"/>
      <protection/>
    </xf>
    <xf numFmtId="0" fontId="30" fillId="0" borderId="0" xfId="67"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5" fillId="18" borderId="17" xfId="55" applyNumberFormat="1" applyFill="1" applyBorder="1" applyAlignment="1" applyProtection="1">
      <alignment vertical="center"/>
      <protection/>
    </xf>
    <xf numFmtId="0" fontId="42" fillId="0" borderId="0" xfId="0" applyFont="1" applyFill="1" applyAlignment="1" applyProtection="1">
      <alignment horizontal="center" vertical="center"/>
      <protection/>
    </xf>
    <xf numFmtId="0" fontId="1" fillId="0" borderId="0" xfId="67" applyFont="1" applyFill="1" applyBorder="1" applyAlignment="1" applyProtection="1">
      <alignment vertical="center"/>
      <protection/>
    </xf>
    <xf numFmtId="3" fontId="1" fillId="0" borderId="0" xfId="0" applyNumberFormat="1" applyFont="1" applyFill="1" applyBorder="1" applyAlignment="1" applyProtection="1">
      <alignment horizontal="center" vertical="center"/>
      <protection/>
    </xf>
    <xf numFmtId="3" fontId="1" fillId="0" borderId="9" xfId="0" applyNumberFormat="1" applyFont="1" applyFill="1" applyBorder="1" applyAlignment="1" applyProtection="1">
      <alignment horizontal="left" vertical="center" wrapText="1"/>
      <protection/>
    </xf>
    <xf numFmtId="3" fontId="1" fillId="0" borderId="9" xfId="0" applyNumberFormat="1" applyFont="1" applyFill="1" applyBorder="1" applyAlignment="1" applyProtection="1">
      <alignment horizontal="left" vertical="center"/>
      <protection/>
    </xf>
    <xf numFmtId="177" fontId="1" fillId="0" borderId="9" xfId="0" applyNumberFormat="1" applyFont="1" applyFill="1" applyBorder="1" applyAlignment="1" applyProtection="1">
      <alignment vertical="center"/>
      <protection/>
    </xf>
    <xf numFmtId="3" fontId="1" fillId="0" borderId="9" xfId="0" applyNumberFormat="1" applyFont="1" applyBorder="1" applyAlignment="1" applyProtection="1">
      <alignment horizontal="left" vertical="center" wrapText="1"/>
      <protection/>
    </xf>
    <xf numFmtId="167" fontId="47" fillId="0" borderId="9" xfId="0" applyNumberFormat="1" applyFont="1" applyFill="1" applyBorder="1" applyAlignment="1" applyProtection="1">
      <alignment horizontal="left" vertical="center"/>
      <protection/>
    </xf>
    <xf numFmtId="3" fontId="1" fillId="0" borderId="9" xfId="0" applyNumberFormat="1" applyFont="1" applyBorder="1" applyAlignment="1" applyProtection="1">
      <alignment horizontal="left" vertical="center"/>
      <protection/>
    </xf>
    <xf numFmtId="177" fontId="1" fillId="0" borderId="9" xfId="0" applyNumberFormat="1" applyFont="1" applyBorder="1" applyAlignment="1" applyProtection="1">
      <alignment vertical="center"/>
      <protection/>
    </xf>
    <xf numFmtId="0" fontId="31" fillId="6" borderId="18" xfId="67" applyFont="1" applyFill="1" applyBorder="1" applyAlignment="1" applyProtection="1">
      <alignment vertical="center" wrapText="1"/>
      <protection/>
    </xf>
    <xf numFmtId="0" fontId="1" fillId="6" borderId="19" xfId="67" applyFont="1" applyFill="1" applyBorder="1" applyProtection="1">
      <alignment/>
      <protection/>
    </xf>
    <xf numFmtId="177" fontId="1" fillId="6" borderId="14" xfId="0" applyNumberFormat="1" applyFont="1" applyFill="1" applyBorder="1" applyAlignment="1" applyProtection="1">
      <alignment/>
      <protection/>
    </xf>
    <xf numFmtId="0" fontId="0" fillId="0" borderId="0" xfId="67" applyFont="1" applyFill="1" applyBorder="1" applyAlignment="1" applyProtection="1">
      <alignment vertical="center" wrapText="1"/>
      <protection/>
    </xf>
    <xf numFmtId="0" fontId="0" fillId="0" borderId="0" xfId="67" applyFont="1" applyFill="1" applyBorder="1" applyProtection="1">
      <alignment/>
      <protection/>
    </xf>
    <xf numFmtId="3" fontId="0" fillId="0" borderId="0" xfId="0" applyNumberFormat="1" applyFont="1" applyBorder="1" applyAlignment="1" applyProtection="1">
      <alignment/>
      <protection/>
    </xf>
    <xf numFmtId="0" fontId="26" fillId="0" borderId="0" xfId="0" applyNumberFormat="1" applyFont="1" applyFill="1" applyBorder="1" applyAlignment="1" applyProtection="1">
      <alignment horizontal="center" vertical="center"/>
      <protection/>
    </xf>
    <xf numFmtId="167" fontId="47" fillId="0" borderId="9" xfId="0" applyNumberFormat="1" applyFont="1" applyBorder="1" applyAlignment="1" applyProtection="1">
      <alignment horizontal="left" vertical="center"/>
      <protection/>
    </xf>
    <xf numFmtId="0" fontId="0" fillId="0" borderId="20" xfId="67" applyFont="1" applyFill="1" applyBorder="1" applyAlignment="1" applyProtection="1">
      <alignment vertical="center" wrapText="1"/>
      <protection/>
    </xf>
    <xf numFmtId="0" fontId="20" fillId="6" borderId="18" xfId="67" applyFont="1" applyFill="1" applyBorder="1" applyAlignment="1" applyProtection="1">
      <alignment vertical="center" wrapText="1"/>
      <protection/>
    </xf>
    <xf numFmtId="0" fontId="0" fillId="6" borderId="19" xfId="67" applyFont="1" applyFill="1" applyBorder="1" applyProtection="1">
      <alignment/>
      <protection/>
    </xf>
    <xf numFmtId="3" fontId="36" fillId="0" borderId="0" xfId="0" applyNumberFormat="1" applyFont="1" applyFill="1" applyBorder="1" applyAlignment="1" applyProtection="1">
      <alignment horizontal="center" vertical="center"/>
      <protection/>
    </xf>
    <xf numFmtId="3" fontId="36" fillId="0" borderId="9" xfId="0" applyNumberFormat="1" applyFont="1" applyFill="1" applyBorder="1" applyAlignment="1" applyProtection="1">
      <alignment horizontal="left" vertical="center" wrapText="1"/>
      <protection/>
    </xf>
    <xf numFmtId="3" fontId="36" fillId="0" borderId="9" xfId="0" applyNumberFormat="1" applyFont="1" applyFill="1" applyBorder="1" applyAlignment="1" applyProtection="1">
      <alignment horizontal="left" vertical="center"/>
      <protection/>
    </xf>
    <xf numFmtId="177" fontId="36" fillId="0" borderId="9" xfId="0" applyNumberFormat="1" applyFont="1" applyFill="1" applyBorder="1" applyAlignment="1" applyProtection="1">
      <alignment vertical="center"/>
      <protection/>
    </xf>
    <xf numFmtId="167" fontId="39" fillId="0" borderId="0" xfId="0" applyNumberFormat="1" applyFont="1" applyFill="1" applyBorder="1" applyAlignment="1" applyProtection="1">
      <alignment horizontal="center" vertical="center"/>
      <protection/>
    </xf>
    <xf numFmtId="3" fontId="1"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vertical="center"/>
      <protection/>
    </xf>
    <xf numFmtId="0" fontId="19" fillId="0" borderId="21" xfId="0" applyFont="1" applyBorder="1" applyAlignment="1" applyProtection="1">
      <alignment horizontal="right"/>
      <protection locked="0"/>
    </xf>
    <xf numFmtId="0" fontId="43" fillId="0" borderId="0" xfId="0" applyFont="1" applyAlignment="1" applyProtection="1">
      <alignment/>
      <protection locked="0"/>
    </xf>
    <xf numFmtId="0" fontId="44" fillId="0" borderId="0" xfId="0" applyFont="1" applyAlignment="1" applyProtection="1">
      <alignment/>
      <protection locked="0"/>
    </xf>
    <xf numFmtId="0" fontId="45" fillId="0" borderId="0" xfId="0" applyFont="1" applyAlignment="1" applyProtection="1">
      <alignment/>
      <protection locked="0"/>
    </xf>
    <xf numFmtId="0" fontId="46" fillId="0" borderId="0" xfId="0" applyFont="1" applyAlignment="1" applyProtection="1">
      <alignment/>
      <protection locked="0"/>
    </xf>
    <xf numFmtId="167" fontId="43" fillId="0" borderId="0" xfId="0" applyNumberFormat="1" applyFont="1" applyBorder="1" applyAlignment="1" applyProtection="1">
      <alignment/>
      <protection locked="0"/>
    </xf>
    <xf numFmtId="170" fontId="47" fillId="0" borderId="9" xfId="0" applyNumberFormat="1" applyFont="1" applyFill="1" applyBorder="1" applyAlignment="1" applyProtection="1">
      <alignment horizontal="left" vertical="center"/>
      <protection/>
    </xf>
    <xf numFmtId="0" fontId="43" fillId="0" borderId="0" xfId="0" applyFont="1" applyAlignment="1">
      <alignment/>
    </xf>
    <xf numFmtId="0" fontId="0" fillId="0" borderId="0" xfId="0" applyFont="1" applyAlignment="1" applyProtection="1">
      <alignment/>
      <protection locked="0"/>
    </xf>
    <xf numFmtId="3" fontId="1" fillId="19" borderId="17" xfId="0" applyNumberFormat="1" applyFont="1" applyFill="1" applyBorder="1" applyAlignment="1" applyProtection="1">
      <alignment vertical="center" wrapText="1"/>
      <protection/>
    </xf>
    <xf numFmtId="3" fontId="33" fillId="19" borderId="17" xfId="0" applyNumberFormat="1" applyFont="1" applyFill="1" applyBorder="1" applyAlignment="1" applyProtection="1">
      <alignment vertical="center" wrapText="1"/>
      <protection/>
    </xf>
    <xf numFmtId="0" fontId="25" fillId="18" borderId="17" xfId="55" applyNumberFormat="1" applyFont="1" applyFill="1" applyBorder="1" applyAlignment="1" applyProtection="1">
      <alignment vertical="center"/>
      <protection/>
    </xf>
    <xf numFmtId="0" fontId="25" fillId="0" borderId="0" xfId="55" applyAlignment="1">
      <alignment/>
    </xf>
    <xf numFmtId="167" fontId="47" fillId="0" borderId="9" xfId="0" applyNumberFormat="1" applyFont="1" applyFill="1" applyBorder="1" applyAlignment="1" applyProtection="1">
      <alignment horizontal="left" vertical="center" wrapText="1"/>
      <protection/>
    </xf>
    <xf numFmtId="0" fontId="40" fillId="0" borderId="0" xfId="0" applyFont="1" applyFill="1" applyAlignment="1" applyProtection="1">
      <alignment horizontal="center" vertical="center"/>
      <protection/>
    </xf>
    <xf numFmtId="0" fontId="44" fillId="0" borderId="0" xfId="0" applyFont="1" applyFill="1" applyAlignment="1" applyProtection="1">
      <alignment/>
      <protection locked="0"/>
    </xf>
    <xf numFmtId="0" fontId="25" fillId="18" borderId="22" xfId="55" applyNumberFormat="1" applyFill="1" applyBorder="1" applyAlignment="1" applyProtection="1">
      <alignment vertical="center"/>
      <protection/>
    </xf>
    <xf numFmtId="0" fontId="25" fillId="18" borderId="17" xfId="55" applyFill="1" applyBorder="1" applyAlignment="1" applyProtection="1">
      <alignment vertical="center"/>
      <protection/>
    </xf>
    <xf numFmtId="177" fontId="1" fillId="20" borderId="9" xfId="0" applyNumberFormat="1" applyFont="1" applyFill="1" applyBorder="1" applyAlignment="1" applyProtection="1">
      <alignment vertical="center"/>
      <protection/>
    </xf>
    <xf numFmtId="0" fontId="25" fillId="17" borderId="9" xfId="55" applyNumberFormat="1" applyFont="1" applyFill="1" applyBorder="1" applyAlignment="1" applyProtection="1">
      <alignment horizontal="left" vertical="center"/>
      <protection/>
    </xf>
    <xf numFmtId="3" fontId="1" fillId="16" borderId="0" xfId="0" applyNumberFormat="1" applyFont="1" applyFill="1" applyBorder="1" applyAlignment="1" applyProtection="1">
      <alignment horizontal="center" vertical="center"/>
      <protection/>
    </xf>
    <xf numFmtId="0" fontId="43" fillId="0" borderId="0" xfId="67" applyNumberFormat="1" applyFont="1" applyFill="1" applyBorder="1" applyAlignment="1" applyProtection="1">
      <alignment horizontal="left" vertical="center"/>
      <protection/>
    </xf>
    <xf numFmtId="177" fontId="43" fillId="0" borderId="0" xfId="0" applyNumberFormat="1" applyFont="1" applyAlignment="1" applyProtection="1">
      <alignment/>
      <protection locked="0"/>
    </xf>
    <xf numFmtId="0" fontId="19" fillId="0" borderId="21" xfId="0" applyFont="1" applyBorder="1" applyAlignment="1" applyProtection="1">
      <alignment horizontal="right" wrapText="1"/>
      <protection/>
    </xf>
    <xf numFmtId="177" fontId="1" fillId="6" borderId="19" xfId="0" applyNumberFormat="1" applyFont="1" applyFill="1" applyBorder="1" applyAlignment="1" applyProtection="1">
      <alignment/>
      <protection/>
    </xf>
    <xf numFmtId="170" fontId="0" fillId="0" borderId="0" xfId="0" applyNumberFormat="1" applyFont="1" applyAlignment="1" applyProtection="1">
      <alignment/>
      <protection/>
    </xf>
    <xf numFmtId="170" fontId="20" fillId="0" borderId="9" xfId="0" applyNumberFormat="1" applyFont="1" applyBorder="1" applyAlignment="1" applyProtection="1">
      <alignment/>
      <protection/>
    </xf>
    <xf numFmtId="170" fontId="0" fillId="0" borderId="0" xfId="0" applyNumberFormat="1" applyFont="1" applyBorder="1" applyAlignment="1" applyProtection="1">
      <alignment/>
      <protection/>
    </xf>
    <xf numFmtId="170" fontId="27" fillId="0" borderId="10" xfId="0" applyNumberFormat="1" applyFont="1" applyBorder="1" applyAlignment="1" applyProtection="1">
      <alignment/>
      <protection/>
    </xf>
    <xf numFmtId="170" fontId="0" fillId="0" borderId="10" xfId="0" applyNumberFormat="1" applyFont="1" applyBorder="1" applyAlignment="1" applyProtection="1">
      <alignment/>
      <protection/>
    </xf>
    <xf numFmtId="170" fontId="0" fillId="0" borderId="11" xfId="0" applyNumberFormat="1" applyFont="1" applyBorder="1" applyAlignment="1" applyProtection="1">
      <alignment/>
      <protection/>
    </xf>
    <xf numFmtId="170" fontId="0" fillId="0" borderId="13" xfId="0" applyNumberFormat="1" applyFont="1" applyBorder="1" applyAlignment="1" applyProtection="1">
      <alignment/>
      <protection/>
    </xf>
    <xf numFmtId="170" fontId="0" fillId="0" borderId="15" xfId="0" applyNumberFormat="1" applyFont="1" applyBorder="1" applyAlignment="1" applyProtection="1">
      <alignment/>
      <protection/>
    </xf>
    <xf numFmtId="170" fontId="0" fillId="0" borderId="16" xfId="0" applyNumberFormat="1" applyFont="1" applyBorder="1" applyAlignment="1" applyProtection="1">
      <alignment/>
      <protection/>
    </xf>
    <xf numFmtId="170" fontId="0" fillId="0" borderId="0" xfId="0" applyNumberFormat="1" applyAlignment="1" applyProtection="1">
      <alignment/>
      <protection/>
    </xf>
    <xf numFmtId="170" fontId="0" fillId="0" borderId="0" xfId="67" applyNumberFormat="1" applyFont="1" applyFill="1" applyBorder="1" applyProtection="1">
      <alignment/>
      <protection/>
    </xf>
    <xf numFmtId="170" fontId="29" fillId="0" borderId="0" xfId="0" applyNumberFormat="1" applyFont="1" applyAlignment="1" applyProtection="1">
      <alignment/>
      <protection/>
    </xf>
    <xf numFmtId="170" fontId="0" fillId="0" borderId="0" xfId="0" applyNumberFormat="1" applyFont="1" applyFill="1" applyBorder="1" applyAlignment="1" applyProtection="1">
      <alignment horizontal="left" vertical="top" wrapText="1"/>
      <protection/>
    </xf>
    <xf numFmtId="170" fontId="0" fillId="0" borderId="0" xfId="0" applyNumberFormat="1" applyFont="1" applyFill="1" applyBorder="1" applyAlignment="1" applyProtection="1">
      <alignment/>
      <protection/>
    </xf>
    <xf numFmtId="170" fontId="1" fillId="0" borderId="9" xfId="0" applyNumberFormat="1" applyFont="1" applyFill="1" applyBorder="1" applyAlignment="1" applyProtection="1">
      <alignment horizontal="right" vertical="center"/>
      <protection/>
    </xf>
    <xf numFmtId="170" fontId="1" fillId="0" borderId="9" xfId="0" applyNumberFormat="1" applyFont="1" applyFill="1" applyBorder="1" applyAlignment="1" applyProtection="1">
      <alignment horizontal="right" vertical="center"/>
      <protection hidden="1"/>
    </xf>
    <xf numFmtId="170" fontId="1" fillId="6" borderId="19" xfId="0" applyNumberFormat="1" applyFont="1" applyFill="1" applyBorder="1" applyAlignment="1" applyProtection="1">
      <alignment/>
      <protection/>
    </xf>
    <xf numFmtId="170" fontId="25" fillId="18" borderId="17" xfId="55" applyNumberFormat="1" applyFill="1" applyBorder="1" applyAlignment="1" applyProtection="1">
      <alignment vertical="center"/>
      <protection/>
    </xf>
    <xf numFmtId="170" fontId="1" fillId="0" borderId="9" xfId="0" applyNumberFormat="1" applyFont="1" applyBorder="1" applyAlignment="1" applyProtection="1">
      <alignment horizontal="right" vertical="center"/>
      <protection/>
    </xf>
    <xf numFmtId="170" fontId="36" fillId="0" borderId="9" xfId="0" applyNumberFormat="1" applyFont="1" applyFill="1" applyBorder="1" applyAlignment="1" applyProtection="1">
      <alignment horizontal="right" vertical="center"/>
      <protection/>
    </xf>
    <xf numFmtId="170" fontId="0" fillId="6" borderId="19" xfId="0" applyNumberFormat="1" applyFont="1" applyFill="1" applyBorder="1" applyAlignment="1" applyProtection="1">
      <alignment/>
      <protection/>
    </xf>
    <xf numFmtId="170" fontId="25" fillId="18" borderId="22" xfId="55" applyNumberFormat="1" applyFill="1" applyBorder="1" applyAlignment="1" applyProtection="1">
      <alignment vertical="center"/>
      <protection/>
    </xf>
    <xf numFmtId="2" fontId="1" fillId="0" borderId="9" xfId="0" applyNumberFormat="1" applyFont="1" applyBorder="1" applyAlignment="1" applyProtection="1">
      <alignment horizontal="right" vertical="center"/>
      <protection hidden="1"/>
    </xf>
    <xf numFmtId="2" fontId="36" fillId="0" borderId="9" xfId="0" applyNumberFormat="1" applyFont="1" applyBorder="1" applyAlignment="1" applyProtection="1">
      <alignment horizontal="right" vertical="center"/>
      <protection hidden="1"/>
    </xf>
    <xf numFmtId="170" fontId="1" fillId="0" borderId="9" xfId="0" applyNumberFormat="1" applyFont="1" applyBorder="1" applyAlignment="1" applyProtection="1">
      <alignment horizontal="right" vertical="center"/>
      <protection hidden="1"/>
    </xf>
    <xf numFmtId="0" fontId="25" fillId="18" borderId="0" xfId="55" applyNumberFormat="1" applyFill="1" applyBorder="1" applyAlignment="1" applyProtection="1">
      <alignment vertical="center"/>
      <protection/>
    </xf>
    <xf numFmtId="3" fontId="33" fillId="0" borderId="0" xfId="0" applyNumberFormat="1" applyFont="1" applyFill="1" applyBorder="1" applyAlignment="1" applyProtection="1">
      <alignment horizontal="left" vertical="center" wrapText="1"/>
      <protection/>
    </xf>
    <xf numFmtId="3" fontId="1" fillId="0" borderId="0" xfId="0" applyNumberFormat="1" applyFont="1" applyFill="1" applyBorder="1" applyAlignment="1" applyProtection="1">
      <alignment horizontal="left" vertical="center" wrapText="1"/>
      <protection/>
    </xf>
    <xf numFmtId="3" fontId="1" fillId="0" borderId="23" xfId="0" applyNumberFormat="1" applyFont="1" applyFill="1" applyBorder="1" applyAlignment="1" applyProtection="1">
      <alignment horizontal="left" vertical="center" wrapText="1"/>
      <protection/>
    </xf>
    <xf numFmtId="0" fontId="48" fillId="0" borderId="0" xfId="67" applyFont="1" applyFill="1" applyAlignment="1" applyProtection="1">
      <alignment horizontal="left" vertical="center"/>
      <protection/>
    </xf>
    <xf numFmtId="0" fontId="48" fillId="0" borderId="0" xfId="67" applyFont="1" applyFill="1" applyBorder="1" applyAlignment="1" applyProtection="1">
      <alignment horizontal="left" vertical="center"/>
      <protection/>
    </xf>
    <xf numFmtId="0" fontId="43" fillId="0" borderId="0" xfId="0" applyFont="1" applyFill="1" applyBorder="1" applyAlignment="1" applyProtection="1">
      <alignment horizontal="left"/>
      <protection/>
    </xf>
    <xf numFmtId="0" fontId="44" fillId="0" borderId="0" xfId="0" applyFont="1" applyFill="1" applyBorder="1" applyAlignment="1" applyProtection="1">
      <alignment horizontal="left"/>
      <protection/>
    </xf>
    <xf numFmtId="0" fontId="45" fillId="0" borderId="0" xfId="0" applyFont="1" applyFill="1" applyBorder="1" applyAlignment="1" applyProtection="1">
      <alignment horizontal="left"/>
      <protection/>
    </xf>
    <xf numFmtId="0" fontId="43" fillId="0" borderId="0" xfId="67" applyFont="1" applyFill="1" applyBorder="1" applyAlignment="1" applyProtection="1">
      <alignment horizontal="left" vertical="center"/>
      <protection/>
    </xf>
    <xf numFmtId="0" fontId="46" fillId="0" borderId="0" xfId="67" applyFont="1" applyFill="1" applyBorder="1" applyAlignment="1" applyProtection="1">
      <alignment horizontal="left" vertical="center"/>
      <protection/>
    </xf>
    <xf numFmtId="0" fontId="48" fillId="0" borderId="0" xfId="67" applyFont="1" applyFill="1" applyBorder="1" applyAlignment="1" applyProtection="1">
      <alignment horizontal="left" vertical="center"/>
      <protection/>
    </xf>
    <xf numFmtId="3" fontId="1" fillId="16" borderId="0" xfId="0" applyNumberFormat="1" applyFont="1" applyFill="1" applyAlignment="1" applyProtection="1">
      <alignment horizontal="center" vertical="center"/>
      <protection hidden="1"/>
    </xf>
    <xf numFmtId="3" fontId="1" fillId="0" borderId="9" xfId="0" applyNumberFormat="1" applyFont="1" applyBorder="1" applyAlignment="1" applyProtection="1">
      <alignment horizontal="left" vertical="center"/>
      <protection hidden="1"/>
    </xf>
    <xf numFmtId="177" fontId="1" fillId="0" borderId="9" xfId="0" applyNumberFormat="1" applyFont="1" applyBorder="1" applyAlignment="1" applyProtection="1">
      <alignment vertical="center"/>
      <protection hidden="1"/>
    </xf>
    <xf numFmtId="0" fontId="0" fillId="0" borderId="0" xfId="0" applyAlignment="1" applyProtection="1">
      <alignment/>
      <protection hidden="1"/>
    </xf>
    <xf numFmtId="3" fontId="1" fillId="0" borderId="0" xfId="0" applyNumberFormat="1" applyFont="1" applyAlignment="1" applyProtection="1">
      <alignment horizontal="center" vertical="center"/>
      <protection hidden="1"/>
    </xf>
    <xf numFmtId="3" fontId="1" fillId="0" borderId="9" xfId="0" applyNumberFormat="1" applyFont="1" applyBorder="1" applyAlignment="1" applyProtection="1">
      <alignment horizontal="left" vertical="center" wrapText="1"/>
      <protection hidden="1"/>
    </xf>
    <xf numFmtId="0" fontId="39" fillId="16" borderId="0" xfId="0" applyFont="1" applyFill="1" applyAlignment="1" applyProtection="1">
      <alignment horizontal="center" vertical="center"/>
      <protection/>
    </xf>
    <xf numFmtId="177" fontId="1" fillId="20" borderId="9" xfId="0" applyNumberFormat="1" applyFont="1" applyFill="1" applyBorder="1" applyAlignment="1" applyProtection="1">
      <alignment vertical="center"/>
      <protection hidden="1"/>
    </xf>
    <xf numFmtId="0" fontId="39" fillId="0" borderId="0" xfId="0" applyFont="1" applyAlignment="1" applyProtection="1">
      <alignment horizontal="center" vertical="center"/>
      <protection hidden="1"/>
    </xf>
    <xf numFmtId="3" fontId="1" fillId="0" borderId="0" xfId="0" applyNumberFormat="1" applyFont="1" applyFill="1" applyAlignment="1" applyProtection="1">
      <alignment horizontal="center" vertical="center"/>
      <protection hidden="1"/>
    </xf>
    <xf numFmtId="170" fontId="36" fillId="0" borderId="9" xfId="0" applyNumberFormat="1" applyFont="1" applyBorder="1" applyAlignment="1" applyProtection="1">
      <alignment horizontal="right" vertical="center"/>
      <protection hidden="1"/>
    </xf>
    <xf numFmtId="0" fontId="0" fillId="0" borderId="0" xfId="0" applyAlignment="1" applyProtection="1">
      <alignment/>
      <protection locked="0"/>
    </xf>
    <xf numFmtId="9" fontId="0" fillId="0" borderId="0" xfId="74" applyAlignment="1" applyProtection="1">
      <alignment/>
      <protection locked="0"/>
    </xf>
    <xf numFmtId="0" fontId="39" fillId="0" borderId="0" xfId="0" applyFont="1" applyAlignment="1" applyProtection="1">
      <alignment horizontal="center" vertical="center"/>
      <protection locked="0"/>
    </xf>
    <xf numFmtId="0" fontId="25" fillId="0" borderId="0" xfId="55" applyAlignment="1" applyProtection="1">
      <alignment/>
      <protection/>
    </xf>
    <xf numFmtId="177" fontId="25" fillId="0" borderId="0" xfId="55" applyNumberFormat="1" applyAlignment="1" applyProtection="1">
      <alignment/>
      <protection/>
    </xf>
    <xf numFmtId="0" fontId="39" fillId="16" borderId="0" xfId="0" applyFont="1" applyFill="1" applyAlignment="1" applyProtection="1">
      <alignment horizontal="center" vertical="center"/>
      <protection locked="0"/>
    </xf>
    <xf numFmtId="0" fontId="0" fillId="0" borderId="0" xfId="0" applyAlignment="1" applyProtection="1">
      <alignment horizontal="center"/>
      <protection locked="0"/>
    </xf>
    <xf numFmtId="0" fontId="43" fillId="0" borderId="0" xfId="0" applyFont="1" applyAlignment="1" applyProtection="1">
      <alignment/>
      <protection hidden="1" locked="0"/>
    </xf>
    <xf numFmtId="0" fontId="25" fillId="0" borderId="0" xfId="55" applyAlignment="1" applyProtection="1">
      <alignment/>
      <protection hidden="1"/>
    </xf>
    <xf numFmtId="3" fontId="36" fillId="0" borderId="0" xfId="0" applyNumberFormat="1" applyFont="1" applyAlignment="1" applyProtection="1">
      <alignment horizontal="center" vertical="center"/>
      <protection hidden="1"/>
    </xf>
    <xf numFmtId="3" fontId="36" fillId="0" borderId="9" xfId="0" applyNumberFormat="1" applyFont="1" applyBorder="1" applyAlignment="1" applyProtection="1">
      <alignment horizontal="left" vertical="center" wrapText="1"/>
      <protection hidden="1"/>
    </xf>
    <xf numFmtId="3" fontId="36" fillId="0" borderId="9" xfId="0" applyNumberFormat="1" applyFont="1" applyBorder="1" applyAlignment="1" applyProtection="1">
      <alignment horizontal="left" vertical="center"/>
      <protection hidden="1"/>
    </xf>
    <xf numFmtId="177" fontId="36" fillId="0" borderId="9" xfId="0" applyNumberFormat="1" applyFont="1" applyBorder="1" applyAlignment="1" applyProtection="1">
      <alignment vertical="center"/>
      <protection hidden="1"/>
    </xf>
    <xf numFmtId="0" fontId="0" fillId="0" borderId="20" xfId="67" applyFont="1" applyBorder="1" applyAlignment="1" applyProtection="1">
      <alignment vertical="center" wrapText="1"/>
      <protection hidden="1"/>
    </xf>
    <xf numFmtId="3" fontId="1" fillId="0" borderId="0" xfId="0" applyNumberFormat="1" applyFont="1" applyAlignment="1" applyProtection="1">
      <alignment horizontal="left" vertical="center"/>
      <protection hidden="1"/>
    </xf>
    <xf numFmtId="177" fontId="1" fillId="0" borderId="0" xfId="0" applyNumberFormat="1" applyFont="1" applyAlignment="1" applyProtection="1">
      <alignment vertical="center"/>
      <protection hidden="1"/>
    </xf>
    <xf numFmtId="0" fontId="48" fillId="0" borderId="0" xfId="67" applyFont="1" applyFill="1" applyAlignment="1" applyProtection="1">
      <alignment horizontal="left" vertical="center"/>
      <protection hidden="1"/>
    </xf>
    <xf numFmtId="3" fontId="36" fillId="0" borderId="0" xfId="0" applyNumberFormat="1" applyFont="1" applyFill="1" applyAlignment="1" applyProtection="1">
      <alignment horizontal="center" vertical="center"/>
      <protection hidden="1"/>
    </xf>
    <xf numFmtId="170" fontId="0" fillId="0" borderId="0" xfId="0" applyNumberFormat="1" applyAlignment="1" applyProtection="1">
      <alignment/>
      <protection hidden="1"/>
    </xf>
    <xf numFmtId="0" fontId="0" fillId="0" borderId="0" xfId="0" applyFont="1" applyBorder="1" applyAlignment="1" applyProtection="1">
      <alignment/>
      <protection/>
    </xf>
    <xf numFmtId="0" fontId="43" fillId="0" borderId="0" xfId="0" applyFont="1" applyFill="1" applyBorder="1" applyAlignment="1" applyProtection="1">
      <alignment horizontal="left" vertical="center"/>
      <protection/>
    </xf>
    <xf numFmtId="0" fontId="25" fillId="0" borderId="0" xfId="55" applyFill="1" applyAlignment="1" applyProtection="1">
      <alignment/>
      <protection/>
    </xf>
    <xf numFmtId="176" fontId="39" fillId="0" borderId="0" xfId="0" applyNumberFormat="1" applyFont="1" applyAlignment="1" applyProtection="1">
      <alignment horizontal="center" vertical="center"/>
      <protection/>
    </xf>
    <xf numFmtId="3" fontId="1" fillId="0" borderId="0" xfId="0" applyNumberFormat="1" applyFont="1" applyAlignment="1" applyProtection="1">
      <alignment horizontal="center" vertical="center"/>
      <protection/>
    </xf>
    <xf numFmtId="0" fontId="0" fillId="0" borderId="20" xfId="67" applyFont="1" applyBorder="1" applyAlignment="1" applyProtection="1">
      <alignment vertical="center" wrapText="1"/>
      <protection/>
    </xf>
    <xf numFmtId="3" fontId="1" fillId="16" borderId="0" xfId="0" applyNumberFormat="1" applyFont="1" applyFill="1" applyAlignment="1" applyProtection="1">
      <alignment horizontal="center" vertical="center"/>
      <protection/>
    </xf>
    <xf numFmtId="0" fontId="1" fillId="0" borderId="0" xfId="68" applyProtection="1">
      <alignment/>
      <protection/>
    </xf>
    <xf numFmtId="0" fontId="35" fillId="0" borderId="0" xfId="0" applyFont="1" applyAlignment="1" applyProtection="1">
      <alignment/>
      <protection/>
    </xf>
    <xf numFmtId="0" fontId="0" fillId="0" borderId="0" xfId="0" applyAlignment="1" applyProtection="1">
      <alignment horizontal="center"/>
      <protection/>
    </xf>
    <xf numFmtId="0" fontId="23" fillId="0" borderId="0" xfId="0" applyFont="1" applyBorder="1" applyAlignment="1" applyProtection="1">
      <alignment vertical="center"/>
      <protection/>
    </xf>
    <xf numFmtId="0" fontId="0" fillId="0" borderId="0" xfId="0" applyBorder="1" applyAlignment="1" applyProtection="1">
      <alignment/>
      <protection/>
    </xf>
    <xf numFmtId="2" fontId="0" fillId="0" borderId="0" xfId="0" applyNumberFormat="1" applyBorder="1" applyAlignment="1" applyProtection="1">
      <alignment/>
      <protection/>
    </xf>
    <xf numFmtId="0" fontId="24" fillId="0" borderId="0" xfId="0" applyFont="1" applyBorder="1" applyAlignment="1" applyProtection="1">
      <alignment horizontal="right"/>
      <protection/>
    </xf>
    <xf numFmtId="0" fontId="26" fillId="0" borderId="0" xfId="0" applyFont="1" applyAlignment="1" applyProtection="1">
      <alignment horizontal="center" vertical="center"/>
      <protection/>
    </xf>
    <xf numFmtId="0" fontId="20" fillId="21" borderId="17" xfId="0" applyFont="1" applyFill="1" applyBorder="1" applyAlignment="1" applyProtection="1">
      <alignment horizontal="left"/>
      <protection/>
    </xf>
    <xf numFmtId="2" fontId="20" fillId="21" borderId="17" xfId="0" applyNumberFormat="1" applyFont="1" applyFill="1" applyBorder="1" applyAlignment="1" applyProtection="1">
      <alignment horizontal="right"/>
      <protection/>
    </xf>
    <xf numFmtId="0" fontId="20" fillId="21" borderId="17" xfId="0" applyFont="1" applyFill="1" applyBorder="1" applyAlignment="1" applyProtection="1">
      <alignment horizontal="right"/>
      <protection/>
    </xf>
    <xf numFmtId="0" fontId="20" fillId="21" borderId="0" xfId="0" applyFont="1" applyFill="1" applyAlignment="1" applyProtection="1">
      <alignment horizontal="left"/>
      <protection/>
    </xf>
    <xf numFmtId="2" fontId="20" fillId="21" borderId="0" xfId="0" applyNumberFormat="1" applyFont="1" applyFill="1" applyAlignment="1" applyProtection="1">
      <alignment horizontal="right"/>
      <protection/>
    </xf>
    <xf numFmtId="0" fontId="20" fillId="21" borderId="0" xfId="0" applyFont="1" applyFill="1" applyAlignment="1" applyProtection="1">
      <alignment horizontal="right"/>
      <protection/>
    </xf>
    <xf numFmtId="2" fontId="1" fillId="0" borderId="9" xfId="0" applyNumberFormat="1" applyFont="1" applyBorder="1" applyAlignment="1" applyProtection="1">
      <alignment horizontal="right" vertical="center"/>
      <protection/>
    </xf>
    <xf numFmtId="0" fontId="0" fillId="0" borderId="0" xfId="67" applyFont="1" applyProtection="1">
      <alignment/>
      <protection/>
    </xf>
    <xf numFmtId="3" fontId="0" fillId="0" borderId="0" xfId="0" applyNumberFormat="1" applyAlignment="1" applyProtection="1">
      <alignment/>
      <protection/>
    </xf>
    <xf numFmtId="2" fontId="0" fillId="6" borderId="19" xfId="0" applyNumberFormat="1" applyFill="1" applyBorder="1" applyAlignment="1" applyProtection="1">
      <alignment/>
      <protection/>
    </xf>
    <xf numFmtId="176" fontId="1" fillId="6" borderId="14" xfId="0" applyNumberFormat="1" applyFont="1" applyFill="1" applyBorder="1" applyAlignment="1" applyProtection="1">
      <alignment/>
      <protection/>
    </xf>
    <xf numFmtId="0" fontId="1" fillId="0" borderId="0" xfId="67" applyFont="1" applyAlignment="1" applyProtection="1">
      <alignment vertical="center"/>
      <protection/>
    </xf>
    <xf numFmtId="3" fontId="1" fillId="0" borderId="0" xfId="0" applyNumberFormat="1" applyFont="1" applyFill="1" applyAlignment="1" applyProtection="1">
      <alignment horizontal="center" vertical="center"/>
      <protection/>
    </xf>
    <xf numFmtId="170" fontId="47" fillId="0" borderId="9" xfId="0" applyNumberFormat="1" applyFont="1" applyBorder="1" applyAlignment="1" applyProtection="1">
      <alignment horizontal="left" vertical="center"/>
      <protection/>
    </xf>
    <xf numFmtId="0" fontId="48" fillId="0" borderId="0" xfId="67" applyFont="1" applyFill="1" applyAlignment="1" applyProtection="1">
      <alignment vertical="center"/>
      <protection/>
    </xf>
    <xf numFmtId="3" fontId="36" fillId="0" borderId="0" xfId="0" applyNumberFormat="1" applyFont="1" applyAlignment="1" applyProtection="1">
      <alignment horizontal="center" vertical="center"/>
      <protection/>
    </xf>
    <xf numFmtId="3" fontId="36" fillId="0" borderId="9" xfId="0" applyNumberFormat="1" applyFont="1" applyBorder="1" applyAlignment="1" applyProtection="1">
      <alignment horizontal="left" vertical="center" wrapText="1"/>
      <protection/>
    </xf>
    <xf numFmtId="3" fontId="36" fillId="0" borderId="9" xfId="0" applyNumberFormat="1" applyFont="1" applyBorder="1" applyAlignment="1" applyProtection="1">
      <alignment horizontal="left" vertical="center"/>
      <protection/>
    </xf>
    <xf numFmtId="170" fontId="36" fillId="0" borderId="9" xfId="0" applyNumberFormat="1" applyFont="1" applyBorder="1" applyAlignment="1" applyProtection="1">
      <alignment horizontal="right" vertical="center"/>
      <protection/>
    </xf>
    <xf numFmtId="177" fontId="36" fillId="0" borderId="9" xfId="0" applyNumberFormat="1" applyFont="1" applyBorder="1" applyAlignment="1" applyProtection="1">
      <alignment vertical="center"/>
      <protection/>
    </xf>
    <xf numFmtId="0" fontId="48" fillId="0" borderId="0" xfId="67" applyFont="1" applyFill="1" applyAlignment="1" applyProtection="1">
      <alignment horizontal="left" vertical="center"/>
      <protection/>
    </xf>
    <xf numFmtId="3" fontId="36" fillId="0" borderId="0" xfId="0" applyNumberFormat="1" applyFont="1" applyFill="1" applyAlignment="1" applyProtection="1">
      <alignment horizontal="center" vertical="center"/>
      <protection/>
    </xf>
    <xf numFmtId="170" fontId="0" fillId="6" borderId="19" xfId="0" applyNumberFormat="1" applyFill="1" applyBorder="1" applyAlignment="1" applyProtection="1">
      <alignment/>
      <protection/>
    </xf>
    <xf numFmtId="0" fontId="0" fillId="0" borderId="0" xfId="67" applyFont="1" applyAlignment="1" applyProtection="1">
      <alignment vertical="center" wrapText="1"/>
      <protection/>
    </xf>
    <xf numFmtId="0" fontId="26" fillId="0" borderId="0" xfId="0" applyFont="1" applyAlignment="1" applyProtection="1">
      <alignment horizontal="center" vertical="center"/>
      <protection/>
    </xf>
    <xf numFmtId="3" fontId="1" fillId="22" borderId="0" xfId="0" applyNumberFormat="1" applyFont="1" applyFill="1" applyAlignment="1" applyProtection="1">
      <alignment horizontal="center" vertical="center"/>
      <protection/>
    </xf>
    <xf numFmtId="3" fontId="55" fillId="0" borderId="9" xfId="0" applyNumberFormat="1" applyFont="1" applyBorder="1" applyAlignment="1" applyProtection="1">
      <alignment horizontal="left" vertical="center" wrapText="1"/>
      <protection/>
    </xf>
    <xf numFmtId="0" fontId="19" fillId="0" borderId="0" xfId="0" applyFont="1" applyAlignment="1" applyProtection="1">
      <alignment/>
      <protection/>
    </xf>
    <xf numFmtId="177" fontId="55" fillId="0" borderId="9" xfId="0" applyNumberFormat="1" applyFont="1" applyBorder="1" applyAlignment="1" applyProtection="1">
      <alignment vertical="center"/>
      <protection/>
    </xf>
    <xf numFmtId="177" fontId="55" fillId="0" borderId="0" xfId="0" applyNumberFormat="1" applyFont="1" applyAlignment="1" applyProtection="1">
      <alignment vertical="center"/>
      <protection/>
    </xf>
    <xf numFmtId="0" fontId="0" fillId="22" borderId="0" xfId="0" applyFill="1" applyAlignment="1" applyProtection="1">
      <alignment/>
      <protection/>
    </xf>
    <xf numFmtId="3" fontId="36" fillId="22" borderId="0" xfId="0" applyNumberFormat="1" applyFont="1" applyFill="1" applyAlignment="1" applyProtection="1">
      <alignment horizontal="center" vertical="center"/>
      <protection/>
    </xf>
    <xf numFmtId="3" fontId="1" fillId="0" borderId="0" xfId="0" applyNumberFormat="1" applyFont="1" applyAlignment="1" applyProtection="1">
      <alignment horizontal="left" vertical="center"/>
      <protection/>
    </xf>
    <xf numFmtId="177" fontId="1" fillId="0" borderId="0" xfId="0" applyNumberFormat="1" applyFont="1" applyAlignment="1" applyProtection="1">
      <alignment vertical="center"/>
      <protection/>
    </xf>
    <xf numFmtId="0" fontId="26" fillId="0" borderId="0" xfId="0" applyFont="1" applyFill="1" applyAlignment="1" applyProtection="1">
      <alignment horizontal="center" vertical="center"/>
      <protection/>
    </xf>
    <xf numFmtId="3" fontId="1" fillId="19" borderId="23" xfId="0" applyNumberFormat="1" applyFont="1" applyFill="1" applyBorder="1" applyAlignment="1" applyProtection="1">
      <alignment vertical="center" wrapText="1"/>
      <protection/>
    </xf>
    <xf numFmtId="0" fontId="50" fillId="6" borderId="18" xfId="67" applyFont="1" applyFill="1" applyBorder="1" applyAlignment="1" applyProtection="1">
      <alignment vertical="center" wrapText="1"/>
      <protection/>
    </xf>
    <xf numFmtId="0" fontId="51" fillId="6" borderId="19" xfId="67" applyFont="1" applyFill="1" applyBorder="1" applyAlignment="1" applyProtection="1">
      <alignment vertical="center"/>
      <protection/>
    </xf>
    <xf numFmtId="170" fontId="51" fillId="6" borderId="19" xfId="0" applyNumberFormat="1" applyFont="1" applyFill="1" applyBorder="1" applyAlignment="1" applyProtection="1">
      <alignment vertical="center"/>
      <protection/>
    </xf>
    <xf numFmtId="177" fontId="51" fillId="6" borderId="19" xfId="0" applyNumberFormat="1" applyFont="1" applyFill="1" applyBorder="1" applyAlignment="1" applyProtection="1">
      <alignment vertical="center"/>
      <protection/>
    </xf>
    <xf numFmtId="176" fontId="50" fillId="6" borderId="14" xfId="0" applyNumberFormat="1" applyFont="1" applyFill="1" applyBorder="1" applyAlignment="1" applyProtection="1">
      <alignment vertical="center"/>
      <protection/>
    </xf>
    <xf numFmtId="0" fontId="0" fillId="0" borderId="20" xfId="67" applyBorder="1" applyAlignment="1" applyProtection="1">
      <alignment vertical="center" wrapText="1"/>
      <protection/>
    </xf>
    <xf numFmtId="0" fontId="43" fillId="0" borderId="0" xfId="0" applyFont="1" applyFill="1" applyAlignment="1" applyProtection="1">
      <alignment horizontal="left" vertical="center"/>
      <protection/>
    </xf>
    <xf numFmtId="3" fontId="36" fillId="16" borderId="0" xfId="0" applyNumberFormat="1" applyFont="1" applyFill="1" applyAlignment="1" applyProtection="1">
      <alignment horizontal="center" vertical="center"/>
      <protection/>
    </xf>
    <xf numFmtId="0" fontId="0" fillId="16" borderId="20" xfId="67" applyFont="1" applyFill="1" applyBorder="1" applyAlignment="1" applyProtection="1">
      <alignment vertical="center" wrapText="1"/>
      <protection/>
    </xf>
    <xf numFmtId="0" fontId="0" fillId="0" borderId="20" xfId="67" applyFont="1" applyFill="1" applyBorder="1" applyAlignment="1" applyProtection="1">
      <alignment vertical="center" wrapText="1"/>
      <protection/>
    </xf>
    <xf numFmtId="0" fontId="0" fillId="0" borderId="20" xfId="67" applyFont="1" applyBorder="1" applyAlignment="1" applyProtection="1">
      <alignment vertical="center" wrapText="1"/>
      <protection/>
    </xf>
    <xf numFmtId="0" fontId="26" fillId="16" borderId="0" xfId="0" applyFont="1" applyFill="1" applyAlignment="1" applyProtection="1">
      <alignment horizontal="center" vertical="center"/>
      <protection/>
    </xf>
    <xf numFmtId="3" fontId="0" fillId="6" borderId="14" xfId="0" applyNumberFormat="1" applyFill="1" applyBorder="1" applyAlignment="1" applyProtection="1">
      <alignment/>
      <protection/>
    </xf>
    <xf numFmtId="0" fontId="19" fillId="0" borderId="21" xfId="0" applyFont="1" applyBorder="1" applyAlignment="1" applyProtection="1">
      <alignment horizontal="right" wrapText="1"/>
      <protection locked="0"/>
    </xf>
    <xf numFmtId="0" fontId="40" fillId="0" borderId="0" xfId="0" applyFont="1" applyAlignment="1" applyProtection="1">
      <alignment horizontal="center" vertical="center"/>
      <protection locked="0"/>
    </xf>
    <xf numFmtId="0" fontId="40" fillId="0" borderId="0" xfId="0" applyFont="1" applyFill="1" applyAlignment="1" applyProtection="1">
      <alignment horizontal="center" vertical="center"/>
      <protection locked="0"/>
    </xf>
    <xf numFmtId="176" fontId="39" fillId="0" borderId="0" xfId="0" applyNumberFormat="1" applyFont="1" applyAlignment="1" applyProtection="1">
      <alignment horizontal="center" vertical="center"/>
      <protection locked="0"/>
    </xf>
    <xf numFmtId="0" fontId="39" fillId="0" borderId="0" xfId="0" applyFont="1" applyFill="1" applyAlignment="1" applyProtection="1">
      <alignment horizontal="center" vertical="center"/>
      <protection locked="0"/>
    </xf>
    <xf numFmtId="9" fontId="39" fillId="0" borderId="0" xfId="0" applyNumberFormat="1" applyFont="1" applyAlignment="1" applyProtection="1">
      <alignment horizontal="center" vertical="center"/>
      <protection locked="0"/>
    </xf>
    <xf numFmtId="0" fontId="41" fillId="0" borderId="0" xfId="0" applyFont="1" applyAlignment="1" applyProtection="1">
      <alignment horizontal="center" vertical="center"/>
      <protection locked="0"/>
    </xf>
    <xf numFmtId="0" fontId="42" fillId="0" borderId="0" xfId="0" applyFont="1" applyFill="1" applyAlignment="1" applyProtection="1">
      <alignment horizontal="center" vertical="center"/>
      <protection locked="0"/>
    </xf>
    <xf numFmtId="0" fontId="39" fillId="0" borderId="0" xfId="0" applyFont="1" applyAlignment="1" applyProtection="1">
      <alignment horizontal="center" vertical="center"/>
      <protection hidden="1" locked="0"/>
    </xf>
    <xf numFmtId="167" fontId="39" fillId="0" borderId="0" xfId="0" applyNumberFormat="1" applyFont="1" applyFill="1" applyBorder="1" applyAlignment="1" applyProtection="1">
      <alignment horizontal="center" vertical="center"/>
      <protection locked="0"/>
    </xf>
    <xf numFmtId="0" fontId="43" fillId="0" borderId="0" xfId="0" applyFont="1" applyFill="1" applyAlignment="1" applyProtection="1">
      <alignment/>
      <protection locked="0"/>
    </xf>
    <xf numFmtId="0" fontId="1" fillId="0" borderId="9" xfId="0" applyNumberFormat="1" applyFont="1" applyBorder="1" applyAlignment="1" applyProtection="1">
      <alignment vertical="center"/>
      <protection/>
    </xf>
    <xf numFmtId="4" fontId="36" fillId="0" borderId="9" xfId="0" applyNumberFormat="1" applyFont="1" applyFill="1" applyBorder="1" applyAlignment="1" applyProtection="1">
      <alignment horizontal="left" vertical="center"/>
      <protection/>
    </xf>
    <xf numFmtId="0" fontId="0" fillId="0" borderId="0" xfId="0" applyFill="1" applyAlignment="1" applyProtection="1">
      <alignment horizontal="center"/>
      <protection/>
    </xf>
    <xf numFmtId="0" fontId="1" fillId="0" borderId="0" xfId="67" applyFont="1" applyAlignment="1" applyProtection="1">
      <alignment/>
      <protection/>
    </xf>
    <xf numFmtId="177" fontId="55" fillId="0" borderId="9" xfId="0" applyNumberFormat="1" applyFont="1" applyFill="1" applyBorder="1" applyAlignment="1" applyProtection="1">
      <alignment vertical="center"/>
      <protection/>
    </xf>
    <xf numFmtId="4" fontId="36" fillId="0" borderId="9" xfId="0" applyNumberFormat="1" applyFont="1" applyBorder="1" applyAlignment="1" applyProtection="1">
      <alignment horizontal="left" vertical="center"/>
      <protection/>
    </xf>
    <xf numFmtId="177" fontId="1" fillId="0" borderId="9" xfId="0" applyNumberFormat="1" applyFont="1" applyFill="1" applyBorder="1" applyAlignment="1" applyProtection="1">
      <alignment vertical="center"/>
      <protection hidden="1"/>
    </xf>
    <xf numFmtId="177" fontId="36" fillId="0" borderId="9" xfId="0" applyNumberFormat="1" applyFont="1" applyFill="1" applyBorder="1" applyAlignment="1" applyProtection="1">
      <alignment vertical="center"/>
      <protection hidden="1"/>
    </xf>
    <xf numFmtId="3" fontId="36" fillId="0" borderId="9" xfId="0" applyNumberFormat="1" applyFont="1" applyFill="1" applyBorder="1" applyAlignment="1" applyProtection="1">
      <alignment horizontal="left" vertical="center" wrapText="1"/>
      <protection hidden="1"/>
    </xf>
    <xf numFmtId="3" fontId="58" fillId="0" borderId="0" xfId="0" applyNumberFormat="1" applyFont="1" applyFill="1" applyBorder="1" applyAlignment="1" applyProtection="1">
      <alignment horizontal="center" vertical="center"/>
      <protection/>
    </xf>
    <xf numFmtId="0" fontId="43" fillId="0" borderId="0" xfId="0" applyFont="1" applyFill="1" applyAlignment="1" applyProtection="1">
      <alignment horizontal="left"/>
      <protection/>
    </xf>
    <xf numFmtId="0" fontId="43" fillId="0" borderId="0" xfId="0" applyFont="1" applyFill="1" applyAlignment="1" applyProtection="1">
      <alignment horizontal="left" vertical="center"/>
      <protection hidden="1"/>
    </xf>
    <xf numFmtId="0" fontId="0" fillId="16" borderId="20" xfId="67" applyFont="1" applyFill="1" applyBorder="1" applyAlignment="1" applyProtection="1">
      <alignment vertical="center" wrapText="1"/>
      <protection/>
    </xf>
    <xf numFmtId="0" fontId="35" fillId="0" borderId="0" xfId="69" applyFont="1">
      <alignment/>
      <protection/>
    </xf>
    <xf numFmtId="0" fontId="1" fillId="0" borderId="0" xfId="69">
      <alignment/>
      <protection/>
    </xf>
    <xf numFmtId="0" fontId="57" fillId="0" borderId="0" xfId="69" applyFont="1">
      <alignment/>
      <protection/>
    </xf>
    <xf numFmtId="4" fontId="35" fillId="23" borderId="0" xfId="69" applyNumberFormat="1" applyFont="1" applyFill="1" applyProtection="1">
      <alignment/>
      <protection locked="0"/>
    </xf>
    <xf numFmtId="4" fontId="35" fillId="23" borderId="0" xfId="68" applyNumberFormat="1" applyFont="1" applyFill="1" applyProtection="1">
      <alignment/>
      <protection locked="0"/>
    </xf>
    <xf numFmtId="0" fontId="25" fillId="0" borderId="0" xfId="55" applyFill="1" applyBorder="1" applyAlignment="1" applyProtection="1">
      <alignment/>
      <protection/>
    </xf>
    <xf numFmtId="0" fontId="0" fillId="0" borderId="0" xfId="0" applyFont="1" applyFill="1" applyAlignment="1" applyProtection="1">
      <alignment/>
      <protection/>
    </xf>
    <xf numFmtId="0" fontId="1" fillId="0" borderId="0" xfId="67" applyFont="1" applyAlignment="1" applyProtection="1">
      <alignment vertical="center"/>
      <protection hidden="1"/>
    </xf>
    <xf numFmtId="167" fontId="0" fillId="0" borderId="0" xfId="0" applyNumberFormat="1" applyFont="1" applyAlignment="1" applyProtection="1">
      <alignment/>
      <protection/>
    </xf>
    <xf numFmtId="176" fontId="0" fillId="0" borderId="0" xfId="0" applyNumberFormat="1" applyFont="1" applyBorder="1" applyAlignment="1" applyProtection="1">
      <alignment/>
      <protection/>
    </xf>
    <xf numFmtId="167" fontId="0" fillId="0" borderId="10" xfId="0" applyNumberFormat="1" applyFont="1" applyBorder="1" applyAlignment="1" applyProtection="1">
      <alignment/>
      <protection/>
    </xf>
    <xf numFmtId="10" fontId="0" fillId="0" borderId="11" xfId="74" applyNumberFormat="1" applyFont="1" applyFill="1" applyBorder="1" applyAlignment="1" applyProtection="1">
      <alignment vertical="center"/>
      <protection/>
    </xf>
    <xf numFmtId="167" fontId="0" fillId="0" borderId="13" xfId="0" applyNumberFormat="1" applyFont="1" applyBorder="1" applyAlignment="1" applyProtection="1">
      <alignment/>
      <protection/>
    </xf>
    <xf numFmtId="167" fontId="0" fillId="0" borderId="15" xfId="0" applyNumberFormat="1" applyFont="1" applyBorder="1" applyAlignment="1" applyProtection="1">
      <alignment/>
      <protection/>
    </xf>
    <xf numFmtId="9" fontId="0" fillId="0" borderId="10" xfId="74" applyFont="1" applyFill="1" applyBorder="1" applyAlignment="1" applyProtection="1">
      <alignment/>
      <protection/>
    </xf>
    <xf numFmtId="167" fontId="0" fillId="0" borderId="16" xfId="0" applyNumberFormat="1" applyFont="1" applyBorder="1" applyAlignment="1" applyProtection="1">
      <alignment/>
      <protection/>
    </xf>
    <xf numFmtId="0" fontId="0" fillId="0" borderId="0" xfId="0" applyFont="1" applyAlignment="1" applyProtection="1">
      <alignment/>
      <protection/>
    </xf>
    <xf numFmtId="167" fontId="0" fillId="0" borderId="0" xfId="0" applyNumberFormat="1" applyFont="1" applyBorder="1" applyAlignment="1" applyProtection="1">
      <alignment/>
      <protection/>
    </xf>
    <xf numFmtId="167" fontId="0" fillId="0" borderId="0" xfId="0" applyNumberFormat="1" applyFont="1" applyAlignment="1" applyProtection="1">
      <alignment/>
      <protection/>
    </xf>
    <xf numFmtId="167" fontId="0" fillId="0" borderId="0" xfId="67" applyNumberFormat="1" applyFont="1" applyFill="1" applyBorder="1" applyProtection="1">
      <alignment/>
      <protection/>
    </xf>
    <xf numFmtId="167" fontId="0" fillId="0" borderId="0" xfId="0" applyNumberFormat="1" applyFont="1" applyFill="1" applyBorder="1" applyAlignment="1" applyProtection="1">
      <alignment horizontal="left" vertical="top" wrapText="1"/>
      <protection/>
    </xf>
    <xf numFmtId="4" fontId="0" fillId="0" borderId="0" xfId="0" applyNumberFormat="1" applyFont="1" applyFill="1" applyBorder="1" applyAlignment="1" applyProtection="1">
      <alignment/>
      <protection/>
    </xf>
    <xf numFmtId="167" fontId="0" fillId="6" borderId="19" xfId="0" applyNumberFormat="1" applyFont="1" applyFill="1" applyBorder="1" applyAlignment="1" applyProtection="1">
      <alignment/>
      <protection/>
    </xf>
    <xf numFmtId="0" fontId="59" fillId="18" borderId="17" xfId="55" applyNumberFormat="1" applyFont="1" applyFill="1" applyBorder="1" applyAlignment="1" applyProtection="1">
      <alignment vertical="center"/>
      <protection/>
    </xf>
    <xf numFmtId="177" fontId="33" fillId="20" borderId="9" xfId="0" applyNumberFormat="1" applyFont="1" applyFill="1" applyBorder="1" applyAlignment="1" applyProtection="1">
      <alignment vertical="center"/>
      <protection/>
    </xf>
    <xf numFmtId="0" fontId="59" fillId="18" borderId="22" xfId="55" applyNumberFormat="1" applyFont="1" applyFill="1" applyBorder="1" applyAlignment="1" applyProtection="1">
      <alignment vertical="center"/>
      <protection/>
    </xf>
    <xf numFmtId="0" fontId="59" fillId="18" borderId="17" xfId="55" applyFont="1" applyFill="1" applyBorder="1" applyAlignment="1" applyProtection="1">
      <alignment vertical="center"/>
      <protection/>
    </xf>
    <xf numFmtId="0" fontId="0" fillId="0" borderId="0" xfId="0" applyFill="1" applyAlignment="1" applyProtection="1">
      <alignment horizontal="left"/>
      <protection/>
    </xf>
    <xf numFmtId="0" fontId="1" fillId="0" borderId="0" xfId="67" applyFont="1" applyFill="1" applyAlignment="1" applyProtection="1">
      <alignment horizontal="left" vertical="center"/>
      <protection/>
    </xf>
    <xf numFmtId="170" fontId="54" fillId="0" borderId="21" xfId="0" applyNumberFormat="1" applyFont="1" applyFill="1" applyBorder="1" applyAlignment="1" applyProtection="1">
      <alignment horizontal="left" wrapText="1"/>
      <protection/>
    </xf>
    <xf numFmtId="0" fontId="43" fillId="0" borderId="0" xfId="0" applyFont="1" applyFill="1" applyAlignment="1" applyProtection="1">
      <alignment horizontal="left"/>
      <protection hidden="1"/>
    </xf>
    <xf numFmtId="1" fontId="48" fillId="0" borderId="0" xfId="67" applyNumberFormat="1" applyFont="1" applyFill="1" applyAlignment="1" applyProtection="1">
      <alignment horizontal="left" vertical="center"/>
      <protection hidden="1"/>
    </xf>
    <xf numFmtId="3" fontId="1" fillId="0" borderId="9" xfId="0" applyNumberFormat="1" applyFont="1" applyFill="1" applyBorder="1" applyAlignment="1" applyProtection="1">
      <alignment horizontal="left" vertical="center" wrapText="1"/>
      <protection hidden="1"/>
    </xf>
    <xf numFmtId="0" fontId="39" fillId="16" borderId="0" xfId="0" applyFont="1" applyFill="1" applyAlignment="1" applyProtection="1">
      <alignment horizontal="center" vertical="center"/>
      <protection hidden="1" locked="0"/>
    </xf>
    <xf numFmtId="0" fontId="0" fillId="0" borderId="10" xfId="0" applyBorder="1" applyAlignment="1">
      <alignment/>
    </xf>
    <xf numFmtId="0" fontId="0" fillId="0" borderId="10" xfId="0" applyBorder="1" applyAlignment="1">
      <alignment wrapText="1"/>
    </xf>
    <xf numFmtId="0" fontId="20" fillId="0" borderId="10" xfId="0" applyFont="1" applyBorder="1" applyAlignment="1">
      <alignment/>
    </xf>
    <xf numFmtId="0" fontId="0" fillId="0" borderId="10" xfId="0" applyFill="1" applyBorder="1" applyAlignment="1">
      <alignment wrapText="1"/>
    </xf>
    <xf numFmtId="0" fontId="0" fillId="0" borderId="10" xfId="0" applyFill="1" applyBorder="1" applyAlignment="1">
      <alignment/>
    </xf>
    <xf numFmtId="167" fontId="0" fillId="0" borderId="10" xfId="0" applyNumberFormat="1" applyBorder="1" applyAlignment="1">
      <alignment/>
    </xf>
    <xf numFmtId="167" fontId="20" fillId="0" borderId="10" xfId="0" applyNumberFormat="1" applyFont="1" applyBorder="1" applyAlignment="1">
      <alignment/>
    </xf>
    <xf numFmtId="0" fontId="0" fillId="0" borderId="24" xfId="0" applyFill="1" applyBorder="1" applyAlignment="1">
      <alignment/>
    </xf>
    <xf numFmtId="0" fontId="0" fillId="24" borderId="10" xfId="0" applyFill="1" applyBorder="1" applyAlignment="1">
      <alignment/>
    </xf>
    <xf numFmtId="0" fontId="0" fillId="24" borderId="10" xfId="0" applyFill="1" applyBorder="1" applyAlignment="1">
      <alignment wrapText="1"/>
    </xf>
    <xf numFmtId="0" fontId="20" fillId="24" borderId="10" xfId="0" applyFont="1" applyFill="1" applyBorder="1" applyAlignment="1">
      <alignment/>
    </xf>
    <xf numFmtId="167" fontId="0" fillId="24" borderId="10" xfId="0" applyNumberFormat="1" applyFill="1" applyBorder="1" applyAlignment="1">
      <alignment/>
    </xf>
    <xf numFmtId="0" fontId="0" fillId="0" borderId="24" xfId="0" applyBorder="1" applyAlignment="1">
      <alignment/>
    </xf>
    <xf numFmtId="0" fontId="0" fillId="0" borderId="0" xfId="0" applyBorder="1" applyAlignment="1">
      <alignment/>
    </xf>
    <xf numFmtId="0" fontId="20" fillId="0" borderId="0" xfId="0" applyFont="1" applyBorder="1" applyAlignment="1">
      <alignment/>
    </xf>
    <xf numFmtId="167" fontId="47" fillId="0" borderId="9" xfId="0" applyNumberFormat="1" applyFont="1" applyFill="1" applyBorder="1" applyAlignment="1" applyProtection="1">
      <alignment horizontal="right" vertical="center" wrapText="1"/>
      <protection/>
    </xf>
    <xf numFmtId="0" fontId="0" fillId="0" borderId="20" xfId="67" applyFont="1" applyFill="1" applyBorder="1" applyAlignment="1" applyProtection="1">
      <alignment vertical="center" wrapText="1"/>
      <protection hidden="1"/>
    </xf>
    <xf numFmtId="0" fontId="63" fillId="0" borderId="0" xfId="0" applyFont="1" applyAlignment="1" applyProtection="1">
      <alignment horizontal="center" vertical="center"/>
      <protection locked="0"/>
    </xf>
    <xf numFmtId="3" fontId="36" fillId="0" borderId="0" xfId="0" applyNumberFormat="1" applyFont="1" applyFill="1" applyAlignment="1" applyProtection="1">
      <alignment horizontal="right" vertical="center"/>
      <protection/>
    </xf>
    <xf numFmtId="3" fontId="36" fillId="0" borderId="0" xfId="0" applyNumberFormat="1" applyFont="1" applyBorder="1" applyAlignment="1" applyProtection="1">
      <alignment horizontal="left" vertical="center"/>
      <protection/>
    </xf>
    <xf numFmtId="0" fontId="43" fillId="0" borderId="0" xfId="0" applyFont="1" applyAlignment="1" applyProtection="1">
      <alignment horizontal="left" vertical="center"/>
      <protection hidden="1"/>
    </xf>
    <xf numFmtId="170" fontId="36" fillId="0" borderId="9" xfId="0" applyNumberFormat="1" applyFont="1" applyFill="1" applyBorder="1" applyAlignment="1" applyProtection="1">
      <alignment horizontal="right" vertical="center"/>
      <protection hidden="1"/>
    </xf>
    <xf numFmtId="10" fontId="0" fillId="0" borderId="0" xfId="74" applyNumberFormat="1" applyAlignment="1" applyProtection="1">
      <alignment horizontal="center" vertical="center"/>
      <protection locked="0"/>
    </xf>
    <xf numFmtId="0" fontId="39" fillId="25" borderId="0" xfId="0" applyFont="1" applyFill="1" applyAlignment="1" applyProtection="1">
      <alignment horizontal="center" vertical="center"/>
      <protection locked="0"/>
    </xf>
    <xf numFmtId="4" fontId="53" fillId="0" borderId="0" xfId="0" applyNumberFormat="1" applyFont="1" applyAlignment="1">
      <alignment/>
    </xf>
    <xf numFmtId="9" fontId="35" fillId="0" borderId="0" xfId="74" applyFont="1" applyFill="1" applyBorder="1" applyAlignment="1" applyProtection="1">
      <alignment/>
      <protection/>
    </xf>
    <xf numFmtId="166" fontId="19" fillId="23" borderId="0" xfId="74" applyNumberFormat="1" applyFont="1" applyFill="1" applyAlignment="1" applyProtection="1">
      <alignment/>
      <protection locked="0"/>
    </xf>
    <xf numFmtId="0" fontId="34" fillId="0" borderId="0" xfId="0" applyFont="1" applyAlignment="1" applyProtection="1">
      <alignment/>
      <protection locked="0"/>
    </xf>
    <xf numFmtId="0" fontId="19" fillId="0" borderId="25" xfId="0" applyFont="1" applyBorder="1" applyAlignment="1" applyProtection="1">
      <alignment horizontal="right"/>
      <protection/>
    </xf>
    <xf numFmtId="0" fontId="43" fillId="0" borderId="0" xfId="0" applyFont="1" applyAlignment="1" applyProtection="1">
      <alignment/>
      <protection/>
    </xf>
    <xf numFmtId="0" fontId="0" fillId="0" borderId="0" xfId="0" applyFont="1" applyAlignment="1" applyProtection="1">
      <alignment/>
      <protection/>
    </xf>
    <xf numFmtId="0" fontId="21" fillId="0" borderId="26" xfId="0" applyFont="1" applyBorder="1" applyAlignment="1" applyProtection="1">
      <alignment vertical="center"/>
      <protection/>
    </xf>
    <xf numFmtId="0" fontId="0" fillId="0" borderId="27" xfId="0" applyBorder="1" applyAlignment="1" applyProtection="1">
      <alignment/>
      <protection/>
    </xf>
    <xf numFmtId="170" fontId="0" fillId="0" borderId="27" xfId="0" applyNumberFormat="1" applyBorder="1" applyAlignment="1" applyProtection="1">
      <alignment/>
      <protection/>
    </xf>
    <xf numFmtId="167" fontId="0" fillId="0" borderId="27" xfId="0" applyNumberFormat="1" applyBorder="1" applyAlignment="1" applyProtection="1">
      <alignment/>
      <protection/>
    </xf>
    <xf numFmtId="0" fontId="21" fillId="0" borderId="28" xfId="0" applyFont="1" applyBorder="1" applyAlignment="1" applyProtection="1">
      <alignment horizontal="right"/>
      <protection/>
    </xf>
    <xf numFmtId="0" fontId="23" fillId="0" borderId="29" xfId="0" applyFont="1" applyBorder="1" applyAlignment="1" applyProtection="1">
      <alignment vertical="center"/>
      <protection/>
    </xf>
    <xf numFmtId="0" fontId="0" fillId="0" borderId="30" xfId="0" applyBorder="1" applyAlignment="1" applyProtection="1">
      <alignment/>
      <protection/>
    </xf>
    <xf numFmtId="170" fontId="0" fillId="0" borderId="30" xfId="0" applyNumberFormat="1" applyBorder="1" applyAlignment="1" applyProtection="1">
      <alignment/>
      <protection/>
    </xf>
    <xf numFmtId="167" fontId="0" fillId="0" borderId="30" xfId="0" applyNumberFormat="1" applyBorder="1" applyAlignment="1" applyProtection="1">
      <alignment/>
      <protection/>
    </xf>
    <xf numFmtId="0" fontId="24" fillId="0" borderId="31" xfId="0" applyFont="1" applyBorder="1" applyAlignment="1" applyProtection="1">
      <alignment horizontal="right"/>
      <protection/>
    </xf>
    <xf numFmtId="0" fontId="20" fillId="0" borderId="0" xfId="0" applyFont="1" applyAlignment="1" applyProtection="1">
      <alignment/>
      <protection/>
    </xf>
    <xf numFmtId="183" fontId="1" fillId="0" borderId="0" xfId="58" applyNumberFormat="1" applyAlignment="1" applyProtection="1">
      <alignment/>
      <protection/>
    </xf>
    <xf numFmtId="183" fontId="0" fillId="0" borderId="0" xfId="0" applyNumberFormat="1" applyFont="1" applyAlignment="1" applyProtection="1">
      <alignment/>
      <protection/>
    </xf>
    <xf numFmtId="176" fontId="20" fillId="0" borderId="0" xfId="0" applyNumberFormat="1" applyFont="1" applyAlignment="1" applyProtection="1">
      <alignment/>
      <protection/>
    </xf>
    <xf numFmtId="183" fontId="0" fillId="0" borderId="0" xfId="0" applyNumberFormat="1" applyFont="1" applyAlignment="1" applyProtection="1">
      <alignment/>
      <protection/>
    </xf>
    <xf numFmtId="0" fontId="29" fillId="0" borderId="0" xfId="0" applyFont="1" applyFill="1" applyAlignment="1" applyProtection="1">
      <alignment/>
      <protection/>
    </xf>
    <xf numFmtId="0" fontId="30" fillId="0" borderId="0" xfId="0" applyFont="1" applyFill="1" applyAlignment="1" applyProtection="1">
      <alignment/>
      <protection/>
    </xf>
    <xf numFmtId="0" fontId="30" fillId="0" borderId="0" xfId="0" applyFont="1" applyAlignment="1" applyProtection="1">
      <alignment/>
      <protection/>
    </xf>
    <xf numFmtId="0" fontId="48" fillId="0" borderId="0" xfId="67" applyFont="1" applyAlignment="1" applyProtection="1">
      <alignment vertical="center"/>
      <protection/>
    </xf>
    <xf numFmtId="0" fontId="48" fillId="0" borderId="0" xfId="67" applyFont="1" applyAlignment="1" applyProtection="1">
      <alignment horizontal="left" vertical="center"/>
      <protection/>
    </xf>
    <xf numFmtId="170" fontId="0" fillId="0" borderId="0" xfId="0" applyNumberFormat="1" applyFont="1" applyFill="1" applyAlignment="1" applyProtection="1">
      <alignment/>
      <protection/>
    </xf>
    <xf numFmtId="0" fontId="43" fillId="0" borderId="0" xfId="0" applyFont="1" applyAlignment="1" applyProtection="1">
      <alignment vertical="center"/>
      <protection/>
    </xf>
    <xf numFmtId="167" fontId="47" fillId="0" borderId="9" xfId="0" applyNumberFormat="1" applyFont="1" applyBorder="1" applyAlignment="1" applyProtection="1">
      <alignment horizontal="left" vertical="center" wrapText="1"/>
      <protection/>
    </xf>
    <xf numFmtId="0" fontId="1" fillId="0" borderId="0" xfId="67" applyFont="1" applyAlignment="1" applyProtection="1">
      <alignment horizontal="right" vertical="center"/>
      <protection/>
    </xf>
    <xf numFmtId="170" fontId="20" fillId="0" borderId="0" xfId="0" applyNumberFormat="1" applyFont="1" applyAlignment="1" applyProtection="1">
      <alignment/>
      <protection/>
    </xf>
    <xf numFmtId="0" fontId="48" fillId="16" borderId="0" xfId="67" applyFont="1" applyFill="1" applyAlignment="1" applyProtection="1">
      <alignment vertical="center"/>
      <protection/>
    </xf>
    <xf numFmtId="167" fontId="1" fillId="0" borderId="0" xfId="0" applyNumberFormat="1" applyFont="1" applyFill="1" applyBorder="1" applyAlignment="1" applyProtection="1">
      <alignment horizontal="right" vertical="center"/>
      <protection/>
    </xf>
    <xf numFmtId="0" fontId="43" fillId="0" borderId="0" xfId="0" applyFont="1" applyFill="1" applyAlignment="1" applyProtection="1">
      <alignment/>
      <protection/>
    </xf>
    <xf numFmtId="0" fontId="0" fillId="0" borderId="0" xfId="0" applyFill="1" applyAlignment="1" applyProtection="1">
      <alignment/>
      <protection/>
    </xf>
    <xf numFmtId="0" fontId="48" fillId="25" borderId="0" xfId="67" applyFont="1" applyFill="1" applyAlignment="1" applyProtection="1">
      <alignment horizontal="left" vertical="center"/>
      <protection/>
    </xf>
    <xf numFmtId="0" fontId="64" fillId="0" borderId="0" xfId="0" applyFont="1" applyAlignment="1" applyProtection="1">
      <alignment horizontal="left" vertical="center" wrapText="1"/>
      <protection/>
    </xf>
    <xf numFmtId="167" fontId="60" fillId="0" borderId="9" xfId="0" applyNumberFormat="1" applyFont="1" applyBorder="1" applyAlignment="1" applyProtection="1">
      <alignment horizontal="left" vertical="center" wrapText="1"/>
      <protection/>
    </xf>
    <xf numFmtId="170" fontId="60" fillId="0" borderId="9" xfId="0" applyNumberFormat="1" applyFont="1" applyBorder="1" applyAlignment="1" applyProtection="1">
      <alignment horizontal="left" vertical="center"/>
      <protection/>
    </xf>
    <xf numFmtId="0" fontId="43" fillId="0" borderId="0" xfId="0" applyFont="1" applyAlignment="1" applyProtection="1">
      <alignment/>
      <protection hidden="1"/>
    </xf>
    <xf numFmtId="0" fontId="25" fillId="0" borderId="0" xfId="55" applyFont="1" applyAlignment="1" applyProtection="1">
      <alignment/>
      <protection/>
    </xf>
    <xf numFmtId="177" fontId="43" fillId="0" borderId="0" xfId="0" applyNumberFormat="1" applyFont="1" applyAlignment="1" applyProtection="1">
      <alignment/>
      <protection/>
    </xf>
    <xf numFmtId="177" fontId="0" fillId="0" borderId="0" xfId="0" applyNumberFormat="1" applyAlignment="1" applyProtection="1">
      <alignment/>
      <protection/>
    </xf>
    <xf numFmtId="3" fontId="61" fillId="0" borderId="9" xfId="0" applyNumberFormat="1" applyFont="1" applyBorder="1" applyAlignment="1" applyProtection="1">
      <alignment horizontal="left" vertical="center" wrapText="1"/>
      <protection/>
    </xf>
    <xf numFmtId="185" fontId="61" fillId="0" borderId="9" xfId="0" applyNumberFormat="1" applyFont="1" applyBorder="1" applyAlignment="1" applyProtection="1">
      <alignment horizontal="left" vertical="center"/>
      <protection/>
    </xf>
    <xf numFmtId="0" fontId="1" fillId="0" borderId="0" xfId="67" applyFont="1" applyProtection="1">
      <alignment/>
      <protection/>
    </xf>
    <xf numFmtId="0" fontId="43" fillId="25" borderId="0" xfId="0" applyFont="1" applyFill="1" applyAlignment="1" applyProtection="1">
      <alignment horizontal="left" vertical="center"/>
      <protection/>
    </xf>
    <xf numFmtId="0" fontId="35" fillId="0" borderId="0" xfId="0" applyFont="1" applyAlignment="1" applyProtection="1">
      <alignment horizontal="center"/>
      <protection/>
    </xf>
    <xf numFmtId="0" fontId="0" fillId="0" borderId="0" xfId="0" applyFont="1" applyFill="1" applyAlignment="1" applyProtection="1">
      <alignment/>
      <protection locked="0"/>
    </xf>
    <xf numFmtId="0" fontId="25" fillId="0" borderId="0" xfId="55" applyAlignment="1" applyProtection="1">
      <alignment/>
      <protection locked="0"/>
    </xf>
    <xf numFmtId="0" fontId="0" fillId="0" borderId="0" xfId="0" applyAlignment="1" applyProtection="1">
      <alignment/>
      <protection hidden="1" locked="0"/>
    </xf>
    <xf numFmtId="0" fontId="25" fillId="0" borderId="0" xfId="55" applyAlignment="1" applyProtection="1">
      <alignment/>
      <protection hidden="1" locked="0"/>
    </xf>
    <xf numFmtId="180" fontId="1" fillId="20" borderId="9" xfId="0" applyNumberFormat="1" applyFont="1" applyFill="1" applyBorder="1" applyAlignment="1" applyProtection="1">
      <alignment vertical="center"/>
      <protection locked="0"/>
    </xf>
    <xf numFmtId="177" fontId="1" fillId="20" borderId="9" xfId="0" applyNumberFormat="1" applyFont="1" applyFill="1" applyBorder="1" applyAlignment="1" applyProtection="1">
      <alignment vertical="center"/>
      <protection locked="0"/>
    </xf>
    <xf numFmtId="177" fontId="1" fillId="20" borderId="9" xfId="0" applyNumberFormat="1" applyFont="1" applyFill="1" applyBorder="1" applyAlignment="1" applyProtection="1">
      <alignment vertical="center"/>
      <protection hidden="1" locked="0"/>
    </xf>
    <xf numFmtId="177" fontId="33" fillId="20" borderId="9" xfId="0" applyNumberFormat="1" applyFont="1" applyFill="1" applyBorder="1" applyAlignment="1" applyProtection="1">
      <alignment vertical="center"/>
      <protection locked="0"/>
    </xf>
    <xf numFmtId="166" fontId="1" fillId="20" borderId="9" xfId="0" applyNumberFormat="1" applyFont="1" applyFill="1" applyBorder="1" applyAlignment="1" applyProtection="1">
      <alignment vertical="center"/>
      <protection locked="0"/>
    </xf>
    <xf numFmtId="166" fontId="1" fillId="20" borderId="0" xfId="0" applyNumberFormat="1" applyFont="1" applyFill="1" applyBorder="1" applyAlignment="1" applyProtection="1">
      <alignment vertical="center"/>
      <protection locked="0"/>
    </xf>
    <xf numFmtId="177" fontId="33" fillId="20" borderId="0" xfId="0" applyNumberFormat="1" applyFont="1" applyFill="1" applyBorder="1" applyAlignment="1" applyProtection="1">
      <alignment vertical="center"/>
      <protection locked="0"/>
    </xf>
    <xf numFmtId="167" fontId="0" fillId="0" borderId="0" xfId="0" applyNumberFormat="1" applyFont="1" applyAlignment="1" applyProtection="1">
      <alignment/>
      <protection locked="0"/>
    </xf>
    <xf numFmtId="9" fontId="0" fillId="20" borderId="9" xfId="74" applyFont="1" applyFill="1" applyBorder="1" applyAlignment="1" applyProtection="1">
      <alignment vertical="center"/>
      <protection locked="0"/>
    </xf>
    <xf numFmtId="177" fontId="36" fillId="20" borderId="9" xfId="0" applyNumberFormat="1" applyFont="1" applyFill="1" applyBorder="1" applyAlignment="1" applyProtection="1">
      <alignment vertical="center"/>
      <protection locked="0"/>
    </xf>
    <xf numFmtId="166" fontId="1" fillId="20" borderId="0" xfId="0" applyNumberFormat="1" applyFont="1" applyFill="1" applyAlignment="1" applyProtection="1">
      <alignment vertical="center"/>
      <protection locked="0"/>
    </xf>
    <xf numFmtId="180" fontId="1" fillId="20" borderId="9" xfId="0" applyNumberFormat="1" applyFont="1" applyFill="1" applyBorder="1" applyAlignment="1" applyProtection="1">
      <alignment vertical="center"/>
      <protection hidden="1" locked="0"/>
    </xf>
    <xf numFmtId="180" fontId="36" fillId="20" borderId="9" xfId="0" applyNumberFormat="1" applyFont="1" applyFill="1" applyBorder="1" applyAlignment="1" applyProtection="1">
      <alignment vertical="center"/>
      <protection locked="0"/>
    </xf>
    <xf numFmtId="177" fontId="1" fillId="20" borderId="0" xfId="0" applyNumberFormat="1" applyFont="1" applyFill="1" applyBorder="1" applyAlignment="1" applyProtection="1">
      <alignment vertical="center"/>
      <protection locked="0"/>
    </xf>
    <xf numFmtId="166" fontId="1" fillId="20" borderId="0" xfId="0" applyNumberFormat="1" applyFont="1" applyFill="1" applyAlignment="1" applyProtection="1">
      <alignment vertical="center"/>
      <protection hidden="1" locked="0"/>
    </xf>
    <xf numFmtId="0" fontId="34" fillId="0" borderId="0" xfId="0" applyFont="1" applyAlignment="1" applyProtection="1">
      <alignment/>
      <protection/>
    </xf>
    <xf numFmtId="0" fontId="34" fillId="0" borderId="0" xfId="0" applyFont="1" applyAlignment="1" applyProtection="1">
      <alignment/>
      <protection/>
    </xf>
    <xf numFmtId="0" fontId="34" fillId="0" borderId="32" xfId="0" applyFont="1" applyBorder="1" applyAlignment="1" applyProtection="1">
      <alignment/>
      <protection/>
    </xf>
    <xf numFmtId="0" fontId="53" fillId="0" borderId="0" xfId="0" applyFont="1" applyAlignment="1" applyProtection="1">
      <alignment/>
      <protection/>
    </xf>
    <xf numFmtId="4" fontId="35" fillId="0" borderId="0" xfId="0" applyNumberFormat="1" applyFont="1" applyAlignment="1" applyProtection="1">
      <alignment/>
      <protection/>
    </xf>
    <xf numFmtId="0" fontId="35" fillId="0" borderId="0" xfId="0" applyFont="1" applyAlignment="1" applyProtection="1">
      <alignment wrapText="1"/>
      <protection/>
    </xf>
    <xf numFmtId="0" fontId="62" fillId="0" borderId="0" xfId="54" applyFont="1" applyAlignment="1" applyProtection="1">
      <alignment wrapText="1"/>
      <protection/>
    </xf>
    <xf numFmtId="4" fontId="53" fillId="0" borderId="0" xfId="0" applyNumberFormat="1" applyFont="1" applyAlignment="1" applyProtection="1">
      <alignment/>
      <protection/>
    </xf>
    <xf numFmtId="0" fontId="2" fillId="0" borderId="0" xfId="54" applyProtection="1">
      <alignment/>
      <protection/>
    </xf>
    <xf numFmtId="0" fontId="2" fillId="0" borderId="0" xfId="54" applyAlignment="1" applyProtection="1">
      <alignment horizontal="center"/>
      <protection/>
    </xf>
    <xf numFmtId="0" fontId="35" fillId="0" borderId="0" xfId="69" applyFont="1" applyProtection="1">
      <alignment/>
      <protection/>
    </xf>
    <xf numFmtId="0" fontId="35" fillId="0" borderId="0" xfId="69" applyFont="1" applyAlignment="1" applyProtection="1">
      <alignment horizontal="center"/>
      <protection/>
    </xf>
    <xf numFmtId="0" fontId="53" fillId="0" borderId="0" xfId="69" applyFont="1" applyProtection="1">
      <alignment/>
      <protection/>
    </xf>
    <xf numFmtId="0" fontId="35" fillId="0" borderId="0" xfId="69" applyFont="1" applyAlignment="1" applyProtection="1">
      <alignment wrapText="1"/>
      <protection/>
    </xf>
    <xf numFmtId="4" fontId="35" fillId="0" borderId="0" xfId="69" applyNumberFormat="1" applyFont="1" applyProtection="1">
      <alignment/>
      <protection/>
    </xf>
    <xf numFmtId="4" fontId="57" fillId="0" borderId="0" xfId="69" applyNumberFormat="1" applyFont="1" applyProtection="1">
      <alignment/>
      <protection/>
    </xf>
    <xf numFmtId="0" fontId="57" fillId="0" borderId="0" xfId="69" applyFont="1" applyAlignment="1" applyProtection="1">
      <alignment horizontal="center"/>
      <protection/>
    </xf>
    <xf numFmtId="9" fontId="53" fillId="0" borderId="0" xfId="73" applyFont="1" applyAlignment="1" applyProtection="1">
      <alignment/>
      <protection/>
    </xf>
    <xf numFmtId="4" fontId="53" fillId="0" borderId="0" xfId="69" applyNumberFormat="1" applyFont="1" applyProtection="1">
      <alignment/>
      <protection/>
    </xf>
    <xf numFmtId="0" fontId="57" fillId="0" borderId="0" xfId="69" applyFont="1" applyProtection="1">
      <alignment/>
      <protection/>
    </xf>
    <xf numFmtId="0" fontId="35" fillId="0" borderId="0" xfId="0" applyFont="1" applyAlignment="1" applyProtection="1">
      <alignment horizontal="right"/>
      <protection/>
    </xf>
    <xf numFmtId="0" fontId="35" fillId="0" borderId="0" xfId="66" applyFont="1" applyAlignment="1" applyProtection="1">
      <alignment horizontal="center"/>
      <protection/>
    </xf>
    <xf numFmtId="0" fontId="53" fillId="0" borderId="32" xfId="0" applyFont="1" applyBorder="1" applyAlignment="1" applyProtection="1">
      <alignment/>
      <protection/>
    </xf>
    <xf numFmtId="0" fontId="35" fillId="0" borderId="32" xfId="0" applyFont="1" applyBorder="1" applyAlignment="1" applyProtection="1">
      <alignment/>
      <protection/>
    </xf>
    <xf numFmtId="4" fontId="53" fillId="0" borderId="32" xfId="0" applyNumberFormat="1" applyFont="1" applyBorder="1" applyAlignment="1" applyProtection="1">
      <alignment/>
      <protection/>
    </xf>
    <xf numFmtId="0" fontId="0" fillId="0" borderId="0" xfId="0" applyAlignment="1" applyProtection="1">
      <alignment horizontal="left" vertical="center" wrapText="1"/>
      <protection/>
    </xf>
    <xf numFmtId="3" fontId="0" fillId="0" borderId="0" xfId="0" applyNumberFormat="1" applyAlignment="1" applyProtection="1">
      <alignment horizontal="left" vertical="center"/>
      <protection/>
    </xf>
    <xf numFmtId="0" fontId="35" fillId="0" borderId="0" xfId="0" applyFont="1" applyAlignment="1" applyProtection="1">
      <alignment/>
      <protection locked="0"/>
    </xf>
    <xf numFmtId="0" fontId="35" fillId="0" borderId="0" xfId="69" applyFont="1" applyProtection="1">
      <alignment/>
      <protection locked="0"/>
    </xf>
    <xf numFmtId="3" fontId="33" fillId="19" borderId="17" xfId="0" applyNumberFormat="1" applyFont="1" applyFill="1" applyBorder="1" applyAlignment="1" applyProtection="1">
      <alignment horizontal="left" vertical="center" wrapText="1"/>
      <protection/>
    </xf>
    <xf numFmtId="3" fontId="1" fillId="19" borderId="17" xfId="0" applyNumberFormat="1" applyFont="1" applyFill="1" applyBorder="1" applyAlignment="1" applyProtection="1">
      <alignment horizontal="left" vertical="center" wrapText="1"/>
      <protection/>
    </xf>
    <xf numFmtId="0" fontId="25" fillId="18" borderId="17" xfId="55" applyNumberFormat="1" applyFill="1" applyBorder="1" applyAlignment="1" applyProtection="1">
      <alignment vertical="center"/>
      <protection/>
    </xf>
    <xf numFmtId="3" fontId="33" fillId="0" borderId="23" xfId="0" applyNumberFormat="1" applyFont="1" applyBorder="1" applyAlignment="1" applyProtection="1">
      <alignment horizontal="left" vertical="center" wrapText="1"/>
      <protection hidden="1"/>
    </xf>
    <xf numFmtId="3" fontId="1" fillId="0" borderId="23" xfId="0" applyNumberFormat="1" applyFont="1" applyBorder="1" applyAlignment="1" applyProtection="1">
      <alignment horizontal="left" vertical="center" wrapText="1"/>
      <protection/>
    </xf>
    <xf numFmtId="3" fontId="33" fillId="19" borderId="23" xfId="0" applyNumberFormat="1" applyFont="1" applyFill="1" applyBorder="1" applyAlignment="1" applyProtection="1">
      <alignment horizontal="left" vertical="center" wrapText="1"/>
      <protection/>
    </xf>
    <xf numFmtId="167" fontId="0" fillId="0" borderId="0" xfId="0" applyNumberFormat="1" applyFill="1" applyBorder="1" applyAlignment="1" applyProtection="1">
      <alignment horizontal="left" vertical="top" wrapText="1"/>
      <protection/>
    </xf>
    <xf numFmtId="167" fontId="0" fillId="0" borderId="0" xfId="0" applyNumberFormat="1" applyFont="1" applyFill="1" applyBorder="1" applyAlignment="1" applyProtection="1">
      <alignment horizontal="left" vertical="top" wrapText="1"/>
      <protection/>
    </xf>
    <xf numFmtId="3" fontId="0" fillId="0" borderId="0" xfId="0" applyNumberFormat="1" applyFill="1" applyBorder="1" applyAlignment="1" applyProtection="1">
      <alignment horizontal="left" vertical="center" wrapText="1"/>
      <protection/>
    </xf>
    <xf numFmtId="3" fontId="0" fillId="0" borderId="0" xfId="0" applyNumberFormat="1" applyFont="1" applyFill="1" applyBorder="1" applyAlignment="1" applyProtection="1">
      <alignment horizontal="left" vertical="center" wrapText="1"/>
      <protection/>
    </xf>
    <xf numFmtId="0" fontId="22" fillId="0" borderId="33" xfId="0" applyFont="1" applyBorder="1" applyAlignment="1" applyProtection="1">
      <alignment horizontal="center" vertical="center" wrapText="1"/>
      <protection/>
    </xf>
    <xf numFmtId="0" fontId="22" fillId="0" borderId="34" xfId="0" applyFont="1" applyBorder="1" applyAlignment="1" applyProtection="1">
      <alignment horizontal="center" vertical="center" wrapText="1"/>
      <protection/>
    </xf>
    <xf numFmtId="0" fontId="22" fillId="0" borderId="35" xfId="0" applyFont="1" applyBorder="1" applyAlignment="1" applyProtection="1">
      <alignment horizontal="center" vertical="center" wrapText="1"/>
      <protection/>
    </xf>
    <xf numFmtId="0" fontId="22" fillId="0" borderId="26" xfId="0" applyFont="1" applyBorder="1" applyAlignment="1" applyProtection="1">
      <alignment horizontal="left" vertical="center" wrapText="1"/>
      <protection/>
    </xf>
    <xf numFmtId="0" fontId="22" fillId="0" borderId="27" xfId="0" applyFont="1" applyBorder="1" applyAlignment="1" applyProtection="1">
      <alignment horizontal="left" vertical="center" wrapText="1"/>
      <protection/>
    </xf>
    <xf numFmtId="0" fontId="22" fillId="0" borderId="28" xfId="0" applyFont="1" applyBorder="1" applyAlignment="1" applyProtection="1">
      <alignment horizontal="left" vertical="center" wrapText="1"/>
      <protection/>
    </xf>
    <xf numFmtId="3" fontId="33" fillId="0" borderId="36" xfId="0" applyNumberFormat="1" applyFont="1" applyBorder="1" applyAlignment="1" applyProtection="1">
      <alignment horizontal="left" vertical="center" wrapText="1"/>
      <protection/>
    </xf>
    <xf numFmtId="3" fontId="33" fillId="0" borderId="23" xfId="0" applyNumberFormat="1" applyFont="1" applyBorder="1" applyAlignment="1" applyProtection="1">
      <alignment horizontal="left" vertical="center" wrapText="1"/>
      <protection/>
    </xf>
    <xf numFmtId="0" fontId="1" fillId="0" borderId="0" xfId="0" applyFont="1" applyAlignment="1" applyProtection="1">
      <alignment horizontal="justify"/>
      <protection/>
    </xf>
    <xf numFmtId="167" fontId="0" fillId="0" borderId="0" xfId="0" applyNumberFormat="1" applyFont="1" applyFill="1" applyBorder="1" applyAlignment="1" applyProtection="1">
      <alignment horizontal="left" vertical="top"/>
      <protection/>
    </xf>
    <xf numFmtId="176" fontId="27" fillId="0" borderId="19" xfId="0" applyNumberFormat="1" applyFont="1" applyBorder="1" applyAlignment="1" applyProtection="1">
      <alignment horizontal="right"/>
      <protection/>
    </xf>
    <xf numFmtId="176" fontId="27" fillId="0" borderId="10" xfId="0" applyNumberFormat="1" applyFont="1" applyBorder="1" applyAlignment="1" applyProtection="1">
      <alignment horizontal="right"/>
      <protection/>
    </xf>
    <xf numFmtId="167" fontId="0" fillId="0" borderId="0" xfId="0" applyNumberFormat="1" applyAlignment="1" applyProtection="1">
      <alignment horizontal="left" vertical="top"/>
      <protection/>
    </xf>
    <xf numFmtId="3" fontId="0" fillId="0" borderId="0" xfId="0" applyNumberFormat="1" applyAlignment="1" applyProtection="1">
      <alignment horizontal="left" vertical="center"/>
      <protection/>
    </xf>
    <xf numFmtId="167" fontId="0" fillId="0" borderId="0" xfId="0" applyNumberFormat="1" applyAlignment="1" applyProtection="1">
      <alignment horizontal="left" vertical="top" wrapText="1"/>
      <protection/>
    </xf>
    <xf numFmtId="167" fontId="0" fillId="0" borderId="0" xfId="0" applyNumberFormat="1" applyAlignment="1" applyProtection="1">
      <alignment vertical="top" wrapText="1"/>
      <protection/>
    </xf>
    <xf numFmtId="0" fontId="0" fillId="0" borderId="0" xfId="0" applyAlignment="1" applyProtection="1">
      <alignment horizontal="left" vertical="center" wrapText="1"/>
      <protection/>
    </xf>
    <xf numFmtId="3" fontId="0" fillId="26" borderId="0" xfId="0" applyNumberFormat="1" applyFill="1" applyAlignment="1" applyProtection="1">
      <alignment horizontal="left" vertical="center"/>
      <protection/>
    </xf>
    <xf numFmtId="0" fontId="34" fillId="0" borderId="0" xfId="0" applyFont="1" applyAlignment="1" applyProtection="1">
      <alignment horizontal="center"/>
      <protection/>
    </xf>
    <xf numFmtId="0" fontId="0" fillId="0" borderId="0" xfId="67" applyFont="1" applyAlignment="1">
      <alignment vertical="center"/>
      <protection/>
    </xf>
    <xf numFmtId="0" fontId="0" fillId="0" borderId="0" xfId="0" applyAlignment="1">
      <alignment horizontal="left"/>
    </xf>
    <xf numFmtId="0" fontId="0" fillId="0" borderId="0" xfId="0" applyAlignment="1">
      <alignment horizontal="center"/>
    </xf>
    <xf numFmtId="3" fontId="1" fillId="0" borderId="9" xfId="0" applyNumberFormat="1" applyFont="1" applyBorder="1" applyAlignment="1">
      <alignment horizontal="left" vertical="center" wrapText="1"/>
    </xf>
    <xf numFmtId="3" fontId="1" fillId="0" borderId="9" xfId="0" applyNumberFormat="1" applyFont="1" applyBorder="1" applyAlignment="1">
      <alignment horizontal="left" vertical="center"/>
    </xf>
    <xf numFmtId="2" fontId="1" fillId="0" borderId="9" xfId="0" applyNumberFormat="1" applyFont="1" applyBorder="1" applyAlignment="1">
      <alignment horizontal="right" vertical="center"/>
    </xf>
    <xf numFmtId="177" fontId="1" fillId="0" borderId="9" xfId="0" applyNumberFormat="1" applyFont="1" applyBorder="1" applyAlignment="1">
      <alignment vertical="center"/>
    </xf>
  </cellXfs>
  <cellStyles count="8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Excel Built-in Normal" xfId="54"/>
    <cellStyle name="Hyperlink" xfId="55"/>
    <cellStyle name="Chybně" xfId="56"/>
    <cellStyle name="Kontrolní buňka" xfId="57"/>
    <cellStyle name="Currency" xfId="58"/>
    <cellStyle name="Currency [0]" xfId="59"/>
    <cellStyle name="Nadpis 1" xfId="60"/>
    <cellStyle name="Nadpis 2" xfId="61"/>
    <cellStyle name="Nadpis 3" xfId="62"/>
    <cellStyle name="Nadpis 4" xfId="63"/>
    <cellStyle name="Název" xfId="64"/>
    <cellStyle name="Neutrální" xfId="65"/>
    <cellStyle name="Normální 2" xfId="66"/>
    <cellStyle name="normální_BRILSTAR" xfId="67"/>
    <cellStyle name="normální_ESA_ESI" xfId="68"/>
    <cellStyle name="normální_ESA_ESI_BJ2" xfId="69"/>
    <cellStyle name="Followed Hyperlink" xfId="70"/>
    <cellStyle name="Poznámka" xfId="71"/>
    <cellStyle name="procent_ESA_ESI" xfId="72"/>
    <cellStyle name="procent_ESA_ESI_BJ2" xfId="73"/>
    <cellStyle name="Percent" xfId="74"/>
    <cellStyle name="Procenta 2" xfId="75"/>
    <cellStyle name="Propojená buňka" xfId="76"/>
    <cellStyle name="Správně" xfId="77"/>
    <cellStyle name="Špatně" xfId="78"/>
    <cellStyle name="TableStyleLight1" xfId="79"/>
    <cellStyle name="TableStyleLight1 2" xfId="80"/>
    <cellStyle name="TableStyleLight1 3" xfId="81"/>
    <cellStyle name="TableStyleLight1 4" xfId="82"/>
    <cellStyle name="Text upozornění" xfId="83"/>
    <cellStyle name="Title" xfId="84"/>
    <cellStyle name="Total" xfId="85"/>
    <cellStyle name="Vstup" xfId="86"/>
    <cellStyle name="Výpočet" xfId="87"/>
    <cellStyle name="Výstup" xfId="88"/>
    <cellStyle name="Vysvětlující text" xfId="89"/>
    <cellStyle name="Warning Text" xfId="90"/>
    <cellStyle name="Zvýraznění 1" xfId="91"/>
    <cellStyle name="Zvýraznění 2" xfId="92"/>
    <cellStyle name="Zvýraznění 3" xfId="93"/>
    <cellStyle name="Zvýraznění 4" xfId="94"/>
    <cellStyle name="Zvýraznění 5" xfId="95"/>
    <cellStyle name="Zvýraznění 6" xfId="96"/>
  </cellStyles>
  <dxfs count="6">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k-levne.cz/hl138-podomitkovy-sifon-ke-klimatizacnim-jednotkam-dn32-100x100mm.html" TargetMode="External" /><Relationship Id="rId2" Type="http://schemas.openxmlformats.org/officeDocument/2006/relationships/hyperlink" Target="https://www.siko.cz/lista-ukoncovaci-l-hlinik-elox-stribrna-delka-250-cm-vyska-10-mm-ale10250/p/ALE10250?gclid=Cj0KCQiA9P__BRC0ARIsAEZ6iriUFCvPfDFm63Tta9iemIg6LPSMDKSCYPiZbtg7MIgDR_wcOYbWNo4aAst_EALw_wcB" TargetMode="External" /><Relationship Id="rId3" Type="http://schemas.openxmlformats.org/officeDocument/2006/relationships/hyperlink" Target="https://www.spalensky.com/e/ostatni-drevene-vyrobky-676/dverni-prahy-971/?page=1&amp;sort=title&amp;parameters=2582" TargetMode="External" /><Relationship Id="rId4" Type="http://schemas.openxmlformats.org/officeDocument/2006/relationships/hyperlink" Target="https://www.kovani-kliky.cz/cobra-ochranne-kovani-alt-wien--staromosaz/" TargetMode="External" /><Relationship Id="rId5" Type="http://schemas.openxmlformats.org/officeDocument/2006/relationships/hyperlink" Target="https://www.siko.cz/obklad-fineza-happy-moon-svetle-bezova-20x40-cm-mat-waamb341-1/p/SIKOOE74411" TargetMode="External" /><Relationship Id="rId6" Type="http://schemas.openxmlformats.org/officeDocument/2006/relationships/hyperlink" Target="https://www.e-podlaha.cz/drevena-podlaha-dub-sukovity-rustikal-1518245-lak--parador-trivrstva/"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595"/>
  <sheetViews>
    <sheetView showGridLines="0" tabSelected="1" view="pageBreakPreview" zoomScale="115" zoomScaleSheetLayoutView="115" zoomScalePageLayoutView="115" workbookViewId="0" topLeftCell="A69">
      <selection activeCell="I103" sqref="I103"/>
    </sheetView>
  </sheetViews>
  <sheetFormatPr defaultColWidth="9.00390625" defaultRowHeight="12.75"/>
  <cols>
    <col min="1" max="1" width="4.375" style="6" customWidth="1"/>
    <col min="2" max="2" width="17.00390625" style="150" customWidth="1"/>
    <col min="3" max="3" width="14.375" style="7" customWidth="1"/>
    <col min="4" max="4" width="56.375" style="11" customWidth="1"/>
    <col min="5" max="5" width="9.25390625" style="9" customWidth="1"/>
    <col min="6" max="6" width="12.875" style="119" customWidth="1"/>
    <col min="7" max="7" width="12.625" style="292" customWidth="1"/>
    <col min="8" max="8" width="15.375" style="9" customWidth="1"/>
    <col min="9" max="9" width="14.00390625" style="169" customWidth="1"/>
    <col min="10" max="10" width="5.75390625" style="10" customWidth="1"/>
    <col min="11" max="11" width="20.875" style="95" customWidth="1"/>
    <col min="12" max="12" width="15.125" style="280" hidden="1" customWidth="1"/>
    <col min="13" max="14" width="13.25390625" style="9" hidden="1" customWidth="1"/>
    <col min="15" max="15" width="11.00390625" style="9" hidden="1" customWidth="1"/>
    <col min="16" max="17" width="9.125" style="9" hidden="1" customWidth="1"/>
    <col min="18" max="18" width="11.25390625" style="9" hidden="1" customWidth="1"/>
    <col min="19" max="19" width="9.125" style="9" hidden="1" customWidth="1"/>
    <col min="20" max="20" width="0" style="9" hidden="1" customWidth="1"/>
    <col min="21" max="21" width="9.125" style="9" customWidth="1"/>
    <col min="22" max="16384" width="9.125" style="1" customWidth="1"/>
  </cols>
  <sheetData>
    <row r="1" spans="4:18" ht="22.5">
      <c r="D1" s="8"/>
      <c r="F1" s="117" t="s">
        <v>104</v>
      </c>
      <c r="G1" s="117" t="s">
        <v>105</v>
      </c>
      <c r="H1" s="117" t="s">
        <v>106</v>
      </c>
      <c r="I1" s="250" t="s">
        <v>441</v>
      </c>
      <c r="J1" s="117"/>
      <c r="K1" s="94" t="s">
        <v>31</v>
      </c>
      <c r="L1" s="336" t="s">
        <v>26</v>
      </c>
      <c r="M1" s="336" t="s">
        <v>27</v>
      </c>
      <c r="N1" s="336" t="s">
        <v>28</v>
      </c>
      <c r="O1" s="336" t="s">
        <v>28</v>
      </c>
      <c r="R1" s="336" t="s">
        <v>85</v>
      </c>
    </row>
    <row r="2" spans="4:14" ht="12.75">
      <c r="D2" s="8"/>
      <c r="G2" s="282"/>
      <c r="L2" s="338"/>
      <c r="M2" s="338"/>
      <c r="N2" s="47"/>
    </row>
    <row r="3" spans="7:14" ht="12.75">
      <c r="G3" s="282"/>
      <c r="L3" s="338"/>
      <c r="M3" s="338"/>
      <c r="N3" s="47"/>
    </row>
    <row r="4" spans="4:14" ht="44.25" customHeight="1">
      <c r="D4" s="439" t="s">
        <v>720</v>
      </c>
      <c r="E4" s="440"/>
      <c r="F4" s="440"/>
      <c r="G4" s="440"/>
      <c r="H4" s="441"/>
      <c r="L4" s="338"/>
      <c r="M4" s="338"/>
      <c r="N4" s="47"/>
    </row>
    <row r="5" spans="1:14" ht="19.5" customHeight="1">
      <c r="A5" s="186"/>
      <c r="B5" s="187"/>
      <c r="D5" s="442" t="s">
        <v>71</v>
      </c>
      <c r="E5" s="443"/>
      <c r="F5" s="443"/>
      <c r="G5" s="443"/>
      <c r="H5" s="444"/>
      <c r="L5" s="338"/>
      <c r="M5" s="338"/>
      <c r="N5" s="47"/>
    </row>
    <row r="6" spans="1:14" ht="19.5" customHeight="1">
      <c r="A6" s="186"/>
      <c r="B6" s="187"/>
      <c r="D6" s="442" t="s">
        <v>72</v>
      </c>
      <c r="E6" s="443"/>
      <c r="F6" s="443"/>
      <c r="G6" s="443"/>
      <c r="H6" s="444"/>
      <c r="L6" s="338"/>
      <c r="M6" s="338"/>
      <c r="N6" s="47"/>
    </row>
    <row r="7" spans="1:14" ht="19.5" customHeight="1">
      <c r="A7" s="186"/>
      <c r="B7" s="187"/>
      <c r="D7" s="442" t="s">
        <v>951</v>
      </c>
      <c r="E7" s="443"/>
      <c r="F7" s="443"/>
      <c r="G7" s="443"/>
      <c r="H7" s="444"/>
      <c r="L7" s="338"/>
      <c r="M7" s="338"/>
      <c r="N7" s="47"/>
    </row>
    <row r="8" spans="1:14" ht="19.5" customHeight="1">
      <c r="A8" s="186"/>
      <c r="B8" s="187"/>
      <c r="D8" s="442" t="s">
        <v>950</v>
      </c>
      <c r="E8" s="443"/>
      <c r="F8" s="443"/>
      <c r="G8" s="443"/>
      <c r="H8" s="444"/>
      <c r="L8" s="338"/>
      <c r="M8" s="338"/>
      <c r="N8" s="47"/>
    </row>
    <row r="9" spans="4:14" ht="12.75">
      <c r="D9" s="339"/>
      <c r="E9" s="340"/>
      <c r="F9" s="341"/>
      <c r="G9" s="342"/>
      <c r="H9" s="343"/>
      <c r="L9" s="338"/>
      <c r="M9" s="338"/>
      <c r="N9" s="47"/>
    </row>
    <row r="10" spans="4:14" ht="23.25">
      <c r="D10" s="344" t="s">
        <v>107</v>
      </c>
      <c r="E10" s="345"/>
      <c r="F10" s="346"/>
      <c r="G10" s="347"/>
      <c r="H10" s="348"/>
      <c r="L10" s="338"/>
      <c r="M10" s="338"/>
      <c r="N10" s="47"/>
    </row>
    <row r="11" spans="7:14" ht="12.75">
      <c r="G11" s="282"/>
      <c r="L11" s="338"/>
      <c r="M11" s="338"/>
      <c r="N11" s="47"/>
    </row>
    <row r="12" spans="7:14" ht="12.75">
      <c r="G12" s="282"/>
      <c r="L12" s="349"/>
      <c r="M12" s="349"/>
      <c r="N12" s="47"/>
    </row>
    <row r="13" spans="1:21" s="2" customFormat="1" ht="16.5">
      <c r="A13" s="12"/>
      <c r="B13" s="151"/>
      <c r="C13" s="13">
        <v>1</v>
      </c>
      <c r="D13" s="14" t="str">
        <f>Kapitola_1</f>
        <v>Přípravné a bourací práce</v>
      </c>
      <c r="E13" s="15"/>
      <c r="F13" s="120"/>
      <c r="G13" s="16"/>
      <c r="H13" s="16">
        <f>+Cena_1</f>
        <v>0</v>
      </c>
      <c r="I13" s="251"/>
      <c r="J13" s="17"/>
      <c r="K13" s="96"/>
      <c r="L13" s="350">
        <f>SUMIF(I$106:I$181,"O",H$106:H$181)</f>
        <v>0</v>
      </c>
      <c r="M13" s="350">
        <f>SUMIF(I$106:I$181,"i",H$106:H$181)</f>
        <v>0</v>
      </c>
      <c r="N13" s="351">
        <f>SUM(L13:M13)</f>
        <v>0</v>
      </c>
      <c r="O13" s="352">
        <f>+H13-N13</f>
        <v>0</v>
      </c>
      <c r="P13" s="349"/>
      <c r="Q13" s="349"/>
      <c r="R13" s="349"/>
      <c r="S13" s="349"/>
      <c r="T13" s="349"/>
      <c r="U13" s="349"/>
    </row>
    <row r="14" spans="1:21" s="2" customFormat="1" ht="16.5">
      <c r="A14" s="12"/>
      <c r="B14" s="151"/>
      <c r="C14" s="13">
        <v>2</v>
      </c>
      <c r="D14" s="14" t="str">
        <f>Kapitola_2</f>
        <v>Stavební úpravy bytové jednotky</v>
      </c>
      <c r="E14" s="15"/>
      <c r="F14" s="120"/>
      <c r="G14" s="16"/>
      <c r="H14" s="16">
        <f>SUM(G15:G21)</f>
        <v>0</v>
      </c>
      <c r="I14" s="251"/>
      <c r="J14" s="17"/>
      <c r="K14" s="96"/>
      <c r="L14" s="349"/>
      <c r="M14" s="349"/>
      <c r="N14" s="349"/>
      <c r="O14" s="352"/>
      <c r="P14" s="349"/>
      <c r="Q14" s="349"/>
      <c r="R14" s="349"/>
      <c r="S14" s="349"/>
      <c r="T14" s="349"/>
      <c r="U14" s="349"/>
    </row>
    <row r="15" spans="1:21" s="2" customFormat="1" ht="16.5">
      <c r="A15" s="12"/>
      <c r="B15" s="151"/>
      <c r="C15" s="18" t="s">
        <v>118</v>
      </c>
      <c r="D15" s="14" t="str">
        <f>Kapitola_2a</f>
        <v>Stěny a příčky</v>
      </c>
      <c r="E15" s="15"/>
      <c r="F15" s="120"/>
      <c r="G15" s="16">
        <f>+Cena_2a</f>
        <v>0</v>
      </c>
      <c r="H15" s="16"/>
      <c r="I15" s="251"/>
      <c r="J15" s="17"/>
      <c r="K15" s="96"/>
      <c r="L15" s="350">
        <f>SUMIF(I$186:I$204,"O",H$186:H$204)</f>
        <v>0</v>
      </c>
      <c r="M15" s="350">
        <f>SUMIF(I$186:I$204,"i",H$186:H$204)</f>
        <v>0</v>
      </c>
      <c r="N15" s="351">
        <f aca="true" t="shared" si="0" ref="N15:N21">SUM(L15:M15)</f>
        <v>0</v>
      </c>
      <c r="O15" s="352">
        <f aca="true" t="shared" si="1" ref="O15:O21">+G15-N15</f>
        <v>0</v>
      </c>
      <c r="P15" s="349"/>
      <c r="Q15" s="349"/>
      <c r="R15" s="349"/>
      <c r="S15" s="349"/>
      <c r="T15" s="349"/>
      <c r="U15" s="349"/>
    </row>
    <row r="16" spans="1:21" s="2" customFormat="1" ht="16.5">
      <c r="A16" s="12"/>
      <c r="B16" s="151"/>
      <c r="C16" s="18" t="s">
        <v>119</v>
      </c>
      <c r="D16" s="14" t="str">
        <f>Kapitola_2b</f>
        <v>Stropy, stropní konstrukce a podhledy</v>
      </c>
      <c r="E16" s="15"/>
      <c r="F16" s="120"/>
      <c r="G16" s="16">
        <f>+Cena_2b</f>
        <v>0</v>
      </c>
      <c r="H16" s="16"/>
      <c r="I16" s="251"/>
      <c r="J16" s="17"/>
      <c r="K16" s="96"/>
      <c r="L16" s="350">
        <f>SUMIF(I$209:I$216,"O",H$209:H$216)</f>
        <v>0</v>
      </c>
      <c r="M16" s="350">
        <f>SUMIF(I$209:I$216,"i",H$209:H$216)</f>
        <v>0</v>
      </c>
      <c r="N16" s="351">
        <f t="shared" si="0"/>
        <v>0</v>
      </c>
      <c r="O16" s="352">
        <f t="shared" si="1"/>
        <v>0</v>
      </c>
      <c r="P16" s="349"/>
      <c r="Q16" s="349"/>
      <c r="R16" s="349"/>
      <c r="S16" s="349"/>
      <c r="T16" s="349"/>
      <c r="U16" s="349"/>
    </row>
    <row r="17" spans="1:21" s="2" customFormat="1" ht="16.5">
      <c r="A17" s="12"/>
      <c r="B17" s="151"/>
      <c r="C17" s="18" t="s">
        <v>120</v>
      </c>
      <c r="D17" s="14" t="str">
        <f>Kapitola_2c</f>
        <v>Úpravy povrchů vnitřní (stěny, stropy)</v>
      </c>
      <c r="E17" s="15"/>
      <c r="F17" s="120"/>
      <c r="G17" s="16">
        <f>+Cena_2c</f>
        <v>0</v>
      </c>
      <c r="H17" s="16"/>
      <c r="I17" s="251"/>
      <c r="J17" s="17"/>
      <c r="K17" s="96"/>
      <c r="L17" s="350">
        <f>SUMIF(I$221:I$298,"O",H$221:H$298)</f>
        <v>0</v>
      </c>
      <c r="M17" s="350">
        <f>SUMIF(I$221:I$298,"i",H$221:H$298)</f>
        <v>0</v>
      </c>
      <c r="N17" s="351">
        <f t="shared" si="0"/>
        <v>0</v>
      </c>
      <c r="O17" s="352">
        <f t="shared" si="1"/>
        <v>0</v>
      </c>
      <c r="P17" s="349"/>
      <c r="Q17" s="349"/>
      <c r="R17" s="349"/>
      <c r="S17" s="349"/>
      <c r="T17" s="349"/>
      <c r="U17" s="349"/>
    </row>
    <row r="18" spans="1:21" s="2" customFormat="1" ht="16.5">
      <c r="A18" s="12"/>
      <c r="B18" s="151"/>
      <c r="C18" s="20" t="s">
        <v>121</v>
      </c>
      <c r="D18" s="14" t="str">
        <f>Kapitola_2j</f>
        <v>Konstrukce truhlářské</v>
      </c>
      <c r="E18" s="15"/>
      <c r="F18" s="120"/>
      <c r="G18" s="16">
        <f>+H329</f>
        <v>0</v>
      </c>
      <c r="H18" s="16"/>
      <c r="I18" s="251"/>
      <c r="J18" s="17"/>
      <c r="K18" s="96"/>
      <c r="L18" s="350">
        <f>SUMIF(I$303:I$328,"O",H$303:H$328)</f>
        <v>0</v>
      </c>
      <c r="M18" s="350">
        <f>SUMIF(I$303:I$328,"i",H$303:H$328)</f>
        <v>0</v>
      </c>
      <c r="N18" s="351">
        <f t="shared" si="0"/>
        <v>0</v>
      </c>
      <c r="O18" s="352">
        <f t="shared" si="1"/>
        <v>0</v>
      </c>
      <c r="P18" s="349"/>
      <c r="Q18" s="349"/>
      <c r="R18" s="349"/>
      <c r="S18" s="349"/>
      <c r="T18" s="349"/>
      <c r="U18" s="349"/>
    </row>
    <row r="19" spans="1:21" s="2" customFormat="1" ht="16.5">
      <c r="A19" s="12"/>
      <c r="B19" s="151"/>
      <c r="C19" s="20" t="s">
        <v>122</v>
      </c>
      <c r="D19" s="14" t="str">
        <f>+D331</f>
        <v>Konstrukce zámečnické</v>
      </c>
      <c r="E19" s="15"/>
      <c r="F19" s="120"/>
      <c r="G19" s="16">
        <f>+H338</f>
        <v>0</v>
      </c>
      <c r="H19" s="16"/>
      <c r="I19" s="251"/>
      <c r="J19" s="17"/>
      <c r="K19" s="96"/>
      <c r="L19" s="350">
        <f>SUMIF(I$333:I$337,"O",H$333:H$337)</f>
        <v>0</v>
      </c>
      <c r="M19" s="350">
        <f>SUMIF(I$333:I$337,"i",H$333:H$337)</f>
        <v>0</v>
      </c>
      <c r="N19" s="351">
        <f t="shared" si="0"/>
        <v>0</v>
      </c>
      <c r="O19" s="352">
        <f t="shared" si="1"/>
        <v>0</v>
      </c>
      <c r="P19" s="349"/>
      <c r="Q19" s="349"/>
      <c r="R19" s="349"/>
      <c r="S19" s="349"/>
      <c r="T19" s="349"/>
      <c r="U19" s="349"/>
    </row>
    <row r="20" spans="1:21" s="2" customFormat="1" ht="16.5">
      <c r="A20" s="12"/>
      <c r="B20" s="151"/>
      <c r="C20" s="20" t="s">
        <v>123</v>
      </c>
      <c r="D20" s="14" t="str">
        <f>+D340</f>
        <v>Podlahy z dlaždic</v>
      </c>
      <c r="E20" s="15"/>
      <c r="F20" s="120"/>
      <c r="G20" s="16">
        <f>+H372</f>
        <v>0</v>
      </c>
      <c r="H20" s="16"/>
      <c r="I20" s="251"/>
      <c r="J20" s="17"/>
      <c r="K20" s="96"/>
      <c r="L20" s="350">
        <f>SUMIF(I$342:I$371,"O",H$342:H$371)</f>
        <v>0</v>
      </c>
      <c r="M20" s="350">
        <f>SUMIF(I$342:I$371,"i",H$342:H$371)</f>
        <v>0</v>
      </c>
      <c r="N20" s="351">
        <f t="shared" si="0"/>
        <v>0</v>
      </c>
      <c r="O20" s="352">
        <f t="shared" si="1"/>
        <v>0</v>
      </c>
      <c r="P20" s="349"/>
      <c r="Q20" s="349"/>
      <c r="R20" s="349"/>
      <c r="S20" s="349"/>
      <c r="T20" s="349"/>
      <c r="U20" s="349"/>
    </row>
    <row r="21" spans="1:21" s="2" customFormat="1" ht="16.5">
      <c r="A21" s="12"/>
      <c r="B21" s="151"/>
      <c r="C21" s="20" t="s">
        <v>124</v>
      </c>
      <c r="D21" s="14" t="str">
        <f>+D374</f>
        <v>Podlahy dřevěné a povlakové</v>
      </c>
      <c r="E21" s="15"/>
      <c r="F21" s="120"/>
      <c r="G21" s="16">
        <f>+H391</f>
        <v>0</v>
      </c>
      <c r="H21" s="16"/>
      <c r="I21" s="251"/>
      <c r="J21" s="17"/>
      <c r="K21" s="96"/>
      <c r="L21" s="350">
        <f>SUMIF(I$376:I$390,"O",H$376:H$390)</f>
        <v>0</v>
      </c>
      <c r="M21" s="350">
        <f>SUMIF(I$376:I$390,"i",H$376:H$390)</f>
        <v>0</v>
      </c>
      <c r="N21" s="351">
        <f t="shared" si="0"/>
        <v>0</v>
      </c>
      <c r="O21" s="352">
        <f t="shared" si="1"/>
        <v>0</v>
      </c>
      <c r="P21" s="349"/>
      <c r="Q21" s="349"/>
      <c r="R21" s="349"/>
      <c r="S21" s="349"/>
      <c r="T21" s="349"/>
      <c r="U21" s="349"/>
    </row>
    <row r="22" spans="1:21" s="2" customFormat="1" ht="16.5">
      <c r="A22" s="12"/>
      <c r="B22" s="151"/>
      <c r="C22" s="13">
        <v>3</v>
      </c>
      <c r="D22" s="113" t="s">
        <v>456</v>
      </c>
      <c r="E22" s="15"/>
      <c r="F22" s="120"/>
      <c r="G22" s="16"/>
      <c r="H22" s="16">
        <f>SUM(G23:G29)</f>
        <v>0</v>
      </c>
      <c r="I22" s="251"/>
      <c r="J22" s="17"/>
      <c r="K22" s="96"/>
      <c r="L22" s="350"/>
      <c r="M22" s="350"/>
      <c r="N22" s="351"/>
      <c r="O22" s="352"/>
      <c r="P22" s="349"/>
      <c r="Q22" s="349"/>
      <c r="R22" s="349"/>
      <c r="S22" s="349"/>
      <c r="T22" s="349"/>
      <c r="U22" s="349"/>
    </row>
    <row r="23" spans="1:21" s="2" customFormat="1" ht="16.5">
      <c r="A23" s="12"/>
      <c r="B23" s="151"/>
      <c r="C23" s="18" t="s">
        <v>445</v>
      </c>
      <c r="D23" s="14" t="str">
        <f>+D393</f>
        <v>Zdravotechnika - demontáže</v>
      </c>
      <c r="E23" s="15"/>
      <c r="F23" s="120"/>
      <c r="G23" s="16">
        <f>+H408</f>
        <v>0</v>
      </c>
      <c r="H23" s="16"/>
      <c r="I23" s="251"/>
      <c r="J23" s="17"/>
      <c r="K23" s="96"/>
      <c r="L23" s="350">
        <f>SUMIF(I$394:I$407,"O",H$394:H$407)</f>
        <v>0</v>
      </c>
      <c r="M23" s="350">
        <f>SUMIF(I$394:I$407,"i",H$394:H$407)</f>
        <v>0</v>
      </c>
      <c r="N23" s="351">
        <f aca="true" t="shared" si="2" ref="N23:N31">SUM(L23:M23)</f>
        <v>0</v>
      </c>
      <c r="O23" s="352">
        <f aca="true" t="shared" si="3" ref="O23:O29">+G23-N23</f>
        <v>0</v>
      </c>
      <c r="P23" s="349"/>
      <c r="Q23" s="349"/>
      <c r="R23" s="349"/>
      <c r="S23" s="349"/>
      <c r="T23" s="349"/>
      <c r="U23" s="349"/>
    </row>
    <row r="24" spans="1:21" s="2" customFormat="1" ht="16.5">
      <c r="A24" s="12"/>
      <c r="B24" s="151"/>
      <c r="C24" s="18" t="s">
        <v>450</v>
      </c>
      <c r="D24" s="14" t="str">
        <f>+D410</f>
        <v>Zdravotechnika - vnitřní kanalizace</v>
      </c>
      <c r="E24" s="15"/>
      <c r="F24" s="120"/>
      <c r="G24" s="16">
        <f>+H425</f>
        <v>0</v>
      </c>
      <c r="H24" s="16"/>
      <c r="I24" s="251"/>
      <c r="J24" s="17"/>
      <c r="K24" s="96"/>
      <c r="L24" s="350">
        <f>SUMIF(I$412:I$424,"O",H$412:H$424)</f>
        <v>0</v>
      </c>
      <c r="M24" s="350">
        <f>SUMIF(I$412:I$424,"i",H$412:H$424)</f>
        <v>0</v>
      </c>
      <c r="N24" s="351">
        <f t="shared" si="2"/>
        <v>0</v>
      </c>
      <c r="O24" s="352">
        <f t="shared" si="3"/>
        <v>0</v>
      </c>
      <c r="P24" s="349"/>
      <c r="Q24" s="349"/>
      <c r="R24" s="349"/>
      <c r="S24" s="349"/>
      <c r="T24" s="349"/>
      <c r="U24" s="349"/>
    </row>
    <row r="25" spans="1:21" s="2" customFormat="1" ht="16.5">
      <c r="A25" s="12"/>
      <c r="B25" s="151"/>
      <c r="C25" s="18" t="s">
        <v>451</v>
      </c>
      <c r="D25" s="14" t="str">
        <f>+D427</f>
        <v>Zdravotechnika - vnitřní vodovod</v>
      </c>
      <c r="E25" s="15"/>
      <c r="F25" s="120"/>
      <c r="G25" s="16">
        <f>+H446</f>
        <v>0</v>
      </c>
      <c r="H25" s="16"/>
      <c r="I25" s="251"/>
      <c r="J25" s="17"/>
      <c r="K25" s="96"/>
      <c r="L25" s="350">
        <f>SUMIF(I$429:I$445,"O",H$429:H$445)</f>
        <v>0</v>
      </c>
      <c r="M25" s="350">
        <f>SUMIF(I$438:I$452,"i",H$438:H$452)</f>
        <v>0</v>
      </c>
      <c r="N25" s="351">
        <f t="shared" si="2"/>
        <v>0</v>
      </c>
      <c r="O25" s="352">
        <f t="shared" si="3"/>
        <v>0</v>
      </c>
      <c r="P25" s="349"/>
      <c r="Q25" s="349"/>
      <c r="R25" s="349"/>
      <c r="S25" s="349"/>
      <c r="T25" s="349"/>
      <c r="U25" s="349"/>
    </row>
    <row r="26" spans="1:21" s="2" customFormat="1" ht="16.5">
      <c r="A26" s="12"/>
      <c r="B26" s="151"/>
      <c r="C26" s="18" t="s">
        <v>452</v>
      </c>
      <c r="D26" s="14" t="str">
        <f>+D448</f>
        <v>Zdravotechnika - zařizovací předměty, armatury </v>
      </c>
      <c r="E26" s="15"/>
      <c r="F26" s="120"/>
      <c r="G26" s="16">
        <f>+H475</f>
        <v>0</v>
      </c>
      <c r="H26" s="16"/>
      <c r="I26" s="251"/>
      <c r="J26" s="17"/>
      <c r="K26" s="96"/>
      <c r="L26" s="350">
        <f>SUMIF(I$450:I$474,"O",H$450:H$474)</f>
        <v>0</v>
      </c>
      <c r="M26" s="350">
        <f>SUMIF(I$450:I$474,"i",H$450:H$474)</f>
        <v>0</v>
      </c>
      <c r="N26" s="351">
        <f t="shared" si="2"/>
        <v>0</v>
      </c>
      <c r="O26" s="352">
        <f t="shared" si="3"/>
        <v>0</v>
      </c>
      <c r="P26" s="349"/>
      <c r="Q26" s="349"/>
      <c r="R26" s="349"/>
      <c r="S26" s="349"/>
      <c r="T26" s="349"/>
      <c r="U26" s="349"/>
    </row>
    <row r="27" spans="1:21" s="2" customFormat="1" ht="16.5">
      <c r="A27" s="12"/>
      <c r="B27" s="151"/>
      <c r="C27" s="18" t="s">
        <v>453</v>
      </c>
      <c r="D27" s="14" t="str">
        <f>+D477</f>
        <v>Vzduchotechnika</v>
      </c>
      <c r="E27" s="15"/>
      <c r="F27" s="120"/>
      <c r="G27" s="16">
        <f>+H497</f>
        <v>0</v>
      </c>
      <c r="H27" s="16"/>
      <c r="I27" s="251"/>
      <c r="J27" s="17"/>
      <c r="K27" s="96"/>
      <c r="L27" s="350">
        <f>SUMIF(I$479:I$496,"O",H$479:H$496)</f>
        <v>0</v>
      </c>
      <c r="M27" s="350">
        <f>SUMIF(I$479:I$496,"i",H$479:H$496)</f>
        <v>0</v>
      </c>
      <c r="N27" s="351">
        <f t="shared" si="2"/>
        <v>0</v>
      </c>
      <c r="O27" s="352">
        <f t="shared" si="3"/>
        <v>0</v>
      </c>
      <c r="P27" s="349"/>
      <c r="Q27" s="349"/>
      <c r="R27" s="349"/>
      <c r="S27" s="349"/>
      <c r="T27" s="349"/>
      <c r="U27" s="349"/>
    </row>
    <row r="28" spans="1:21" s="2" customFormat="1" ht="16.5">
      <c r="A28" s="12"/>
      <c r="B28" s="151"/>
      <c r="C28" s="19" t="s">
        <v>454</v>
      </c>
      <c r="D28" s="14" t="str">
        <f>+D499</f>
        <v>Topení</v>
      </c>
      <c r="E28" s="15"/>
      <c r="F28" s="120"/>
      <c r="G28" s="16">
        <f>+H536</f>
        <v>0</v>
      </c>
      <c r="H28" s="16"/>
      <c r="I28" s="251"/>
      <c r="J28" s="17"/>
      <c r="K28" s="96"/>
      <c r="L28" s="350">
        <f>SUMIF(I$501:I$535,"O",H$501:H$535)</f>
        <v>0</v>
      </c>
      <c r="M28" s="350">
        <f>SUMIF(I$501:I$535,"i",H$501:H$535)</f>
        <v>0</v>
      </c>
      <c r="N28" s="351">
        <f t="shared" si="2"/>
        <v>0</v>
      </c>
      <c r="O28" s="352">
        <f t="shared" si="3"/>
        <v>0</v>
      </c>
      <c r="P28" s="349"/>
      <c r="Q28" s="349"/>
      <c r="R28" s="349"/>
      <c r="S28" s="349"/>
      <c r="T28" s="349"/>
      <c r="U28" s="349"/>
    </row>
    <row r="29" spans="1:21" s="2" customFormat="1" ht="16.5">
      <c r="A29" s="12"/>
      <c r="B29" s="151"/>
      <c r="C29" s="20" t="s">
        <v>455</v>
      </c>
      <c r="D29" s="14" t="str">
        <f>+D538</f>
        <v>Plyn</v>
      </c>
      <c r="E29" s="15"/>
      <c r="F29" s="120"/>
      <c r="G29" s="16">
        <f>+H578</f>
        <v>0</v>
      </c>
      <c r="H29" s="16"/>
      <c r="I29" s="252"/>
      <c r="J29" s="108"/>
      <c r="K29" s="109"/>
      <c r="L29" s="350">
        <f>SUMIF(I$540:I$577,"O",H$540:H$577)</f>
        <v>0</v>
      </c>
      <c r="M29" s="350">
        <f>SUMIF(I$540:I$577,"i",H$540:H$577)</f>
        <v>0</v>
      </c>
      <c r="N29" s="351">
        <f t="shared" si="2"/>
        <v>0</v>
      </c>
      <c r="O29" s="352">
        <f t="shared" si="3"/>
        <v>0</v>
      </c>
      <c r="P29" s="349"/>
      <c r="Q29" s="349"/>
      <c r="R29" s="349"/>
      <c r="S29" s="349"/>
      <c r="T29" s="349"/>
      <c r="U29" s="349"/>
    </row>
    <row r="30" spans="1:21" s="2" customFormat="1" ht="16.5">
      <c r="A30" s="12"/>
      <c r="B30" s="151"/>
      <c r="C30" s="13">
        <v>4</v>
      </c>
      <c r="D30" s="14" t="str">
        <f>+D580</f>
        <v>Elektroinstalace - silnoproud </v>
      </c>
      <c r="E30" s="15"/>
      <c r="F30" s="120"/>
      <c r="G30" s="16"/>
      <c r="H30" s="16">
        <f>+H585</f>
        <v>0</v>
      </c>
      <c r="I30" s="251"/>
      <c r="J30" s="17"/>
      <c r="K30" s="96"/>
      <c r="L30" s="350">
        <f>SUMIF(I$582:I$584,"O",H$582:H$584)</f>
        <v>0</v>
      </c>
      <c r="M30" s="350">
        <f>SUMIF(I$582:I$584,"i",H$582:H$584)</f>
        <v>0</v>
      </c>
      <c r="N30" s="351">
        <f t="shared" si="2"/>
        <v>0</v>
      </c>
      <c r="O30" s="352">
        <f>+H30-N30</f>
        <v>0</v>
      </c>
      <c r="P30" s="349"/>
      <c r="Q30" s="349"/>
      <c r="R30" s="349"/>
      <c r="S30" s="349"/>
      <c r="T30" s="349"/>
      <c r="U30" s="349"/>
    </row>
    <row r="31" spans="1:21" s="2" customFormat="1" ht="16.5">
      <c r="A31" s="12"/>
      <c r="B31" s="151"/>
      <c r="C31" s="13">
        <v>5</v>
      </c>
      <c r="D31" s="14" t="str">
        <f>+D587</f>
        <v>Elektroinstalace - slaboproud</v>
      </c>
      <c r="E31" s="15"/>
      <c r="F31" s="120"/>
      <c r="G31" s="16"/>
      <c r="H31" s="16">
        <f>+H591</f>
        <v>0</v>
      </c>
      <c r="I31" s="251"/>
      <c r="J31" s="17"/>
      <c r="K31" s="96"/>
      <c r="L31" s="350">
        <f>SUMIF(I$589:I$590,"O",H$589:H$590)</f>
        <v>0</v>
      </c>
      <c r="M31" s="350">
        <f>SUMIF(I$589:I$590,"i",H$589:H$590)</f>
        <v>0</v>
      </c>
      <c r="N31" s="351">
        <f t="shared" si="2"/>
        <v>0</v>
      </c>
      <c r="O31" s="352">
        <f>+H31-N31</f>
        <v>0</v>
      </c>
      <c r="P31" s="349"/>
      <c r="Q31" s="349"/>
      <c r="R31" s="349"/>
      <c r="S31" s="349"/>
      <c r="T31" s="349"/>
      <c r="U31" s="349"/>
    </row>
    <row r="32" spans="1:21" s="2" customFormat="1" ht="16.5">
      <c r="A32" s="12"/>
      <c r="B32" s="115"/>
      <c r="C32" s="13">
        <v>6</v>
      </c>
      <c r="D32" s="14" t="str">
        <f>+D593</f>
        <v>Dokončovací práce</v>
      </c>
      <c r="E32" s="15"/>
      <c r="F32" s="120"/>
      <c r="G32" s="16"/>
      <c r="H32" s="16">
        <f>+H595</f>
        <v>0</v>
      </c>
      <c r="I32" s="251"/>
      <c r="J32" s="17"/>
      <c r="K32" s="96"/>
      <c r="L32" s="350">
        <f>SUMIF(I$594:I$594,"O",H$594:H$594)</f>
        <v>0</v>
      </c>
      <c r="M32" s="350">
        <f>SUMIF(I$594:I$594,"i",H$594:H$594)</f>
        <v>0</v>
      </c>
      <c r="N32" s="351">
        <f>SUM(L32:M32)</f>
        <v>0</v>
      </c>
      <c r="O32" s="352">
        <f>+H32-N32</f>
        <v>0</v>
      </c>
      <c r="P32" s="349"/>
      <c r="Q32" s="349"/>
      <c r="R32" s="349"/>
      <c r="S32" s="349"/>
      <c r="T32" s="349"/>
      <c r="U32" s="349"/>
    </row>
    <row r="33" spans="4:14" ht="12.75">
      <c r="D33" s="21"/>
      <c r="E33" s="6"/>
      <c r="F33" s="121"/>
      <c r="G33" s="283"/>
      <c r="H33" s="22"/>
      <c r="L33" s="338"/>
      <c r="M33" s="338"/>
      <c r="N33" s="338"/>
    </row>
    <row r="34" spans="4:14" ht="15" customHeight="1">
      <c r="D34" s="23" t="s">
        <v>108</v>
      </c>
      <c r="E34" s="24"/>
      <c r="F34" s="122"/>
      <c r="G34" s="450">
        <f>SUM(H13:H32)</f>
        <v>0</v>
      </c>
      <c r="H34" s="450"/>
      <c r="I34" s="253"/>
      <c r="J34" s="189"/>
      <c r="L34" s="353">
        <f>SUM(L13:L33)</f>
        <v>0</v>
      </c>
      <c r="M34" s="353">
        <f>SUM(M13:M33)</f>
        <v>0</v>
      </c>
      <c r="N34" s="353">
        <f>SUM(L34:M34)</f>
        <v>0</v>
      </c>
    </row>
    <row r="35" spans="4:8" ht="15" customHeight="1">
      <c r="D35" s="25"/>
      <c r="E35" s="24"/>
      <c r="F35" s="123"/>
      <c r="G35" s="284"/>
      <c r="H35" s="26"/>
    </row>
    <row r="36" spans="4:9" ht="16.5">
      <c r="D36" s="14" t="s">
        <v>183</v>
      </c>
      <c r="E36" s="24"/>
      <c r="F36" s="123"/>
      <c r="G36" s="27"/>
      <c r="H36" s="28">
        <f>+H103</f>
        <v>0</v>
      </c>
      <c r="I36" s="330" t="e">
        <f>(H36-H93)/G34</f>
        <v>#DIV/0!</v>
      </c>
    </row>
    <row r="37" spans="4:8" ht="13.5" thickBot="1">
      <c r="D37" s="30"/>
      <c r="E37" s="31"/>
      <c r="F37" s="124"/>
      <c r="G37" s="285"/>
      <c r="H37" s="22"/>
    </row>
    <row r="38" spans="4:8" ht="15.75" thickBot="1">
      <c r="D38" s="32" t="s">
        <v>8</v>
      </c>
      <c r="E38" s="33"/>
      <c r="F38" s="125"/>
      <c r="G38" s="286"/>
      <c r="H38" s="34">
        <f>+G34+H36</f>
        <v>0</v>
      </c>
    </row>
    <row r="39" spans="4:10" ht="12.75">
      <c r="D39" s="35"/>
      <c r="E39" s="36"/>
      <c r="F39" s="126"/>
      <c r="G39" s="287"/>
      <c r="H39" s="36"/>
      <c r="I39" s="254"/>
      <c r="J39" s="37"/>
    </row>
    <row r="40" spans="4:10" ht="12.75">
      <c r="D40" s="25" t="s">
        <v>109</v>
      </c>
      <c r="E40" s="24"/>
      <c r="F40" s="123"/>
      <c r="G40" s="288">
        <v>0.15</v>
      </c>
      <c r="H40" s="29">
        <f>ROUND((G34+H36)*G40,0)</f>
        <v>0</v>
      </c>
      <c r="I40" s="254"/>
      <c r="J40" s="37"/>
    </row>
    <row r="41" spans="4:8" ht="12.75">
      <c r="D41" s="25" t="s">
        <v>109</v>
      </c>
      <c r="E41" s="24"/>
      <c r="F41" s="123"/>
      <c r="G41" s="288">
        <v>0.21</v>
      </c>
      <c r="H41" s="29"/>
    </row>
    <row r="42" spans="4:8" ht="13.5" thickBot="1">
      <c r="D42" s="38"/>
      <c r="E42" s="39"/>
      <c r="F42" s="127"/>
      <c r="G42" s="289"/>
      <c r="H42" s="39"/>
    </row>
    <row r="43" spans="4:8" ht="16.5" thickBot="1">
      <c r="D43" s="40" t="s">
        <v>110</v>
      </c>
      <c r="E43" s="39"/>
      <c r="F43" s="127"/>
      <c r="G43" s="449">
        <f>G34+H36+H40+H41</f>
        <v>0</v>
      </c>
      <c r="H43" s="449"/>
    </row>
    <row r="46" spans="4:8" ht="15">
      <c r="D46" s="41" t="s">
        <v>184</v>
      </c>
      <c r="E46" s="42"/>
      <c r="F46" s="128"/>
      <c r="G46" s="290"/>
      <c r="H46" s="42"/>
    </row>
    <row r="47" spans="4:10" ht="12.75">
      <c r="D47" s="43" t="s">
        <v>5</v>
      </c>
      <c r="E47" s="44"/>
      <c r="F47" s="128"/>
      <c r="G47" s="290"/>
      <c r="H47" s="45">
        <f>+L34</f>
        <v>0</v>
      </c>
      <c r="I47" s="255" t="e">
        <f>+H47/G34</f>
        <v>#DIV/0!</v>
      </c>
      <c r="J47" s="46"/>
    </row>
    <row r="48" spans="4:10" ht="12.75">
      <c r="D48" s="43" t="s">
        <v>6</v>
      </c>
      <c r="E48" s="44"/>
      <c r="F48" s="128"/>
      <c r="G48" s="290"/>
      <c r="H48" s="45">
        <f>+M34</f>
        <v>0</v>
      </c>
      <c r="I48" s="255" t="e">
        <f>+H48/G34</f>
        <v>#DIV/0!</v>
      </c>
      <c r="J48" s="46"/>
    </row>
    <row r="49" spans="4:8" ht="12.75">
      <c r="D49" s="42"/>
      <c r="E49" s="42"/>
      <c r="F49" s="128"/>
      <c r="G49" s="290"/>
      <c r="H49" s="47"/>
    </row>
    <row r="50" spans="4:8" ht="15">
      <c r="D50" s="41" t="s">
        <v>231</v>
      </c>
      <c r="E50" s="42"/>
      <c r="F50" s="128"/>
      <c r="G50" s="290"/>
      <c r="H50" s="47"/>
    </row>
    <row r="51" spans="4:8" ht="12.75">
      <c r="D51" s="43" t="s">
        <v>5</v>
      </c>
      <c r="E51" s="44"/>
      <c r="F51" s="128"/>
      <c r="G51" s="290"/>
      <c r="H51" s="48" t="e">
        <f>+I47*H36</f>
        <v>#DIV/0!</v>
      </c>
    </row>
    <row r="52" spans="4:8" ht="12.75">
      <c r="D52" s="43" t="s">
        <v>6</v>
      </c>
      <c r="E52" s="44"/>
      <c r="F52" s="128"/>
      <c r="G52" s="290"/>
      <c r="H52" s="48" t="e">
        <f>+I48*H36</f>
        <v>#DIV/0!</v>
      </c>
    </row>
    <row r="53" spans="4:8" ht="12.75">
      <c r="D53" s="42"/>
      <c r="E53" s="42"/>
      <c r="F53" s="128"/>
      <c r="G53" s="290"/>
      <c r="H53" s="47"/>
    </row>
    <row r="54" spans="4:8" ht="15">
      <c r="D54" s="41" t="s">
        <v>230</v>
      </c>
      <c r="E54" s="42"/>
      <c r="F54" s="128"/>
      <c r="G54" s="290"/>
      <c r="H54" s="47"/>
    </row>
    <row r="55" spans="4:10" ht="12.75">
      <c r="D55" s="43" t="s">
        <v>5</v>
      </c>
      <c r="E55" s="44"/>
      <c r="F55" s="128"/>
      <c r="G55" s="290"/>
      <c r="H55" s="45" t="e">
        <f>+H47+H51</f>
        <v>#DIV/0!</v>
      </c>
      <c r="I55" s="255" t="e">
        <f>+H55/H38</f>
        <v>#DIV/0!</v>
      </c>
      <c r="J55" s="46"/>
    </row>
    <row r="56" spans="4:10" ht="12.75">
      <c r="D56" s="43" t="s">
        <v>6</v>
      </c>
      <c r="E56" s="44"/>
      <c r="F56" s="128"/>
      <c r="G56" s="290"/>
      <c r="H56" s="45" t="e">
        <f>+H48+H52</f>
        <v>#DIV/0!</v>
      </c>
      <c r="I56" s="255" t="e">
        <f>+H56/H38</f>
        <v>#DIV/0!</v>
      </c>
      <c r="J56" s="46"/>
    </row>
    <row r="58" spans="4:8" ht="18">
      <c r="D58" s="49" t="s">
        <v>127</v>
      </c>
      <c r="E58" s="6"/>
      <c r="F58" s="121"/>
      <c r="G58" s="291"/>
      <c r="H58" s="6"/>
    </row>
    <row r="59" ht="7.5" customHeight="1"/>
    <row r="60" ht="12.75">
      <c r="D60" s="50" t="s">
        <v>111</v>
      </c>
    </row>
    <row r="61" spans="4:8" ht="12.75">
      <c r="D61" s="51" t="s">
        <v>112</v>
      </c>
      <c r="E61" s="52"/>
      <c r="F61" s="129"/>
      <c r="G61" s="293"/>
      <c r="H61" s="52"/>
    </row>
    <row r="62" spans="4:8" ht="38.25" customHeight="1">
      <c r="D62" s="435" t="s">
        <v>131</v>
      </c>
      <c r="E62" s="436"/>
      <c r="F62" s="436"/>
      <c r="G62" s="436"/>
      <c r="H62" s="436"/>
    </row>
    <row r="63" spans="4:8" ht="12.75">
      <c r="D63" s="448" t="s">
        <v>113</v>
      </c>
      <c r="E63" s="448"/>
      <c r="F63" s="448"/>
      <c r="G63" s="448"/>
      <c r="H63" s="448"/>
    </row>
    <row r="64" spans="4:8" ht="38.25" customHeight="1">
      <c r="D64" s="435" t="s">
        <v>132</v>
      </c>
      <c r="E64" s="436"/>
      <c r="F64" s="436"/>
      <c r="G64" s="436"/>
      <c r="H64" s="436"/>
    </row>
    <row r="65" spans="4:8" ht="25.5" customHeight="1">
      <c r="D65" s="435" t="s">
        <v>133</v>
      </c>
      <c r="E65" s="436"/>
      <c r="F65" s="436"/>
      <c r="G65" s="436"/>
      <c r="H65" s="436"/>
    </row>
    <row r="66" spans="4:8" ht="12.75">
      <c r="D66" s="448" t="s">
        <v>114</v>
      </c>
      <c r="E66" s="448"/>
      <c r="F66" s="448"/>
      <c r="G66" s="448"/>
      <c r="H66" s="448"/>
    </row>
    <row r="67" spans="4:8" ht="12.75" customHeight="1">
      <c r="D67" s="435" t="s">
        <v>134</v>
      </c>
      <c r="E67" s="436"/>
      <c r="F67" s="436"/>
      <c r="G67" s="436"/>
      <c r="H67" s="436"/>
    </row>
    <row r="68" spans="4:8" ht="12.75" customHeight="1">
      <c r="D68" s="435" t="s">
        <v>135</v>
      </c>
      <c r="E68" s="436"/>
      <c r="F68" s="436"/>
      <c r="G68" s="436"/>
      <c r="H68" s="436"/>
    </row>
    <row r="69" spans="4:8" ht="39" customHeight="1">
      <c r="D69" s="437" t="s">
        <v>52</v>
      </c>
      <c r="E69" s="438"/>
      <c r="F69" s="438"/>
      <c r="G69" s="438"/>
      <c r="H69" s="438"/>
    </row>
    <row r="70" spans="1:21" s="3" customFormat="1" ht="9.75">
      <c r="A70" s="54"/>
      <c r="B70" s="152"/>
      <c r="C70" s="55"/>
      <c r="D70" s="56"/>
      <c r="E70" s="57"/>
      <c r="F70" s="130"/>
      <c r="G70" s="58"/>
      <c r="H70" s="57"/>
      <c r="I70" s="256"/>
      <c r="J70" s="59"/>
      <c r="K70" s="97"/>
      <c r="L70" s="354"/>
      <c r="M70" s="57"/>
      <c r="N70" s="57"/>
      <c r="O70" s="57"/>
      <c r="P70" s="57"/>
      <c r="Q70" s="57"/>
      <c r="R70" s="57"/>
      <c r="S70" s="57"/>
      <c r="T70" s="57"/>
      <c r="U70" s="57"/>
    </row>
    <row r="71" spans="4:8" ht="38.25" customHeight="1">
      <c r="D71" s="436" t="s">
        <v>77</v>
      </c>
      <c r="E71" s="436"/>
      <c r="F71" s="436"/>
      <c r="G71" s="436"/>
      <c r="H71" s="436"/>
    </row>
    <row r="72" spans="1:21" s="3" customFormat="1" ht="7.5" customHeight="1">
      <c r="A72" s="54"/>
      <c r="B72" s="152"/>
      <c r="C72" s="55"/>
      <c r="D72" s="53"/>
      <c r="E72" s="53"/>
      <c r="F72" s="131"/>
      <c r="G72" s="294"/>
      <c r="H72" s="53"/>
      <c r="I72" s="256"/>
      <c r="J72" s="59"/>
      <c r="K72" s="97"/>
      <c r="L72" s="354"/>
      <c r="M72" s="57"/>
      <c r="N72" s="57"/>
      <c r="O72" s="57"/>
      <c r="P72" s="57"/>
      <c r="Q72" s="57"/>
      <c r="R72" s="57"/>
      <c r="S72" s="57"/>
      <c r="T72" s="57"/>
      <c r="U72" s="57"/>
    </row>
    <row r="73" spans="4:8" ht="27.75" customHeight="1">
      <c r="D73" s="436" t="s">
        <v>78</v>
      </c>
      <c r="E73" s="436"/>
      <c r="F73" s="436"/>
      <c r="G73" s="436"/>
      <c r="H73" s="436"/>
    </row>
    <row r="74" spans="4:8" ht="26.25" customHeight="1">
      <c r="D74" s="53" t="s">
        <v>79</v>
      </c>
      <c r="E74" s="53"/>
      <c r="F74" s="131"/>
      <c r="G74" s="294"/>
      <c r="H74" s="53"/>
    </row>
    <row r="75" spans="4:8" ht="15.75" customHeight="1">
      <c r="D75" s="435" t="s">
        <v>128</v>
      </c>
      <c r="E75" s="435"/>
      <c r="F75" s="435"/>
      <c r="G75" s="435"/>
      <c r="H75" s="435"/>
    </row>
    <row r="76" spans="4:8" ht="93" customHeight="1">
      <c r="D76" s="447" t="s">
        <v>392</v>
      </c>
      <c r="E76" s="447"/>
      <c r="F76" s="447"/>
      <c r="G76" s="447"/>
      <c r="H76" s="447"/>
    </row>
    <row r="77" spans="5:8" ht="6.75" customHeight="1">
      <c r="E77" s="60"/>
      <c r="F77" s="132"/>
      <c r="G77" s="295"/>
      <c r="H77" s="60"/>
    </row>
    <row r="78" spans="4:8" ht="18.75" customHeight="1">
      <c r="D78" s="429" t="s">
        <v>115</v>
      </c>
      <c r="E78" s="430"/>
      <c r="F78" s="430"/>
      <c r="G78" s="430"/>
      <c r="H78" s="430"/>
    </row>
    <row r="79" spans="1:8" ht="14.25" customHeight="1">
      <c r="A79" s="61"/>
      <c r="B79" s="153"/>
      <c r="C79" s="62"/>
      <c r="D79" s="429" t="s">
        <v>54</v>
      </c>
      <c r="E79" s="430"/>
      <c r="F79" s="430"/>
      <c r="G79" s="430"/>
      <c r="H79" s="430"/>
    </row>
    <row r="80" spans="1:8" ht="14.25" customHeight="1">
      <c r="A80" s="61"/>
      <c r="B80" s="153"/>
      <c r="C80" s="62"/>
      <c r="D80" s="145"/>
      <c r="E80" s="146"/>
      <c r="F80" s="146"/>
      <c r="G80" s="146"/>
      <c r="H80" s="147"/>
    </row>
    <row r="81" spans="1:12" ht="24" customHeight="1">
      <c r="A81" s="61"/>
      <c r="B81" s="301"/>
      <c r="C81" s="195"/>
      <c r="D81" s="196" t="s">
        <v>167</v>
      </c>
      <c r="E81" s="197"/>
      <c r="F81" s="198"/>
      <c r="G81" s="291"/>
      <c r="H81" s="199"/>
      <c r="I81" s="102"/>
      <c r="J81" s="9"/>
      <c r="K81" s="102"/>
      <c r="L81" s="9"/>
    </row>
    <row r="82" spans="1:12" ht="14.25" customHeight="1">
      <c r="A82" s="61"/>
      <c r="B82" s="301"/>
      <c r="C82" s="42"/>
      <c r="D82" s="42"/>
      <c r="E82" s="42"/>
      <c r="F82" s="42"/>
      <c r="G82" s="290"/>
      <c r="H82" s="42"/>
      <c r="I82" s="102"/>
      <c r="J82" s="9"/>
      <c r="K82" s="102"/>
      <c r="L82" s="9"/>
    </row>
    <row r="83" spans="1:12" ht="14.25" customHeight="1">
      <c r="A83" s="61"/>
      <c r="B83" s="301"/>
      <c r="C83" s="200"/>
      <c r="D83" s="65" t="s">
        <v>167</v>
      </c>
      <c r="E83" s="201" t="s">
        <v>168</v>
      </c>
      <c r="F83" s="202" t="s">
        <v>169</v>
      </c>
      <c r="G83" s="203" t="s">
        <v>170</v>
      </c>
      <c r="H83" s="203" t="s">
        <v>171</v>
      </c>
      <c r="I83" s="102"/>
      <c r="J83" s="9"/>
      <c r="K83" s="102"/>
      <c r="L83" s="9"/>
    </row>
    <row r="84" spans="1:12" ht="14.25" customHeight="1">
      <c r="A84" s="61"/>
      <c r="B84" s="301"/>
      <c r="C84" s="200" t="s">
        <v>172</v>
      </c>
      <c r="D84" s="144" t="s">
        <v>173</v>
      </c>
      <c r="E84" s="204"/>
      <c r="F84" s="205"/>
      <c r="G84" s="206"/>
      <c r="H84" s="206"/>
      <c r="I84" s="102"/>
      <c r="J84" s="9"/>
      <c r="K84" s="102"/>
      <c r="L84" s="9"/>
    </row>
    <row r="85" spans="1:12" ht="23.25" customHeight="1">
      <c r="A85" s="61"/>
      <c r="B85" s="302">
        <f>B84+1</f>
        <v>1</v>
      </c>
      <c r="C85" s="190"/>
      <c r="D85" s="72" t="s">
        <v>346</v>
      </c>
      <c r="E85" s="74" t="s">
        <v>80</v>
      </c>
      <c r="F85" s="207">
        <v>1</v>
      </c>
      <c r="G85" s="385"/>
      <c r="H85" s="75">
        <f>F85*G85</f>
        <v>0</v>
      </c>
      <c r="I85" s="102"/>
      <c r="J85" s="9"/>
      <c r="K85" s="102"/>
      <c r="L85" s="9"/>
    </row>
    <row r="86" spans="1:12" ht="14.25" customHeight="1">
      <c r="A86" s="61"/>
      <c r="B86" s="302"/>
      <c r="C86" s="200" t="s">
        <v>174</v>
      </c>
      <c r="D86" s="144" t="s">
        <v>175</v>
      </c>
      <c r="E86" s="204"/>
      <c r="F86" s="205"/>
      <c r="G86" s="206"/>
      <c r="H86" s="206"/>
      <c r="I86" s="102"/>
      <c r="J86" s="9"/>
      <c r="K86" s="102"/>
      <c r="L86" s="9"/>
    </row>
    <row r="87" spans="1:12" ht="14.25" customHeight="1">
      <c r="A87" s="61"/>
      <c r="B87" s="302">
        <f>B85+1</f>
        <v>2</v>
      </c>
      <c r="C87" s="190"/>
      <c r="D87" s="72" t="s">
        <v>176</v>
      </c>
      <c r="E87" s="74" t="s">
        <v>80</v>
      </c>
      <c r="F87" s="207">
        <v>1</v>
      </c>
      <c r="G87" s="385"/>
      <c r="H87" s="75">
        <f>F87*G87</f>
        <v>0</v>
      </c>
      <c r="I87" s="102"/>
      <c r="J87" s="9"/>
      <c r="K87" s="102"/>
      <c r="L87" s="9"/>
    </row>
    <row r="88" spans="1:12" ht="151.5" customHeight="1">
      <c r="A88" s="61"/>
      <c r="B88" s="301"/>
      <c r="C88" s="195"/>
      <c r="D88" s="433" t="s">
        <v>192</v>
      </c>
      <c r="E88" s="433"/>
      <c r="F88" s="433"/>
      <c r="G88" s="433"/>
      <c r="H88" s="433"/>
      <c r="I88" s="102"/>
      <c r="J88" s="9"/>
      <c r="K88" s="102"/>
      <c r="L88" s="9"/>
    </row>
    <row r="89" spans="1:12" ht="14.25" customHeight="1">
      <c r="A89" s="61"/>
      <c r="B89" s="301"/>
      <c r="C89" s="200" t="s">
        <v>177</v>
      </c>
      <c r="D89" s="144" t="s">
        <v>178</v>
      </c>
      <c r="E89" s="204"/>
      <c r="F89" s="205"/>
      <c r="G89" s="206"/>
      <c r="H89" s="206"/>
      <c r="I89" s="102"/>
      <c r="J89" s="9"/>
      <c r="K89" s="102"/>
      <c r="L89" s="9"/>
    </row>
    <row r="90" spans="1:12" ht="38.25">
      <c r="A90" s="61"/>
      <c r="B90" s="302">
        <f>B87+1</f>
        <v>3</v>
      </c>
      <c r="C90" s="190"/>
      <c r="D90" s="72" t="s">
        <v>179</v>
      </c>
      <c r="E90" s="74" t="s">
        <v>80</v>
      </c>
      <c r="F90" s="207">
        <v>1</v>
      </c>
      <c r="G90" s="385"/>
      <c r="H90" s="75">
        <f>F90*G90</f>
        <v>0</v>
      </c>
      <c r="I90" s="102"/>
      <c r="J90" s="9"/>
      <c r="K90" s="102"/>
      <c r="L90" s="9"/>
    </row>
    <row r="91" spans="1:12" ht="178.5" customHeight="1">
      <c r="A91" s="61"/>
      <c r="B91" s="301"/>
      <c r="C91" s="195"/>
      <c r="D91" s="446" t="s">
        <v>471</v>
      </c>
      <c r="E91" s="446"/>
      <c r="F91" s="446"/>
      <c r="G91" s="446"/>
      <c r="H91" s="446"/>
      <c r="I91" s="102"/>
      <c r="J91" s="9"/>
      <c r="K91" s="102"/>
      <c r="L91" s="9"/>
    </row>
    <row r="92" spans="1:12" ht="16.5" customHeight="1">
      <c r="A92" s="61"/>
      <c r="B92" s="301">
        <f>+B90+1</f>
        <v>4</v>
      </c>
      <c r="C92" s="200" t="s">
        <v>55</v>
      </c>
      <c r="D92" s="144" t="s">
        <v>706</v>
      </c>
      <c r="E92" s="204"/>
      <c r="F92" s="205"/>
      <c r="G92" s="206"/>
      <c r="H92" s="206"/>
      <c r="I92" s="102"/>
      <c r="J92" s="9"/>
      <c r="K92" s="102"/>
      <c r="L92" s="9"/>
    </row>
    <row r="93" spans="1:11" ht="109.5" customHeight="1">
      <c r="A93" s="458"/>
      <c r="B93" s="459"/>
      <c r="C93" s="460"/>
      <c r="D93" s="461" t="s">
        <v>1097</v>
      </c>
      <c r="E93" s="462" t="s">
        <v>80</v>
      </c>
      <c r="F93" s="463">
        <v>1</v>
      </c>
      <c r="G93" s="385"/>
      <c r="H93" s="464">
        <f>F93*G93</f>
        <v>0</v>
      </c>
      <c r="I93" s="167"/>
      <c r="K93" s="167"/>
    </row>
    <row r="94" spans="1:12" ht="14.25" customHeight="1">
      <c r="A94" s="61"/>
      <c r="B94" s="301"/>
      <c r="C94" s="200" t="s">
        <v>57</v>
      </c>
      <c r="D94" s="144" t="s">
        <v>56</v>
      </c>
      <c r="E94" s="204"/>
      <c r="F94" s="205"/>
      <c r="G94" s="206"/>
      <c r="H94" s="206"/>
      <c r="I94" s="102"/>
      <c r="J94" s="9"/>
      <c r="K94" s="102"/>
      <c r="L94" s="9"/>
    </row>
    <row r="95" spans="1:12" ht="76.5">
      <c r="A95" s="61"/>
      <c r="B95" s="302">
        <f>B92+1</f>
        <v>5</v>
      </c>
      <c r="C95" s="190"/>
      <c r="D95" s="72" t="s">
        <v>182</v>
      </c>
      <c r="E95" s="74" t="s">
        <v>80</v>
      </c>
      <c r="F95" s="207">
        <v>1</v>
      </c>
      <c r="G95" s="385"/>
      <c r="H95" s="75">
        <f>F95*G95</f>
        <v>0</v>
      </c>
      <c r="I95" s="102"/>
      <c r="J95" s="9"/>
      <c r="K95" s="102"/>
      <c r="L95" s="9"/>
    </row>
    <row r="96" spans="1:8" ht="14.25" customHeight="1">
      <c r="A96" s="61"/>
      <c r="B96" s="302"/>
      <c r="C96" s="200" t="s">
        <v>59</v>
      </c>
      <c r="D96" s="144" t="s">
        <v>58</v>
      </c>
      <c r="E96" s="204"/>
      <c r="F96" s="205"/>
      <c r="G96" s="206"/>
      <c r="H96" s="206"/>
    </row>
    <row r="97" spans="1:8" ht="140.25">
      <c r="A97" s="61"/>
      <c r="B97" s="302">
        <f>B95+1</f>
        <v>6</v>
      </c>
      <c r="C97" s="190"/>
      <c r="D97" s="72" t="s">
        <v>472</v>
      </c>
      <c r="E97" s="74" t="s">
        <v>80</v>
      </c>
      <c r="F97" s="207">
        <v>1</v>
      </c>
      <c r="G97" s="385"/>
      <c r="H97" s="75">
        <f>F97*G97</f>
        <v>0</v>
      </c>
    </row>
    <row r="98" spans="1:8" ht="14.25" customHeight="1">
      <c r="A98" s="61"/>
      <c r="B98" s="302">
        <f>+B97+1</f>
        <v>7</v>
      </c>
      <c r="C98" s="200" t="s">
        <v>707</v>
      </c>
      <c r="D98" s="144" t="s">
        <v>60</v>
      </c>
      <c r="E98" s="204"/>
      <c r="F98" s="205"/>
      <c r="G98" s="206"/>
      <c r="H98" s="206"/>
    </row>
    <row r="99" spans="1:8" ht="25.5">
      <c r="A99" s="61"/>
      <c r="B99" s="302"/>
      <c r="C99" s="190"/>
      <c r="D99" s="72" t="s">
        <v>199</v>
      </c>
      <c r="E99" s="74" t="s">
        <v>80</v>
      </c>
      <c r="F99" s="207">
        <v>1</v>
      </c>
      <c r="G99" s="385"/>
      <c r="H99" s="75">
        <f>F99*G99</f>
        <v>0</v>
      </c>
    </row>
    <row r="100" spans="1:8" ht="84" customHeight="1">
      <c r="A100" s="61"/>
      <c r="B100" s="302"/>
      <c r="C100" s="190"/>
      <c r="D100" s="432" t="s">
        <v>407</v>
      </c>
      <c r="E100" s="432"/>
      <c r="F100" s="432"/>
      <c r="G100" s="432"/>
      <c r="H100" s="432"/>
    </row>
    <row r="101" spans="1:8" ht="14.25" customHeight="1">
      <c r="A101" s="61"/>
      <c r="B101" s="302">
        <f>B98+1</f>
        <v>8</v>
      </c>
      <c r="C101" s="190"/>
      <c r="D101" s="72" t="s">
        <v>408</v>
      </c>
      <c r="E101" s="74" t="s">
        <v>80</v>
      </c>
      <c r="F101" s="207">
        <v>1</v>
      </c>
      <c r="G101" s="385"/>
      <c r="H101" s="75">
        <f>F101*G101</f>
        <v>0</v>
      </c>
    </row>
    <row r="102" spans="1:8" ht="68.25" customHeight="1" thickBot="1">
      <c r="A102" s="61"/>
      <c r="B102" s="301"/>
      <c r="C102" s="195"/>
      <c r="D102" s="445" t="s">
        <v>526</v>
      </c>
      <c r="E102" s="445"/>
      <c r="F102" s="445"/>
      <c r="G102" s="445"/>
      <c r="H102" s="445"/>
    </row>
    <row r="103" spans="1:8" ht="14.25" customHeight="1" thickBot="1">
      <c r="A103" s="61"/>
      <c r="B103" s="301"/>
      <c r="C103" s="195"/>
      <c r="D103" s="85" t="s">
        <v>82</v>
      </c>
      <c r="E103" s="86"/>
      <c r="F103" s="210"/>
      <c r="G103" s="296"/>
      <c r="H103" s="211">
        <f>ROUNDUP(SUBTOTAL(9,H85:H102),0)</f>
        <v>0</v>
      </c>
    </row>
    <row r="104" spans="1:11" ht="24.75" customHeight="1">
      <c r="A104" s="61"/>
      <c r="B104" s="303" t="s">
        <v>317</v>
      </c>
      <c r="C104" s="270" t="s">
        <v>318</v>
      </c>
      <c r="D104" s="21"/>
      <c r="E104" s="6"/>
      <c r="F104" s="9"/>
      <c r="G104" s="290"/>
      <c r="I104" s="167" t="s">
        <v>319</v>
      </c>
      <c r="J104" s="9"/>
      <c r="K104" s="102"/>
    </row>
    <row r="105" spans="1:21" s="4" customFormat="1" ht="16.5">
      <c r="A105" s="63"/>
      <c r="B105" s="154"/>
      <c r="C105" s="64">
        <v>1</v>
      </c>
      <c r="D105" s="431" t="s">
        <v>10</v>
      </c>
      <c r="E105" s="431"/>
      <c r="F105" s="431"/>
      <c r="G105" s="431"/>
      <c r="H105" s="431"/>
      <c r="I105" s="257"/>
      <c r="J105" s="66"/>
      <c r="K105" s="98"/>
      <c r="L105" s="355"/>
      <c r="M105" s="356"/>
      <c r="N105" s="356"/>
      <c r="O105" s="356"/>
      <c r="P105" s="356"/>
      <c r="Q105" s="356"/>
      <c r="R105" s="356"/>
      <c r="S105" s="356"/>
      <c r="T105" s="356"/>
      <c r="U105" s="356"/>
    </row>
    <row r="106" spans="1:19" ht="12.75">
      <c r="A106" s="67">
        <f aca="true" t="shared" si="4" ref="A106:A116">A105+1</f>
        <v>1</v>
      </c>
      <c r="B106" s="155" t="s">
        <v>467</v>
      </c>
      <c r="C106" s="68"/>
      <c r="D106" s="69" t="s">
        <v>434</v>
      </c>
      <c r="E106" s="70" t="s">
        <v>83</v>
      </c>
      <c r="F106" s="133">
        <v>5</v>
      </c>
      <c r="G106" s="386"/>
      <c r="H106" s="71">
        <f>F106*G106</f>
        <v>0</v>
      </c>
      <c r="I106" s="169" t="s">
        <v>4</v>
      </c>
      <c r="O106" s="280"/>
      <c r="Q106" s="119">
        <v>0.014</v>
      </c>
      <c r="R106" s="119">
        <f>Q106*F106</f>
        <v>0.07</v>
      </c>
      <c r="S106" s="42" t="s">
        <v>224</v>
      </c>
    </row>
    <row r="107" spans="1:19" ht="12.75">
      <c r="A107" s="67">
        <f t="shared" si="4"/>
        <v>2</v>
      </c>
      <c r="B107" s="148" t="s">
        <v>284</v>
      </c>
      <c r="C107" s="190"/>
      <c r="D107" s="72" t="s">
        <v>285</v>
      </c>
      <c r="E107" s="74" t="s">
        <v>83</v>
      </c>
      <c r="F107" s="137">
        <v>3</v>
      </c>
      <c r="G107" s="386"/>
      <c r="H107" s="75">
        <f>F107*G107</f>
        <v>0</v>
      </c>
      <c r="I107" s="169" t="s">
        <v>4</v>
      </c>
      <c r="O107" s="280"/>
      <c r="Q107" s="119">
        <v>0.006</v>
      </c>
      <c r="R107" s="119">
        <f>Q107*F107</f>
        <v>0.018000000000000002</v>
      </c>
      <c r="S107" s="42" t="s">
        <v>224</v>
      </c>
    </row>
    <row r="108" spans="1:19" ht="12.75">
      <c r="A108" s="67">
        <f t="shared" si="4"/>
        <v>3</v>
      </c>
      <c r="B108" s="155" t="s">
        <v>48</v>
      </c>
      <c r="C108" s="68"/>
      <c r="D108" s="69" t="s">
        <v>369</v>
      </c>
      <c r="E108" s="70" t="s">
        <v>81</v>
      </c>
      <c r="F108" s="133">
        <f>0.2*(2*2.17+0.86)*2+0.2*(2*1.86+0.8)+0.2*(0.66+2*1.87)*2</f>
        <v>4.744</v>
      </c>
      <c r="G108" s="386"/>
      <c r="H108" s="71">
        <f>F108*G108</f>
        <v>0</v>
      </c>
      <c r="I108" s="169" t="s">
        <v>4</v>
      </c>
      <c r="J108" s="337"/>
      <c r="K108" s="381"/>
      <c r="L108" s="9"/>
      <c r="N108" s="280"/>
      <c r="P108" s="119"/>
      <c r="Q108" s="119">
        <f>0.089</f>
        <v>0.089</v>
      </c>
      <c r="R108" s="119">
        <f>Q108*F108</f>
        <v>0.422216</v>
      </c>
      <c r="S108" s="42" t="s">
        <v>224</v>
      </c>
    </row>
    <row r="109" spans="1:18" s="9" customFormat="1" ht="12.75">
      <c r="A109" s="67">
        <f t="shared" si="4"/>
        <v>4</v>
      </c>
      <c r="B109" s="148" t="s">
        <v>200</v>
      </c>
      <c r="C109" s="213"/>
      <c r="D109" s="72" t="s">
        <v>201</v>
      </c>
      <c r="E109" s="74" t="s">
        <v>81</v>
      </c>
      <c r="F109" s="137">
        <f>3*0.3*0.8</f>
        <v>0.72</v>
      </c>
      <c r="G109" s="386"/>
      <c r="H109" s="75">
        <f>F109*G109</f>
        <v>0</v>
      </c>
      <c r="I109" s="169" t="s">
        <v>4</v>
      </c>
      <c r="J109" s="337"/>
      <c r="K109" s="381"/>
      <c r="N109" s="280"/>
      <c r="P109" s="119"/>
      <c r="Q109" s="119">
        <f>0.06*0.06*(2*1.5+2*1.5)*0.6*2</f>
        <v>0.025920000000000002</v>
      </c>
      <c r="R109" s="42" t="s">
        <v>224</v>
      </c>
    </row>
    <row r="110" spans="1:19" ht="12.75">
      <c r="A110" s="67">
        <f t="shared" si="4"/>
        <v>5</v>
      </c>
      <c r="B110" s="155" t="s">
        <v>68</v>
      </c>
      <c r="C110" s="68"/>
      <c r="D110" s="69" t="s">
        <v>67</v>
      </c>
      <c r="E110" s="70" t="s">
        <v>83</v>
      </c>
      <c r="F110" s="133">
        <v>5</v>
      </c>
      <c r="G110" s="386"/>
      <c r="H110" s="71">
        <f aca="true" t="shared" si="5" ref="H110:H120">F110*G110</f>
        <v>0</v>
      </c>
      <c r="I110" s="169" t="s">
        <v>4</v>
      </c>
      <c r="O110" s="280"/>
      <c r="Q110" s="119"/>
      <c r="R110" s="119"/>
      <c r="S110" s="42"/>
    </row>
    <row r="111" spans="1:19" ht="12.75">
      <c r="A111" s="67">
        <f t="shared" si="4"/>
        <v>6</v>
      </c>
      <c r="B111" s="155" t="s">
        <v>330</v>
      </c>
      <c r="C111" s="68"/>
      <c r="D111" s="69" t="s">
        <v>372</v>
      </c>
      <c r="E111" s="70" t="s">
        <v>84</v>
      </c>
      <c r="F111" s="133">
        <f>1.1+2.3+1.6+1.5+1.1</f>
        <v>7.6</v>
      </c>
      <c r="G111" s="386"/>
      <c r="H111" s="71">
        <f t="shared" si="5"/>
        <v>0</v>
      </c>
      <c r="I111" s="169" t="s">
        <v>4</v>
      </c>
      <c r="O111" s="280"/>
      <c r="Q111" s="119"/>
      <c r="R111" s="119"/>
      <c r="S111" s="42"/>
    </row>
    <row r="112" spans="1:19" ht="12.75">
      <c r="A112" s="67">
        <f t="shared" si="4"/>
        <v>7</v>
      </c>
      <c r="B112" s="155" t="s">
        <v>367</v>
      </c>
      <c r="C112" s="68"/>
      <c r="D112" s="69" t="s">
        <v>190</v>
      </c>
      <c r="E112" s="70" t="s">
        <v>83</v>
      </c>
      <c r="F112" s="133">
        <v>1</v>
      </c>
      <c r="G112" s="386"/>
      <c r="H112" s="71">
        <f t="shared" si="5"/>
        <v>0</v>
      </c>
      <c r="I112" s="169" t="s">
        <v>4</v>
      </c>
      <c r="O112" s="280"/>
      <c r="Q112" s="119">
        <v>0.0092</v>
      </c>
      <c r="R112" s="119">
        <f>F112*Q112</f>
        <v>0.0092</v>
      </c>
      <c r="S112" s="42"/>
    </row>
    <row r="113" spans="1:21" ht="12.75">
      <c r="A113" s="212">
        <f t="shared" si="4"/>
        <v>8</v>
      </c>
      <c r="B113" s="357" t="s">
        <v>721</v>
      </c>
      <c r="C113" s="190"/>
      <c r="D113" s="72" t="s">
        <v>722</v>
      </c>
      <c r="E113" s="74" t="s">
        <v>83</v>
      </c>
      <c r="F113" s="137">
        <v>2</v>
      </c>
      <c r="G113" s="386"/>
      <c r="H113" s="75">
        <f t="shared" si="5"/>
        <v>0</v>
      </c>
      <c r="I113" s="169" t="s">
        <v>4</v>
      </c>
      <c r="L113" s="42"/>
      <c r="M113" s="42"/>
      <c r="N113" s="42"/>
      <c r="O113" s="128">
        <v>0.0881</v>
      </c>
      <c r="P113" s="128">
        <f>F113*O113</f>
        <v>0.1762</v>
      </c>
      <c r="Q113" s="42" t="s">
        <v>224</v>
      </c>
      <c r="R113" s="42"/>
      <c r="S113" s="42"/>
      <c r="T113" s="42"/>
      <c r="U113" s="42"/>
    </row>
    <row r="114" spans="1:19" ht="12.75">
      <c r="A114" s="212">
        <f t="shared" si="4"/>
        <v>9</v>
      </c>
      <c r="B114" s="155" t="s">
        <v>330</v>
      </c>
      <c r="C114" s="68"/>
      <c r="D114" s="69" t="s">
        <v>191</v>
      </c>
      <c r="E114" s="70" t="s">
        <v>80</v>
      </c>
      <c r="F114" s="133">
        <v>1</v>
      </c>
      <c r="G114" s="386"/>
      <c r="H114" s="71">
        <f t="shared" si="5"/>
        <v>0</v>
      </c>
      <c r="I114" s="169" t="s">
        <v>4</v>
      </c>
      <c r="O114" s="280"/>
      <c r="Q114" s="119"/>
      <c r="R114" s="119"/>
      <c r="S114" s="42"/>
    </row>
    <row r="115" spans="1:19" ht="24.75" customHeight="1">
      <c r="A115" s="212">
        <f t="shared" si="4"/>
        <v>10</v>
      </c>
      <c r="B115" s="155" t="s">
        <v>361</v>
      </c>
      <c r="C115" s="114"/>
      <c r="D115" s="161" t="s">
        <v>69</v>
      </c>
      <c r="E115" s="70" t="s">
        <v>81</v>
      </c>
      <c r="F115" s="133">
        <f>F221</f>
        <v>234.3518</v>
      </c>
      <c r="G115" s="386"/>
      <c r="H115" s="71">
        <f t="shared" si="5"/>
        <v>0</v>
      </c>
      <c r="I115" s="254" t="s">
        <v>4</v>
      </c>
      <c r="J115" s="37"/>
      <c r="O115" s="280"/>
      <c r="Q115" s="9">
        <v>0.004</v>
      </c>
      <c r="R115" s="119">
        <f>F115*Q115*0.1</f>
        <v>0.09374072</v>
      </c>
      <c r="S115" s="42"/>
    </row>
    <row r="116" spans="1:19" ht="13.5" customHeight="1">
      <c r="A116" s="67">
        <f t="shared" si="4"/>
        <v>11</v>
      </c>
      <c r="B116" s="155" t="s">
        <v>268</v>
      </c>
      <c r="C116" s="68"/>
      <c r="D116" s="69" t="s">
        <v>359</v>
      </c>
      <c r="E116" s="70" t="s">
        <v>81</v>
      </c>
      <c r="F116" s="133">
        <f>SUM(E117:E118)</f>
        <v>15.499500000000001</v>
      </c>
      <c r="G116" s="386"/>
      <c r="H116" s="71">
        <f>F116*G116</f>
        <v>0</v>
      </c>
      <c r="I116" s="254" t="s">
        <v>4</v>
      </c>
      <c r="J116" s="37"/>
      <c r="O116" s="280"/>
      <c r="Q116" s="9">
        <v>0.068</v>
      </c>
      <c r="R116" s="119">
        <f>+F116*Q116</f>
        <v>1.0539660000000002</v>
      </c>
      <c r="S116" s="42"/>
    </row>
    <row r="117" spans="1:19" ht="12.75">
      <c r="A117" s="67"/>
      <c r="B117" s="155"/>
      <c r="C117" s="114"/>
      <c r="D117" s="83" t="s">
        <v>727</v>
      </c>
      <c r="E117" s="214">
        <f>1.5*2.1</f>
        <v>3.1500000000000004</v>
      </c>
      <c r="F117" s="133"/>
      <c r="G117" s="112"/>
      <c r="H117" s="71"/>
      <c r="I117" s="254"/>
      <c r="J117" s="37"/>
      <c r="O117" s="280"/>
      <c r="R117" s="119"/>
      <c r="S117" s="42"/>
    </row>
    <row r="118" spans="1:19" ht="12.75">
      <c r="A118" s="67"/>
      <c r="B118" s="155"/>
      <c r="C118" s="114"/>
      <c r="D118" s="83" t="s">
        <v>723</v>
      </c>
      <c r="E118" s="214">
        <f>9.27*1.53-1.12*1.53-0.3*0.4</f>
        <v>12.3495</v>
      </c>
      <c r="F118" s="133"/>
      <c r="G118" s="112"/>
      <c r="H118" s="71"/>
      <c r="I118" s="254"/>
      <c r="J118" s="37"/>
      <c r="O118" s="280"/>
      <c r="R118" s="119"/>
      <c r="S118" s="42"/>
    </row>
    <row r="119" spans="1:19" ht="12.75">
      <c r="A119" s="67"/>
      <c r="B119" s="155"/>
      <c r="C119" s="114"/>
      <c r="D119" s="83" t="s">
        <v>724</v>
      </c>
      <c r="E119" s="214">
        <f>4.65*1.53-0.23*0.4-0.95*1.53</f>
        <v>5.569000000000001</v>
      </c>
      <c r="F119" s="133"/>
      <c r="G119" s="112"/>
      <c r="H119" s="71"/>
      <c r="I119" s="254"/>
      <c r="J119" s="37"/>
      <c r="O119" s="280"/>
      <c r="R119" s="119"/>
      <c r="S119" s="42"/>
    </row>
    <row r="120" spans="1:19" ht="25.5">
      <c r="A120" s="67">
        <f>A116+1</f>
        <v>12</v>
      </c>
      <c r="B120" s="155" t="s">
        <v>387</v>
      </c>
      <c r="C120" s="68"/>
      <c r="D120" s="161" t="s">
        <v>386</v>
      </c>
      <c r="E120" s="70" t="s">
        <v>81</v>
      </c>
      <c r="F120" s="133">
        <f>SUM(E121:E122)</f>
        <v>27.799999999999997</v>
      </c>
      <c r="G120" s="386"/>
      <c r="H120" s="71">
        <f t="shared" si="5"/>
        <v>0</v>
      </c>
      <c r="I120" s="254" t="s">
        <v>4</v>
      </c>
      <c r="J120" s="37"/>
      <c r="O120" s="280"/>
      <c r="Q120" s="9">
        <v>0.046</v>
      </c>
      <c r="R120" s="119">
        <f>F120*Q120</f>
        <v>1.2788</v>
      </c>
      <c r="S120" s="42"/>
    </row>
    <row r="121" spans="1:19" ht="12.75">
      <c r="A121" s="67"/>
      <c r="B121" s="155"/>
      <c r="C121" s="114"/>
      <c r="D121" s="83" t="s">
        <v>725</v>
      </c>
      <c r="E121" s="214">
        <f>9.27*2.4-1.12*2.4-0.8*0.4</f>
        <v>19.24</v>
      </c>
      <c r="F121" s="133"/>
      <c r="G121" s="112"/>
      <c r="H121" s="71"/>
      <c r="I121" s="254"/>
      <c r="J121" s="37"/>
      <c r="O121" s="280"/>
      <c r="R121" s="119"/>
      <c r="S121" s="42"/>
    </row>
    <row r="122" spans="1:19" ht="12.75">
      <c r="A122" s="67"/>
      <c r="B122" s="155"/>
      <c r="C122" s="114"/>
      <c r="D122" s="83" t="s">
        <v>726</v>
      </c>
      <c r="E122" s="214">
        <f>4.65*2.4-0.8*0.4-0.95*2.4</f>
        <v>8.56</v>
      </c>
      <c r="F122" s="133"/>
      <c r="G122" s="112"/>
      <c r="H122" s="71"/>
      <c r="I122" s="254"/>
      <c r="J122" s="37"/>
      <c r="O122" s="280"/>
      <c r="R122" s="119"/>
      <c r="S122" s="42"/>
    </row>
    <row r="123" spans="1:19" ht="12.75">
      <c r="A123" s="67">
        <f>A120+1</f>
        <v>13</v>
      </c>
      <c r="B123" s="155" t="s">
        <v>373</v>
      </c>
      <c r="C123" s="114"/>
      <c r="D123" s="69" t="s">
        <v>49</v>
      </c>
      <c r="E123" s="70" t="s">
        <v>81</v>
      </c>
      <c r="F123" s="133">
        <f>SUM(E124:E124)</f>
        <v>0.37</v>
      </c>
      <c r="G123" s="386"/>
      <c r="H123" s="71">
        <f>F123*G123</f>
        <v>0</v>
      </c>
      <c r="I123" s="254" t="s">
        <v>4</v>
      </c>
      <c r="J123" s="37"/>
      <c r="O123" s="280"/>
      <c r="Q123" s="9">
        <v>0.18467</v>
      </c>
      <c r="R123" s="119">
        <f>+F123*Q123</f>
        <v>0.0683279</v>
      </c>
      <c r="S123" s="42"/>
    </row>
    <row r="124" spans="1:19" ht="12.75">
      <c r="A124" s="67"/>
      <c r="B124" s="155"/>
      <c r="C124" s="114"/>
      <c r="D124" s="73" t="s">
        <v>733</v>
      </c>
      <c r="E124" s="100">
        <f>0.37*1</f>
        <v>0.37</v>
      </c>
      <c r="F124" s="133"/>
      <c r="G124" s="112"/>
      <c r="H124" s="71"/>
      <c r="I124" s="254"/>
      <c r="J124" s="37"/>
      <c r="O124" s="280"/>
      <c r="R124" s="119"/>
      <c r="S124" s="42"/>
    </row>
    <row r="125" spans="1:19" ht="12.75">
      <c r="A125" s="67">
        <f>A123+1</f>
        <v>14</v>
      </c>
      <c r="B125" s="155" t="s">
        <v>374</v>
      </c>
      <c r="C125" s="114"/>
      <c r="D125" s="69" t="s">
        <v>375</v>
      </c>
      <c r="E125" s="70" t="s">
        <v>34</v>
      </c>
      <c r="F125" s="133">
        <f>SUM(E126:E126)</f>
        <v>0.504</v>
      </c>
      <c r="G125" s="386"/>
      <c r="H125" s="71">
        <f>F125*G125</f>
        <v>0</v>
      </c>
      <c r="I125" s="254" t="s">
        <v>4</v>
      </c>
      <c r="J125" s="37"/>
      <c r="O125" s="280"/>
      <c r="Q125" s="9">
        <v>1.8</v>
      </c>
      <c r="R125" s="119">
        <f>F125*Q125</f>
        <v>0.9072</v>
      </c>
      <c r="S125" s="42"/>
    </row>
    <row r="126" spans="1:19" ht="12.75">
      <c r="A126" s="67"/>
      <c r="B126" s="155"/>
      <c r="C126" s="114"/>
      <c r="D126" s="83" t="s">
        <v>728</v>
      </c>
      <c r="E126" s="214">
        <f>0.8*2.1*0.3</f>
        <v>0.504</v>
      </c>
      <c r="F126" s="133"/>
      <c r="G126" s="112"/>
      <c r="H126" s="71"/>
      <c r="I126" s="254"/>
      <c r="J126" s="37"/>
      <c r="O126" s="280"/>
      <c r="R126" s="119"/>
      <c r="S126" s="42"/>
    </row>
    <row r="127" spans="1:19" ht="12.75">
      <c r="A127" s="67">
        <f>A125+1</f>
        <v>15</v>
      </c>
      <c r="B127" s="358" t="s">
        <v>729</v>
      </c>
      <c r="C127" s="190"/>
      <c r="D127" s="72" t="s">
        <v>730</v>
      </c>
      <c r="E127" s="74" t="s">
        <v>81</v>
      </c>
      <c r="F127" s="137">
        <f>SUM(E128:E129)</f>
        <v>5.75</v>
      </c>
      <c r="G127" s="386"/>
      <c r="H127" s="75">
        <f>F127*G127</f>
        <v>0</v>
      </c>
      <c r="I127" s="169" t="s">
        <v>4</v>
      </c>
      <c r="J127" s="37"/>
      <c r="O127" s="280"/>
      <c r="Q127" s="9">
        <v>0.11867</v>
      </c>
      <c r="R127" s="119">
        <f>F127*Q127</f>
        <v>0.6823525</v>
      </c>
      <c r="S127" s="42"/>
    </row>
    <row r="128" spans="1:19" ht="13.5" customHeight="1">
      <c r="A128" s="212"/>
      <c r="B128" s="358"/>
      <c r="C128" s="190"/>
      <c r="D128" s="83" t="s">
        <v>731</v>
      </c>
      <c r="E128" s="214">
        <f>1.81*3</f>
        <v>5.43</v>
      </c>
      <c r="F128" s="137"/>
      <c r="G128" s="112"/>
      <c r="H128" s="75"/>
      <c r="J128" s="37"/>
      <c r="O128" s="280"/>
      <c r="R128" s="119"/>
      <c r="S128" s="42"/>
    </row>
    <row r="129" spans="1:19" ht="12.75">
      <c r="A129" s="212"/>
      <c r="B129" s="358"/>
      <c r="C129" s="190"/>
      <c r="D129" s="83" t="s">
        <v>732</v>
      </c>
      <c r="E129" s="214">
        <f>0.4*0.8</f>
        <v>0.32000000000000006</v>
      </c>
      <c r="F129" s="137"/>
      <c r="G129" s="112"/>
      <c r="H129" s="75"/>
      <c r="J129" s="37"/>
      <c r="M129" s="9" t="s">
        <v>19</v>
      </c>
      <c r="O129" s="280"/>
      <c r="R129" s="119"/>
      <c r="S129" s="42"/>
    </row>
    <row r="130" spans="1:19" ht="12.75">
      <c r="A130" s="212">
        <f>A127+1</f>
        <v>16</v>
      </c>
      <c r="B130" s="271" t="s">
        <v>421</v>
      </c>
      <c r="C130" s="213"/>
      <c r="D130" s="69" t="s">
        <v>738</v>
      </c>
      <c r="E130" s="74" t="s">
        <v>83</v>
      </c>
      <c r="F130" s="133">
        <v>1</v>
      </c>
      <c r="G130" s="386"/>
      <c r="H130" s="75">
        <f aca="true" t="shared" si="6" ref="H130:H136">F130*G130</f>
        <v>0</v>
      </c>
      <c r="I130" s="169" t="s">
        <v>4</v>
      </c>
      <c r="O130" s="280"/>
      <c r="Q130" s="359">
        <v>0.001</v>
      </c>
      <c r="R130" s="359">
        <f aca="true" t="shared" si="7" ref="R130:R136">+Q130*F130</f>
        <v>0.001</v>
      </c>
      <c r="S130" s="42"/>
    </row>
    <row r="131" spans="1:19" ht="12.75">
      <c r="A131" s="212">
        <f aca="true" t="shared" si="8" ref="A131:A137">A130+1</f>
        <v>17</v>
      </c>
      <c r="B131" s="271" t="s">
        <v>376</v>
      </c>
      <c r="C131" s="213"/>
      <c r="D131" s="69" t="s">
        <v>740</v>
      </c>
      <c r="E131" s="74" t="s">
        <v>83</v>
      </c>
      <c r="F131" s="133">
        <v>1</v>
      </c>
      <c r="G131" s="386"/>
      <c r="H131" s="75">
        <f>F131*G131</f>
        <v>0</v>
      </c>
      <c r="I131" s="169" t="s">
        <v>4</v>
      </c>
      <c r="O131" s="280"/>
      <c r="Q131" s="359">
        <v>0.001</v>
      </c>
      <c r="R131" s="359">
        <f t="shared" si="7"/>
        <v>0.001</v>
      </c>
      <c r="S131" s="42"/>
    </row>
    <row r="132" spans="1:19" ht="12.75">
      <c r="A132" s="212">
        <f t="shared" si="8"/>
        <v>18</v>
      </c>
      <c r="B132" s="271" t="s">
        <v>420</v>
      </c>
      <c r="C132" s="213"/>
      <c r="D132" s="69" t="s">
        <v>739</v>
      </c>
      <c r="E132" s="74" t="s">
        <v>83</v>
      </c>
      <c r="F132" s="133">
        <v>1</v>
      </c>
      <c r="G132" s="386"/>
      <c r="H132" s="75">
        <f t="shared" si="6"/>
        <v>0</v>
      </c>
      <c r="I132" s="169" t="s">
        <v>4</v>
      </c>
      <c r="O132" s="280"/>
      <c r="Q132" s="359">
        <v>0.00267</v>
      </c>
      <c r="R132" s="359">
        <f t="shared" si="7"/>
        <v>0.00267</v>
      </c>
      <c r="S132" s="42"/>
    </row>
    <row r="133" spans="1:19" ht="25.5">
      <c r="A133" s="212">
        <f t="shared" si="8"/>
        <v>19</v>
      </c>
      <c r="B133" s="271" t="s">
        <v>419</v>
      </c>
      <c r="C133" s="213"/>
      <c r="D133" s="69" t="s">
        <v>741</v>
      </c>
      <c r="E133" s="74" t="s">
        <v>83</v>
      </c>
      <c r="F133" s="133">
        <v>2</v>
      </c>
      <c r="G133" s="386"/>
      <c r="H133" s="75">
        <f>F133*G133</f>
        <v>0</v>
      </c>
      <c r="I133" s="169" t="s">
        <v>4</v>
      </c>
      <c r="O133" s="280"/>
      <c r="Q133" s="359">
        <v>0.004</v>
      </c>
      <c r="R133" s="359">
        <f t="shared" si="7"/>
        <v>0.008</v>
      </c>
      <c r="S133" s="42"/>
    </row>
    <row r="134" spans="1:19" ht="25.5">
      <c r="A134" s="212">
        <f t="shared" si="8"/>
        <v>20</v>
      </c>
      <c r="B134" s="271" t="s">
        <v>377</v>
      </c>
      <c r="C134" s="213"/>
      <c r="D134" s="69" t="s">
        <v>309</v>
      </c>
      <c r="E134" s="70" t="s">
        <v>83</v>
      </c>
      <c r="F134" s="133">
        <v>2</v>
      </c>
      <c r="G134" s="386"/>
      <c r="H134" s="75">
        <f>F134*G134</f>
        <v>0</v>
      </c>
      <c r="I134" s="169" t="s">
        <v>4</v>
      </c>
      <c r="O134" s="280"/>
      <c r="Q134" s="359">
        <v>0.01667</v>
      </c>
      <c r="R134" s="359">
        <f t="shared" si="7"/>
        <v>0.03334</v>
      </c>
      <c r="S134" s="42"/>
    </row>
    <row r="135" spans="1:19" ht="38.25">
      <c r="A135" s="212">
        <f t="shared" si="8"/>
        <v>21</v>
      </c>
      <c r="B135" s="271" t="s">
        <v>1006</v>
      </c>
      <c r="C135" s="213"/>
      <c r="D135" s="69" t="s">
        <v>1005</v>
      </c>
      <c r="E135" s="70" t="s">
        <v>84</v>
      </c>
      <c r="F135" s="133">
        <f>0.8*2*3</f>
        <v>4.800000000000001</v>
      </c>
      <c r="G135" s="386"/>
      <c r="H135" s="75">
        <f>F135*G135</f>
        <v>0</v>
      </c>
      <c r="I135" s="169" t="s">
        <v>4</v>
      </c>
      <c r="O135" s="280"/>
      <c r="Q135" s="359">
        <v>1.8</v>
      </c>
      <c r="R135" s="359">
        <f>F135*0.05*0.05</f>
        <v>0.012000000000000004</v>
      </c>
      <c r="S135" s="42"/>
    </row>
    <row r="136" spans="1:19" ht="12.75">
      <c r="A136" s="212">
        <f t="shared" si="8"/>
        <v>22</v>
      </c>
      <c r="B136" s="304" t="s">
        <v>742</v>
      </c>
      <c r="C136" s="165"/>
      <c r="D136" s="306" t="s">
        <v>743</v>
      </c>
      <c r="E136" s="157" t="s">
        <v>84</v>
      </c>
      <c r="F136" s="134">
        <v>0.7</v>
      </c>
      <c r="G136" s="387"/>
      <c r="H136" s="158">
        <f t="shared" si="6"/>
        <v>0</v>
      </c>
      <c r="I136" s="169" t="s">
        <v>4</v>
      </c>
      <c r="O136" s="280"/>
      <c r="Q136" s="359">
        <v>0.00214</v>
      </c>
      <c r="R136" s="359">
        <f t="shared" si="7"/>
        <v>0.001498</v>
      </c>
      <c r="S136" s="42"/>
    </row>
    <row r="137" spans="1:19" ht="25.5">
      <c r="A137" s="212">
        <f t="shared" si="8"/>
        <v>23</v>
      </c>
      <c r="B137" s="360" t="s">
        <v>43</v>
      </c>
      <c r="C137" s="190"/>
      <c r="D137" s="72" t="s">
        <v>50</v>
      </c>
      <c r="E137" s="74" t="s">
        <v>81</v>
      </c>
      <c r="F137" s="133">
        <f>SUM(E138:E141)</f>
        <v>23.380000000000003</v>
      </c>
      <c r="G137" s="386"/>
      <c r="H137" s="71">
        <f>F137*G137</f>
        <v>0</v>
      </c>
      <c r="I137" s="254" t="s">
        <v>4</v>
      </c>
      <c r="J137" s="37"/>
      <c r="O137" s="280"/>
      <c r="P137" s="280"/>
      <c r="Q137" s="9">
        <v>0.02</v>
      </c>
      <c r="R137" s="119">
        <f>+F137*Q137</f>
        <v>0.46760000000000007</v>
      </c>
      <c r="S137" s="42"/>
    </row>
    <row r="138" spans="1:19" ht="12.75">
      <c r="A138" s="212"/>
      <c r="B138" s="360"/>
      <c r="C138" s="190"/>
      <c r="D138" s="83" t="s">
        <v>734</v>
      </c>
      <c r="E138" s="214">
        <v>17.6</v>
      </c>
      <c r="F138" s="133"/>
      <c r="G138" s="112"/>
      <c r="H138" s="71"/>
      <c r="I138" s="254"/>
      <c r="J138" s="37"/>
      <c r="O138" s="280"/>
      <c r="P138" s="280"/>
      <c r="R138" s="119"/>
      <c r="S138" s="42"/>
    </row>
    <row r="139" spans="1:19" ht="12.75">
      <c r="A139" s="212"/>
      <c r="B139" s="360"/>
      <c r="C139" s="190"/>
      <c r="D139" s="83" t="s">
        <v>735</v>
      </c>
      <c r="E139" s="214">
        <f>4.8-1.6*0.7</f>
        <v>3.6799999999999997</v>
      </c>
      <c r="F139" s="133"/>
      <c r="G139" s="112"/>
      <c r="H139" s="71"/>
      <c r="I139" s="254"/>
      <c r="J139" s="37"/>
      <c r="O139" s="280"/>
      <c r="P139" s="280"/>
      <c r="R139" s="119"/>
      <c r="S139" s="42"/>
    </row>
    <row r="140" spans="1:19" ht="12.75">
      <c r="A140" s="212"/>
      <c r="B140" s="360"/>
      <c r="C140" s="190"/>
      <c r="D140" s="83" t="s">
        <v>736</v>
      </c>
      <c r="E140" s="214">
        <v>0.8</v>
      </c>
      <c r="F140" s="133"/>
      <c r="G140" s="112"/>
      <c r="H140" s="71"/>
      <c r="I140" s="254"/>
      <c r="J140" s="37"/>
      <c r="O140" s="280"/>
      <c r="P140" s="280"/>
      <c r="R140" s="119"/>
      <c r="S140" s="42"/>
    </row>
    <row r="141" spans="1:19" ht="12.75">
      <c r="A141" s="212"/>
      <c r="B141" s="360"/>
      <c r="C141" s="190"/>
      <c r="D141" s="83" t="s">
        <v>737</v>
      </c>
      <c r="E141" s="214">
        <v>1.3</v>
      </c>
      <c r="F141" s="133"/>
      <c r="G141" s="112"/>
      <c r="H141" s="71"/>
      <c r="I141" s="254"/>
      <c r="J141" s="37"/>
      <c r="O141" s="280"/>
      <c r="P141" s="280"/>
      <c r="R141" s="119"/>
      <c r="S141" s="42"/>
    </row>
    <row r="142" spans="1:19" ht="25.5">
      <c r="A142" s="212">
        <f>A137+1</f>
        <v>24</v>
      </c>
      <c r="B142" s="243" t="s">
        <v>748</v>
      </c>
      <c r="C142" s="68"/>
      <c r="D142" s="72" t="s">
        <v>749</v>
      </c>
      <c r="E142" s="74" t="s">
        <v>34</v>
      </c>
      <c r="F142" s="137">
        <f>SUM(E143:E144)</f>
        <v>0.126</v>
      </c>
      <c r="G142" s="386"/>
      <c r="H142" s="75">
        <f>F142*G142</f>
        <v>0</v>
      </c>
      <c r="I142" s="169" t="s">
        <v>4</v>
      </c>
      <c r="O142" s="280"/>
      <c r="P142" s="280"/>
      <c r="Q142" s="9">
        <v>2.2</v>
      </c>
      <c r="R142" s="119">
        <f>+F142*Q142</f>
        <v>0.2772</v>
      </c>
      <c r="S142" s="42"/>
    </row>
    <row r="143" spans="1:19" ht="12.75">
      <c r="A143" s="212"/>
      <c r="B143" s="243"/>
      <c r="C143" s="68"/>
      <c r="D143" s="83" t="s">
        <v>746</v>
      </c>
      <c r="E143" s="214">
        <f>0.8*0.06</f>
        <v>0.048</v>
      </c>
      <c r="F143" s="137"/>
      <c r="G143" s="112"/>
      <c r="H143" s="75"/>
      <c r="O143" s="280"/>
      <c r="P143" s="280"/>
      <c r="R143" s="119"/>
      <c r="S143" s="42"/>
    </row>
    <row r="144" spans="1:19" ht="12.75">
      <c r="A144" s="212"/>
      <c r="B144" s="243"/>
      <c r="C144" s="68"/>
      <c r="D144" s="83" t="s">
        <v>747</v>
      </c>
      <c r="E144" s="214">
        <f>1.3*0.06</f>
        <v>0.078</v>
      </c>
      <c r="F144" s="137"/>
      <c r="G144" s="112"/>
      <c r="H144" s="75"/>
      <c r="O144" s="280"/>
      <c r="P144" s="280"/>
      <c r="R144" s="119"/>
      <c r="S144" s="42"/>
    </row>
    <row r="145" spans="1:19" ht="25.5">
      <c r="A145" s="212">
        <f>A142+1</f>
        <v>25</v>
      </c>
      <c r="B145" s="243" t="s">
        <v>44</v>
      </c>
      <c r="C145" s="68"/>
      <c r="D145" s="72" t="s">
        <v>51</v>
      </c>
      <c r="E145" s="74" t="s">
        <v>34</v>
      </c>
      <c r="F145" s="137">
        <f>SUM(E146:E147)</f>
        <v>1.488</v>
      </c>
      <c r="G145" s="386"/>
      <c r="H145" s="75">
        <f>F145*G145</f>
        <v>0</v>
      </c>
      <c r="I145" s="169" t="s">
        <v>4</v>
      </c>
      <c r="O145" s="280"/>
      <c r="P145" s="280"/>
      <c r="Q145" s="9">
        <v>2.2</v>
      </c>
      <c r="R145" s="119">
        <f>+F145*Q145</f>
        <v>3.2736</v>
      </c>
      <c r="S145" s="42"/>
    </row>
    <row r="146" spans="1:19" ht="12.75">
      <c r="A146" s="212"/>
      <c r="B146" s="243"/>
      <c r="C146" s="68"/>
      <c r="D146" s="83" t="s">
        <v>744</v>
      </c>
      <c r="E146" s="214">
        <f>17.6*0.06</f>
        <v>1.056</v>
      </c>
      <c r="F146" s="137"/>
      <c r="G146" s="112"/>
      <c r="H146" s="75"/>
      <c r="O146" s="280"/>
      <c r="P146" s="280"/>
      <c r="R146" s="119"/>
      <c r="S146" s="42"/>
    </row>
    <row r="147" spans="1:19" ht="12.75">
      <c r="A147" s="212"/>
      <c r="B147" s="243"/>
      <c r="C147" s="68"/>
      <c r="D147" s="83" t="s">
        <v>745</v>
      </c>
      <c r="E147" s="214">
        <f>4.8*0.09</f>
        <v>0.432</v>
      </c>
      <c r="F147" s="137"/>
      <c r="G147" s="112"/>
      <c r="H147" s="75"/>
      <c r="O147" s="280"/>
      <c r="P147" s="280"/>
      <c r="R147" s="119"/>
      <c r="S147" s="42"/>
    </row>
    <row r="148" spans="1:19" ht="12.75">
      <c r="A148" s="212">
        <f>+A145+1</f>
        <v>26</v>
      </c>
      <c r="B148" s="358" t="s">
        <v>753</v>
      </c>
      <c r="C148" s="190"/>
      <c r="D148" s="72" t="s">
        <v>752</v>
      </c>
      <c r="E148" s="74" t="s">
        <v>81</v>
      </c>
      <c r="F148" s="137">
        <f>+E149</f>
        <v>24.5</v>
      </c>
      <c r="G148" s="386"/>
      <c r="H148" s="75">
        <f>F148*G148</f>
        <v>0</v>
      </c>
      <c r="I148" s="169" t="s">
        <v>4</v>
      </c>
      <c r="O148" s="280"/>
      <c r="P148" s="280"/>
      <c r="R148" s="119"/>
      <c r="S148" s="42"/>
    </row>
    <row r="149" spans="1:19" ht="12.75">
      <c r="A149" s="212"/>
      <c r="B149" s="155"/>
      <c r="C149" s="68"/>
      <c r="D149" s="361" t="s">
        <v>751</v>
      </c>
      <c r="E149" s="214">
        <v>24.5</v>
      </c>
      <c r="F149" s="133"/>
      <c r="G149" s="112"/>
      <c r="H149" s="71"/>
      <c r="I149" s="254"/>
      <c r="J149" s="37"/>
      <c r="O149" s="280"/>
      <c r="P149" s="280"/>
      <c r="Q149" s="280"/>
      <c r="R149" s="119"/>
      <c r="S149" s="42"/>
    </row>
    <row r="150" spans="1:19" ht="25.5">
      <c r="A150" s="212">
        <f>A148+1</f>
        <v>27</v>
      </c>
      <c r="B150" s="155" t="s">
        <v>379</v>
      </c>
      <c r="C150" s="68"/>
      <c r="D150" s="69" t="s">
        <v>378</v>
      </c>
      <c r="E150" s="70" t="s">
        <v>81</v>
      </c>
      <c r="F150" s="133">
        <f>SUM(E151)</f>
        <v>39.2</v>
      </c>
      <c r="G150" s="386"/>
      <c r="H150" s="71">
        <f>F150*G150</f>
        <v>0</v>
      </c>
      <c r="I150" s="254" t="s">
        <v>4</v>
      </c>
      <c r="J150" s="37"/>
      <c r="O150" s="280"/>
      <c r="P150" s="280"/>
      <c r="Q150" s="280">
        <v>0.001</v>
      </c>
      <c r="R150" s="119">
        <f>+F150*Q150</f>
        <v>0.039200000000000006</v>
      </c>
      <c r="S150" s="42"/>
    </row>
    <row r="151" spans="1:19" ht="12.75">
      <c r="A151" s="212"/>
      <c r="B151" s="155"/>
      <c r="C151" s="68"/>
      <c r="D151" s="361" t="s">
        <v>943</v>
      </c>
      <c r="E151" s="214">
        <f>19.6*2</f>
        <v>39.2</v>
      </c>
      <c r="F151" s="133"/>
      <c r="G151" s="112"/>
      <c r="H151" s="71"/>
      <c r="I151" s="254"/>
      <c r="J151" s="37"/>
      <c r="O151" s="280"/>
      <c r="P151" s="280"/>
      <c r="Q151" s="280"/>
      <c r="R151" s="119"/>
      <c r="S151" s="42"/>
    </row>
    <row r="152" spans="1:19" ht="25.5">
      <c r="A152" s="212">
        <f>+A150+1</f>
        <v>28</v>
      </c>
      <c r="B152" s="155" t="s">
        <v>380</v>
      </c>
      <c r="C152" s="68"/>
      <c r="D152" s="69" t="s">
        <v>476</v>
      </c>
      <c r="E152" s="70" t="s">
        <v>81</v>
      </c>
      <c r="F152" s="133">
        <f>SUM(E153:E153)</f>
        <v>0.8</v>
      </c>
      <c r="G152" s="386"/>
      <c r="H152" s="71">
        <f>F152*G152</f>
        <v>0</v>
      </c>
      <c r="I152" s="254" t="s">
        <v>4</v>
      </c>
      <c r="J152" s="37"/>
      <c r="O152" s="280"/>
      <c r="P152" s="280"/>
      <c r="Q152" s="280">
        <v>0.001</v>
      </c>
      <c r="R152" s="119">
        <f>+F152*Q152</f>
        <v>0.0008</v>
      </c>
      <c r="S152" s="42"/>
    </row>
    <row r="153" spans="1:19" ht="12.75">
      <c r="A153" s="212"/>
      <c r="B153" s="155"/>
      <c r="C153" s="68"/>
      <c r="D153" s="361" t="s">
        <v>736</v>
      </c>
      <c r="E153" s="214">
        <v>0.8</v>
      </c>
      <c r="F153" s="133"/>
      <c r="G153" s="112"/>
      <c r="H153" s="71"/>
      <c r="I153" s="254"/>
      <c r="J153" s="37"/>
      <c r="O153" s="280"/>
      <c r="P153" s="280"/>
      <c r="Q153" s="280"/>
      <c r="R153" s="119"/>
      <c r="S153" s="42"/>
    </row>
    <row r="154" spans="1:21" ht="12.75">
      <c r="A154" s="212">
        <f>A152+1</f>
        <v>29</v>
      </c>
      <c r="B154" s="358" t="s">
        <v>755</v>
      </c>
      <c r="C154" s="190"/>
      <c r="D154" s="72" t="s">
        <v>756</v>
      </c>
      <c r="E154" s="74" t="s">
        <v>81</v>
      </c>
      <c r="F154" s="137">
        <f>SUM(E155:E155)</f>
        <v>24.5</v>
      </c>
      <c r="G154" s="386"/>
      <c r="H154" s="75">
        <f>F154*G154</f>
        <v>0</v>
      </c>
      <c r="I154" s="169" t="s">
        <v>4</v>
      </c>
      <c r="L154" s="42"/>
      <c r="M154" s="42"/>
      <c r="N154" s="42"/>
      <c r="O154" s="42"/>
      <c r="P154" s="128"/>
      <c r="Q154" s="42"/>
      <c r="R154" s="42"/>
      <c r="S154" s="42"/>
      <c r="T154" s="42"/>
      <c r="U154" s="42"/>
    </row>
    <row r="155" spans="1:21" ht="12.75">
      <c r="A155" s="212"/>
      <c r="B155" s="358"/>
      <c r="C155" s="190"/>
      <c r="D155" s="361" t="s">
        <v>751</v>
      </c>
      <c r="E155" s="214">
        <v>24.5</v>
      </c>
      <c r="F155" s="137"/>
      <c r="G155" s="112"/>
      <c r="H155" s="75"/>
      <c r="L155" s="42"/>
      <c r="M155" s="42"/>
      <c r="N155" s="42"/>
      <c r="O155" s="42"/>
      <c r="P155" s="128"/>
      <c r="Q155" s="42"/>
      <c r="R155" s="42"/>
      <c r="S155" s="42"/>
      <c r="T155" s="42"/>
      <c r="U155" s="42"/>
    </row>
    <row r="156" spans="1:21" ht="12.75">
      <c r="A156" s="212">
        <f>A154+1</f>
        <v>30</v>
      </c>
      <c r="B156" s="358" t="s">
        <v>593</v>
      </c>
      <c r="C156" s="190"/>
      <c r="D156" s="72" t="s">
        <v>754</v>
      </c>
      <c r="E156" s="74" t="s">
        <v>81</v>
      </c>
      <c r="F156" s="137">
        <f>SUM(E157:E158)</f>
        <v>44.1</v>
      </c>
      <c r="G156" s="386"/>
      <c r="H156" s="75">
        <f>F156*G156</f>
        <v>0</v>
      </c>
      <c r="I156" s="169" t="s">
        <v>4</v>
      </c>
      <c r="L156" s="42"/>
      <c r="M156" s="42"/>
      <c r="N156" s="42"/>
      <c r="O156" s="42"/>
      <c r="P156" s="128"/>
      <c r="Q156" s="42"/>
      <c r="R156" s="42"/>
      <c r="S156" s="42"/>
      <c r="T156" s="42"/>
      <c r="U156" s="42"/>
    </row>
    <row r="157" spans="1:21" ht="12.75">
      <c r="A157" s="212"/>
      <c r="B157" s="358"/>
      <c r="C157" s="190"/>
      <c r="D157" s="361" t="s">
        <v>751</v>
      </c>
      <c r="E157" s="214">
        <v>24.5</v>
      </c>
      <c r="F157" s="137"/>
      <c r="G157" s="112"/>
      <c r="H157" s="75"/>
      <c r="L157" s="42"/>
      <c r="M157" s="42"/>
      <c r="N157" s="42"/>
      <c r="O157" s="42"/>
      <c r="P157" s="128"/>
      <c r="Q157" s="42"/>
      <c r="R157" s="42"/>
      <c r="S157" s="42"/>
      <c r="T157" s="42"/>
      <c r="U157" s="42"/>
    </row>
    <row r="158" spans="1:21" ht="12.75">
      <c r="A158" s="212"/>
      <c r="B158" s="358"/>
      <c r="C158" s="190"/>
      <c r="D158" s="361" t="s">
        <v>750</v>
      </c>
      <c r="E158" s="214">
        <v>19.6</v>
      </c>
      <c r="F158" s="137"/>
      <c r="G158" s="112"/>
      <c r="H158" s="75"/>
      <c r="L158" s="42"/>
      <c r="M158" s="42"/>
      <c r="N158" s="42"/>
      <c r="O158" s="42"/>
      <c r="P158" s="128"/>
      <c r="Q158" s="42"/>
      <c r="R158" s="42"/>
      <c r="S158" s="42"/>
      <c r="T158" s="42"/>
      <c r="U158" s="42"/>
    </row>
    <row r="159" spans="1:22" ht="25.5">
      <c r="A159" s="212">
        <f>A156+1</f>
        <v>31</v>
      </c>
      <c r="B159" s="243" t="s">
        <v>945</v>
      </c>
      <c r="C159" s="263"/>
      <c r="D159" s="72" t="s">
        <v>946</v>
      </c>
      <c r="E159" s="74" t="s">
        <v>81</v>
      </c>
      <c r="F159" s="133">
        <f>SUM(E160:E162)</f>
        <v>6.8999999999999995</v>
      </c>
      <c r="G159" s="386"/>
      <c r="H159" s="75">
        <f>F159*G159</f>
        <v>0</v>
      </c>
      <c r="I159" s="169" t="s">
        <v>4</v>
      </c>
      <c r="J159" s="337"/>
      <c r="K159" s="381"/>
      <c r="L159" s="9"/>
      <c r="N159" s="280"/>
      <c r="O159" s="280"/>
      <c r="P159" s="280"/>
      <c r="Q159" s="359">
        <v>0.167</v>
      </c>
      <c r="R159" s="119">
        <f>+F159*Q159</f>
        <v>1.1522999999999999</v>
      </c>
      <c r="V159" s="9"/>
    </row>
    <row r="160" spans="1:22" ht="12.75">
      <c r="A160" s="212"/>
      <c r="B160" s="243"/>
      <c r="C160" s="263"/>
      <c r="D160" s="83" t="s">
        <v>944</v>
      </c>
      <c r="E160" s="214">
        <f>4.8</f>
        <v>4.8</v>
      </c>
      <c r="F160" s="133"/>
      <c r="G160" s="112"/>
      <c r="H160" s="75"/>
      <c r="J160" s="337"/>
      <c r="K160" s="381"/>
      <c r="L160" s="9"/>
      <c r="N160" s="280"/>
      <c r="O160" s="280"/>
      <c r="P160" s="280"/>
      <c r="Q160" s="359"/>
      <c r="R160" s="119"/>
      <c r="V160" s="9"/>
    </row>
    <row r="161" spans="1:22" ht="12.75">
      <c r="A161" s="212"/>
      <c r="B161" s="243"/>
      <c r="C161" s="263"/>
      <c r="D161" s="83" t="s">
        <v>736</v>
      </c>
      <c r="E161" s="214">
        <v>0.8</v>
      </c>
      <c r="F161" s="133"/>
      <c r="G161" s="112"/>
      <c r="H161" s="75"/>
      <c r="J161" s="337"/>
      <c r="K161" s="381"/>
      <c r="L161" s="9"/>
      <c r="N161" s="280"/>
      <c r="O161" s="280"/>
      <c r="P161" s="280"/>
      <c r="Q161" s="359"/>
      <c r="R161" s="119"/>
      <c r="V161" s="9"/>
    </row>
    <row r="162" spans="1:21" ht="12.75">
      <c r="A162" s="212"/>
      <c r="B162" s="358"/>
      <c r="C162" s="190"/>
      <c r="D162" s="83" t="s">
        <v>737</v>
      </c>
      <c r="E162" s="214">
        <v>1.3</v>
      </c>
      <c r="F162" s="137"/>
      <c r="G162" s="112"/>
      <c r="H162" s="75"/>
      <c r="L162" s="42"/>
      <c r="M162" s="42"/>
      <c r="N162" s="42"/>
      <c r="O162" s="42"/>
      <c r="P162" s="128"/>
      <c r="Q162" s="42"/>
      <c r="R162" s="42"/>
      <c r="S162" s="42"/>
      <c r="T162" s="42"/>
      <c r="U162" s="42"/>
    </row>
    <row r="163" spans="1:22" ht="25.5">
      <c r="A163" s="212">
        <f>A159+1</f>
        <v>32</v>
      </c>
      <c r="B163" s="243" t="s">
        <v>290</v>
      </c>
      <c r="C163" s="263"/>
      <c r="D163" s="72" t="s">
        <v>293</v>
      </c>
      <c r="E163" s="74" t="s">
        <v>81</v>
      </c>
      <c r="F163" s="133">
        <f>SUM(E164:E165)</f>
        <v>37.2</v>
      </c>
      <c r="G163" s="386"/>
      <c r="H163" s="75">
        <f>F163*G163</f>
        <v>0</v>
      </c>
      <c r="I163" s="169" t="s">
        <v>4</v>
      </c>
      <c r="J163" s="337"/>
      <c r="K163" s="381"/>
      <c r="L163" s="9"/>
      <c r="N163" s="280"/>
      <c r="O163" s="280"/>
      <c r="P163" s="280"/>
      <c r="Q163" s="359">
        <v>0.167</v>
      </c>
      <c r="R163" s="119">
        <f>+F163*Q163</f>
        <v>6.212400000000001</v>
      </c>
      <c r="V163" s="9"/>
    </row>
    <row r="164" spans="1:22" ht="12.75">
      <c r="A164" s="212"/>
      <c r="B164" s="243"/>
      <c r="C164" s="263"/>
      <c r="D164" s="83" t="s">
        <v>734</v>
      </c>
      <c r="E164" s="214">
        <v>17.6</v>
      </c>
      <c r="F164" s="133"/>
      <c r="G164" s="112"/>
      <c r="H164" s="75"/>
      <c r="J164" s="337"/>
      <c r="K164" s="381"/>
      <c r="L164" s="9"/>
      <c r="N164" s="280"/>
      <c r="O164" s="280"/>
      <c r="P164" s="280"/>
      <c r="Q164" s="359"/>
      <c r="R164" s="119"/>
      <c r="V164" s="9"/>
    </row>
    <row r="165" spans="1:22" ht="12.75">
      <c r="A165" s="212"/>
      <c r="B165" s="243"/>
      <c r="C165" s="263"/>
      <c r="D165" s="361" t="s">
        <v>750</v>
      </c>
      <c r="E165" s="214">
        <v>19.6</v>
      </c>
      <c r="F165" s="133"/>
      <c r="G165" s="112"/>
      <c r="H165" s="75"/>
      <c r="J165" s="337"/>
      <c r="K165" s="381"/>
      <c r="L165" s="9"/>
      <c r="N165" s="280"/>
      <c r="O165" s="280"/>
      <c r="P165" s="280"/>
      <c r="Q165" s="359"/>
      <c r="R165" s="119"/>
      <c r="V165" s="9"/>
    </row>
    <row r="166" spans="1:22" ht="25.5">
      <c r="A166" s="212">
        <f>A163+1</f>
        <v>33</v>
      </c>
      <c r="B166" s="243" t="s">
        <v>291</v>
      </c>
      <c r="C166" s="263"/>
      <c r="D166" s="72" t="s">
        <v>292</v>
      </c>
      <c r="E166" s="74" t="s">
        <v>81</v>
      </c>
      <c r="F166" s="133">
        <f>SUM(E167)</f>
        <v>24.5</v>
      </c>
      <c r="G166" s="386"/>
      <c r="H166" s="75">
        <f>F166*G166</f>
        <v>0</v>
      </c>
      <c r="I166" s="169" t="s">
        <v>4</v>
      </c>
      <c r="J166" s="337"/>
      <c r="K166" s="381"/>
      <c r="L166" s="9"/>
      <c r="N166" s="280"/>
      <c r="O166" s="280"/>
      <c r="P166" s="280"/>
      <c r="Q166" s="359">
        <v>0.167</v>
      </c>
      <c r="R166" s="119">
        <f>+F166*Q166</f>
        <v>4.0915</v>
      </c>
      <c r="V166" s="9"/>
    </row>
    <row r="167" spans="1:22" ht="12.75">
      <c r="A167" s="212"/>
      <c r="B167" s="155"/>
      <c r="C167" s="68"/>
      <c r="D167" s="361" t="s">
        <v>751</v>
      </c>
      <c r="E167" s="214">
        <v>24.5</v>
      </c>
      <c r="F167" s="133"/>
      <c r="G167" s="112"/>
      <c r="H167" s="71"/>
      <c r="I167" s="254"/>
      <c r="J167" s="337"/>
      <c r="K167" s="381"/>
      <c r="L167" s="9"/>
      <c r="N167" s="280"/>
      <c r="O167" s="280"/>
      <c r="P167" s="280"/>
      <c r="Q167" s="359"/>
      <c r="R167" s="119"/>
      <c r="V167" s="9"/>
    </row>
    <row r="168" spans="1:22" ht="25.5">
      <c r="A168" s="212">
        <f>1+A166</f>
        <v>34</v>
      </c>
      <c r="B168" s="148" t="s">
        <v>757</v>
      </c>
      <c r="C168" s="190"/>
      <c r="D168" s="72" t="s">
        <v>758</v>
      </c>
      <c r="E168" s="74" t="s">
        <v>81</v>
      </c>
      <c r="F168" s="137">
        <f>0.4*4.9+0.4*3.235</f>
        <v>3.2540000000000004</v>
      </c>
      <c r="G168" s="386"/>
      <c r="H168" s="75">
        <f>F168*G168</f>
        <v>0</v>
      </c>
      <c r="I168" s="172" t="s">
        <v>4</v>
      </c>
      <c r="J168" s="337"/>
      <c r="K168" s="381"/>
      <c r="L168" s="9"/>
      <c r="N168" s="280"/>
      <c r="O168" s="280"/>
      <c r="P168" s="280"/>
      <c r="Q168" s="359"/>
      <c r="R168" s="119"/>
      <c r="V168" s="9"/>
    </row>
    <row r="169" spans="1:21" ht="12.75">
      <c r="A169" s="362">
        <f aca="true" t="shared" si="9" ref="A169:A179">A168+1</f>
        <v>35</v>
      </c>
      <c r="B169" s="357" t="s">
        <v>764</v>
      </c>
      <c r="C169" s="190"/>
      <c r="D169" s="69" t="s">
        <v>765</v>
      </c>
      <c r="E169" s="74" t="s">
        <v>83</v>
      </c>
      <c r="F169" s="133">
        <v>10</v>
      </c>
      <c r="G169" s="386"/>
      <c r="H169" s="75">
        <f>F169*G169</f>
        <v>0</v>
      </c>
      <c r="I169" s="169" t="s">
        <v>4</v>
      </c>
      <c r="J169" s="42"/>
      <c r="N169" s="349"/>
      <c r="O169" s="128"/>
      <c r="P169" s="42">
        <v>1.8</v>
      </c>
      <c r="Q169" s="42"/>
      <c r="R169" s="119">
        <v>0.2358</v>
      </c>
      <c r="S169" s="42"/>
      <c r="T169" s="42"/>
      <c r="U169" s="42"/>
    </row>
    <row r="170" spans="1:22" ht="12.75">
      <c r="A170" s="362">
        <f t="shared" si="9"/>
        <v>36</v>
      </c>
      <c r="B170" s="215" t="s">
        <v>759</v>
      </c>
      <c r="C170" s="190"/>
      <c r="D170" s="72" t="s">
        <v>760</v>
      </c>
      <c r="E170" s="74" t="s">
        <v>80</v>
      </c>
      <c r="F170" s="137">
        <v>1</v>
      </c>
      <c r="G170" s="386"/>
      <c r="H170" s="75">
        <f>F170*G170</f>
        <v>0</v>
      </c>
      <c r="I170" s="172" t="s">
        <v>4</v>
      </c>
      <c r="J170" s="337"/>
      <c r="K170" s="381"/>
      <c r="L170" s="9"/>
      <c r="N170" s="280"/>
      <c r="O170" s="280"/>
      <c r="P170" s="280"/>
      <c r="Q170" s="359"/>
      <c r="R170" s="119"/>
      <c r="V170" s="9"/>
    </row>
    <row r="171" spans="1:22" ht="25.5">
      <c r="A171" s="362">
        <f t="shared" si="9"/>
        <v>37</v>
      </c>
      <c r="B171" s="148" t="s">
        <v>766</v>
      </c>
      <c r="C171" s="190"/>
      <c r="D171" s="161" t="s">
        <v>761</v>
      </c>
      <c r="E171" s="74" t="s">
        <v>81</v>
      </c>
      <c r="F171" s="137">
        <f>+F168</f>
        <v>3.2540000000000004</v>
      </c>
      <c r="G171" s="386"/>
      <c r="H171" s="75">
        <f>F171*G171</f>
        <v>0</v>
      </c>
      <c r="I171" s="172" t="s">
        <v>4</v>
      </c>
      <c r="J171" s="337"/>
      <c r="K171" s="381"/>
      <c r="L171" s="9"/>
      <c r="N171" s="280"/>
      <c r="O171" s="280"/>
      <c r="P171" s="280"/>
      <c r="Q171" s="359"/>
      <c r="R171" s="119"/>
      <c r="V171" s="9"/>
    </row>
    <row r="172" spans="1:22" ht="25.5">
      <c r="A172" s="362">
        <f t="shared" si="9"/>
        <v>38</v>
      </c>
      <c r="B172" s="148" t="s">
        <v>762</v>
      </c>
      <c r="C172" s="190"/>
      <c r="D172" s="72" t="s">
        <v>763</v>
      </c>
      <c r="E172" s="74" t="s">
        <v>34</v>
      </c>
      <c r="F172" s="137">
        <f>+F171*0.06</f>
        <v>0.19524000000000002</v>
      </c>
      <c r="G172" s="386"/>
      <c r="H172" s="75">
        <f>F172*G172</f>
        <v>0</v>
      </c>
      <c r="I172" s="172" t="s">
        <v>4</v>
      </c>
      <c r="J172" s="337"/>
      <c r="K172" s="381"/>
      <c r="L172" s="9"/>
      <c r="N172" s="280"/>
      <c r="O172" s="280"/>
      <c r="P172" s="280"/>
      <c r="Q172" s="359"/>
      <c r="R172" s="119"/>
      <c r="V172" s="9"/>
    </row>
    <row r="173" spans="1:18" ht="25.5">
      <c r="A173" s="362">
        <f t="shared" si="9"/>
        <v>39</v>
      </c>
      <c r="B173" s="155" t="s">
        <v>466</v>
      </c>
      <c r="C173" s="68"/>
      <c r="D173" s="69" t="s">
        <v>767</v>
      </c>
      <c r="E173" s="70" t="s">
        <v>81</v>
      </c>
      <c r="F173" s="133">
        <f>2.05*1.68+1.38*1.6+1.1*2.18+1.04*0.98</f>
        <v>9.0692</v>
      </c>
      <c r="G173" s="386"/>
      <c r="H173" s="71">
        <f aca="true" t="shared" si="10" ref="H173:H180">F173*G173</f>
        <v>0</v>
      </c>
      <c r="I173" s="254" t="s">
        <v>4</v>
      </c>
      <c r="J173" s="37"/>
      <c r="O173" s="280"/>
      <c r="R173" s="119"/>
    </row>
    <row r="174" spans="1:19" ht="12.75">
      <c r="A174" s="362">
        <f t="shared" si="9"/>
        <v>40</v>
      </c>
      <c r="B174" s="155" t="s">
        <v>160</v>
      </c>
      <c r="C174" s="68"/>
      <c r="D174" s="69" t="s">
        <v>161</v>
      </c>
      <c r="E174" s="70" t="s">
        <v>85</v>
      </c>
      <c r="F174" s="133">
        <f>+R174</f>
        <v>20.413711120000002</v>
      </c>
      <c r="G174" s="386"/>
      <c r="H174" s="71">
        <f t="shared" si="10"/>
        <v>0</v>
      </c>
      <c r="I174" s="254" t="s">
        <v>4</v>
      </c>
      <c r="J174" s="37"/>
      <c r="O174" s="280"/>
      <c r="R174" s="363">
        <f>SUM(R106:R173)</f>
        <v>20.413711120000002</v>
      </c>
      <c r="S174" s="349">
        <f>SUMIF(S$106:S$158,"d",R$106:R$158)</f>
        <v>0.510216</v>
      </c>
    </row>
    <row r="175" spans="1:19" ht="12.75">
      <c r="A175" s="362">
        <f t="shared" si="9"/>
        <v>41</v>
      </c>
      <c r="B175" s="155" t="s">
        <v>362</v>
      </c>
      <c r="C175" s="114"/>
      <c r="D175" s="69" t="s">
        <v>449</v>
      </c>
      <c r="E175" s="70" t="s">
        <v>85</v>
      </c>
      <c r="F175" s="133">
        <f>+F174</f>
        <v>20.413711120000002</v>
      </c>
      <c r="G175" s="385"/>
      <c r="H175" s="71">
        <f t="shared" si="10"/>
        <v>0</v>
      </c>
      <c r="I175" s="254" t="s">
        <v>4</v>
      </c>
      <c r="J175" s="37"/>
      <c r="O175" s="280"/>
      <c r="R175" s="363"/>
      <c r="S175" s="349"/>
    </row>
    <row r="176" spans="1:21" ht="12.75">
      <c r="A176" s="362">
        <f t="shared" si="9"/>
        <v>42</v>
      </c>
      <c r="B176" s="364" t="s">
        <v>158</v>
      </c>
      <c r="C176" s="190"/>
      <c r="D176" s="72" t="s">
        <v>159</v>
      </c>
      <c r="E176" s="74" t="s">
        <v>85</v>
      </c>
      <c r="F176" s="137">
        <f>+F175</f>
        <v>20.413711120000002</v>
      </c>
      <c r="G176" s="385"/>
      <c r="H176" s="75">
        <f t="shared" si="10"/>
        <v>0</v>
      </c>
      <c r="I176" s="169" t="s">
        <v>4</v>
      </c>
      <c r="J176" s="337"/>
      <c r="K176" s="167"/>
      <c r="L176" s="42"/>
      <c r="M176" s="42"/>
      <c r="N176" s="42"/>
      <c r="O176" s="363"/>
      <c r="P176" s="349"/>
      <c r="Q176" s="42"/>
      <c r="R176" s="42"/>
      <c r="S176" s="42"/>
      <c r="T176" s="42"/>
      <c r="U176" s="42"/>
    </row>
    <row r="177" spans="1:19" ht="12.75">
      <c r="A177" s="362">
        <f t="shared" si="9"/>
        <v>43</v>
      </c>
      <c r="B177" s="155" t="s">
        <v>363</v>
      </c>
      <c r="C177" s="68"/>
      <c r="D177" s="69" t="s">
        <v>364</v>
      </c>
      <c r="E177" s="70" t="s">
        <v>85</v>
      </c>
      <c r="F177" s="133">
        <f>F174</f>
        <v>20.413711120000002</v>
      </c>
      <c r="G177" s="385"/>
      <c r="H177" s="71">
        <f t="shared" si="10"/>
        <v>0</v>
      </c>
      <c r="I177" s="254" t="s">
        <v>4</v>
      </c>
      <c r="J177" s="37"/>
      <c r="O177" s="280"/>
      <c r="R177" s="363"/>
      <c r="S177" s="349"/>
    </row>
    <row r="178" spans="1:19" ht="12.75">
      <c r="A178" s="362">
        <f t="shared" si="9"/>
        <v>44</v>
      </c>
      <c r="B178" s="155" t="s">
        <v>365</v>
      </c>
      <c r="C178" s="68"/>
      <c r="D178" s="69" t="s">
        <v>366</v>
      </c>
      <c r="E178" s="70" t="s">
        <v>85</v>
      </c>
      <c r="F178" s="133">
        <f>F174</f>
        <v>20.413711120000002</v>
      </c>
      <c r="G178" s="386"/>
      <c r="H178" s="71">
        <f t="shared" si="10"/>
        <v>0</v>
      </c>
      <c r="I178" s="254" t="s">
        <v>4</v>
      </c>
      <c r="J178" s="37"/>
      <c r="O178" s="280"/>
      <c r="R178" s="363"/>
      <c r="S178" s="349"/>
    </row>
    <row r="179" spans="1:19" ht="12.75">
      <c r="A179" s="362">
        <f t="shared" si="9"/>
        <v>45</v>
      </c>
      <c r="B179" s="155" t="s">
        <v>220</v>
      </c>
      <c r="C179" s="68"/>
      <c r="D179" s="69" t="s">
        <v>221</v>
      </c>
      <c r="E179" s="70" t="s">
        <v>85</v>
      </c>
      <c r="F179" s="133">
        <f>R174-S174</f>
        <v>19.903495120000002</v>
      </c>
      <c r="G179" s="386"/>
      <c r="H179" s="71">
        <f t="shared" si="10"/>
        <v>0</v>
      </c>
      <c r="I179" s="254" t="s">
        <v>4</v>
      </c>
      <c r="J179" s="37"/>
      <c r="O179" s="280"/>
      <c r="R179" s="363"/>
      <c r="S179" s="349"/>
    </row>
    <row r="180" spans="1:19" ht="12.75">
      <c r="A180" s="67">
        <f>A179+1</f>
        <v>46</v>
      </c>
      <c r="B180" s="155" t="s">
        <v>223</v>
      </c>
      <c r="C180" s="68"/>
      <c r="D180" s="69" t="s">
        <v>222</v>
      </c>
      <c r="E180" s="70" t="s">
        <v>85</v>
      </c>
      <c r="F180" s="133">
        <f>S174</f>
        <v>0.510216</v>
      </c>
      <c r="G180" s="386"/>
      <c r="H180" s="71">
        <f t="shared" si="10"/>
        <v>0</v>
      </c>
      <c r="I180" s="254" t="s">
        <v>4</v>
      </c>
      <c r="J180" s="37"/>
      <c r="O180" s="280"/>
      <c r="R180" s="363"/>
      <c r="S180" s="349"/>
    </row>
    <row r="181" spans="1:19" ht="13.5" thickBot="1">
      <c r="A181" s="67">
        <f>A180+1</f>
        <v>47</v>
      </c>
      <c r="B181" s="155" t="s">
        <v>218</v>
      </c>
      <c r="C181" s="68"/>
      <c r="D181" s="69" t="s">
        <v>219</v>
      </c>
      <c r="E181" s="70" t="s">
        <v>85</v>
      </c>
      <c r="F181" s="133">
        <f>F178</f>
        <v>20.413711120000002</v>
      </c>
      <c r="G181" s="386"/>
      <c r="H181" s="71">
        <f>F181*G181</f>
        <v>0</v>
      </c>
      <c r="I181" s="254" t="s">
        <v>4</v>
      </c>
      <c r="J181" s="37"/>
      <c r="O181" s="280"/>
      <c r="R181" s="363"/>
      <c r="S181" s="349"/>
    </row>
    <row r="182" spans="1:10" ht="13.5" thickBot="1">
      <c r="A182" s="67"/>
      <c r="B182" s="149"/>
      <c r="C182" s="68"/>
      <c r="D182" s="76" t="s">
        <v>82</v>
      </c>
      <c r="E182" s="77"/>
      <c r="F182" s="135"/>
      <c r="G182" s="118"/>
      <c r="H182" s="78">
        <f>SUBTOTAL(9,H106:H181)</f>
        <v>0</v>
      </c>
      <c r="I182" s="254"/>
      <c r="J182" s="37"/>
    </row>
    <row r="183" spans="1:10" ht="12.75">
      <c r="A183" s="67"/>
      <c r="B183" s="149"/>
      <c r="C183" s="68"/>
      <c r="D183" s="79"/>
      <c r="E183" s="80"/>
      <c r="F183" s="121"/>
      <c r="G183" s="291"/>
      <c r="H183" s="81"/>
      <c r="I183" s="254"/>
      <c r="J183" s="37"/>
    </row>
    <row r="184" spans="1:10" ht="16.5">
      <c r="A184" s="67"/>
      <c r="B184" s="149"/>
      <c r="C184" s="64" t="s">
        <v>393</v>
      </c>
      <c r="D184" s="65" t="s">
        <v>357</v>
      </c>
      <c r="E184" s="65"/>
      <c r="F184" s="136"/>
      <c r="G184" s="297"/>
      <c r="H184" s="65"/>
      <c r="I184" s="254"/>
      <c r="J184" s="37"/>
    </row>
    <row r="185" spans="1:10" ht="16.5">
      <c r="A185" s="67"/>
      <c r="B185" s="149"/>
      <c r="C185" s="82" t="s">
        <v>118</v>
      </c>
      <c r="D185" s="65" t="s">
        <v>136</v>
      </c>
      <c r="E185" s="65"/>
      <c r="F185" s="136"/>
      <c r="G185" s="297"/>
      <c r="H185" s="65"/>
      <c r="I185" s="254"/>
      <c r="J185" s="37"/>
    </row>
    <row r="186" spans="1:12" ht="38.25" customHeight="1">
      <c r="A186" s="67">
        <f>A181+1</f>
        <v>48</v>
      </c>
      <c r="B186" s="155" t="s">
        <v>594</v>
      </c>
      <c r="C186" s="68"/>
      <c r="D186" s="72" t="s">
        <v>531</v>
      </c>
      <c r="E186" s="74" t="s">
        <v>81</v>
      </c>
      <c r="F186" s="137">
        <f>SUM(E187:E189)</f>
        <v>5.511</v>
      </c>
      <c r="G186" s="386"/>
      <c r="H186" s="75">
        <f>F186*G186</f>
        <v>0</v>
      </c>
      <c r="I186" s="254" t="s">
        <v>7</v>
      </c>
      <c r="J186" s="37"/>
      <c r="K186" s="99"/>
      <c r="L186" s="9"/>
    </row>
    <row r="187" spans="1:19" ht="12.75">
      <c r="A187" s="67"/>
      <c r="B187" s="149"/>
      <c r="C187" s="68"/>
      <c r="D187" s="83" t="s">
        <v>770</v>
      </c>
      <c r="E187" s="214">
        <f>1.2*2.7</f>
        <v>3.24</v>
      </c>
      <c r="F187" s="133"/>
      <c r="G187" s="112"/>
      <c r="H187" s="71"/>
      <c r="I187" s="254"/>
      <c r="J187" s="37"/>
      <c r="O187" s="280"/>
      <c r="P187" s="280"/>
      <c r="Q187" s="280"/>
      <c r="R187" s="359"/>
      <c r="S187" s="42"/>
    </row>
    <row r="188" spans="1:19" ht="12.75">
      <c r="A188" s="67"/>
      <c r="B188" s="149"/>
      <c r="C188" s="68"/>
      <c r="D188" s="83" t="s">
        <v>771</v>
      </c>
      <c r="E188" s="214">
        <f>0.61*1.2</f>
        <v>0.732</v>
      </c>
      <c r="F188" s="133"/>
      <c r="G188" s="112"/>
      <c r="H188" s="71"/>
      <c r="I188" s="254"/>
      <c r="J188" s="37"/>
      <c r="O188" s="280"/>
      <c r="P188" s="280"/>
      <c r="Q188" s="280"/>
      <c r="R188" s="359"/>
      <c r="S188" s="42"/>
    </row>
    <row r="189" spans="1:19" ht="12.75">
      <c r="A189" s="67"/>
      <c r="B189" s="149"/>
      <c r="C189" s="68"/>
      <c r="D189" s="73" t="s">
        <v>957</v>
      </c>
      <c r="E189" s="214">
        <f>0.57*2.7</f>
        <v>1.539</v>
      </c>
      <c r="F189" s="133"/>
      <c r="G189" s="112"/>
      <c r="H189" s="71"/>
      <c r="I189" s="254"/>
      <c r="J189" s="37"/>
      <c r="O189" s="280"/>
      <c r="P189" s="280"/>
      <c r="Q189" s="280"/>
      <c r="R189" s="359"/>
      <c r="S189" s="42"/>
    </row>
    <row r="190" spans="1:12" ht="38.25" customHeight="1">
      <c r="A190" s="67">
        <f>A186+1</f>
        <v>49</v>
      </c>
      <c r="B190" s="155" t="s">
        <v>595</v>
      </c>
      <c r="C190" s="68"/>
      <c r="D190" s="72" t="s">
        <v>477</v>
      </c>
      <c r="E190" s="74" t="s">
        <v>81</v>
      </c>
      <c r="F190" s="137">
        <f>SUM(E191:E191)</f>
        <v>1.908</v>
      </c>
      <c r="G190" s="386"/>
      <c r="H190" s="75">
        <f>F190*G190</f>
        <v>0</v>
      </c>
      <c r="I190" s="254" t="s">
        <v>7</v>
      </c>
      <c r="J190" s="37"/>
      <c r="K190" s="99"/>
      <c r="L190" s="9"/>
    </row>
    <row r="191" spans="1:19" ht="12.75">
      <c r="A191" s="67"/>
      <c r="B191" s="149"/>
      <c r="C191" s="68"/>
      <c r="D191" s="83" t="s">
        <v>772</v>
      </c>
      <c r="E191" s="214">
        <f>1.59*1.2</f>
        <v>1.908</v>
      </c>
      <c r="F191" s="133"/>
      <c r="G191" s="112"/>
      <c r="H191" s="71"/>
      <c r="I191" s="254"/>
      <c r="J191" s="37"/>
      <c r="O191" s="280"/>
      <c r="P191" s="280"/>
      <c r="Q191" s="280"/>
      <c r="R191" s="359"/>
      <c r="S191" s="42"/>
    </row>
    <row r="192" spans="1:12" ht="38.25">
      <c r="A192" s="281">
        <f>A190+1</f>
        <v>50</v>
      </c>
      <c r="B192" s="183" t="s">
        <v>411</v>
      </c>
      <c r="C192" s="165"/>
      <c r="D192" s="161" t="s">
        <v>774</v>
      </c>
      <c r="E192" s="157" t="s">
        <v>81</v>
      </c>
      <c r="F192" s="143">
        <f>SUM(E193:E196)</f>
        <v>5.175599999999999</v>
      </c>
      <c r="G192" s="387"/>
      <c r="H192" s="158">
        <f>F192*G192</f>
        <v>0</v>
      </c>
      <c r="I192" s="258" t="s">
        <v>4</v>
      </c>
      <c r="J192" s="164"/>
      <c r="K192" s="99"/>
      <c r="L192" s="9"/>
    </row>
    <row r="193" spans="1:12" ht="12.75">
      <c r="A193" s="67"/>
      <c r="B193" s="183"/>
      <c r="C193" s="165"/>
      <c r="D193" s="83" t="s">
        <v>775</v>
      </c>
      <c r="E193" s="214">
        <f>1.15*2.37-0.9*2.02+1.09*2.37-0.9*2.02+(1-0.8)*2.02*2</f>
        <v>2.4808</v>
      </c>
      <c r="F193" s="143"/>
      <c r="G193" s="163"/>
      <c r="H193" s="158"/>
      <c r="I193" s="258"/>
      <c r="J193" s="164"/>
      <c r="K193" s="99"/>
      <c r="L193" s="9"/>
    </row>
    <row r="194" spans="1:12" ht="12.75">
      <c r="A194" s="67"/>
      <c r="B194" s="183"/>
      <c r="C194" s="165"/>
      <c r="D194" s="83" t="s">
        <v>768</v>
      </c>
      <c r="E194" s="214">
        <f>0.4*0.6</f>
        <v>0.24</v>
      </c>
      <c r="F194" s="143"/>
      <c r="G194" s="163"/>
      <c r="H194" s="158"/>
      <c r="I194" s="258"/>
      <c r="J194" s="164"/>
      <c r="K194" s="99"/>
      <c r="L194" s="9"/>
    </row>
    <row r="195" spans="1:12" ht="12.75">
      <c r="A195" s="67"/>
      <c r="B195" s="183"/>
      <c r="C195" s="165"/>
      <c r="D195" s="83" t="s">
        <v>769</v>
      </c>
      <c r="E195" s="214">
        <f>1.12*2.04</f>
        <v>2.2848</v>
      </c>
      <c r="F195" s="143"/>
      <c r="G195" s="163"/>
      <c r="H195" s="158"/>
      <c r="I195" s="258"/>
      <c r="J195" s="164"/>
      <c r="K195" s="99"/>
      <c r="L195" s="9"/>
    </row>
    <row r="196" spans="1:12" ht="12.75">
      <c r="A196" s="67"/>
      <c r="B196" s="183"/>
      <c r="C196" s="165"/>
      <c r="D196" s="83" t="s">
        <v>776</v>
      </c>
      <c r="E196" s="214">
        <f>(0.2*0.2)*2+0.3*0.3</f>
        <v>0.17</v>
      </c>
      <c r="F196" s="143"/>
      <c r="G196" s="163"/>
      <c r="H196" s="158"/>
      <c r="I196" s="258"/>
      <c r="J196" s="164"/>
      <c r="K196" s="99"/>
      <c r="L196" s="9"/>
    </row>
    <row r="197" spans="1:12" ht="25.5">
      <c r="A197" s="67">
        <f>A192+1</f>
        <v>51</v>
      </c>
      <c r="B197" s="155" t="s">
        <v>185</v>
      </c>
      <c r="C197" s="114"/>
      <c r="D197" s="72" t="s">
        <v>532</v>
      </c>
      <c r="E197" s="74" t="s">
        <v>81</v>
      </c>
      <c r="F197" s="133">
        <f>SUM(E198:E199)</f>
        <v>0.768</v>
      </c>
      <c r="G197" s="386"/>
      <c r="H197" s="261">
        <f>F197*G197</f>
        <v>0</v>
      </c>
      <c r="I197" s="254" t="s">
        <v>4</v>
      </c>
      <c r="J197" s="37"/>
      <c r="K197" s="99"/>
      <c r="L197" s="9"/>
    </row>
    <row r="198" spans="1:8" ht="12.75">
      <c r="A198" s="67"/>
      <c r="B198" s="215"/>
      <c r="C198" s="190"/>
      <c r="D198" s="73" t="s">
        <v>533</v>
      </c>
      <c r="E198" s="100">
        <f>0.24*2.7</f>
        <v>0.648</v>
      </c>
      <c r="F198" s="137"/>
      <c r="G198" s="112"/>
      <c r="H198" s="75"/>
    </row>
    <row r="199" spans="1:8" ht="12.75">
      <c r="A199" s="67"/>
      <c r="B199" s="215"/>
      <c r="C199" s="190"/>
      <c r="D199" s="73" t="s">
        <v>217</v>
      </c>
      <c r="E199" s="100">
        <f>0.2*0.2*3</f>
        <v>0.12000000000000002</v>
      </c>
      <c r="F199" s="137"/>
      <c r="G199" s="112"/>
      <c r="H199" s="75"/>
    </row>
    <row r="200" spans="1:12" ht="25.5">
      <c r="A200" s="67">
        <f>A197+1</f>
        <v>52</v>
      </c>
      <c r="B200" s="148" t="s">
        <v>225</v>
      </c>
      <c r="C200" s="68"/>
      <c r="D200" s="72" t="s">
        <v>773</v>
      </c>
      <c r="E200" s="74" t="s">
        <v>81</v>
      </c>
      <c r="F200" s="137">
        <f>0.9*0.9</f>
        <v>0.81</v>
      </c>
      <c r="G200" s="386"/>
      <c r="H200" s="75">
        <f>F200*G200</f>
        <v>0</v>
      </c>
      <c r="I200" s="172" t="s">
        <v>4</v>
      </c>
      <c r="J200" s="162"/>
      <c r="K200" s="99"/>
      <c r="L200" s="365"/>
    </row>
    <row r="201" spans="1:10" ht="12.75">
      <c r="A201" s="67">
        <f>A200+1</f>
        <v>53</v>
      </c>
      <c r="B201" s="358" t="s">
        <v>461</v>
      </c>
      <c r="C201" s="68" t="s">
        <v>91</v>
      </c>
      <c r="D201" s="69" t="s">
        <v>576</v>
      </c>
      <c r="E201" s="70" t="s">
        <v>83</v>
      </c>
      <c r="F201" s="133">
        <f>SUM(F202:F203)</f>
        <v>2</v>
      </c>
      <c r="G201" s="386"/>
      <c r="H201" s="71">
        <f>F201*G201</f>
        <v>0</v>
      </c>
      <c r="I201" s="254" t="s">
        <v>7</v>
      </c>
      <c r="J201" s="37"/>
    </row>
    <row r="202" spans="1:21" ht="38.25">
      <c r="A202" s="67">
        <f>A201+1</f>
        <v>54</v>
      </c>
      <c r="B202" s="148" t="s">
        <v>478</v>
      </c>
      <c r="C202" s="222" t="s">
        <v>777</v>
      </c>
      <c r="D202" s="217" t="s">
        <v>958</v>
      </c>
      <c r="E202" s="218" t="s">
        <v>83</v>
      </c>
      <c r="F202" s="138">
        <v>1</v>
      </c>
      <c r="G202" s="388"/>
      <c r="H202" s="220">
        <f>F202*G202</f>
        <v>0</v>
      </c>
      <c r="I202" s="169" t="s">
        <v>7</v>
      </c>
      <c r="L202" s="170" t="s">
        <v>778</v>
      </c>
      <c r="M202" s="42"/>
      <c r="N202" s="42"/>
      <c r="O202" s="42"/>
      <c r="Q202" s="42"/>
      <c r="R202" s="42"/>
      <c r="S202" s="42"/>
      <c r="T202" s="42"/>
      <c r="U202" s="42"/>
    </row>
    <row r="203" spans="1:21" ht="25.5">
      <c r="A203" s="67">
        <f>A202+1</f>
        <v>55</v>
      </c>
      <c r="B203" s="148" t="s">
        <v>479</v>
      </c>
      <c r="C203" s="222" t="s">
        <v>780</v>
      </c>
      <c r="D203" s="217" t="s">
        <v>781</v>
      </c>
      <c r="E203" s="218" t="s">
        <v>83</v>
      </c>
      <c r="F203" s="219">
        <v>1</v>
      </c>
      <c r="G203" s="388"/>
      <c r="H203" s="220">
        <f>F203*G203</f>
        <v>0</v>
      </c>
      <c r="I203" s="169" t="s">
        <v>7</v>
      </c>
      <c r="J203" s="37"/>
      <c r="K203" s="260"/>
      <c r="L203" s="170" t="s">
        <v>779</v>
      </c>
      <c r="M203" s="42"/>
      <c r="N203" s="42"/>
      <c r="O203" s="42"/>
      <c r="Q203" s="42"/>
      <c r="R203" s="42"/>
      <c r="S203" s="42"/>
      <c r="T203" s="42"/>
      <c r="U203" s="42"/>
    </row>
    <row r="204" spans="1:10" ht="13.5" thickBot="1">
      <c r="A204" s="67">
        <f>A203+1</f>
        <v>56</v>
      </c>
      <c r="B204" s="155" t="s">
        <v>282</v>
      </c>
      <c r="C204" s="68"/>
      <c r="D204" s="84" t="s">
        <v>129</v>
      </c>
      <c r="E204" s="70" t="s">
        <v>89</v>
      </c>
      <c r="F204" s="133">
        <f>+H186+H190+H192+H197+H200+H202+H203</f>
        <v>0</v>
      </c>
      <c r="G204" s="389"/>
      <c r="H204" s="71">
        <f>F204*G204</f>
        <v>0</v>
      </c>
      <c r="I204" s="254" t="s">
        <v>7</v>
      </c>
      <c r="J204" s="37"/>
    </row>
    <row r="205" spans="1:10" ht="13.5" thickBot="1">
      <c r="A205" s="67"/>
      <c r="B205" s="149"/>
      <c r="C205" s="68"/>
      <c r="D205" s="85" t="s">
        <v>82</v>
      </c>
      <c r="E205" s="86"/>
      <c r="F205" s="139"/>
      <c r="G205" s="296"/>
      <c r="H205" s="78">
        <f>SUBTOTAL(9,H186:H204)</f>
        <v>0</v>
      </c>
      <c r="I205" s="254"/>
      <c r="J205" s="37"/>
    </row>
    <row r="206" spans="1:10" ht="12.75">
      <c r="A206" s="67"/>
      <c r="B206" s="149"/>
      <c r="C206" s="68"/>
      <c r="D206" s="79"/>
      <c r="E206" s="80"/>
      <c r="F206" s="121"/>
      <c r="G206" s="291"/>
      <c r="H206" s="81"/>
      <c r="I206" s="254"/>
      <c r="J206" s="37"/>
    </row>
    <row r="207" spans="1:10" ht="16.5">
      <c r="A207" s="67"/>
      <c r="B207" s="149"/>
      <c r="C207" s="64" t="s">
        <v>119</v>
      </c>
      <c r="D207" s="105" t="s">
        <v>316</v>
      </c>
      <c r="E207" s="65"/>
      <c r="F207" s="136"/>
      <c r="G207" s="297"/>
      <c r="H207" s="65"/>
      <c r="I207" s="254"/>
      <c r="J207" s="37"/>
    </row>
    <row r="208" spans="1:12" ht="90.75" customHeight="1">
      <c r="A208" s="67"/>
      <c r="B208" s="149"/>
      <c r="C208" s="64"/>
      <c r="D208" s="429" t="s">
        <v>432</v>
      </c>
      <c r="E208" s="429"/>
      <c r="F208" s="429"/>
      <c r="G208" s="104"/>
      <c r="H208" s="104"/>
      <c r="I208" s="254"/>
      <c r="J208" s="37"/>
      <c r="L208" s="367"/>
    </row>
    <row r="209" spans="1:12" ht="51">
      <c r="A209" s="67">
        <f>A204+1</f>
        <v>57</v>
      </c>
      <c r="B209" s="155" t="s">
        <v>498</v>
      </c>
      <c r="C209" s="68" t="s">
        <v>262</v>
      </c>
      <c r="D209" s="72" t="s">
        <v>186</v>
      </c>
      <c r="E209" s="70" t="s">
        <v>81</v>
      </c>
      <c r="F209" s="133">
        <v>5.8</v>
      </c>
      <c r="G209" s="386"/>
      <c r="H209" s="71">
        <f aca="true" t="shared" si="11" ref="H209:H216">F209*G209</f>
        <v>0</v>
      </c>
      <c r="I209" s="331" t="s">
        <v>7</v>
      </c>
      <c r="J209" s="37"/>
      <c r="L209" s="9"/>
    </row>
    <row r="210" spans="1:12" ht="38.25">
      <c r="A210" s="67">
        <f>A209+1</f>
        <v>58</v>
      </c>
      <c r="B210" s="155" t="s">
        <v>497</v>
      </c>
      <c r="C210" s="114" t="s">
        <v>251</v>
      </c>
      <c r="D210" s="72" t="s">
        <v>480</v>
      </c>
      <c r="E210" s="70" t="s">
        <v>81</v>
      </c>
      <c r="F210" s="133">
        <v>16.8</v>
      </c>
      <c r="G210" s="386"/>
      <c r="H210" s="71">
        <f t="shared" si="11"/>
        <v>0</v>
      </c>
      <c r="I210" s="254" t="s">
        <v>7</v>
      </c>
      <c r="J210" s="37"/>
      <c r="L210" s="9"/>
    </row>
    <row r="211" spans="1:21" ht="25.5">
      <c r="A211" s="67">
        <f aca="true" t="shared" si="12" ref="A211:A216">A210+1</f>
        <v>59</v>
      </c>
      <c r="B211" s="368" t="s">
        <v>784</v>
      </c>
      <c r="C211" s="216"/>
      <c r="D211" s="72" t="s">
        <v>785</v>
      </c>
      <c r="E211" s="74" t="s">
        <v>81</v>
      </c>
      <c r="F211" s="143">
        <f>2*0.35*0.8+0.4*0.8</f>
        <v>0.88</v>
      </c>
      <c r="G211" s="385"/>
      <c r="H211" s="75">
        <f t="shared" si="11"/>
        <v>0</v>
      </c>
      <c r="I211" s="169" t="s">
        <v>7</v>
      </c>
      <c r="J211" s="369"/>
      <c r="L211" s="42"/>
      <c r="M211" s="42"/>
      <c r="N211" s="42"/>
      <c r="O211" s="42"/>
      <c r="P211" s="42"/>
      <c r="Q211" s="42"/>
      <c r="R211" s="42"/>
      <c r="S211" s="42"/>
      <c r="T211" s="42"/>
      <c r="U211" s="42"/>
    </row>
    <row r="212" spans="1:10" ht="12.75">
      <c r="A212" s="67">
        <f t="shared" si="12"/>
        <v>60</v>
      </c>
      <c r="B212" s="155" t="s">
        <v>786</v>
      </c>
      <c r="C212" s="87"/>
      <c r="D212" s="69" t="s">
        <v>787</v>
      </c>
      <c r="E212" s="70" t="s">
        <v>81</v>
      </c>
      <c r="F212" s="134">
        <f>+F209</f>
        <v>5.8</v>
      </c>
      <c r="G212" s="385"/>
      <c r="H212" s="71">
        <f t="shared" si="11"/>
        <v>0</v>
      </c>
      <c r="I212" s="254" t="s">
        <v>7</v>
      </c>
      <c r="J212" s="37"/>
    </row>
    <row r="213" spans="1:10" ht="12.75">
      <c r="A213" s="67">
        <f t="shared" si="12"/>
        <v>61</v>
      </c>
      <c r="B213" s="148" t="s">
        <v>232</v>
      </c>
      <c r="C213" s="68" t="s">
        <v>783</v>
      </c>
      <c r="D213" s="69" t="s">
        <v>250</v>
      </c>
      <c r="E213" s="70" t="s">
        <v>83</v>
      </c>
      <c r="F213" s="133">
        <f>SUM(F214:F215)</f>
        <v>4</v>
      </c>
      <c r="G213" s="386"/>
      <c r="H213" s="71">
        <f t="shared" si="11"/>
        <v>0</v>
      </c>
      <c r="I213" s="254" t="s">
        <v>7</v>
      </c>
      <c r="J213" s="37"/>
    </row>
    <row r="214" spans="1:19" ht="25.5">
      <c r="A214" s="67">
        <f t="shared" si="12"/>
        <v>62</v>
      </c>
      <c r="B214" s="221" t="s">
        <v>304</v>
      </c>
      <c r="C214" s="87" t="s">
        <v>782</v>
      </c>
      <c r="D214" s="88" t="s">
        <v>249</v>
      </c>
      <c r="E214" s="89" t="s">
        <v>83</v>
      </c>
      <c r="F214" s="138">
        <v>3</v>
      </c>
      <c r="G214" s="388"/>
      <c r="H214" s="90">
        <f t="shared" si="11"/>
        <v>0</v>
      </c>
      <c r="I214" s="254" t="s">
        <v>7</v>
      </c>
      <c r="J214" s="37"/>
      <c r="L214" s="170" t="s">
        <v>97</v>
      </c>
      <c r="S214" s="170" t="s">
        <v>97</v>
      </c>
    </row>
    <row r="215" spans="1:19" ht="25.5">
      <c r="A215" s="67">
        <f t="shared" si="12"/>
        <v>63</v>
      </c>
      <c r="B215" s="148" t="s">
        <v>481</v>
      </c>
      <c r="C215" s="222" t="s">
        <v>780</v>
      </c>
      <c r="D215" s="217" t="s">
        <v>781</v>
      </c>
      <c r="E215" s="218" t="s">
        <v>83</v>
      </c>
      <c r="F215" s="219">
        <v>1</v>
      </c>
      <c r="G215" s="388"/>
      <c r="H215" s="220">
        <f t="shared" si="11"/>
        <v>0</v>
      </c>
      <c r="I215" s="169" t="s">
        <v>7</v>
      </c>
      <c r="J215" s="37"/>
      <c r="K215" s="260"/>
      <c r="L215" s="170" t="s">
        <v>779</v>
      </c>
      <c r="S215" s="170" t="s">
        <v>97</v>
      </c>
    </row>
    <row r="216" spans="1:10" ht="13.5" thickBot="1">
      <c r="A216" s="67">
        <f t="shared" si="12"/>
        <v>64</v>
      </c>
      <c r="B216" s="155" t="s">
        <v>166</v>
      </c>
      <c r="C216" s="68"/>
      <c r="D216" s="69" t="s">
        <v>126</v>
      </c>
      <c r="E216" s="92" t="s">
        <v>89</v>
      </c>
      <c r="F216" s="133">
        <f>+H209+H210+H211+H214+H215</f>
        <v>0</v>
      </c>
      <c r="G216" s="390"/>
      <c r="H216" s="93">
        <f t="shared" si="11"/>
        <v>0</v>
      </c>
      <c r="I216" s="254" t="s">
        <v>7</v>
      </c>
      <c r="J216" s="37"/>
    </row>
    <row r="217" spans="1:10" ht="13.5" thickBot="1">
      <c r="A217" s="67"/>
      <c r="B217" s="149"/>
      <c r="C217" s="68"/>
      <c r="D217" s="85" t="s">
        <v>82</v>
      </c>
      <c r="E217" s="86"/>
      <c r="F217" s="139"/>
      <c r="G217" s="296"/>
      <c r="H217" s="78">
        <f>SUBTOTAL(9,H209:H216)</f>
        <v>0</v>
      </c>
      <c r="I217" s="254"/>
      <c r="J217" s="37"/>
    </row>
    <row r="218" spans="1:10" ht="12.75">
      <c r="A218" s="67"/>
      <c r="B218" s="149"/>
      <c r="C218" s="68"/>
      <c r="D218" s="79"/>
      <c r="E218" s="80"/>
      <c r="F218" s="121"/>
      <c r="G218" s="291"/>
      <c r="H218" s="81"/>
      <c r="I218" s="254"/>
      <c r="J218" s="37"/>
    </row>
    <row r="219" spans="1:10" ht="16.5">
      <c r="A219" s="67"/>
      <c r="B219" s="149"/>
      <c r="C219" s="82" t="s">
        <v>120</v>
      </c>
      <c r="D219" s="65" t="s">
        <v>12</v>
      </c>
      <c r="E219" s="65"/>
      <c r="F219" s="136"/>
      <c r="G219" s="297"/>
      <c r="H219" s="65"/>
      <c r="I219" s="254"/>
      <c r="J219" s="37"/>
    </row>
    <row r="220" spans="1:12" ht="42" customHeight="1">
      <c r="A220" s="67"/>
      <c r="B220" s="149"/>
      <c r="C220" s="68"/>
      <c r="D220" s="430" t="s">
        <v>424</v>
      </c>
      <c r="E220" s="430"/>
      <c r="F220" s="430"/>
      <c r="G220" s="103"/>
      <c r="H220" s="103"/>
      <c r="I220" s="259"/>
      <c r="J220" s="91"/>
      <c r="L220" s="367"/>
    </row>
    <row r="221" spans="1:10" ht="36.75">
      <c r="A221" s="67">
        <f>A216+1</f>
        <v>65</v>
      </c>
      <c r="B221" s="155" t="s">
        <v>547</v>
      </c>
      <c r="C221" s="68"/>
      <c r="D221" s="69" t="s">
        <v>102</v>
      </c>
      <c r="E221" s="70" t="s">
        <v>81</v>
      </c>
      <c r="F221" s="133">
        <f>SUM(E222:E227)</f>
        <v>234.3518</v>
      </c>
      <c r="G221" s="386"/>
      <c r="H221" s="71">
        <f>F221*G221</f>
        <v>0</v>
      </c>
      <c r="I221" s="254" t="s">
        <v>4</v>
      </c>
      <c r="J221" s="37"/>
    </row>
    <row r="222" spans="1:10" ht="25.5">
      <c r="A222" s="67"/>
      <c r="B222" s="149"/>
      <c r="C222" s="68"/>
      <c r="D222" s="361" t="s">
        <v>844</v>
      </c>
      <c r="E222" s="214">
        <f>21*2.8-1.15*2.37-1.2*2.28-1.09*2.37-2*0.86*1.97-1.04*0.98-1.5*2.09</f>
        <v>43.21260000000001</v>
      </c>
      <c r="F222" s="133"/>
      <c r="G222" s="112"/>
      <c r="H222" s="71"/>
      <c r="I222" s="254"/>
      <c r="J222" s="37"/>
    </row>
    <row r="223" spans="1:10" ht="12.75">
      <c r="A223" s="67"/>
      <c r="B223" s="149"/>
      <c r="C223" s="68"/>
      <c r="D223" s="361" t="s">
        <v>845</v>
      </c>
      <c r="E223" s="214">
        <f>20.1*2.95-2.23*1.68-1*1.96-1*2.26-0.6*3.52+24.5</f>
        <v>73.7166</v>
      </c>
      <c r="F223" s="133"/>
      <c r="G223" s="112"/>
      <c r="H223" s="71"/>
      <c r="I223" s="254"/>
      <c r="J223" s="37"/>
    </row>
    <row r="224" spans="1:10" ht="12.75">
      <c r="A224" s="67"/>
      <c r="B224" s="149"/>
      <c r="C224" s="68"/>
      <c r="D224" s="361" t="s">
        <v>793</v>
      </c>
      <c r="E224" s="214">
        <f>18.7*2.92-1.38*1.6-1.06*2.27+19.6</f>
        <v>69.5898</v>
      </c>
      <c r="F224" s="133"/>
      <c r="G224" s="112"/>
      <c r="H224" s="71"/>
      <c r="I224" s="254"/>
      <c r="J224" s="37"/>
    </row>
    <row r="225" spans="1:10" ht="12.75">
      <c r="A225" s="67"/>
      <c r="B225" s="149"/>
      <c r="C225" s="68"/>
      <c r="D225" s="361" t="s">
        <v>791</v>
      </c>
      <c r="E225" s="214">
        <f>9.27*(2.7-1.53)-1*1.96</f>
        <v>8.8859</v>
      </c>
      <c r="F225" s="133"/>
      <c r="G225" s="112"/>
      <c r="H225" s="71"/>
      <c r="I225" s="254"/>
      <c r="J225" s="37"/>
    </row>
    <row r="226" spans="1:10" ht="12.75">
      <c r="A226" s="67"/>
      <c r="B226" s="149"/>
      <c r="C226" s="68"/>
      <c r="D226" s="361" t="s">
        <v>795</v>
      </c>
      <c r="E226" s="214">
        <f>4.06*3.1-0.86*1.97-0.3*0.8+0.74</f>
        <v>11.391799999999998</v>
      </c>
      <c r="F226" s="133"/>
      <c r="G226" s="112"/>
      <c r="H226" s="71"/>
      <c r="I226" s="254"/>
      <c r="J226" s="37"/>
    </row>
    <row r="227" spans="1:10" ht="12.75">
      <c r="A227" s="67"/>
      <c r="B227" s="149"/>
      <c r="C227" s="68"/>
      <c r="D227" s="361" t="s">
        <v>792</v>
      </c>
      <c r="E227" s="214">
        <f>(14.78-2.86)*2.56-2.07*1.43</f>
        <v>27.5551</v>
      </c>
      <c r="F227" s="133"/>
      <c r="G227" s="112"/>
      <c r="H227" s="71"/>
      <c r="I227" s="254"/>
      <c r="J227" s="37"/>
    </row>
    <row r="228" spans="1:12" ht="12.75">
      <c r="A228" s="67">
        <f>A221+1</f>
        <v>66</v>
      </c>
      <c r="B228" s="215" t="s">
        <v>788</v>
      </c>
      <c r="C228" s="190" t="s">
        <v>15</v>
      </c>
      <c r="D228" s="72" t="s">
        <v>789</v>
      </c>
      <c r="E228" s="70" t="s">
        <v>81</v>
      </c>
      <c r="F228" s="133">
        <f>+F221</f>
        <v>234.3518</v>
      </c>
      <c r="G228" s="386"/>
      <c r="H228" s="71">
        <f>F228*G228</f>
        <v>0</v>
      </c>
      <c r="I228" s="259" t="s">
        <v>4</v>
      </c>
      <c r="J228" s="91"/>
      <c r="L228" s="366"/>
    </row>
    <row r="229" spans="1:12" ht="25.5">
      <c r="A229" s="67">
        <f>A228+1</f>
        <v>67</v>
      </c>
      <c r="B229" s="148" t="s">
        <v>289</v>
      </c>
      <c r="C229" s="68"/>
      <c r="D229" s="72" t="s">
        <v>385</v>
      </c>
      <c r="E229" s="70" t="s">
        <v>81</v>
      </c>
      <c r="F229" s="133">
        <f>F230</f>
        <v>3.1500000000000004</v>
      </c>
      <c r="G229" s="386"/>
      <c r="H229" s="71">
        <f>F229*G229</f>
        <v>0</v>
      </c>
      <c r="I229" s="259" t="s">
        <v>4</v>
      </c>
      <c r="J229" s="91"/>
      <c r="L229" s="366"/>
    </row>
    <row r="230" spans="1:12" ht="25.5">
      <c r="A230" s="67">
        <f>A229+1</f>
        <v>68</v>
      </c>
      <c r="B230" s="148" t="s">
        <v>252</v>
      </c>
      <c r="C230" s="68" t="s">
        <v>15</v>
      </c>
      <c r="D230" s="72" t="s">
        <v>64</v>
      </c>
      <c r="E230" s="70" t="s">
        <v>81</v>
      </c>
      <c r="F230" s="133">
        <f>SUM(E231:E231)</f>
        <v>3.1500000000000004</v>
      </c>
      <c r="G230" s="386"/>
      <c r="H230" s="71">
        <f>F230*G230</f>
        <v>0</v>
      </c>
      <c r="I230" s="259" t="s">
        <v>4</v>
      </c>
      <c r="J230" s="91"/>
      <c r="L230" s="366"/>
    </row>
    <row r="231" spans="1:12" ht="12.75">
      <c r="A231" s="67"/>
      <c r="B231" s="148"/>
      <c r="C231" s="68"/>
      <c r="D231" s="73" t="s">
        <v>790</v>
      </c>
      <c r="E231" s="100">
        <f>2.1*1.5</f>
        <v>3.1500000000000004</v>
      </c>
      <c r="F231" s="133"/>
      <c r="G231" s="386"/>
      <c r="H231" s="71"/>
      <c r="I231" s="259"/>
      <c r="J231" s="91"/>
      <c r="L231" s="366"/>
    </row>
    <row r="232" spans="1:12" ht="12.75">
      <c r="A232" s="67">
        <f>A230+1</f>
        <v>69</v>
      </c>
      <c r="B232" s="155" t="s">
        <v>253</v>
      </c>
      <c r="C232" s="114"/>
      <c r="D232" s="69" t="s">
        <v>254</v>
      </c>
      <c r="E232" s="70" t="s">
        <v>81</v>
      </c>
      <c r="F232" s="133">
        <f>F233+F239</f>
        <v>249.25300000000004</v>
      </c>
      <c r="G232" s="386"/>
      <c r="H232" s="71">
        <f>F232*G232</f>
        <v>0</v>
      </c>
      <c r="I232" s="259" t="s">
        <v>4</v>
      </c>
      <c r="J232" s="91"/>
      <c r="L232" s="366"/>
    </row>
    <row r="233" spans="1:12" ht="25.5">
      <c r="A233" s="67">
        <f>A232+1</f>
        <v>70</v>
      </c>
      <c r="B233" s="155" t="s">
        <v>557</v>
      </c>
      <c r="C233" s="68" t="s">
        <v>16</v>
      </c>
      <c r="D233" s="72" t="s">
        <v>286</v>
      </c>
      <c r="E233" s="74" t="s">
        <v>81</v>
      </c>
      <c r="F233" s="133">
        <f>SUM(E234:E238)</f>
        <v>178.46840000000003</v>
      </c>
      <c r="G233" s="386"/>
      <c r="H233" s="75">
        <f>F233*G233</f>
        <v>0</v>
      </c>
      <c r="I233" s="259" t="s">
        <v>4</v>
      </c>
      <c r="J233" s="91"/>
      <c r="L233" s="367"/>
    </row>
    <row r="234" spans="1:12" ht="25.5">
      <c r="A234" s="67"/>
      <c r="B234" s="149"/>
      <c r="C234" s="68"/>
      <c r="D234" s="361" t="s">
        <v>801</v>
      </c>
      <c r="E234" s="214">
        <f>19.4*2.8-2*0.9*2.02-1.3*2.28-1.04*0.98-2*0.8*2.02+2*0.15*0.98+2*0.35*2.37+2*0.5*2.37</f>
        <v>47.79179999999999</v>
      </c>
      <c r="F234" s="133"/>
      <c r="G234" s="112"/>
      <c r="H234" s="75"/>
      <c r="I234" s="259"/>
      <c r="J234" s="91"/>
      <c r="L234" s="367"/>
    </row>
    <row r="235" spans="1:12" ht="12.75">
      <c r="A235" s="67"/>
      <c r="B235" s="149"/>
      <c r="C235" s="68"/>
      <c r="D235" s="361" t="s">
        <v>803</v>
      </c>
      <c r="E235" s="214">
        <f>20.1*2.95-2.23*1.68-0.9*2.02+2*0.15*1.68</f>
        <v>54.23460000000001</v>
      </c>
      <c r="F235" s="133"/>
      <c r="G235" s="112"/>
      <c r="H235" s="75"/>
      <c r="I235" s="259"/>
      <c r="J235" s="91"/>
      <c r="L235" s="367"/>
    </row>
    <row r="236" spans="1:12" ht="12.75">
      <c r="A236" s="67"/>
      <c r="B236" s="149"/>
      <c r="C236" s="68"/>
      <c r="D236" s="361" t="s">
        <v>805</v>
      </c>
      <c r="E236" s="214">
        <f>18.7*2.92-1.38*1.6-0.9*2.02+2*0.12*1.6</f>
        <v>50.962</v>
      </c>
      <c r="F236" s="133"/>
      <c r="G236" s="112"/>
      <c r="H236" s="75"/>
      <c r="I236" s="259"/>
      <c r="J236" s="91"/>
      <c r="L236" s="367"/>
    </row>
    <row r="237" spans="1:12" ht="25.5">
      <c r="A237" s="67"/>
      <c r="B237" s="149"/>
      <c r="C237" s="68"/>
      <c r="D237" s="361" t="s">
        <v>834</v>
      </c>
      <c r="E237" s="214">
        <f>12.1*0.25+2*2*0.15*0.8+4.3*2.65-0.3*0.8+2*0.58*1-0.8*2.02</f>
        <v>14.203999999999999</v>
      </c>
      <c r="F237" s="133"/>
      <c r="G237" s="112"/>
      <c r="H237" s="75"/>
      <c r="I237" s="259"/>
      <c r="J237" s="91"/>
      <c r="L237" s="367"/>
    </row>
    <row r="238" spans="1:12" ht="12.75">
      <c r="A238" s="67"/>
      <c r="B238" s="149"/>
      <c r="C238" s="68"/>
      <c r="D238" s="361" t="s">
        <v>807</v>
      </c>
      <c r="E238" s="214">
        <f>3.92*3.1-0.8*2.02-0.3*0.8+0.74+2*0.15*0.8</f>
        <v>11.276</v>
      </c>
      <c r="F238" s="133"/>
      <c r="G238" s="112"/>
      <c r="H238" s="75"/>
      <c r="I238" s="259"/>
      <c r="J238" s="91"/>
      <c r="L238" s="367"/>
    </row>
    <row r="239" spans="1:12" ht="25.5">
      <c r="A239" s="67">
        <f>A233+1</f>
        <v>71</v>
      </c>
      <c r="B239" s="148" t="s">
        <v>288</v>
      </c>
      <c r="C239" s="68"/>
      <c r="D239" s="72" t="s">
        <v>287</v>
      </c>
      <c r="E239" s="70" t="s">
        <v>81</v>
      </c>
      <c r="F239" s="133">
        <f>SUM(E240:E242)</f>
        <v>70.78460000000001</v>
      </c>
      <c r="G239" s="386"/>
      <c r="H239" s="75">
        <f>F239*G239</f>
        <v>0</v>
      </c>
      <c r="I239" s="259" t="s">
        <v>4</v>
      </c>
      <c r="J239" s="91"/>
      <c r="L239" s="367"/>
    </row>
    <row r="240" spans="1:12" ht="12.75">
      <c r="A240" s="67"/>
      <c r="B240" s="149"/>
      <c r="C240" s="68"/>
      <c r="D240" s="107" t="s">
        <v>798</v>
      </c>
      <c r="E240" s="100">
        <f>24.8+19.8+0.74</f>
        <v>45.34</v>
      </c>
      <c r="F240" s="133"/>
      <c r="G240" s="112"/>
      <c r="H240" s="75"/>
      <c r="I240" s="259"/>
      <c r="J240" s="91"/>
      <c r="L240" s="367"/>
    </row>
    <row r="241" spans="1:12" ht="12.75">
      <c r="A241" s="67"/>
      <c r="B241" s="149"/>
      <c r="C241" s="68"/>
      <c r="D241" s="107" t="s">
        <v>797</v>
      </c>
      <c r="E241" s="100">
        <f>+F209+F210+F211</f>
        <v>23.48</v>
      </c>
      <c r="F241" s="133"/>
      <c r="G241" s="112"/>
      <c r="H241" s="75"/>
      <c r="I241" s="259"/>
      <c r="J241" s="91"/>
      <c r="L241" s="367"/>
    </row>
    <row r="242" spans="1:12" ht="12.75">
      <c r="A242" s="67"/>
      <c r="B242" s="149"/>
      <c r="C242" s="68"/>
      <c r="D242" s="107" t="s">
        <v>835</v>
      </c>
      <c r="E242" s="100">
        <f>3*0.04+0.16+0.4+0.55+0.34+0.18+0.37*0.58</f>
        <v>1.9646</v>
      </c>
      <c r="F242" s="133"/>
      <c r="G242" s="112"/>
      <c r="H242" s="75"/>
      <c r="I242" s="259"/>
      <c r="J242" s="91"/>
      <c r="L242" s="367"/>
    </row>
    <row r="243" spans="1:12" ht="38.25">
      <c r="A243" s="67">
        <f>A239+1</f>
        <v>72</v>
      </c>
      <c r="B243" s="155" t="s">
        <v>552</v>
      </c>
      <c r="C243" s="68" t="s">
        <v>16</v>
      </c>
      <c r="D243" s="72" t="s">
        <v>391</v>
      </c>
      <c r="E243" s="70" t="s">
        <v>81</v>
      </c>
      <c r="F243" s="133">
        <f>SUM(E244:E248)</f>
        <v>169.2654</v>
      </c>
      <c r="G243" s="386"/>
      <c r="H243" s="71">
        <f>F243*G243</f>
        <v>0</v>
      </c>
      <c r="I243" s="254" t="s">
        <v>4</v>
      </c>
      <c r="J243" s="37"/>
      <c r="L243" s="367"/>
    </row>
    <row r="244" spans="1:12" ht="12.75">
      <c r="A244" s="67"/>
      <c r="B244" s="149"/>
      <c r="C244" s="68"/>
      <c r="D244" s="361" t="s">
        <v>799</v>
      </c>
      <c r="E244" s="214">
        <f>19.4*2.8-2*0.9*2.02-1.3*2.28-1.04*0.98-2*0.8*2.02</f>
        <v>43.468799999999995</v>
      </c>
      <c r="F244" s="133"/>
      <c r="G244" s="112"/>
      <c r="H244" s="71"/>
      <c r="I244" s="259"/>
      <c r="J244" s="91"/>
      <c r="L244" s="367"/>
    </row>
    <row r="245" spans="1:12" ht="12.75">
      <c r="A245" s="67"/>
      <c r="B245" s="149"/>
      <c r="C245" s="68"/>
      <c r="D245" s="361" t="s">
        <v>836</v>
      </c>
      <c r="E245" s="214">
        <f>20.1*2.95-2.23*1.68-0.9*2.02-0.6*3.52</f>
        <v>51.61860000000001</v>
      </c>
      <c r="F245" s="133"/>
      <c r="G245" s="112"/>
      <c r="H245" s="71"/>
      <c r="I245" s="259"/>
      <c r="J245" s="91"/>
      <c r="L245" s="367"/>
    </row>
    <row r="246" spans="1:12" ht="12.75">
      <c r="A246" s="67"/>
      <c r="B246" s="149"/>
      <c r="C246" s="68"/>
      <c r="D246" s="361" t="s">
        <v>794</v>
      </c>
      <c r="E246" s="214">
        <f>18.7*2.92-1.38*1.6-0.9*2.02</f>
        <v>50.578</v>
      </c>
      <c r="F246" s="133"/>
      <c r="G246" s="112"/>
      <c r="H246" s="71"/>
      <c r="I246" s="259"/>
      <c r="J246" s="91"/>
      <c r="L246" s="367"/>
    </row>
    <row r="247" spans="1:12" ht="12.75">
      <c r="A247" s="67"/>
      <c r="B247" s="149"/>
      <c r="C247" s="68"/>
      <c r="D247" s="361" t="s">
        <v>833</v>
      </c>
      <c r="E247" s="214">
        <f>12.1*0.25+4.3*2.65-0.3*0.8-0.8*2.02</f>
        <v>12.564</v>
      </c>
      <c r="F247" s="133"/>
      <c r="G247" s="112"/>
      <c r="H247" s="71"/>
      <c r="I247" s="259"/>
      <c r="J247" s="91"/>
      <c r="L247" s="367"/>
    </row>
    <row r="248" spans="1:12" ht="12.75">
      <c r="A248" s="67"/>
      <c r="B248" s="149"/>
      <c r="C248" s="68"/>
      <c r="D248" s="361" t="s">
        <v>796</v>
      </c>
      <c r="E248" s="214">
        <f>3.92*3.1-0.8*2.02-0.3*0.8+0.74</f>
        <v>11.036</v>
      </c>
      <c r="F248" s="133"/>
      <c r="G248" s="112"/>
      <c r="H248" s="71"/>
      <c r="I248" s="259"/>
      <c r="J248" s="91"/>
      <c r="L248" s="367"/>
    </row>
    <row r="249" spans="1:12" ht="38.25">
      <c r="A249" s="212">
        <f>A243+1</f>
        <v>73</v>
      </c>
      <c r="B249" s="148" t="s">
        <v>256</v>
      </c>
      <c r="C249" s="190" t="s">
        <v>560</v>
      </c>
      <c r="D249" s="72" t="s">
        <v>203</v>
      </c>
      <c r="E249" s="74" t="s">
        <v>81</v>
      </c>
      <c r="F249" s="137">
        <f>SUM(E250:E254)</f>
        <v>6.851000000000001</v>
      </c>
      <c r="G249" s="386"/>
      <c r="H249" s="75">
        <f>F249*G249</f>
        <v>0</v>
      </c>
      <c r="I249" s="169" t="s">
        <v>4</v>
      </c>
      <c r="L249" s="42"/>
    </row>
    <row r="250" spans="1:12" ht="12.75">
      <c r="A250" s="67"/>
      <c r="B250" s="149"/>
      <c r="C250" s="68"/>
      <c r="D250" s="361" t="s">
        <v>800</v>
      </c>
      <c r="E250" s="214">
        <f>2*0.15*0.98+2*0.35*2.37+2*0.5*2.37</f>
        <v>4.323</v>
      </c>
      <c r="F250" s="133"/>
      <c r="G250" s="112"/>
      <c r="H250" s="71"/>
      <c r="I250" s="259"/>
      <c r="J250" s="91"/>
      <c r="L250" s="367"/>
    </row>
    <row r="251" spans="1:12" ht="12.75">
      <c r="A251" s="67"/>
      <c r="B251" s="149"/>
      <c r="C251" s="68"/>
      <c r="D251" s="361" t="s">
        <v>802</v>
      </c>
      <c r="E251" s="214">
        <f>2*0.15*1.68</f>
        <v>0.504</v>
      </c>
      <c r="F251" s="133"/>
      <c r="G251" s="112"/>
      <c r="H251" s="71"/>
      <c r="I251" s="259"/>
      <c r="J251" s="91"/>
      <c r="L251" s="367"/>
    </row>
    <row r="252" spans="1:12" ht="12.75">
      <c r="A252" s="67"/>
      <c r="B252" s="149"/>
      <c r="C252" s="68"/>
      <c r="D252" s="361" t="s">
        <v>804</v>
      </c>
      <c r="E252" s="214">
        <f>2*0.12*1.6</f>
        <v>0.384</v>
      </c>
      <c r="F252" s="133"/>
      <c r="G252" s="112"/>
      <c r="H252" s="71"/>
      <c r="I252" s="259"/>
      <c r="J252" s="91"/>
      <c r="L252" s="367"/>
    </row>
    <row r="253" spans="1:12" ht="12.75">
      <c r="A253" s="67"/>
      <c r="B253" s="149"/>
      <c r="C253" s="68"/>
      <c r="D253" s="361" t="s">
        <v>832</v>
      </c>
      <c r="E253" s="214">
        <f>2*0.15*0.8+2*0.58*1</f>
        <v>1.4</v>
      </c>
      <c r="F253" s="133"/>
      <c r="G253" s="112"/>
      <c r="H253" s="71"/>
      <c r="I253" s="259"/>
      <c r="J253" s="91"/>
      <c r="L253" s="367"/>
    </row>
    <row r="254" spans="1:12" ht="12.75">
      <c r="A254" s="67"/>
      <c r="B254" s="149"/>
      <c r="C254" s="68"/>
      <c r="D254" s="361" t="s">
        <v>806</v>
      </c>
      <c r="E254" s="214">
        <f>2*0.15*0.8</f>
        <v>0.24</v>
      </c>
      <c r="F254" s="133"/>
      <c r="G254" s="112"/>
      <c r="H254" s="71"/>
      <c r="I254" s="259"/>
      <c r="J254" s="91"/>
      <c r="L254" s="367"/>
    </row>
    <row r="255" spans="1:12" ht="38.25">
      <c r="A255" s="67">
        <f>A249+1</f>
        <v>74</v>
      </c>
      <c r="B255" s="155" t="s">
        <v>552</v>
      </c>
      <c r="C255" s="68" t="s">
        <v>16</v>
      </c>
      <c r="D255" s="69" t="s">
        <v>202</v>
      </c>
      <c r="E255" s="70" t="s">
        <v>81</v>
      </c>
      <c r="F255" s="133">
        <f>SUM(E256:E258)</f>
        <v>70.78460000000001</v>
      </c>
      <c r="G255" s="386"/>
      <c r="H255" s="71">
        <f>F255*G255</f>
        <v>0</v>
      </c>
      <c r="I255" s="254" t="s">
        <v>4</v>
      </c>
      <c r="J255" s="37"/>
      <c r="L255" s="367"/>
    </row>
    <row r="256" spans="1:12" ht="12.75">
      <c r="A256" s="67"/>
      <c r="B256" s="149"/>
      <c r="C256" s="68"/>
      <c r="D256" s="107" t="s">
        <v>798</v>
      </c>
      <c r="E256" s="100">
        <f>24.8+19.8+0.74</f>
        <v>45.34</v>
      </c>
      <c r="F256" s="133"/>
      <c r="G256" s="112"/>
      <c r="H256" s="71"/>
      <c r="I256" s="259"/>
      <c r="J256" s="91"/>
      <c r="L256" s="367"/>
    </row>
    <row r="257" spans="1:12" ht="12.75">
      <c r="A257" s="67"/>
      <c r="B257" s="149"/>
      <c r="C257" s="68"/>
      <c r="D257" s="107" t="s">
        <v>797</v>
      </c>
      <c r="E257" s="100">
        <f>+E241</f>
        <v>23.48</v>
      </c>
      <c r="F257" s="133"/>
      <c r="G257" s="112"/>
      <c r="H257" s="71"/>
      <c r="I257" s="259"/>
      <c r="J257" s="91"/>
      <c r="L257" s="367"/>
    </row>
    <row r="258" spans="1:12" ht="12.75">
      <c r="A258" s="67"/>
      <c r="B258" s="149"/>
      <c r="C258" s="68"/>
      <c r="D258" s="107" t="s">
        <v>835</v>
      </c>
      <c r="E258" s="100">
        <f>3*0.04+0.16+0.4+0.55+0.34+0.18+0.37*0.58</f>
        <v>1.9646</v>
      </c>
      <c r="F258" s="133"/>
      <c r="G258" s="112"/>
      <c r="H258" s="71"/>
      <c r="I258" s="259"/>
      <c r="J258" s="91"/>
      <c r="L258" s="367"/>
    </row>
    <row r="259" spans="1:12" ht="12.75">
      <c r="A259" s="212">
        <f>A255+1</f>
        <v>75</v>
      </c>
      <c r="B259" s="148" t="s">
        <v>258</v>
      </c>
      <c r="C259" s="190" t="s">
        <v>560</v>
      </c>
      <c r="D259" s="72" t="s">
        <v>257</v>
      </c>
      <c r="E259" s="74" t="s">
        <v>84</v>
      </c>
      <c r="F259" s="137">
        <f>SUM(E260:E264)</f>
        <v>34.76</v>
      </c>
      <c r="G259" s="386"/>
      <c r="H259" s="75">
        <f>F259*G259</f>
        <v>0</v>
      </c>
      <c r="I259" s="169" t="s">
        <v>4</v>
      </c>
      <c r="L259" s="42"/>
    </row>
    <row r="260" spans="1:12" ht="12.75">
      <c r="A260" s="212"/>
      <c r="B260" s="148"/>
      <c r="C260" s="190"/>
      <c r="D260" s="361" t="s">
        <v>809</v>
      </c>
      <c r="E260" s="214">
        <f>2.9+2*0.98+2*2*2.37+1.04+1.15+1.09</f>
        <v>17.619999999999997</v>
      </c>
      <c r="F260" s="137"/>
      <c r="G260" s="112"/>
      <c r="H260" s="75"/>
      <c r="L260" s="42"/>
    </row>
    <row r="261" spans="1:12" ht="12.75">
      <c r="A261" s="212"/>
      <c r="B261" s="148"/>
      <c r="C261" s="190"/>
      <c r="D261" s="361" t="s">
        <v>810</v>
      </c>
      <c r="E261" s="214">
        <f>2*1.68+2.93+2.23</f>
        <v>8.52</v>
      </c>
      <c r="F261" s="137"/>
      <c r="G261" s="112"/>
      <c r="H261" s="75"/>
      <c r="L261" s="42"/>
    </row>
    <row r="262" spans="1:12" ht="12.75">
      <c r="A262" s="212"/>
      <c r="B262" s="148"/>
      <c r="C262" s="190"/>
      <c r="D262" s="361" t="s">
        <v>811</v>
      </c>
      <c r="E262" s="214">
        <f>2*1.6+1.52</f>
        <v>4.720000000000001</v>
      </c>
      <c r="F262" s="137"/>
      <c r="G262" s="112"/>
      <c r="H262" s="75"/>
      <c r="L262" s="42"/>
    </row>
    <row r="263" spans="1:12" ht="12.75">
      <c r="A263" s="212"/>
      <c r="B263" s="148"/>
      <c r="C263" s="213"/>
      <c r="D263" s="361" t="s">
        <v>808</v>
      </c>
      <c r="E263" s="214">
        <f>2*2*0.2+0.2+1</f>
        <v>2</v>
      </c>
      <c r="F263" s="137"/>
      <c r="G263" s="112"/>
      <c r="H263" s="75"/>
      <c r="L263" s="42"/>
    </row>
    <row r="264" spans="1:12" ht="12.75">
      <c r="A264" s="212"/>
      <c r="B264" s="148"/>
      <c r="C264" s="190"/>
      <c r="D264" s="361" t="s">
        <v>812</v>
      </c>
      <c r="E264" s="214">
        <f>2*0.8+0.3</f>
        <v>1.9000000000000001</v>
      </c>
      <c r="F264" s="137"/>
      <c r="G264" s="112"/>
      <c r="H264" s="75"/>
      <c r="L264" s="42"/>
    </row>
    <row r="265" spans="1:12" ht="25.5">
      <c r="A265" s="212">
        <f>A259+1</f>
        <v>76</v>
      </c>
      <c r="B265" s="148" t="s">
        <v>255</v>
      </c>
      <c r="C265" s="190" t="s">
        <v>560</v>
      </c>
      <c r="D265" s="72" t="s">
        <v>193</v>
      </c>
      <c r="E265" s="74" t="s">
        <v>84</v>
      </c>
      <c r="F265" s="137">
        <f>SUM(E266:E268)</f>
        <v>19.8768</v>
      </c>
      <c r="G265" s="386"/>
      <c r="H265" s="75">
        <f>F265*G265</f>
        <v>0</v>
      </c>
      <c r="I265" s="169" t="s">
        <v>4</v>
      </c>
      <c r="L265" s="42"/>
    </row>
    <row r="266" spans="1:12" ht="12.75">
      <c r="A266" s="67"/>
      <c r="B266" s="149"/>
      <c r="C266" s="68"/>
      <c r="D266" s="361" t="s">
        <v>813</v>
      </c>
      <c r="E266" s="214">
        <f>1.3+2*2.28+2*0.98*2*1.04</f>
        <v>9.9368</v>
      </c>
      <c r="F266" s="133"/>
      <c r="G266" s="112"/>
      <c r="H266" s="71"/>
      <c r="I266" s="259"/>
      <c r="J266" s="91"/>
      <c r="L266" s="367"/>
    </row>
    <row r="267" spans="1:12" ht="12.75">
      <c r="A267" s="67"/>
      <c r="B267" s="149"/>
      <c r="C267" s="68"/>
      <c r="D267" s="361" t="s">
        <v>814</v>
      </c>
      <c r="E267" s="214">
        <f>2.23+2*1.68</f>
        <v>5.59</v>
      </c>
      <c r="F267" s="133"/>
      <c r="G267" s="112"/>
      <c r="H267" s="71"/>
      <c r="I267" s="259"/>
      <c r="J267" s="91"/>
      <c r="L267" s="367"/>
    </row>
    <row r="268" spans="1:12" ht="12.75">
      <c r="A268" s="67"/>
      <c r="B268" s="149"/>
      <c r="C268" s="68"/>
      <c r="D268" s="361" t="s">
        <v>815</v>
      </c>
      <c r="E268" s="214">
        <f>1.15+2*1.6</f>
        <v>4.35</v>
      </c>
      <c r="F268" s="133"/>
      <c r="G268" s="112"/>
      <c r="H268" s="71"/>
      <c r="I268" s="259"/>
      <c r="J268" s="91"/>
      <c r="L268" s="367"/>
    </row>
    <row r="269" spans="1:12" ht="25.5">
      <c r="A269" s="212">
        <f>A265+1</f>
        <v>77</v>
      </c>
      <c r="B269" s="148" t="s">
        <v>551</v>
      </c>
      <c r="C269" s="213" t="s">
        <v>30</v>
      </c>
      <c r="D269" s="72" t="s">
        <v>550</v>
      </c>
      <c r="E269" s="74" t="s">
        <v>81</v>
      </c>
      <c r="F269" s="137">
        <f>F270</f>
        <v>23.5375</v>
      </c>
      <c r="G269" s="386"/>
      <c r="H269" s="75">
        <f>F269*G269</f>
        <v>0</v>
      </c>
      <c r="I269" s="169" t="s">
        <v>4</v>
      </c>
      <c r="L269" s="42"/>
    </row>
    <row r="270" spans="1:12" ht="25.5">
      <c r="A270" s="212">
        <f>+A269+1</f>
        <v>78</v>
      </c>
      <c r="B270" s="148" t="s">
        <v>827</v>
      </c>
      <c r="C270" s="213" t="s">
        <v>17</v>
      </c>
      <c r="D270" s="72" t="s">
        <v>821</v>
      </c>
      <c r="E270" s="74" t="s">
        <v>81</v>
      </c>
      <c r="F270" s="137">
        <f>SUM(E271:E273)</f>
        <v>23.5375</v>
      </c>
      <c r="G270" s="386"/>
      <c r="H270" s="75">
        <f>F270*G270</f>
        <v>0</v>
      </c>
      <c r="I270" s="169" t="s">
        <v>4</v>
      </c>
      <c r="L270" s="42"/>
    </row>
    <row r="271" spans="1:12" ht="12.75">
      <c r="A271" s="212"/>
      <c r="B271" s="149"/>
      <c r="C271" s="323" t="s">
        <v>1007</v>
      </c>
      <c r="D271" s="107" t="s">
        <v>823</v>
      </c>
      <c r="E271" s="214">
        <f>1.2*1.59+0.13*1.59+1.12*2.04</f>
        <v>4.3995</v>
      </c>
      <c r="F271" s="133"/>
      <c r="G271" s="112"/>
      <c r="H271" s="71"/>
      <c r="I271" s="259"/>
      <c r="J271" s="91"/>
      <c r="L271" s="367"/>
    </row>
    <row r="272" spans="1:12" ht="12.75">
      <c r="A272" s="212"/>
      <c r="B272" s="149"/>
      <c r="C272" s="323" t="s">
        <v>1008</v>
      </c>
      <c r="D272" s="107" t="s">
        <v>822</v>
      </c>
      <c r="E272" s="214">
        <f>8.8*2.4-0.3*0.8-E271</f>
        <v>16.480500000000003</v>
      </c>
      <c r="F272" s="133"/>
      <c r="G272" s="112"/>
      <c r="H272" s="71"/>
      <c r="I272" s="259"/>
      <c r="J272" s="91"/>
      <c r="L272" s="367"/>
    </row>
    <row r="273" spans="1:12" ht="12.75">
      <c r="A273" s="212"/>
      <c r="B273" s="149"/>
      <c r="C273" s="323" t="s">
        <v>1008</v>
      </c>
      <c r="D273" s="107" t="s">
        <v>820</v>
      </c>
      <c r="E273" s="214">
        <f>0.6*1.64+1.36*1+0.15*1.33+0.19*0.6</f>
        <v>2.6574999999999998</v>
      </c>
      <c r="F273" s="133"/>
      <c r="G273" s="112"/>
      <c r="H273" s="71"/>
      <c r="I273" s="259"/>
      <c r="J273" s="91"/>
      <c r="L273" s="367"/>
    </row>
    <row r="274" spans="1:12" ht="12.75">
      <c r="A274" s="212">
        <f>+A270+1</f>
        <v>79</v>
      </c>
      <c r="B274" s="148" t="s">
        <v>259</v>
      </c>
      <c r="C274" s="190"/>
      <c r="D274" s="72" t="s">
        <v>360</v>
      </c>
      <c r="E274" s="74" t="s">
        <v>81</v>
      </c>
      <c r="F274" s="143">
        <f>+E273</f>
        <v>2.6574999999999998</v>
      </c>
      <c r="G274" s="385"/>
      <c r="H274" s="75">
        <f aca="true" t="shared" si="13" ref="H274:H287">F274*G274</f>
        <v>0</v>
      </c>
      <c r="I274" s="169" t="s">
        <v>4</v>
      </c>
      <c r="L274" s="42"/>
    </row>
    <row r="275" spans="1:12" ht="25.5">
      <c r="A275" s="212">
        <f>1+A274</f>
        <v>80</v>
      </c>
      <c r="B275" s="148" t="s">
        <v>829</v>
      </c>
      <c r="C275" s="222" t="s">
        <v>30</v>
      </c>
      <c r="D275" s="217" t="s">
        <v>817</v>
      </c>
      <c r="E275" s="218" t="s">
        <v>81</v>
      </c>
      <c r="F275" s="219">
        <f>1.1*(E271)</f>
        <v>4.83945</v>
      </c>
      <c r="G275" s="388"/>
      <c r="H275" s="220">
        <f t="shared" si="13"/>
        <v>0</v>
      </c>
      <c r="I275" s="169" t="s">
        <v>4</v>
      </c>
      <c r="L275" s="9" t="s">
        <v>816</v>
      </c>
    </row>
    <row r="276" spans="1:12" ht="25.5">
      <c r="A276" s="212">
        <f>A275+1</f>
        <v>81</v>
      </c>
      <c r="B276" s="148" t="s">
        <v>829</v>
      </c>
      <c r="C276" s="222" t="s">
        <v>30</v>
      </c>
      <c r="D276" s="217" t="s">
        <v>819</v>
      </c>
      <c r="E276" s="218" t="s">
        <v>81</v>
      </c>
      <c r="F276" s="219">
        <f>(E272+E273)*1.1</f>
        <v>21.051800000000004</v>
      </c>
      <c r="G276" s="388"/>
      <c r="H276" s="220">
        <f>F276*G276</f>
        <v>0</v>
      </c>
      <c r="I276" s="169" t="s">
        <v>4</v>
      </c>
      <c r="L276" s="170" t="s">
        <v>818</v>
      </c>
    </row>
    <row r="277" spans="1:12" ht="12.75">
      <c r="A277" s="212">
        <f>A276+1</f>
        <v>82</v>
      </c>
      <c r="B277" s="148" t="s">
        <v>553</v>
      </c>
      <c r="C277" s="190" t="s">
        <v>17</v>
      </c>
      <c r="D277" s="72" t="s">
        <v>554</v>
      </c>
      <c r="E277" s="74" t="s">
        <v>84</v>
      </c>
      <c r="F277" s="137">
        <f>+E279+E280</f>
        <v>12.120000000000001</v>
      </c>
      <c r="G277" s="385"/>
      <c r="H277" s="75">
        <f t="shared" si="13"/>
        <v>0</v>
      </c>
      <c r="I277" s="169" t="s">
        <v>4</v>
      </c>
      <c r="L277" s="42"/>
    </row>
    <row r="278" spans="1:22" ht="25.5">
      <c r="A278" s="212">
        <f>A277+1</f>
        <v>83</v>
      </c>
      <c r="B278" s="155" t="s">
        <v>229</v>
      </c>
      <c r="C278" s="87" t="s">
        <v>18</v>
      </c>
      <c r="D278" s="88" t="s">
        <v>38</v>
      </c>
      <c r="E278" s="89" t="s">
        <v>83</v>
      </c>
      <c r="F278" s="133">
        <f>CEILING(((E279+E280)*1.25),2.5)/2.5</f>
        <v>7</v>
      </c>
      <c r="G278" s="388"/>
      <c r="H278" s="90">
        <f>F278*G278</f>
        <v>0</v>
      </c>
      <c r="I278" s="254" t="s">
        <v>4</v>
      </c>
      <c r="J278" s="337"/>
      <c r="L278" s="170" t="s">
        <v>581</v>
      </c>
      <c r="V278" s="9"/>
    </row>
    <row r="279" spans="1:22" ht="16.5">
      <c r="A279" s="212"/>
      <c r="B279" s="155"/>
      <c r="C279" s="87"/>
      <c r="D279" s="107" t="s">
        <v>831</v>
      </c>
      <c r="E279" s="262">
        <f>1.59+0.13+2.04*2+0.62+2*2.4+0.3</f>
        <v>11.520000000000001</v>
      </c>
      <c r="F279" s="138"/>
      <c r="G279" s="298"/>
      <c r="H279" s="90"/>
      <c r="I279" s="254"/>
      <c r="J279" s="337"/>
      <c r="K279" s="382"/>
      <c r="L279" s="9"/>
      <c r="V279" s="9"/>
    </row>
    <row r="280" spans="1:22" ht="16.5">
      <c r="A280" s="212"/>
      <c r="B280" s="155"/>
      <c r="C280" s="87"/>
      <c r="D280" s="107" t="s">
        <v>830</v>
      </c>
      <c r="E280" s="262">
        <v>0.6</v>
      </c>
      <c r="F280" s="138"/>
      <c r="G280" s="298"/>
      <c r="H280" s="90"/>
      <c r="I280" s="254"/>
      <c r="J280" s="337"/>
      <c r="L280" s="170"/>
      <c r="V280" s="9"/>
    </row>
    <row r="281" spans="1:12" ht="12.75">
      <c r="A281" s="212">
        <f>A278+1</f>
        <v>84</v>
      </c>
      <c r="B281" s="148" t="s">
        <v>555</v>
      </c>
      <c r="C281" s="213" t="s">
        <v>17</v>
      </c>
      <c r="D281" s="72" t="s">
        <v>233</v>
      </c>
      <c r="E281" s="74" t="s">
        <v>81</v>
      </c>
      <c r="F281" s="133">
        <f>2.4*2*1+0.15*8.8+0.15*(4.3-0.8)</f>
        <v>6.6450000000000005</v>
      </c>
      <c r="G281" s="386"/>
      <c r="H281" s="75">
        <f t="shared" si="13"/>
        <v>0</v>
      </c>
      <c r="I281" s="169" t="s">
        <v>4</v>
      </c>
      <c r="L281" s="42"/>
    </row>
    <row r="282" spans="1:12" ht="16.5">
      <c r="A282" s="212">
        <f aca="true" t="shared" si="14" ref="A282:A287">A281+1</f>
        <v>85</v>
      </c>
      <c r="B282" s="148" t="s">
        <v>235</v>
      </c>
      <c r="C282" s="216" t="s">
        <v>18</v>
      </c>
      <c r="D282" s="217" t="s">
        <v>194</v>
      </c>
      <c r="E282" s="218" t="s">
        <v>53</v>
      </c>
      <c r="F282" s="219">
        <f>+F281*2*2</f>
        <v>26.580000000000002</v>
      </c>
      <c r="G282" s="388"/>
      <c r="H282" s="220">
        <f t="shared" si="13"/>
        <v>0</v>
      </c>
      <c r="I282" s="169" t="s">
        <v>4</v>
      </c>
      <c r="L282" s="170" t="s">
        <v>234</v>
      </c>
    </row>
    <row r="283" spans="1:12" ht="12.75">
      <c r="A283" s="212">
        <f t="shared" si="14"/>
        <v>86</v>
      </c>
      <c r="B283" s="148" t="s">
        <v>556</v>
      </c>
      <c r="C283" s="216"/>
      <c r="D283" s="72" t="s">
        <v>442</v>
      </c>
      <c r="E283" s="74" t="s">
        <v>84</v>
      </c>
      <c r="F283" s="137">
        <f>F284</f>
        <v>2.4</v>
      </c>
      <c r="G283" s="386"/>
      <c r="H283" s="75">
        <f t="shared" si="13"/>
        <v>0</v>
      </c>
      <c r="I283" s="169" t="s">
        <v>4</v>
      </c>
      <c r="L283" s="42"/>
    </row>
    <row r="284" spans="1:12" ht="25.5">
      <c r="A284" s="212">
        <f t="shared" si="14"/>
        <v>87</v>
      </c>
      <c r="B284" s="148">
        <v>28355360</v>
      </c>
      <c r="C284" s="216" t="s">
        <v>18</v>
      </c>
      <c r="D284" s="217" t="s">
        <v>13</v>
      </c>
      <c r="E284" s="218" t="s">
        <v>84</v>
      </c>
      <c r="F284" s="219">
        <v>2.4</v>
      </c>
      <c r="G284" s="388"/>
      <c r="H284" s="220">
        <f t="shared" si="13"/>
        <v>0</v>
      </c>
      <c r="I284" s="169" t="s">
        <v>4</v>
      </c>
      <c r="L284" s="42"/>
    </row>
    <row r="285" spans="1:12" ht="25.5">
      <c r="A285" s="212">
        <f t="shared" si="14"/>
        <v>88</v>
      </c>
      <c r="B285" s="148" t="s">
        <v>596</v>
      </c>
      <c r="C285" s="213"/>
      <c r="D285" s="72" t="s">
        <v>580</v>
      </c>
      <c r="E285" s="74" t="s">
        <v>80</v>
      </c>
      <c r="F285" s="137">
        <v>1</v>
      </c>
      <c r="G285" s="386"/>
      <c r="H285" s="75">
        <f>F285*G285</f>
        <v>0</v>
      </c>
      <c r="I285" s="169" t="s">
        <v>4</v>
      </c>
      <c r="L285" s="42"/>
    </row>
    <row r="286" spans="1:12" ht="12.75">
      <c r="A286" s="212">
        <f t="shared" si="14"/>
        <v>89</v>
      </c>
      <c r="B286" s="148" t="s">
        <v>574</v>
      </c>
      <c r="C286" s="216"/>
      <c r="D286" s="72" t="s">
        <v>575</v>
      </c>
      <c r="E286" s="74" t="s">
        <v>81</v>
      </c>
      <c r="F286" s="143">
        <f>+F287</f>
        <v>264.2482</v>
      </c>
      <c r="G286" s="385"/>
      <c r="H286" s="75">
        <f t="shared" si="13"/>
        <v>0</v>
      </c>
      <c r="I286" s="169" t="s">
        <v>4</v>
      </c>
      <c r="L286" s="42"/>
    </row>
    <row r="287" spans="1:12" ht="12.75">
      <c r="A287" s="212">
        <f t="shared" si="14"/>
        <v>90</v>
      </c>
      <c r="B287" s="148" t="s">
        <v>559</v>
      </c>
      <c r="C287" s="216"/>
      <c r="D287" s="72" t="s">
        <v>558</v>
      </c>
      <c r="E287" s="74" t="s">
        <v>81</v>
      </c>
      <c r="F287" s="137">
        <f>+E294+E295+E293</f>
        <v>264.2482</v>
      </c>
      <c r="G287" s="386"/>
      <c r="H287" s="75">
        <f t="shared" si="13"/>
        <v>0</v>
      </c>
      <c r="I287" s="169" t="s">
        <v>4</v>
      </c>
      <c r="L287" s="42"/>
    </row>
    <row r="288" spans="1:12" ht="12.75">
      <c r="A288" s="212"/>
      <c r="B288" s="148"/>
      <c r="C288" s="216"/>
      <c r="D288" s="370" t="s">
        <v>839</v>
      </c>
      <c r="E288" s="371">
        <f>19.4*2.8-1.3*2.28</f>
        <v>51.355999999999995</v>
      </c>
      <c r="F288" s="137"/>
      <c r="G288" s="112"/>
      <c r="H288" s="75"/>
      <c r="L288" s="42"/>
    </row>
    <row r="289" spans="1:12" ht="12.75">
      <c r="A289" s="212"/>
      <c r="B289" s="148"/>
      <c r="C289" s="216"/>
      <c r="D289" s="370" t="s">
        <v>840</v>
      </c>
      <c r="E289" s="371">
        <f>20.1*2.95-2.23*1.68</f>
        <v>55.54860000000001</v>
      </c>
      <c r="F289" s="137"/>
      <c r="G289" s="112"/>
      <c r="H289" s="75"/>
      <c r="L289" s="42"/>
    </row>
    <row r="290" spans="1:12" ht="12.75">
      <c r="A290" s="212"/>
      <c r="B290" s="148"/>
      <c r="C290" s="216"/>
      <c r="D290" s="370" t="s">
        <v>841</v>
      </c>
      <c r="E290" s="371">
        <f>18.7*2.92-1.38*1.6</f>
        <v>52.396</v>
      </c>
      <c r="F290" s="137"/>
      <c r="G290" s="112"/>
      <c r="H290" s="75"/>
      <c r="L290" s="42"/>
    </row>
    <row r="291" spans="1:12" ht="12.75">
      <c r="A291" s="212"/>
      <c r="B291" s="148"/>
      <c r="C291" s="216"/>
      <c r="D291" s="370" t="s">
        <v>842</v>
      </c>
      <c r="E291" s="371">
        <f>12.1*0.25+4.3*2.65</f>
        <v>14.42</v>
      </c>
      <c r="F291" s="137"/>
      <c r="G291" s="112"/>
      <c r="H291" s="75"/>
      <c r="L291" s="42"/>
    </row>
    <row r="292" spans="1:12" ht="12.75">
      <c r="A292" s="212"/>
      <c r="B292" s="148"/>
      <c r="C292" s="216"/>
      <c r="D292" s="370" t="s">
        <v>843</v>
      </c>
      <c r="E292" s="371">
        <f>3.92*3.1+0.74</f>
        <v>12.892</v>
      </c>
      <c r="F292" s="137"/>
      <c r="G292" s="112"/>
      <c r="H292" s="75"/>
      <c r="L292" s="42"/>
    </row>
    <row r="293" spans="1:12" ht="12.75">
      <c r="A293" s="212"/>
      <c r="B293" s="148"/>
      <c r="C293" s="216"/>
      <c r="D293" s="83" t="s">
        <v>838</v>
      </c>
      <c r="E293" s="100">
        <f>SUM(E288:E292)</f>
        <v>186.6126</v>
      </c>
      <c r="F293" s="137"/>
      <c r="G293" s="112"/>
      <c r="H293" s="75"/>
      <c r="L293" s="42"/>
    </row>
    <row r="294" spans="1:12" ht="12.75">
      <c r="A294" s="212"/>
      <c r="B294" s="148"/>
      <c r="C294" s="190"/>
      <c r="D294" s="83" t="s">
        <v>837</v>
      </c>
      <c r="E294" s="100">
        <f>F249</f>
        <v>6.851000000000001</v>
      </c>
      <c r="F294" s="143"/>
      <c r="G294" s="112"/>
      <c r="H294" s="75"/>
      <c r="L294" s="42"/>
    </row>
    <row r="295" spans="1:12" ht="12.75">
      <c r="A295" s="212"/>
      <c r="B295" s="148"/>
      <c r="C295" s="190"/>
      <c r="D295" s="83" t="s">
        <v>42</v>
      </c>
      <c r="E295" s="100">
        <f>+F255</f>
        <v>70.78460000000001</v>
      </c>
      <c r="F295" s="143"/>
      <c r="G295" s="112"/>
      <c r="H295" s="75"/>
      <c r="L295" s="42"/>
    </row>
    <row r="296" spans="1:12" ht="12.75">
      <c r="A296" s="212">
        <f>A287+1</f>
        <v>91</v>
      </c>
      <c r="B296" s="148" t="s">
        <v>236</v>
      </c>
      <c r="C296" s="190"/>
      <c r="D296" s="72" t="s">
        <v>11</v>
      </c>
      <c r="E296" s="74" t="s">
        <v>80</v>
      </c>
      <c r="F296" s="137">
        <v>1</v>
      </c>
      <c r="G296" s="386"/>
      <c r="H296" s="75">
        <f>F296*G296</f>
        <v>0</v>
      </c>
      <c r="I296" s="169" t="s">
        <v>4</v>
      </c>
      <c r="L296" s="42"/>
    </row>
    <row r="297" spans="1:22" ht="12.75">
      <c r="A297" s="212">
        <f>A296+1</f>
        <v>92</v>
      </c>
      <c r="B297" s="148" t="s">
        <v>952</v>
      </c>
      <c r="C297" s="213" t="s">
        <v>99</v>
      </c>
      <c r="D297" s="72" t="s">
        <v>846</v>
      </c>
      <c r="E297" s="74" t="s">
        <v>81</v>
      </c>
      <c r="F297" s="134">
        <f>1.04*0.98</f>
        <v>1.0192</v>
      </c>
      <c r="G297" s="385"/>
      <c r="H297" s="75">
        <f>F297*G297</f>
        <v>0</v>
      </c>
      <c r="I297" s="169" t="s">
        <v>4</v>
      </c>
      <c r="J297" s="337"/>
      <c r="K297" s="167"/>
      <c r="L297" s="42"/>
      <c r="M297" s="42"/>
      <c r="N297" s="42"/>
      <c r="O297" s="42"/>
      <c r="P297" s="42"/>
      <c r="Q297" s="42"/>
      <c r="R297" s="128"/>
      <c r="S297" s="42"/>
      <c r="T297" s="42"/>
      <c r="U297" s="42"/>
      <c r="V297" s="167"/>
    </row>
    <row r="298" spans="1:12" ht="13.5" thickBot="1">
      <c r="A298" s="212">
        <f>A297+1</f>
        <v>93</v>
      </c>
      <c r="B298" s="148" t="s">
        <v>166</v>
      </c>
      <c r="C298" s="190"/>
      <c r="D298" s="191" t="s">
        <v>129</v>
      </c>
      <c r="E298" s="74" t="s">
        <v>89</v>
      </c>
      <c r="F298" s="133">
        <f>+H228+H229+H230+H232+H233+H239+H243+H249+H255+H259+H265+H269+H270+H275+H276+H278+H282+H284+H286+H287+H296</f>
        <v>0</v>
      </c>
      <c r="G298" s="389"/>
      <c r="H298" s="75">
        <f>F298*G298</f>
        <v>0</v>
      </c>
      <c r="I298" s="169" t="s">
        <v>4</v>
      </c>
      <c r="L298" s="42"/>
    </row>
    <row r="299" spans="1:12" ht="13.5" thickBot="1">
      <c r="A299" s="212"/>
      <c r="B299" s="148"/>
      <c r="C299" s="190"/>
      <c r="D299" s="85" t="s">
        <v>82</v>
      </c>
      <c r="E299" s="86"/>
      <c r="F299" s="223"/>
      <c r="G299" s="296"/>
      <c r="H299" s="78">
        <f>SUBTOTAL(9,H221:H298)</f>
        <v>0</v>
      </c>
      <c r="L299" s="42"/>
    </row>
    <row r="300" spans="1:12" ht="12.75">
      <c r="A300" s="212"/>
      <c r="B300" s="148"/>
      <c r="C300" s="190"/>
      <c r="D300" s="224"/>
      <c r="E300" s="208"/>
      <c r="F300" s="128"/>
      <c r="H300" s="209"/>
      <c r="L300" s="42"/>
    </row>
    <row r="301" spans="1:12" ht="16.5">
      <c r="A301" s="212"/>
      <c r="B301" s="148"/>
      <c r="C301" s="225" t="s">
        <v>121</v>
      </c>
      <c r="D301" s="65" t="s">
        <v>429</v>
      </c>
      <c r="E301" s="65"/>
      <c r="F301" s="136"/>
      <c r="G301" s="297"/>
      <c r="H301" s="65"/>
      <c r="L301" s="42"/>
    </row>
    <row r="302" spans="1:12" ht="87.75" customHeight="1">
      <c r="A302" s="212"/>
      <c r="B302" s="148"/>
      <c r="C302" s="235"/>
      <c r="D302" s="429" t="s">
        <v>433</v>
      </c>
      <c r="E302" s="429"/>
      <c r="F302" s="429"/>
      <c r="G302" s="103"/>
      <c r="H302" s="103"/>
      <c r="L302" s="42"/>
    </row>
    <row r="303" spans="1:12" ht="12.75">
      <c r="A303" s="212">
        <f>A298+1</f>
        <v>94</v>
      </c>
      <c r="B303" s="148" t="s">
        <v>261</v>
      </c>
      <c r="C303" s="213" t="s">
        <v>514</v>
      </c>
      <c r="D303" s="72" t="s">
        <v>260</v>
      </c>
      <c r="E303" s="74" t="s">
        <v>83</v>
      </c>
      <c r="F303" s="137">
        <v>4</v>
      </c>
      <c r="G303" s="386"/>
      <c r="H303" s="75">
        <f>F303*G303</f>
        <v>0</v>
      </c>
      <c r="I303" s="169" t="s">
        <v>4</v>
      </c>
      <c r="L303" s="42"/>
    </row>
    <row r="304" spans="1:12" ht="12.75" hidden="1">
      <c r="A304" s="212"/>
      <c r="B304" s="148"/>
      <c r="C304" s="226"/>
      <c r="D304" s="227" t="s">
        <v>849</v>
      </c>
      <c r="E304" s="228"/>
      <c r="F304" s="229">
        <v>9290</v>
      </c>
      <c r="G304" s="386"/>
      <c r="H304" s="75"/>
      <c r="L304" s="42"/>
    </row>
    <row r="305" spans="1:12" ht="12.75" hidden="1">
      <c r="A305" s="212"/>
      <c r="B305" s="148"/>
      <c r="C305" s="226"/>
      <c r="D305" s="227" t="s">
        <v>853</v>
      </c>
      <c r="E305" s="228"/>
      <c r="F305" s="229">
        <v>9590</v>
      </c>
      <c r="G305" s="386"/>
      <c r="H305" s="75"/>
      <c r="L305" s="42"/>
    </row>
    <row r="306" spans="1:12" ht="12.75" hidden="1">
      <c r="A306" s="212"/>
      <c r="B306" s="148"/>
      <c r="C306" s="226"/>
      <c r="D306" s="227" t="s">
        <v>850</v>
      </c>
      <c r="E306" s="228"/>
      <c r="F306" s="229">
        <v>5290</v>
      </c>
      <c r="G306" s="386"/>
      <c r="H306" s="75"/>
      <c r="L306" s="42"/>
    </row>
    <row r="307" spans="1:12" ht="16.5" hidden="1">
      <c r="A307" s="42"/>
      <c r="B307" s="271"/>
      <c r="C307" s="231"/>
      <c r="D307" s="227" t="s">
        <v>852</v>
      </c>
      <c r="E307" s="218"/>
      <c r="F307" s="230"/>
      <c r="G307" s="388"/>
      <c r="H307" s="220"/>
      <c r="L307" s="170"/>
    </row>
    <row r="308" spans="1:12" ht="16.5" hidden="1">
      <c r="A308" s="42"/>
      <c r="B308" s="271"/>
      <c r="C308" s="231"/>
      <c r="D308" s="227" t="s">
        <v>854</v>
      </c>
      <c r="E308" s="327"/>
      <c r="F308" s="230">
        <f>3*80</f>
        <v>240</v>
      </c>
      <c r="G308" s="391"/>
      <c r="H308" s="220"/>
      <c r="L308" s="170"/>
    </row>
    <row r="309" spans="1:12" ht="16.5" hidden="1">
      <c r="A309" s="212"/>
      <c r="B309" s="148"/>
      <c r="C309" s="232"/>
      <c r="D309" s="227" t="s">
        <v>227</v>
      </c>
      <c r="E309" s="228"/>
      <c r="F309" s="265">
        <f>799+200</f>
        <v>999</v>
      </c>
      <c r="G309" s="392"/>
      <c r="H309" s="220"/>
      <c r="L309" s="171"/>
    </row>
    <row r="310" spans="1:12" ht="16.5" hidden="1">
      <c r="A310" s="212"/>
      <c r="B310" s="148"/>
      <c r="C310" s="232"/>
      <c r="D310" s="227" t="s">
        <v>228</v>
      </c>
      <c r="E310" s="228"/>
      <c r="F310" s="265">
        <f>980+200</f>
        <v>1180</v>
      </c>
      <c r="G310" s="392"/>
      <c r="H310" s="220"/>
      <c r="L310" s="171"/>
    </row>
    <row r="311" spans="1:12" ht="16.5" hidden="1">
      <c r="A311" s="212"/>
      <c r="B311" s="148"/>
      <c r="C311" s="232"/>
      <c r="D311" s="227" t="s">
        <v>499</v>
      </c>
      <c r="E311" s="228"/>
      <c r="F311" s="265">
        <v>200</v>
      </c>
      <c r="G311" s="392"/>
      <c r="H311" s="220"/>
      <c r="L311" s="170"/>
    </row>
    <row r="312" spans="1:12" ht="25.5">
      <c r="A312" s="212">
        <f>A303+1</f>
        <v>95</v>
      </c>
      <c r="B312" s="148" t="s">
        <v>503</v>
      </c>
      <c r="C312" s="222" t="s">
        <v>299</v>
      </c>
      <c r="D312" s="217" t="s">
        <v>848</v>
      </c>
      <c r="E312" s="218" t="s">
        <v>83</v>
      </c>
      <c r="F312" s="219">
        <v>1</v>
      </c>
      <c r="G312" s="388"/>
      <c r="H312" s="220">
        <f aca="true" t="shared" si="15" ref="H312:H317">F312*G312</f>
        <v>0</v>
      </c>
      <c r="I312" s="169" t="s">
        <v>4</v>
      </c>
      <c r="L312" s="170"/>
    </row>
    <row r="313" spans="1:12" ht="25.5">
      <c r="A313" s="212">
        <f aca="true" t="shared" si="16" ref="A313:A318">A312+1</f>
        <v>96</v>
      </c>
      <c r="B313" s="148" t="s">
        <v>502</v>
      </c>
      <c r="C313" s="222" t="s">
        <v>103</v>
      </c>
      <c r="D313" s="217" t="s">
        <v>847</v>
      </c>
      <c r="E313" s="218" t="s">
        <v>83</v>
      </c>
      <c r="F313" s="219">
        <v>1</v>
      </c>
      <c r="G313" s="388"/>
      <c r="H313" s="220">
        <f t="shared" si="15"/>
        <v>0</v>
      </c>
      <c r="I313" s="169" t="s">
        <v>4</v>
      </c>
      <c r="L313" s="170" t="s">
        <v>604</v>
      </c>
    </row>
    <row r="314" spans="1:12" ht="25.5">
      <c r="A314" s="212">
        <f t="shared" si="16"/>
        <v>97</v>
      </c>
      <c r="B314" s="148" t="s">
        <v>502</v>
      </c>
      <c r="C314" s="222" t="s">
        <v>500</v>
      </c>
      <c r="D314" s="217" t="s">
        <v>847</v>
      </c>
      <c r="E314" s="218" t="s">
        <v>83</v>
      </c>
      <c r="F314" s="219">
        <v>1</v>
      </c>
      <c r="G314" s="388"/>
      <c r="H314" s="220">
        <f t="shared" si="15"/>
        <v>0</v>
      </c>
      <c r="I314" s="169" t="s">
        <v>4</v>
      </c>
      <c r="L314" s="170" t="s">
        <v>604</v>
      </c>
    </row>
    <row r="315" spans="1:12" ht="25.5">
      <c r="A315" s="212">
        <f t="shared" si="16"/>
        <v>98</v>
      </c>
      <c r="B315" s="148" t="s">
        <v>503</v>
      </c>
      <c r="C315" s="222" t="s">
        <v>294</v>
      </c>
      <c r="D315" s="217" t="s">
        <v>851</v>
      </c>
      <c r="E315" s="218" t="s">
        <v>83</v>
      </c>
      <c r="F315" s="219">
        <v>1</v>
      </c>
      <c r="G315" s="388"/>
      <c r="H315" s="220">
        <f t="shared" si="15"/>
        <v>0</v>
      </c>
      <c r="I315" s="169" t="s">
        <v>4</v>
      </c>
      <c r="L315" s="170"/>
    </row>
    <row r="316" spans="1:12" ht="38.25">
      <c r="A316" s="212">
        <f t="shared" si="16"/>
        <v>99</v>
      </c>
      <c r="B316" s="148" t="s">
        <v>597</v>
      </c>
      <c r="C316" s="190" t="s">
        <v>226</v>
      </c>
      <c r="D316" s="72" t="s">
        <v>1009</v>
      </c>
      <c r="E316" s="74" t="s">
        <v>81</v>
      </c>
      <c r="F316" s="137">
        <f>(1.1*2.18)*2+(0.55+0.22)*(2*2.28+1.3)</f>
        <v>9.308200000000001</v>
      </c>
      <c r="G316" s="386"/>
      <c r="H316" s="75">
        <f t="shared" si="15"/>
        <v>0</v>
      </c>
      <c r="I316" s="169" t="s">
        <v>4</v>
      </c>
      <c r="L316" s="42"/>
    </row>
    <row r="317" spans="1:21" ht="36" customHeight="1">
      <c r="A317" s="212">
        <f t="shared" si="16"/>
        <v>100</v>
      </c>
      <c r="B317" s="148" t="s">
        <v>855</v>
      </c>
      <c r="C317" s="213"/>
      <c r="D317" s="72" t="s">
        <v>856</v>
      </c>
      <c r="E317" s="74" t="s">
        <v>83</v>
      </c>
      <c r="F317" s="137">
        <v>1</v>
      </c>
      <c r="G317" s="386"/>
      <c r="H317" s="75">
        <f t="shared" si="15"/>
        <v>0</v>
      </c>
      <c r="I317" s="169" t="s">
        <v>4</v>
      </c>
      <c r="J317" s="337"/>
      <c r="L317" s="170" t="s">
        <v>371</v>
      </c>
      <c r="M317" s="42"/>
      <c r="N317" s="42"/>
      <c r="O317" s="42"/>
      <c r="P317" s="42"/>
      <c r="Q317" s="42"/>
      <c r="R317" s="42"/>
      <c r="S317" s="42"/>
      <c r="T317" s="42"/>
      <c r="U317" s="42"/>
    </row>
    <row r="318" spans="1:21" ht="36" customHeight="1">
      <c r="A318" s="212">
        <f t="shared" si="16"/>
        <v>101</v>
      </c>
      <c r="B318" s="148" t="s">
        <v>953</v>
      </c>
      <c r="C318" s="213"/>
      <c r="D318" s="69" t="s">
        <v>857</v>
      </c>
      <c r="E318" s="74" t="s">
        <v>83</v>
      </c>
      <c r="F318" s="137">
        <v>1</v>
      </c>
      <c r="G318" s="386"/>
      <c r="H318" s="75">
        <f aca="true" t="shared" si="17" ref="H318:H328">F318*G318</f>
        <v>0</v>
      </c>
      <c r="I318" s="169" t="s">
        <v>4</v>
      </c>
      <c r="J318" s="337"/>
      <c r="L318" s="170" t="s">
        <v>144</v>
      </c>
      <c r="M318" s="42"/>
      <c r="N318" s="42"/>
      <c r="O318" s="42"/>
      <c r="P318" s="42"/>
      <c r="Q318" s="42"/>
      <c r="R318" s="42"/>
      <c r="S318" s="42"/>
      <c r="T318" s="42"/>
      <c r="U318" s="42"/>
    </row>
    <row r="319" spans="1:21" ht="25.5">
      <c r="A319" s="212">
        <f aca="true" t="shared" si="18" ref="A319:A325">A318+1</f>
        <v>102</v>
      </c>
      <c r="B319" s="148" t="s">
        <v>146</v>
      </c>
      <c r="C319" s="190" t="s">
        <v>395</v>
      </c>
      <c r="D319" s="72" t="s">
        <v>264</v>
      </c>
      <c r="E319" s="74" t="s">
        <v>89</v>
      </c>
      <c r="F319" s="137">
        <f>G320</f>
        <v>0</v>
      </c>
      <c r="G319" s="393"/>
      <c r="H319" s="75">
        <f t="shared" si="17"/>
        <v>0</v>
      </c>
      <c r="I319" s="169" t="s">
        <v>7</v>
      </c>
      <c r="L319" s="42"/>
      <c r="M319" s="42"/>
      <c r="N319" s="42"/>
      <c r="O319" s="42"/>
      <c r="P319" s="42"/>
      <c r="Q319" s="42"/>
      <c r="R319" s="42"/>
      <c r="S319" s="42"/>
      <c r="T319" s="42"/>
      <c r="U319" s="42"/>
    </row>
    <row r="320" spans="1:21" ht="25.5">
      <c r="A320" s="212">
        <f t="shared" si="18"/>
        <v>103</v>
      </c>
      <c r="B320" s="148" t="s">
        <v>237</v>
      </c>
      <c r="C320" s="222" t="s">
        <v>394</v>
      </c>
      <c r="D320" s="217" t="s">
        <v>858</v>
      </c>
      <c r="E320" s="218" t="s">
        <v>80</v>
      </c>
      <c r="F320" s="166">
        <v>1</v>
      </c>
      <c r="G320" s="394"/>
      <c r="H320" s="220">
        <f t="shared" si="17"/>
        <v>0</v>
      </c>
      <c r="I320" s="169" t="s">
        <v>7</v>
      </c>
      <c r="L320" s="42"/>
      <c r="M320" s="42"/>
      <c r="N320" s="42"/>
      <c r="O320" s="42"/>
      <c r="P320" s="42"/>
      <c r="Q320" s="42"/>
      <c r="R320" s="42"/>
      <c r="S320" s="42"/>
      <c r="T320" s="42"/>
      <c r="U320" s="42"/>
    </row>
    <row r="321" spans="1:21" ht="36" customHeight="1">
      <c r="A321" s="212">
        <f t="shared" si="18"/>
        <v>104</v>
      </c>
      <c r="B321" s="358" t="s">
        <v>239</v>
      </c>
      <c r="C321" s="222" t="s">
        <v>394</v>
      </c>
      <c r="D321" s="217" t="s">
        <v>624</v>
      </c>
      <c r="E321" s="218" t="s">
        <v>83</v>
      </c>
      <c r="F321" s="166">
        <v>1</v>
      </c>
      <c r="G321" s="394"/>
      <c r="H321" s="220">
        <f t="shared" si="17"/>
        <v>0</v>
      </c>
      <c r="I321" s="307" t="s">
        <v>7</v>
      </c>
      <c r="J321" s="372"/>
      <c r="L321" s="175" t="s">
        <v>625</v>
      </c>
      <c r="M321" s="42"/>
      <c r="N321" s="42"/>
      <c r="O321" s="42"/>
      <c r="P321" s="42"/>
      <c r="Q321" s="42"/>
      <c r="R321" s="42"/>
      <c r="S321" s="170" t="s">
        <v>409</v>
      </c>
      <c r="T321" s="42"/>
      <c r="U321" s="42"/>
    </row>
    <row r="322" spans="1:21" ht="29.25" customHeight="1">
      <c r="A322" s="212">
        <f>A321+1</f>
        <v>105</v>
      </c>
      <c r="B322" s="358" t="s">
        <v>240</v>
      </c>
      <c r="C322" s="222" t="s">
        <v>394</v>
      </c>
      <c r="D322" s="217" t="s">
        <v>626</v>
      </c>
      <c r="E322" s="218" t="s">
        <v>83</v>
      </c>
      <c r="F322" s="166">
        <v>1</v>
      </c>
      <c r="G322" s="394"/>
      <c r="H322" s="220">
        <f t="shared" si="17"/>
        <v>0</v>
      </c>
      <c r="I322" s="307" t="s">
        <v>7</v>
      </c>
      <c r="J322" s="372"/>
      <c r="L322" s="175" t="s">
        <v>627</v>
      </c>
      <c r="M322" s="42"/>
      <c r="N322" s="42"/>
      <c r="O322" s="42"/>
      <c r="P322" s="42"/>
      <c r="Q322" s="42"/>
      <c r="R322" s="42"/>
      <c r="S322" s="170" t="s">
        <v>534</v>
      </c>
      <c r="T322" s="42"/>
      <c r="U322" s="42"/>
    </row>
    <row r="323" spans="1:21" ht="42" customHeight="1">
      <c r="A323" s="212">
        <f t="shared" si="18"/>
        <v>106</v>
      </c>
      <c r="B323" s="358" t="s">
        <v>605</v>
      </c>
      <c r="C323" s="222" t="s">
        <v>394</v>
      </c>
      <c r="D323" s="217" t="s">
        <v>616</v>
      </c>
      <c r="E323" s="218" t="s">
        <v>83</v>
      </c>
      <c r="F323" s="166">
        <v>1</v>
      </c>
      <c r="G323" s="394"/>
      <c r="H323" s="220">
        <f t="shared" si="17"/>
        <v>0</v>
      </c>
      <c r="I323" s="307" t="s">
        <v>7</v>
      </c>
      <c r="J323" s="372"/>
      <c r="L323" s="175" t="s">
        <v>615</v>
      </c>
      <c r="M323" s="42"/>
      <c r="N323" s="42"/>
      <c r="O323" s="42"/>
      <c r="P323" s="42"/>
      <c r="Q323" s="42"/>
      <c r="R323" s="42"/>
      <c r="S323" s="170" t="s">
        <v>310</v>
      </c>
      <c r="T323" s="42"/>
      <c r="U323" s="42"/>
    </row>
    <row r="324" spans="1:21" ht="36.75" customHeight="1">
      <c r="A324" s="212">
        <f t="shared" si="18"/>
        <v>107</v>
      </c>
      <c r="B324" s="358" t="s">
        <v>330</v>
      </c>
      <c r="C324" s="222" t="s">
        <v>394</v>
      </c>
      <c r="D324" s="217" t="s">
        <v>628</v>
      </c>
      <c r="E324" s="218" t="s">
        <v>83</v>
      </c>
      <c r="F324" s="166">
        <v>1</v>
      </c>
      <c r="G324" s="394"/>
      <c r="H324" s="220">
        <f t="shared" si="17"/>
        <v>0</v>
      </c>
      <c r="I324" s="307" t="s">
        <v>7</v>
      </c>
      <c r="J324" s="372"/>
      <c r="L324" s="175" t="s">
        <v>629</v>
      </c>
      <c r="M324" s="42"/>
      <c r="N324" s="42"/>
      <c r="O324" s="42"/>
      <c r="P324" s="42"/>
      <c r="Q324" s="42"/>
      <c r="R324" s="42"/>
      <c r="S324" s="170"/>
      <c r="T324" s="42"/>
      <c r="U324" s="42"/>
    </row>
    <row r="325" spans="1:21" ht="35.25" customHeight="1">
      <c r="A325" s="212">
        <f t="shared" si="18"/>
        <v>108</v>
      </c>
      <c r="B325" s="358" t="s">
        <v>606</v>
      </c>
      <c r="C325" s="222" t="s">
        <v>394</v>
      </c>
      <c r="D325" s="217" t="s">
        <v>607</v>
      </c>
      <c r="E325" s="218" t="s">
        <v>83</v>
      </c>
      <c r="F325" s="166">
        <v>1</v>
      </c>
      <c r="G325" s="394"/>
      <c r="H325" s="220">
        <f t="shared" si="17"/>
        <v>0</v>
      </c>
      <c r="I325" s="307" t="s">
        <v>7</v>
      </c>
      <c r="J325" s="372"/>
      <c r="L325" s="175" t="s">
        <v>702</v>
      </c>
      <c r="M325" s="42"/>
      <c r="N325" s="42"/>
      <c r="O325" s="42"/>
      <c r="P325" s="42"/>
      <c r="Q325" s="42"/>
      <c r="R325" s="42"/>
      <c r="S325" s="170"/>
      <c r="T325" s="42"/>
      <c r="U325" s="42"/>
    </row>
    <row r="326" spans="1:21" ht="40.5" customHeight="1">
      <c r="A326" s="264">
        <f>A325+1</f>
        <v>109</v>
      </c>
      <c r="B326" s="358" t="s">
        <v>330</v>
      </c>
      <c r="C326" s="222" t="s">
        <v>394</v>
      </c>
      <c r="D326" s="88" t="s">
        <v>630</v>
      </c>
      <c r="E326" s="218" t="s">
        <v>83</v>
      </c>
      <c r="F326" s="166">
        <v>1</v>
      </c>
      <c r="G326" s="394"/>
      <c r="H326" s="220">
        <f t="shared" si="17"/>
        <v>0</v>
      </c>
      <c r="I326" s="307" t="s">
        <v>7</v>
      </c>
      <c r="J326" s="372"/>
      <c r="L326" s="175" t="s">
        <v>631</v>
      </c>
      <c r="M326" s="42"/>
      <c r="N326" s="42"/>
      <c r="O326" s="42"/>
      <c r="P326" s="42"/>
      <c r="Q326" s="42"/>
      <c r="R326" s="42"/>
      <c r="S326" s="170"/>
      <c r="T326" s="42"/>
      <c r="U326" s="42"/>
    </row>
    <row r="327" spans="1:21" ht="25.5">
      <c r="A327" s="264">
        <f>A326+1</f>
        <v>110</v>
      </c>
      <c r="B327" s="148" t="s">
        <v>238</v>
      </c>
      <c r="C327" s="213" t="s">
        <v>560</v>
      </c>
      <c r="D327" s="72" t="s">
        <v>609</v>
      </c>
      <c r="E327" s="74" t="s">
        <v>83</v>
      </c>
      <c r="F327" s="137">
        <v>1</v>
      </c>
      <c r="G327" s="386"/>
      <c r="H327" s="75">
        <f t="shared" si="17"/>
        <v>0</v>
      </c>
      <c r="I327" s="169" t="s">
        <v>7</v>
      </c>
      <c r="L327" s="42" t="s">
        <v>608</v>
      </c>
      <c r="M327" s="42"/>
      <c r="N327" s="42"/>
      <c r="O327" s="42"/>
      <c r="P327" s="42"/>
      <c r="Q327" s="42"/>
      <c r="R327" s="42"/>
      <c r="T327" s="42"/>
      <c r="U327" s="42"/>
    </row>
    <row r="328" spans="1:21" ht="13.5" thickBot="1">
      <c r="A328" s="212">
        <f>A327+1</f>
        <v>111</v>
      </c>
      <c r="B328" s="148" t="s">
        <v>166</v>
      </c>
      <c r="C328" s="190"/>
      <c r="D328" s="72" t="s">
        <v>126</v>
      </c>
      <c r="E328" s="233" t="s">
        <v>89</v>
      </c>
      <c r="F328" s="133">
        <f>+H312+H313+H314+H315+H317+H318+H320+H321+H322+H323+H324+H325+H326+H327</f>
        <v>0</v>
      </c>
      <c r="G328" s="395"/>
      <c r="H328" s="234">
        <f t="shared" si="17"/>
        <v>0</v>
      </c>
      <c r="I328" s="169" t="s">
        <v>4</v>
      </c>
      <c r="L328" s="42"/>
      <c r="M328" s="42"/>
      <c r="N328" s="42"/>
      <c r="O328" s="42"/>
      <c r="P328" s="42"/>
      <c r="Q328" s="42"/>
      <c r="T328" s="42"/>
      <c r="U328" s="42"/>
    </row>
    <row r="329" spans="1:21" ht="13.5" thickBot="1">
      <c r="A329" s="212"/>
      <c r="B329" s="148"/>
      <c r="C329" s="190"/>
      <c r="D329" s="85" t="s">
        <v>82</v>
      </c>
      <c r="E329" s="86"/>
      <c r="F329" s="223"/>
      <c r="G329" s="296"/>
      <c r="H329" s="78">
        <f>SUM(H303:H328)</f>
        <v>0</v>
      </c>
      <c r="M329" s="42"/>
      <c r="N329" s="42"/>
      <c r="O329" s="42"/>
      <c r="P329" s="42"/>
      <c r="Q329" s="42"/>
      <c r="R329" s="42"/>
      <c r="S329" s="42"/>
      <c r="T329" s="42"/>
      <c r="U329" s="42"/>
    </row>
    <row r="330" spans="1:21" ht="12.75">
      <c r="A330" s="212"/>
      <c r="B330" s="148"/>
      <c r="C330" s="190"/>
      <c r="D330" s="224"/>
      <c r="E330" s="208"/>
      <c r="F330" s="128"/>
      <c r="H330" s="209"/>
      <c r="L330" s="42" t="s">
        <v>19</v>
      </c>
      <c r="M330" s="42"/>
      <c r="N330" s="42"/>
      <c r="O330" s="42"/>
      <c r="P330" s="42"/>
      <c r="Q330" s="42"/>
      <c r="R330" s="42"/>
      <c r="S330" s="42"/>
      <c r="T330" s="42"/>
      <c r="U330" s="42"/>
    </row>
    <row r="331" spans="1:21" ht="16.5">
      <c r="A331" s="212"/>
      <c r="B331" s="148"/>
      <c r="C331" s="225" t="s">
        <v>122</v>
      </c>
      <c r="D331" s="65" t="s">
        <v>125</v>
      </c>
      <c r="E331" s="65"/>
      <c r="F331" s="136"/>
      <c r="G331" s="297"/>
      <c r="H331" s="65"/>
      <c r="L331" s="42"/>
      <c r="M331" s="42"/>
      <c r="N331" s="42"/>
      <c r="O331" s="42"/>
      <c r="P331" s="42"/>
      <c r="Q331" s="42"/>
      <c r="R331" s="42"/>
      <c r="S331" s="42"/>
      <c r="T331" s="42"/>
      <c r="U331" s="42"/>
    </row>
    <row r="332" spans="1:21" ht="99" customHeight="1">
      <c r="A332" s="212"/>
      <c r="B332" s="148"/>
      <c r="C332" s="200"/>
      <c r="D332" s="429" t="s">
        <v>433</v>
      </c>
      <c r="E332" s="429"/>
      <c r="F332" s="429"/>
      <c r="G332" s="103"/>
      <c r="H332" s="103"/>
      <c r="L332" s="42"/>
      <c r="M332" s="42"/>
      <c r="N332" s="42"/>
      <c r="O332" s="42"/>
      <c r="P332" s="42"/>
      <c r="Q332" s="42"/>
      <c r="R332" s="42"/>
      <c r="S332" s="42"/>
      <c r="T332" s="42"/>
      <c r="U332" s="42"/>
    </row>
    <row r="333" spans="1:21" ht="12.75">
      <c r="A333" s="212">
        <f>A328+1</f>
        <v>112</v>
      </c>
      <c r="B333" s="183" t="s">
        <v>45</v>
      </c>
      <c r="C333" s="156" t="s">
        <v>395</v>
      </c>
      <c r="D333" s="72" t="s">
        <v>283</v>
      </c>
      <c r="E333" s="157" t="s">
        <v>53</v>
      </c>
      <c r="F333" s="143">
        <f>SUM(F334:F335)</f>
        <v>86.59799999999998</v>
      </c>
      <c r="G333" s="387"/>
      <c r="H333" s="158">
        <f>F333*G333</f>
        <v>0</v>
      </c>
      <c r="I333" s="258" t="s">
        <v>4</v>
      </c>
      <c r="J333" s="164"/>
      <c r="L333" s="42"/>
      <c r="M333" s="42"/>
      <c r="N333" s="42"/>
      <c r="O333" s="42"/>
      <c r="P333" s="42"/>
      <c r="Q333" s="42"/>
      <c r="R333" s="42"/>
      <c r="S333" s="42"/>
      <c r="T333" s="42"/>
      <c r="U333" s="42"/>
    </row>
    <row r="334" spans="1:21" ht="16.5">
      <c r="A334" s="212">
        <f>A333+1</f>
        <v>113</v>
      </c>
      <c r="B334" s="305">
        <v>133301520000</v>
      </c>
      <c r="C334" s="184" t="s">
        <v>417</v>
      </c>
      <c r="D334" s="177" t="s">
        <v>418</v>
      </c>
      <c r="E334" s="178" t="s">
        <v>53</v>
      </c>
      <c r="F334" s="166">
        <f>9.2*4.47</f>
        <v>41.123999999999995</v>
      </c>
      <c r="G334" s="394"/>
      <c r="H334" s="179">
        <f>F334*G334</f>
        <v>0</v>
      </c>
      <c r="I334" s="258" t="s">
        <v>4</v>
      </c>
      <c r="J334" s="164"/>
      <c r="L334" s="170"/>
      <c r="M334" s="42"/>
      <c r="N334" s="42"/>
      <c r="O334" s="42"/>
      <c r="P334" s="42"/>
      <c r="Q334" s="42"/>
      <c r="R334" s="42"/>
      <c r="S334" s="42"/>
      <c r="T334" s="42"/>
      <c r="U334" s="42"/>
    </row>
    <row r="335" spans="1:21" ht="16.5">
      <c r="A335" s="212">
        <f>A334+1</f>
        <v>114</v>
      </c>
      <c r="B335" s="155">
        <v>13383315</v>
      </c>
      <c r="C335" s="184" t="s">
        <v>535</v>
      </c>
      <c r="D335" s="88" t="s">
        <v>859</v>
      </c>
      <c r="E335" s="178" t="s">
        <v>53</v>
      </c>
      <c r="F335" s="166">
        <f>4.29*10.6</f>
        <v>45.474</v>
      </c>
      <c r="G335" s="394"/>
      <c r="H335" s="179">
        <f>F335*G335</f>
        <v>0</v>
      </c>
      <c r="I335" s="258" t="s">
        <v>4</v>
      </c>
      <c r="J335" s="164"/>
      <c r="L335" s="170" t="s">
        <v>610</v>
      </c>
      <c r="M335" s="42"/>
      <c r="N335" s="42"/>
      <c r="O335" s="42"/>
      <c r="P335" s="42"/>
      <c r="Q335" s="42"/>
      <c r="R335" s="42"/>
      <c r="S335" s="42"/>
      <c r="T335" s="42"/>
      <c r="U335" s="42"/>
    </row>
    <row r="336" spans="1:21" ht="12.75">
      <c r="A336" s="212">
        <f>A335+1</f>
        <v>115</v>
      </c>
      <c r="B336" s="148" t="s">
        <v>954</v>
      </c>
      <c r="C336" s="192" t="s">
        <v>395</v>
      </c>
      <c r="D336" s="72" t="s">
        <v>504</v>
      </c>
      <c r="E336" s="74" t="s">
        <v>81</v>
      </c>
      <c r="F336" s="143">
        <f>0.2*9.2+0.48*10.6</f>
        <v>6.928</v>
      </c>
      <c r="G336" s="385"/>
      <c r="H336" s="75">
        <f>F336*G336</f>
        <v>0</v>
      </c>
      <c r="I336" s="169" t="s">
        <v>4</v>
      </c>
      <c r="L336" s="42"/>
      <c r="M336" s="42"/>
      <c r="N336" s="42"/>
      <c r="O336" s="42"/>
      <c r="P336" s="42"/>
      <c r="Q336" s="42"/>
      <c r="R336" s="42"/>
      <c r="S336" s="42"/>
      <c r="T336" s="42"/>
      <c r="U336" s="42"/>
    </row>
    <row r="337" spans="1:21" ht="13.5" thickBot="1">
      <c r="A337" s="212">
        <f>A336+1</f>
        <v>116</v>
      </c>
      <c r="B337" s="148" t="s">
        <v>166</v>
      </c>
      <c r="C337" s="190"/>
      <c r="D337" s="72" t="s">
        <v>126</v>
      </c>
      <c r="E337" s="233" t="s">
        <v>89</v>
      </c>
      <c r="F337" s="133">
        <f>+H334+H335+H336</f>
        <v>0</v>
      </c>
      <c r="G337" s="395"/>
      <c r="H337" s="234">
        <f>F337*G337</f>
        <v>0</v>
      </c>
      <c r="I337" s="169" t="s">
        <v>4</v>
      </c>
      <c r="L337" s="42"/>
      <c r="M337" s="42"/>
      <c r="N337" s="42"/>
      <c r="O337" s="42"/>
      <c r="P337" s="42"/>
      <c r="Q337" s="42"/>
      <c r="R337" s="42"/>
      <c r="S337" s="42"/>
      <c r="T337" s="42"/>
      <c r="U337" s="42"/>
    </row>
    <row r="338" spans="1:21" ht="13.5" thickBot="1">
      <c r="A338" s="212"/>
      <c r="B338" s="148"/>
      <c r="C338" s="190"/>
      <c r="D338" s="85" t="s">
        <v>82</v>
      </c>
      <c r="E338" s="86"/>
      <c r="F338" s="223"/>
      <c r="G338" s="296"/>
      <c r="H338" s="78">
        <f>SUBTOTAL(9,H333:H337)</f>
        <v>0</v>
      </c>
      <c r="L338" s="42"/>
      <c r="M338" s="42"/>
      <c r="N338" s="42"/>
      <c r="O338" s="42"/>
      <c r="P338" s="42"/>
      <c r="Q338" s="42"/>
      <c r="R338" s="42"/>
      <c r="S338" s="42"/>
      <c r="T338" s="42"/>
      <c r="U338" s="42"/>
    </row>
    <row r="339" spans="1:21" ht="12.75">
      <c r="A339" s="212"/>
      <c r="B339" s="155"/>
      <c r="C339" s="190"/>
      <c r="D339" s="224"/>
      <c r="E339" s="208"/>
      <c r="F339" s="128"/>
      <c r="H339" s="209"/>
      <c r="L339" s="42"/>
      <c r="M339" s="42"/>
      <c r="N339" s="42"/>
      <c r="O339" s="42"/>
      <c r="P339" s="42"/>
      <c r="Q339" s="42"/>
      <c r="R339" s="42"/>
      <c r="S339" s="42"/>
      <c r="T339" s="42"/>
      <c r="U339" s="42"/>
    </row>
    <row r="340" spans="1:21" ht="31.5" customHeight="1">
      <c r="A340" s="212"/>
      <c r="B340" s="148"/>
      <c r="C340" s="225" t="s">
        <v>123</v>
      </c>
      <c r="D340" s="65" t="s">
        <v>430</v>
      </c>
      <c r="E340" s="65"/>
      <c r="F340" s="136"/>
      <c r="G340" s="297"/>
      <c r="H340" s="65"/>
      <c r="L340" s="42"/>
      <c r="M340" s="42"/>
      <c r="N340" s="42"/>
      <c r="O340" s="42"/>
      <c r="P340" s="42"/>
      <c r="Q340" s="42"/>
      <c r="R340" s="42"/>
      <c r="S340" s="42"/>
      <c r="T340" s="42"/>
      <c r="U340" s="42"/>
    </row>
    <row r="341" spans="1:21" ht="74.25" customHeight="1">
      <c r="A341" s="212"/>
      <c r="B341" s="148"/>
      <c r="C341" s="235"/>
      <c r="D341" s="429" t="s">
        <v>195</v>
      </c>
      <c r="E341" s="429"/>
      <c r="F341" s="429"/>
      <c r="G341" s="103"/>
      <c r="H341" s="103"/>
      <c r="L341" s="42"/>
      <c r="M341" s="42"/>
      <c r="N341" s="42"/>
      <c r="O341" s="42"/>
      <c r="P341" s="42"/>
      <c r="Q341" s="42"/>
      <c r="R341" s="42"/>
      <c r="S341" s="42"/>
      <c r="T341" s="42"/>
      <c r="U341" s="42"/>
    </row>
    <row r="342" spans="1:21" ht="16.5">
      <c r="A342" s="264">
        <f>A337+1</f>
        <v>117</v>
      </c>
      <c r="B342" s="215" t="s">
        <v>889</v>
      </c>
      <c r="C342" s="213" t="s">
        <v>589</v>
      </c>
      <c r="D342" s="72" t="s">
        <v>888</v>
      </c>
      <c r="E342" s="74" t="s">
        <v>34</v>
      </c>
      <c r="F342" s="137">
        <f>SUM(E343:E344)</f>
        <v>1.689</v>
      </c>
      <c r="G342" s="386"/>
      <c r="H342" s="75">
        <f>F342*G342</f>
        <v>0</v>
      </c>
      <c r="I342" s="172" t="s">
        <v>4</v>
      </c>
      <c r="J342" s="337"/>
      <c r="L342" s="373"/>
      <c r="M342" s="42"/>
      <c r="N342" s="42"/>
      <c r="O342" s="42"/>
      <c r="P342" s="42"/>
      <c r="Q342" s="42"/>
      <c r="R342" s="42"/>
      <c r="S342" s="42"/>
      <c r="T342" s="42"/>
      <c r="U342" s="42"/>
    </row>
    <row r="343" spans="1:21" ht="16.5">
      <c r="A343" s="264"/>
      <c r="B343" s="215"/>
      <c r="C343" s="213"/>
      <c r="D343" s="370" t="s">
        <v>890</v>
      </c>
      <c r="E343" s="371">
        <f>(5.8+0.8+16.8)*0.015</f>
        <v>0.351</v>
      </c>
      <c r="F343" s="137"/>
      <c r="G343" s="112"/>
      <c r="H343" s="75"/>
      <c r="I343" s="172"/>
      <c r="J343" s="337"/>
      <c r="L343" s="373"/>
      <c r="M343" s="42"/>
      <c r="N343" s="42"/>
      <c r="O343" s="42"/>
      <c r="P343" s="42"/>
      <c r="Q343" s="42"/>
      <c r="R343" s="42"/>
      <c r="S343" s="42"/>
      <c r="T343" s="42"/>
      <c r="U343" s="42"/>
    </row>
    <row r="344" spans="1:21" ht="16.5">
      <c r="A344" s="264"/>
      <c r="B344" s="215"/>
      <c r="C344" s="213"/>
      <c r="D344" s="370" t="s">
        <v>896</v>
      </c>
      <c r="E344" s="371">
        <f>(19.8+24.8)*0.03</f>
        <v>1.338</v>
      </c>
      <c r="F344" s="137"/>
      <c r="G344" s="112"/>
      <c r="H344" s="75"/>
      <c r="I344" s="172"/>
      <c r="J344" s="337"/>
      <c r="L344" s="373"/>
      <c r="M344" s="42"/>
      <c r="N344" s="42"/>
      <c r="O344" s="42"/>
      <c r="P344" s="42"/>
      <c r="Q344" s="42"/>
      <c r="R344" s="42"/>
      <c r="S344" s="42"/>
      <c r="T344" s="42"/>
      <c r="U344" s="42"/>
    </row>
    <row r="345" spans="1:21" ht="12.75">
      <c r="A345" s="264">
        <f>A342+1</f>
        <v>118</v>
      </c>
      <c r="B345" s="148" t="s">
        <v>865</v>
      </c>
      <c r="C345" s="192" t="s">
        <v>388</v>
      </c>
      <c r="D345" s="72" t="s">
        <v>866</v>
      </c>
      <c r="E345" s="74" t="s">
        <v>81</v>
      </c>
      <c r="F345" s="137">
        <f>5.8+0.8+16.8</f>
        <v>23.4</v>
      </c>
      <c r="G345" s="386"/>
      <c r="H345" s="75">
        <f aca="true" t="shared" si="19" ref="H345:H352">F345*G345</f>
        <v>0</v>
      </c>
      <c r="I345" s="172" t="s">
        <v>4</v>
      </c>
      <c r="J345" s="337"/>
      <c r="K345" s="167"/>
      <c r="L345" s="42"/>
      <c r="M345" s="42"/>
      <c r="N345" s="42"/>
      <c r="O345" s="42"/>
      <c r="P345" s="42"/>
      <c r="Q345" s="42"/>
      <c r="R345" s="42"/>
      <c r="S345" s="42"/>
      <c r="T345" s="42"/>
      <c r="U345" s="42"/>
    </row>
    <row r="346" spans="1:21" ht="16.5">
      <c r="A346" s="264">
        <f>A345+1</f>
        <v>119</v>
      </c>
      <c r="B346" s="358">
        <v>28375704</v>
      </c>
      <c r="C346" s="190"/>
      <c r="D346" s="217" t="s">
        <v>860</v>
      </c>
      <c r="E346" s="218" t="s">
        <v>34</v>
      </c>
      <c r="F346" s="219">
        <f>0.04*(5.8+0.8+16.8)</f>
        <v>0.9359999999999999</v>
      </c>
      <c r="G346" s="394"/>
      <c r="H346" s="220">
        <f t="shared" si="19"/>
        <v>0</v>
      </c>
      <c r="I346" s="169" t="s">
        <v>4</v>
      </c>
      <c r="J346" s="374"/>
      <c r="K346" s="382"/>
      <c r="L346" s="42"/>
      <c r="M346" s="42"/>
      <c r="N346" s="42"/>
      <c r="O346" s="42"/>
      <c r="P346" s="42"/>
      <c r="Q346" s="42"/>
      <c r="R346" s="42"/>
      <c r="S346" s="42"/>
      <c r="T346" s="42"/>
      <c r="U346" s="42"/>
    </row>
    <row r="347" spans="1:21" ht="25.5">
      <c r="A347" s="264">
        <f>A346+1</f>
        <v>120</v>
      </c>
      <c r="B347" s="148" t="s">
        <v>92</v>
      </c>
      <c r="C347" s="192" t="s">
        <v>388</v>
      </c>
      <c r="D347" s="72" t="s">
        <v>263</v>
      </c>
      <c r="E347" s="74" t="s">
        <v>81</v>
      </c>
      <c r="F347" s="137">
        <f>+F345*1.1</f>
        <v>25.740000000000002</v>
      </c>
      <c r="G347" s="386"/>
      <c r="H347" s="75">
        <f t="shared" si="19"/>
        <v>0</v>
      </c>
      <c r="I347" s="172" t="s">
        <v>4</v>
      </c>
      <c r="J347" s="337"/>
      <c r="K347" s="167"/>
      <c r="L347" s="42"/>
      <c r="M347" s="42"/>
      <c r="N347" s="42"/>
      <c r="O347" s="42"/>
      <c r="P347" s="42"/>
      <c r="Q347" s="42"/>
      <c r="R347" s="42"/>
      <c r="S347" s="42"/>
      <c r="T347" s="42"/>
      <c r="U347" s="42"/>
    </row>
    <row r="348" spans="1:21" ht="12.75">
      <c r="A348" s="264">
        <f>A347+1</f>
        <v>121</v>
      </c>
      <c r="B348" s="148" t="s">
        <v>583</v>
      </c>
      <c r="C348" s="192" t="s">
        <v>388</v>
      </c>
      <c r="D348" s="72" t="s">
        <v>584</v>
      </c>
      <c r="E348" s="74" t="s">
        <v>34</v>
      </c>
      <c r="F348" s="137">
        <f>+E349</f>
        <v>1.287</v>
      </c>
      <c r="G348" s="386"/>
      <c r="H348" s="75">
        <f t="shared" si="19"/>
        <v>0</v>
      </c>
      <c r="I348" s="172" t="s">
        <v>4</v>
      </c>
      <c r="J348" s="374"/>
      <c r="K348" s="167"/>
      <c r="L348" s="42"/>
      <c r="M348" s="42"/>
      <c r="N348" s="42"/>
      <c r="O348" s="42"/>
      <c r="P348" s="42"/>
      <c r="Q348" s="42"/>
      <c r="R348" s="42"/>
      <c r="S348" s="42"/>
      <c r="T348" s="42"/>
      <c r="U348" s="42"/>
    </row>
    <row r="349" spans="1:21" ht="12.75">
      <c r="A349" s="264"/>
      <c r="B349" s="148"/>
      <c r="C349" s="213"/>
      <c r="D349" s="217" t="s">
        <v>861</v>
      </c>
      <c r="E349" s="266">
        <f>(5.8+0.8+16.8)*0.055</f>
        <v>1.287</v>
      </c>
      <c r="F349" s="219"/>
      <c r="G349" s="298"/>
      <c r="H349" s="75"/>
      <c r="I349" s="172"/>
      <c r="J349" s="374"/>
      <c r="K349" s="167"/>
      <c r="L349" s="42"/>
      <c r="M349" s="42"/>
      <c r="N349" s="42"/>
      <c r="O349" s="42"/>
      <c r="P349" s="42"/>
      <c r="Q349" s="42"/>
      <c r="R349" s="42"/>
      <c r="S349" s="42"/>
      <c r="T349" s="42"/>
      <c r="U349" s="42"/>
    </row>
    <row r="350" spans="1:21" ht="25.5">
      <c r="A350" s="264">
        <f>A348+1</f>
        <v>122</v>
      </c>
      <c r="B350" s="148" t="s">
        <v>585</v>
      </c>
      <c r="C350" s="192" t="s">
        <v>388</v>
      </c>
      <c r="D350" s="72" t="s">
        <v>586</v>
      </c>
      <c r="E350" s="74" t="s">
        <v>85</v>
      </c>
      <c r="F350" s="134">
        <f>((5.8+0.8+16.8)*1.3)*1.999/1000</f>
        <v>0.060809579999999995</v>
      </c>
      <c r="G350" s="396"/>
      <c r="H350" s="75">
        <f>F350*G350</f>
        <v>0</v>
      </c>
      <c r="I350" s="172" t="s">
        <v>4</v>
      </c>
      <c r="J350" s="374"/>
      <c r="K350" s="167"/>
      <c r="L350" s="42"/>
      <c r="M350" s="42"/>
      <c r="N350" s="42"/>
      <c r="O350" s="42"/>
      <c r="P350" s="42"/>
      <c r="Q350" s="42"/>
      <c r="R350" s="42"/>
      <c r="S350" s="42"/>
      <c r="T350" s="42"/>
      <c r="U350" s="42"/>
    </row>
    <row r="351" spans="1:21" ht="12.75">
      <c r="A351" s="264">
        <f aca="true" t="shared" si="20" ref="A351:A357">A350+1</f>
        <v>123</v>
      </c>
      <c r="B351" s="148" t="s">
        <v>587</v>
      </c>
      <c r="C351" s="190" t="s">
        <v>117</v>
      </c>
      <c r="D351" s="72" t="s">
        <v>588</v>
      </c>
      <c r="E351" s="74" t="s">
        <v>84</v>
      </c>
      <c r="F351" s="143">
        <f>21.1+12.1+3.9</f>
        <v>37.1</v>
      </c>
      <c r="G351" s="396"/>
      <c r="H351" s="75">
        <f t="shared" si="19"/>
        <v>0</v>
      </c>
      <c r="I351" s="172" t="s">
        <v>4</v>
      </c>
      <c r="J351" s="374"/>
      <c r="K351" s="167"/>
      <c r="L351" s="42"/>
      <c r="M351" s="42"/>
      <c r="N351" s="42"/>
      <c r="O351" s="42"/>
      <c r="P351" s="42"/>
      <c r="Q351" s="42"/>
      <c r="R351" s="42"/>
      <c r="S351" s="42"/>
      <c r="T351" s="42"/>
      <c r="U351" s="42"/>
    </row>
    <row r="352" spans="1:21" ht="12.75">
      <c r="A352" s="264">
        <f t="shared" si="20"/>
        <v>124</v>
      </c>
      <c r="B352" s="148" t="s">
        <v>590</v>
      </c>
      <c r="C352" s="192" t="s">
        <v>388</v>
      </c>
      <c r="D352" s="72" t="s">
        <v>591</v>
      </c>
      <c r="E352" s="74" t="s">
        <v>81</v>
      </c>
      <c r="F352" s="137">
        <f>+F345</f>
        <v>23.4</v>
      </c>
      <c r="G352" s="386"/>
      <c r="H352" s="75">
        <f t="shared" si="19"/>
        <v>0</v>
      </c>
      <c r="I352" s="169" t="s">
        <v>4</v>
      </c>
      <c r="J352" s="337"/>
      <c r="K352" s="167"/>
      <c r="L352" s="42"/>
      <c r="M352" s="42"/>
      <c r="N352" s="42"/>
      <c r="O352" s="42"/>
      <c r="P352" s="42"/>
      <c r="Q352" s="42"/>
      <c r="R352" s="42"/>
      <c r="S352" s="42"/>
      <c r="T352" s="42"/>
      <c r="U352" s="42"/>
    </row>
    <row r="353" spans="1:21" ht="25.5">
      <c r="A353" s="212">
        <f t="shared" si="20"/>
        <v>125</v>
      </c>
      <c r="B353" s="148" t="s">
        <v>571</v>
      </c>
      <c r="C353" s="192" t="s">
        <v>388</v>
      </c>
      <c r="D353" s="72" t="s">
        <v>444</v>
      </c>
      <c r="E353" s="74" t="s">
        <v>81</v>
      </c>
      <c r="F353" s="137">
        <f>(5.8+0.8+16.8)</f>
        <v>23.4</v>
      </c>
      <c r="G353" s="386"/>
      <c r="H353" s="75">
        <f aca="true" t="shared" si="21" ref="H353:H371">F353*G353</f>
        <v>0</v>
      </c>
      <c r="I353" s="169" t="s">
        <v>4</v>
      </c>
      <c r="L353" s="42"/>
      <c r="M353" s="42"/>
      <c r="N353" s="42"/>
      <c r="O353" s="42"/>
      <c r="P353" s="42"/>
      <c r="Q353" s="42"/>
      <c r="R353" s="42"/>
      <c r="S353" s="42"/>
      <c r="T353" s="42"/>
      <c r="U353" s="42"/>
    </row>
    <row r="354" spans="1:21" ht="27">
      <c r="A354" s="212">
        <f t="shared" si="20"/>
        <v>126</v>
      </c>
      <c r="B354" s="148" t="s">
        <v>235</v>
      </c>
      <c r="C354" s="216" t="s">
        <v>506</v>
      </c>
      <c r="D354" s="217" t="s">
        <v>464</v>
      </c>
      <c r="E354" s="218" t="s">
        <v>53</v>
      </c>
      <c r="F354" s="138">
        <f>1.5*F353*2</f>
        <v>70.19999999999999</v>
      </c>
      <c r="G354" s="394"/>
      <c r="H354" s="220">
        <f t="shared" si="21"/>
        <v>0</v>
      </c>
      <c r="I354" s="169" t="s">
        <v>4</v>
      </c>
      <c r="L354" s="42"/>
      <c r="M354" s="42"/>
      <c r="N354" s="42"/>
      <c r="O354" s="42"/>
      <c r="P354" s="42"/>
      <c r="Q354" s="42"/>
      <c r="R354" s="42"/>
      <c r="S354" s="42"/>
      <c r="T354" s="42"/>
      <c r="U354" s="42"/>
    </row>
    <row r="355" spans="1:21" ht="12.75">
      <c r="A355" s="212">
        <f t="shared" si="20"/>
        <v>127</v>
      </c>
      <c r="B355" s="148" t="s">
        <v>556</v>
      </c>
      <c r="C355" s="190" t="s">
        <v>505</v>
      </c>
      <c r="D355" s="72" t="s">
        <v>442</v>
      </c>
      <c r="E355" s="74" t="s">
        <v>84</v>
      </c>
      <c r="F355" s="137">
        <f>F356</f>
        <v>1.32</v>
      </c>
      <c r="G355" s="386"/>
      <c r="H355" s="75">
        <f t="shared" si="21"/>
        <v>0</v>
      </c>
      <c r="I355" s="172" t="s">
        <v>4</v>
      </c>
      <c r="J355" s="162"/>
      <c r="L355" s="42"/>
      <c r="M355" s="42"/>
      <c r="N355" s="42"/>
      <c r="O355" s="42"/>
      <c r="P355" s="42"/>
      <c r="Q355" s="42"/>
      <c r="R355" s="42"/>
      <c r="S355" s="42"/>
      <c r="T355" s="42"/>
      <c r="U355" s="42"/>
    </row>
    <row r="356" spans="1:21" ht="25.5">
      <c r="A356" s="212">
        <f t="shared" si="20"/>
        <v>128</v>
      </c>
      <c r="B356" s="148">
        <v>28355360</v>
      </c>
      <c r="C356" s="216" t="s">
        <v>506</v>
      </c>
      <c r="D356" s="217" t="s">
        <v>14</v>
      </c>
      <c r="E356" s="218" t="s">
        <v>84</v>
      </c>
      <c r="F356" s="219">
        <f>0.15*8.8</f>
        <v>1.32</v>
      </c>
      <c r="G356" s="394"/>
      <c r="H356" s="220">
        <f t="shared" si="21"/>
        <v>0</v>
      </c>
      <c r="I356" s="169" t="s">
        <v>4</v>
      </c>
      <c r="L356" s="42"/>
      <c r="M356" s="42"/>
      <c r="N356" s="42"/>
      <c r="O356" s="42"/>
      <c r="P356" s="42"/>
      <c r="Q356" s="42"/>
      <c r="R356" s="42"/>
      <c r="S356" s="42"/>
      <c r="T356" s="42"/>
      <c r="U356" s="42"/>
    </row>
    <row r="357" spans="1:21" ht="25.5">
      <c r="A357" s="212">
        <f t="shared" si="20"/>
        <v>129</v>
      </c>
      <c r="B357" s="148" t="s">
        <v>947</v>
      </c>
      <c r="C357" s="213" t="s">
        <v>9</v>
      </c>
      <c r="D357" s="72" t="s">
        <v>826</v>
      </c>
      <c r="E357" s="74" t="s">
        <v>81</v>
      </c>
      <c r="F357" s="137">
        <f>SUM(E358:E360)</f>
        <v>23.400000000000002</v>
      </c>
      <c r="G357" s="386"/>
      <c r="H357" s="75">
        <f t="shared" si="21"/>
        <v>0</v>
      </c>
      <c r="I357" s="169" t="s">
        <v>4</v>
      </c>
      <c r="L357" s="42"/>
      <c r="M357" s="42"/>
      <c r="N357" s="42"/>
      <c r="O357" s="42"/>
      <c r="P357" s="42"/>
      <c r="Q357" s="42"/>
      <c r="R357" s="42"/>
      <c r="S357" s="42"/>
      <c r="T357" s="42"/>
      <c r="U357" s="42"/>
    </row>
    <row r="358" spans="1:21" ht="12.75">
      <c r="A358" s="212"/>
      <c r="B358" s="148"/>
      <c r="C358" s="213"/>
      <c r="D358" s="107" t="s">
        <v>864</v>
      </c>
      <c r="E358" s="214">
        <v>16.8</v>
      </c>
      <c r="F358" s="137"/>
      <c r="G358" s="112"/>
      <c r="H358" s="75"/>
      <c r="L358" s="42"/>
      <c r="M358" s="42"/>
      <c r="N358" s="42"/>
      <c r="O358" s="42"/>
      <c r="P358" s="42"/>
      <c r="Q358" s="42"/>
      <c r="R358" s="42"/>
      <c r="S358" s="42"/>
      <c r="T358" s="42"/>
      <c r="U358" s="42"/>
    </row>
    <row r="359" spans="1:21" ht="12.75">
      <c r="A359" s="212"/>
      <c r="B359" s="148"/>
      <c r="C359" s="213"/>
      <c r="D359" s="107" t="s">
        <v>863</v>
      </c>
      <c r="E359" s="214">
        <v>5.8</v>
      </c>
      <c r="F359" s="137"/>
      <c r="G359" s="112"/>
      <c r="H359" s="75"/>
      <c r="L359" s="42"/>
      <c r="M359" s="42"/>
      <c r="N359" s="42"/>
      <c r="O359" s="42"/>
      <c r="P359" s="42"/>
      <c r="Q359" s="42"/>
      <c r="R359" s="42"/>
      <c r="S359" s="42"/>
      <c r="T359" s="42"/>
      <c r="U359" s="42"/>
    </row>
    <row r="360" spans="1:21" ht="12.75">
      <c r="A360" s="212"/>
      <c r="B360" s="148"/>
      <c r="C360" s="213"/>
      <c r="D360" s="107" t="s">
        <v>862</v>
      </c>
      <c r="E360" s="214">
        <v>0.8</v>
      </c>
      <c r="F360" s="137"/>
      <c r="G360" s="112"/>
      <c r="H360" s="75"/>
      <c r="L360" s="42"/>
      <c r="M360" s="42"/>
      <c r="N360" s="42"/>
      <c r="O360" s="42"/>
      <c r="P360" s="42"/>
      <c r="Q360" s="42"/>
      <c r="R360" s="42"/>
      <c r="S360" s="42"/>
      <c r="T360" s="42"/>
      <c r="U360" s="42"/>
    </row>
    <row r="361" spans="1:21" ht="36.75" customHeight="1">
      <c r="A361" s="212">
        <f>A357+1</f>
        <v>130</v>
      </c>
      <c r="B361" s="148" t="s">
        <v>828</v>
      </c>
      <c r="C361" s="222"/>
      <c r="D361" s="217" t="s">
        <v>825</v>
      </c>
      <c r="E361" s="218" t="s">
        <v>81</v>
      </c>
      <c r="F361" s="219">
        <f>1.1*(F357)</f>
        <v>25.740000000000006</v>
      </c>
      <c r="G361" s="394"/>
      <c r="H361" s="220">
        <f>F361*G361</f>
        <v>0</v>
      </c>
      <c r="I361" s="169" t="s">
        <v>4</v>
      </c>
      <c r="K361" s="116"/>
      <c r="L361" s="42" t="s">
        <v>824</v>
      </c>
      <c r="M361" s="42"/>
      <c r="N361" s="42"/>
      <c r="O361" s="42"/>
      <c r="P361" s="42"/>
      <c r="Q361" s="42"/>
      <c r="R361" s="42"/>
      <c r="S361" s="42"/>
      <c r="T361" s="42"/>
      <c r="U361" s="42"/>
    </row>
    <row r="362" spans="1:21" ht="12.75">
      <c r="A362" s="212">
        <f>A361+1</f>
        <v>131</v>
      </c>
      <c r="B362" s="148" t="s">
        <v>321</v>
      </c>
      <c r="C362" s="213" t="s">
        <v>388</v>
      </c>
      <c r="D362" s="72" t="s">
        <v>320</v>
      </c>
      <c r="E362" s="74" t="s">
        <v>81</v>
      </c>
      <c r="F362" s="137">
        <f>+E360</f>
        <v>0.8</v>
      </c>
      <c r="G362" s="386"/>
      <c r="H362" s="75">
        <f t="shared" si="21"/>
        <v>0</v>
      </c>
      <c r="I362" s="169" t="s">
        <v>4</v>
      </c>
      <c r="L362" s="375"/>
      <c r="M362" s="42"/>
      <c r="N362" s="42"/>
      <c r="O362" s="42"/>
      <c r="P362" s="42"/>
      <c r="Q362" s="42"/>
      <c r="R362" s="42"/>
      <c r="S362" s="42"/>
      <c r="T362" s="42"/>
      <c r="U362" s="42"/>
    </row>
    <row r="363" spans="1:21" ht="12.75">
      <c r="A363" s="212">
        <f>A362+1</f>
        <v>132</v>
      </c>
      <c r="B363" s="148" t="s">
        <v>632</v>
      </c>
      <c r="C363" s="213" t="s">
        <v>388</v>
      </c>
      <c r="D363" s="69" t="s">
        <v>633</v>
      </c>
      <c r="E363" s="74" t="s">
        <v>81</v>
      </c>
      <c r="F363" s="137">
        <f>+F357</f>
        <v>23.400000000000002</v>
      </c>
      <c r="G363" s="386"/>
      <c r="H363" s="75">
        <f t="shared" si="21"/>
        <v>0</v>
      </c>
      <c r="I363" s="169" t="s">
        <v>4</v>
      </c>
      <c r="L363" s="375"/>
      <c r="M363" s="42"/>
      <c r="N363" s="42"/>
      <c r="O363" s="42"/>
      <c r="P363" s="42"/>
      <c r="Q363" s="42"/>
      <c r="R363" s="42"/>
      <c r="S363" s="42"/>
      <c r="T363" s="42"/>
      <c r="U363" s="42"/>
    </row>
    <row r="364" spans="1:21" ht="25.5">
      <c r="A364" s="212">
        <f>A363+1</f>
        <v>133</v>
      </c>
      <c r="B364" s="148" t="s">
        <v>572</v>
      </c>
      <c r="C364" s="190" t="s">
        <v>198</v>
      </c>
      <c r="D364" s="72" t="s">
        <v>501</v>
      </c>
      <c r="E364" s="74" t="s">
        <v>84</v>
      </c>
      <c r="F364" s="137">
        <f>SUM(E365:E367)</f>
        <v>21.52</v>
      </c>
      <c r="G364" s="386"/>
      <c r="H364" s="75">
        <f t="shared" si="21"/>
        <v>0</v>
      </c>
      <c r="I364" s="169" t="s">
        <v>4</v>
      </c>
      <c r="L364" s="375"/>
      <c r="M364" s="42"/>
      <c r="N364" s="42"/>
      <c r="O364" s="42"/>
      <c r="P364" s="42"/>
      <c r="Q364" s="42"/>
      <c r="R364" s="42"/>
      <c r="S364" s="42"/>
      <c r="T364" s="42"/>
      <c r="U364" s="42"/>
    </row>
    <row r="365" spans="1:21" ht="12.75">
      <c r="A365" s="212"/>
      <c r="B365" s="148"/>
      <c r="C365" s="190"/>
      <c r="D365" s="107" t="s">
        <v>867</v>
      </c>
      <c r="E365" s="214">
        <f>19.5-1.3-2*0.9-2*0.8</f>
        <v>14.799999999999999</v>
      </c>
      <c r="F365" s="137"/>
      <c r="G365" s="112"/>
      <c r="H365" s="75"/>
      <c r="L365" s="375"/>
      <c r="M365" s="42"/>
      <c r="N365" s="42"/>
      <c r="O365" s="42"/>
      <c r="P365" s="42"/>
      <c r="Q365" s="42"/>
      <c r="R365" s="42"/>
      <c r="S365" s="42"/>
      <c r="T365" s="42"/>
      <c r="U365" s="42"/>
    </row>
    <row r="366" spans="1:21" ht="12.75">
      <c r="A366" s="212"/>
      <c r="B366" s="148"/>
      <c r="C366" s="190"/>
      <c r="D366" s="107" t="s">
        <v>868</v>
      </c>
      <c r="E366" s="214">
        <f>4.4-0.8</f>
        <v>3.6000000000000005</v>
      </c>
      <c r="F366" s="137"/>
      <c r="G366" s="112"/>
      <c r="H366" s="75"/>
      <c r="L366" s="375"/>
      <c r="M366" s="42"/>
      <c r="N366" s="42"/>
      <c r="O366" s="42"/>
      <c r="P366" s="42"/>
      <c r="Q366" s="42"/>
      <c r="R366" s="42"/>
      <c r="S366" s="42"/>
      <c r="T366" s="42"/>
      <c r="U366" s="42"/>
    </row>
    <row r="367" spans="1:21" ht="12.75">
      <c r="A367" s="212"/>
      <c r="B367" s="148"/>
      <c r="C367" s="190"/>
      <c r="D367" s="107" t="s">
        <v>869</v>
      </c>
      <c r="E367" s="214">
        <f>3.92-0.8</f>
        <v>3.12</v>
      </c>
      <c r="F367" s="137"/>
      <c r="G367" s="112"/>
      <c r="H367" s="75"/>
      <c r="L367" s="375"/>
      <c r="M367" s="42"/>
      <c r="N367" s="42"/>
      <c r="O367" s="42"/>
      <c r="P367" s="42"/>
      <c r="Q367" s="42"/>
      <c r="R367" s="42"/>
      <c r="S367" s="42"/>
      <c r="T367" s="42"/>
      <c r="U367" s="42"/>
    </row>
    <row r="368" spans="1:21" ht="25.5">
      <c r="A368" s="264">
        <f>A364+1</f>
        <v>134</v>
      </c>
      <c r="B368" s="148" t="s">
        <v>598</v>
      </c>
      <c r="C368" s="222" t="s">
        <v>197</v>
      </c>
      <c r="D368" s="217" t="s">
        <v>870</v>
      </c>
      <c r="E368" s="218" t="s">
        <v>83</v>
      </c>
      <c r="F368" s="138">
        <f>CEILING((((F364/0.333)/2)*1.2),1)/1</f>
        <v>39</v>
      </c>
      <c r="G368" s="394"/>
      <c r="H368" s="220">
        <f t="shared" si="21"/>
        <v>0</v>
      </c>
      <c r="I368" s="169" t="s">
        <v>4</v>
      </c>
      <c r="J368" s="337"/>
      <c r="K368" s="167"/>
      <c r="L368" s="42" t="s">
        <v>871</v>
      </c>
      <c r="M368" s="42"/>
      <c r="N368" s="42"/>
      <c r="O368" s="42"/>
      <c r="P368" s="42"/>
      <c r="Q368" s="42"/>
      <c r="R368" s="42"/>
      <c r="S368" s="42"/>
      <c r="T368" s="42"/>
      <c r="U368" s="42"/>
    </row>
    <row r="369" spans="1:21" ht="12.75">
      <c r="A369" s="264">
        <f>A368+1</f>
        <v>135</v>
      </c>
      <c r="B369" s="148" t="s">
        <v>592</v>
      </c>
      <c r="C369" s="190"/>
      <c r="D369" s="72" t="s">
        <v>65</v>
      </c>
      <c r="E369" s="74" t="s">
        <v>84</v>
      </c>
      <c r="F369" s="137">
        <f>+F364</f>
        <v>21.52</v>
      </c>
      <c r="G369" s="386"/>
      <c r="H369" s="75">
        <f t="shared" si="21"/>
        <v>0</v>
      </c>
      <c r="I369" s="169" t="s">
        <v>4</v>
      </c>
      <c r="J369" s="337"/>
      <c r="K369" s="167"/>
      <c r="L369" s="42"/>
      <c r="M369" s="42"/>
      <c r="N369" s="42"/>
      <c r="O369" s="42"/>
      <c r="P369" s="42"/>
      <c r="Q369" s="42"/>
      <c r="R369" s="42"/>
      <c r="S369" s="42"/>
      <c r="T369" s="42"/>
      <c r="U369" s="42"/>
    </row>
    <row r="370" spans="1:21" ht="25.5">
      <c r="A370" s="264">
        <f>A369+1</f>
        <v>136</v>
      </c>
      <c r="B370" s="148" t="s">
        <v>241</v>
      </c>
      <c r="C370" s="190" t="s">
        <v>117</v>
      </c>
      <c r="D370" s="72" t="s">
        <v>443</v>
      </c>
      <c r="E370" s="74" t="s">
        <v>80</v>
      </c>
      <c r="F370" s="137">
        <v>1</v>
      </c>
      <c r="G370" s="386"/>
      <c r="H370" s="75">
        <f t="shared" si="21"/>
        <v>0</v>
      </c>
      <c r="I370" s="169" t="s">
        <v>4</v>
      </c>
      <c r="L370" s="42"/>
      <c r="M370" s="42"/>
      <c r="N370" s="42"/>
      <c r="O370" s="42"/>
      <c r="P370" s="42"/>
      <c r="Q370" s="42"/>
      <c r="R370" s="42"/>
      <c r="S370" s="42"/>
      <c r="T370" s="42"/>
      <c r="U370" s="42"/>
    </row>
    <row r="371" spans="1:21" ht="13.5" thickBot="1">
      <c r="A371" s="212">
        <f>A370+1</f>
        <v>137</v>
      </c>
      <c r="B371" s="148" t="s">
        <v>166</v>
      </c>
      <c r="C371" s="190"/>
      <c r="D371" s="72" t="s">
        <v>126</v>
      </c>
      <c r="E371" s="233" t="s">
        <v>89</v>
      </c>
      <c r="F371" s="133">
        <f>+H342+H346+H347+H348+H350+H351+H352+H354+H356+H361+H368+H370</f>
        <v>0</v>
      </c>
      <c r="G371" s="395"/>
      <c r="H371" s="234">
        <f t="shared" si="21"/>
        <v>0</v>
      </c>
      <c r="I371" s="169" t="s">
        <v>4</v>
      </c>
      <c r="L371" s="42"/>
      <c r="M371" s="42"/>
      <c r="N371" s="42"/>
      <c r="O371" s="42"/>
      <c r="P371" s="42"/>
      <c r="Q371" s="42"/>
      <c r="R371" s="42"/>
      <c r="S371" s="42"/>
      <c r="T371" s="42"/>
      <c r="U371" s="42"/>
    </row>
    <row r="372" spans="1:21" ht="13.5" thickBot="1">
      <c r="A372" s="212"/>
      <c r="B372" s="148"/>
      <c r="C372" s="190"/>
      <c r="D372" s="85" t="s">
        <v>82</v>
      </c>
      <c r="E372" s="86"/>
      <c r="F372" s="223"/>
      <c r="G372" s="296"/>
      <c r="H372" s="78">
        <f>SUBTOTAL(9,H342:H371)</f>
        <v>0</v>
      </c>
      <c r="L372" s="42"/>
      <c r="M372" s="42"/>
      <c r="N372" s="42"/>
      <c r="O372" s="42"/>
      <c r="P372" s="42"/>
      <c r="Q372" s="42"/>
      <c r="R372" s="42"/>
      <c r="S372" s="42"/>
      <c r="T372" s="42"/>
      <c r="U372" s="42"/>
    </row>
    <row r="373" spans="1:21" ht="12.75">
      <c r="A373" s="212"/>
      <c r="B373" s="148"/>
      <c r="C373" s="190"/>
      <c r="D373" s="224"/>
      <c r="E373" s="208"/>
      <c r="F373" s="128"/>
      <c r="H373" s="209"/>
      <c r="L373" s="42"/>
      <c r="M373" s="42"/>
      <c r="N373" s="42"/>
      <c r="O373" s="42"/>
      <c r="P373" s="42"/>
      <c r="Q373" s="42"/>
      <c r="R373" s="42"/>
      <c r="S373" s="42"/>
      <c r="T373" s="42"/>
      <c r="U373" s="42"/>
    </row>
    <row r="374" spans="1:23" ht="16.5">
      <c r="A374" s="212"/>
      <c r="B374" s="148"/>
      <c r="C374" s="225" t="s">
        <v>124</v>
      </c>
      <c r="D374" s="65" t="s">
        <v>29</v>
      </c>
      <c r="E374" s="65"/>
      <c r="F374" s="136"/>
      <c r="G374" s="297"/>
      <c r="H374" s="65"/>
      <c r="L374" s="42"/>
      <c r="M374" s="42"/>
      <c r="N374" s="42"/>
      <c r="O374" s="42"/>
      <c r="P374" s="42"/>
      <c r="Q374" s="42"/>
      <c r="R374" s="42"/>
      <c r="S374" s="128"/>
      <c r="T374" s="42"/>
      <c r="U374" s="42"/>
      <c r="W374" s="167"/>
    </row>
    <row r="375" spans="1:21" ht="70.5" customHeight="1">
      <c r="A375" s="212"/>
      <c r="B375" s="148"/>
      <c r="C375" s="200"/>
      <c r="D375" s="434" t="s">
        <v>431</v>
      </c>
      <c r="E375" s="434"/>
      <c r="F375" s="434"/>
      <c r="G375" s="236"/>
      <c r="H375" s="236"/>
      <c r="L375" s="42"/>
      <c r="M375" s="42"/>
      <c r="N375" s="42"/>
      <c r="O375" s="42"/>
      <c r="P375" s="42"/>
      <c r="Q375" s="42"/>
      <c r="R375" s="42"/>
      <c r="S375" s="42"/>
      <c r="T375" s="42"/>
      <c r="U375" s="42"/>
    </row>
    <row r="376" spans="1:21" ht="12.75">
      <c r="A376" s="362">
        <f>+A371+1</f>
        <v>138</v>
      </c>
      <c r="B376" s="357" t="s">
        <v>883</v>
      </c>
      <c r="C376" s="213" t="s">
        <v>395</v>
      </c>
      <c r="D376" s="72" t="s">
        <v>884</v>
      </c>
      <c r="E376" s="74" t="s">
        <v>34</v>
      </c>
      <c r="F376" s="137">
        <f>(19.8+24.8)*0.03</f>
        <v>1.338</v>
      </c>
      <c r="G376" s="386"/>
      <c r="H376" s="75">
        <f>F376*G376</f>
        <v>0</v>
      </c>
      <c r="I376" s="169" t="s">
        <v>4</v>
      </c>
      <c r="J376" s="337"/>
      <c r="K376" s="167"/>
      <c r="L376" s="42"/>
      <c r="M376" s="42"/>
      <c r="N376" s="42"/>
      <c r="O376" s="42"/>
      <c r="P376" s="42"/>
      <c r="Q376" s="42"/>
      <c r="R376" s="42"/>
      <c r="S376" s="42"/>
      <c r="T376" s="42"/>
      <c r="U376" s="42"/>
    </row>
    <row r="377" spans="1:21" ht="12.75">
      <c r="A377" s="362">
        <f>A376+1</f>
        <v>139</v>
      </c>
      <c r="B377" s="358" t="s">
        <v>893</v>
      </c>
      <c r="C377" s="222" t="s">
        <v>394</v>
      </c>
      <c r="D377" s="217" t="s">
        <v>885</v>
      </c>
      <c r="E377" s="218" t="s">
        <v>81</v>
      </c>
      <c r="F377" s="219">
        <f>19.8+24.8</f>
        <v>44.6</v>
      </c>
      <c r="G377" s="394"/>
      <c r="H377" s="220">
        <f>F377*G377</f>
        <v>0</v>
      </c>
      <c r="I377" s="169" t="s">
        <v>4</v>
      </c>
      <c r="J377" s="337"/>
      <c r="K377" s="167"/>
      <c r="L377" s="42"/>
      <c r="M377" s="42"/>
      <c r="N377" s="42"/>
      <c r="O377" s="42"/>
      <c r="P377" s="42"/>
      <c r="Q377" s="42"/>
      <c r="R377" s="42"/>
      <c r="S377" s="42"/>
      <c r="T377" s="42"/>
      <c r="U377" s="42"/>
    </row>
    <row r="378" spans="1:21" ht="25.5">
      <c r="A378" s="362">
        <f>A377+1</f>
        <v>140</v>
      </c>
      <c r="B378" s="358" t="s">
        <v>894</v>
      </c>
      <c r="C378" s="222" t="s">
        <v>394</v>
      </c>
      <c r="D378" s="217" t="s">
        <v>886</v>
      </c>
      <c r="E378" s="218" t="s">
        <v>53</v>
      </c>
      <c r="F378" s="219">
        <f>(19.8+24.8)*2*22.5</f>
        <v>2007</v>
      </c>
      <c r="G378" s="394"/>
      <c r="H378" s="220">
        <f>F378*G378</f>
        <v>0</v>
      </c>
      <c r="I378" s="169" t="s">
        <v>4</v>
      </c>
      <c r="J378" s="337"/>
      <c r="K378" s="167"/>
      <c r="L378" s="42"/>
      <c r="M378" s="42"/>
      <c r="N378" s="42"/>
      <c r="O378" s="42"/>
      <c r="P378" s="42"/>
      <c r="Q378" s="42"/>
      <c r="R378" s="42"/>
      <c r="S378" s="42"/>
      <c r="T378" s="42"/>
      <c r="U378" s="42"/>
    </row>
    <row r="379" spans="1:21" ht="12.75">
      <c r="A379" s="362"/>
      <c r="B379" s="357"/>
      <c r="C379" s="213"/>
      <c r="D379" s="376" t="s">
        <v>891</v>
      </c>
      <c r="E379" s="377"/>
      <c r="F379" s="137"/>
      <c r="G379" s="112"/>
      <c r="H379" s="75"/>
      <c r="J379" s="337"/>
      <c r="K379" s="167"/>
      <c r="L379" s="42"/>
      <c r="M379" s="42"/>
      <c r="N379" s="42"/>
      <c r="O379" s="42"/>
      <c r="P379" s="42"/>
      <c r="Q379" s="42"/>
      <c r="R379" s="42"/>
      <c r="S379" s="42"/>
      <c r="T379" s="42"/>
      <c r="U379" s="42"/>
    </row>
    <row r="380" spans="1:21" ht="51">
      <c r="A380" s="362">
        <f>A378+1</f>
        <v>141</v>
      </c>
      <c r="B380" s="357" t="s">
        <v>875</v>
      </c>
      <c r="C380" s="213" t="s">
        <v>66</v>
      </c>
      <c r="D380" s="72" t="s">
        <v>887</v>
      </c>
      <c r="E380" s="74" t="s">
        <v>81</v>
      </c>
      <c r="F380" s="137">
        <f>19.8+24.8</f>
        <v>44.6</v>
      </c>
      <c r="G380" s="386"/>
      <c r="H380" s="75">
        <f aca="true" t="shared" si="22" ref="H380:H390">F380*G380</f>
        <v>0</v>
      </c>
      <c r="I380" s="169" t="s">
        <v>4</v>
      </c>
      <c r="J380" s="337"/>
      <c r="K380" s="167"/>
      <c r="L380" s="42"/>
      <c r="M380" s="337"/>
      <c r="N380" s="42"/>
      <c r="O380" s="42"/>
      <c r="P380" s="42"/>
      <c r="Q380" s="42"/>
      <c r="R380" s="42"/>
      <c r="S380" s="42"/>
      <c r="T380" s="42"/>
      <c r="U380" s="42"/>
    </row>
    <row r="381" spans="1:21" ht="16.5">
      <c r="A381" s="362">
        <f aca="true" t="shared" si="23" ref="A381:A390">A380+1</f>
        <v>142</v>
      </c>
      <c r="B381" s="364" t="s">
        <v>892</v>
      </c>
      <c r="C381" s="213" t="s">
        <v>66</v>
      </c>
      <c r="D381" s="72" t="s">
        <v>872</v>
      </c>
      <c r="E381" s="74" t="s">
        <v>81</v>
      </c>
      <c r="F381" s="137">
        <f>+F380</f>
        <v>44.6</v>
      </c>
      <c r="G381" s="386"/>
      <c r="H381" s="75">
        <f t="shared" si="22"/>
        <v>0</v>
      </c>
      <c r="I381" s="172" t="s">
        <v>4</v>
      </c>
      <c r="J381" s="337"/>
      <c r="K381" s="382"/>
      <c r="L381" s="42"/>
      <c r="M381" s="42"/>
      <c r="N381" s="42"/>
      <c r="O381" s="42"/>
      <c r="P381" s="42"/>
      <c r="Q381" s="42"/>
      <c r="R381" s="42"/>
      <c r="S381" s="42"/>
      <c r="T381" s="42"/>
      <c r="U381" s="42"/>
    </row>
    <row r="382" spans="1:21" ht="16.5">
      <c r="A382" s="362">
        <f t="shared" si="23"/>
        <v>143</v>
      </c>
      <c r="B382" s="358" t="s">
        <v>874</v>
      </c>
      <c r="C382" s="192" t="s">
        <v>66</v>
      </c>
      <c r="D382" s="72" t="s">
        <v>873</v>
      </c>
      <c r="E382" s="74" t="s">
        <v>81</v>
      </c>
      <c r="F382" s="137">
        <f>+F381</f>
        <v>44.6</v>
      </c>
      <c r="G382" s="386"/>
      <c r="H382" s="75">
        <f t="shared" si="22"/>
        <v>0</v>
      </c>
      <c r="I382" s="169" t="s">
        <v>4</v>
      </c>
      <c r="J382" s="337"/>
      <c r="K382" s="382"/>
      <c r="L382" s="42"/>
      <c r="M382" s="42"/>
      <c r="N382" s="42"/>
      <c r="O382" s="42"/>
      <c r="P382" s="42"/>
      <c r="Q382" s="42"/>
      <c r="R382" s="42"/>
      <c r="S382" s="42"/>
      <c r="T382" s="42"/>
      <c r="U382" s="42"/>
    </row>
    <row r="383" spans="1:21" ht="12.75">
      <c r="A383" s="362">
        <f t="shared" si="23"/>
        <v>144</v>
      </c>
      <c r="B383" s="358" t="s">
        <v>876</v>
      </c>
      <c r="C383" s="192" t="s">
        <v>66</v>
      </c>
      <c r="D383" s="72" t="s">
        <v>877</v>
      </c>
      <c r="E383" s="72" t="s">
        <v>81</v>
      </c>
      <c r="F383" s="137">
        <f>19.8+24.8</f>
        <v>44.6</v>
      </c>
      <c r="G383" s="386"/>
      <c r="H383" s="75">
        <f t="shared" si="22"/>
        <v>0</v>
      </c>
      <c r="I383" s="169" t="s">
        <v>4</v>
      </c>
      <c r="J383" s="337"/>
      <c r="K383" s="167"/>
      <c r="L383" s="42"/>
      <c r="M383" s="42"/>
      <c r="N383" s="42"/>
      <c r="O383" s="42"/>
      <c r="P383" s="42"/>
      <c r="Q383" s="42"/>
      <c r="R383" s="42"/>
      <c r="S383" s="42"/>
      <c r="T383" s="42"/>
      <c r="U383" s="42"/>
    </row>
    <row r="384" spans="1:21" ht="12.75">
      <c r="A384" s="362">
        <f t="shared" si="23"/>
        <v>145</v>
      </c>
      <c r="B384" s="358" t="s">
        <v>878</v>
      </c>
      <c r="C384" s="192" t="s">
        <v>66</v>
      </c>
      <c r="D384" s="72" t="s">
        <v>879</v>
      </c>
      <c r="E384" s="72" t="s">
        <v>81</v>
      </c>
      <c r="F384" s="137">
        <f>+F383</f>
        <v>44.6</v>
      </c>
      <c r="G384" s="386"/>
      <c r="H384" s="75">
        <f t="shared" si="22"/>
        <v>0</v>
      </c>
      <c r="I384" s="169" t="s">
        <v>4</v>
      </c>
      <c r="J384" s="337"/>
      <c r="K384" s="167"/>
      <c r="L384" s="42"/>
      <c r="M384" s="42"/>
      <c r="N384" s="42"/>
      <c r="O384" s="42"/>
      <c r="P384" s="42"/>
      <c r="Q384" s="42"/>
      <c r="R384" s="42"/>
      <c r="S384" s="42"/>
      <c r="T384" s="42"/>
      <c r="U384" s="42"/>
    </row>
    <row r="385" spans="1:21" ht="25.5">
      <c r="A385" s="362">
        <f t="shared" si="23"/>
        <v>146</v>
      </c>
      <c r="B385" s="358" t="s">
        <v>880</v>
      </c>
      <c r="C385" s="216" t="s">
        <v>66</v>
      </c>
      <c r="D385" s="217" t="s">
        <v>897</v>
      </c>
      <c r="E385" s="218" t="s">
        <v>81</v>
      </c>
      <c r="F385" s="219">
        <f>1.1*F383</f>
        <v>49.06</v>
      </c>
      <c r="G385" s="394"/>
      <c r="H385" s="90">
        <f t="shared" si="22"/>
        <v>0</v>
      </c>
      <c r="I385" s="169" t="s">
        <v>4</v>
      </c>
      <c r="J385" s="337"/>
      <c r="L385" s="170" t="s">
        <v>895</v>
      </c>
      <c r="M385" s="42"/>
      <c r="N385" s="42"/>
      <c r="O385" s="42"/>
      <c r="P385" s="42"/>
      <c r="Q385" s="42"/>
      <c r="R385" s="42"/>
      <c r="S385" s="42"/>
      <c r="T385" s="42"/>
      <c r="U385" s="42"/>
    </row>
    <row r="386" spans="1:21" ht="12.75">
      <c r="A386" s="362">
        <f t="shared" si="23"/>
        <v>147</v>
      </c>
      <c r="B386" s="368" t="s">
        <v>881</v>
      </c>
      <c r="C386" s="190" t="s">
        <v>3</v>
      </c>
      <c r="D386" s="161" t="s">
        <v>882</v>
      </c>
      <c r="E386" s="74" t="s">
        <v>84</v>
      </c>
      <c r="F386" s="141">
        <f>18.7+20.2-0.9-0.9</f>
        <v>37.1</v>
      </c>
      <c r="G386" s="385"/>
      <c r="H386" s="75">
        <f t="shared" si="22"/>
        <v>0</v>
      </c>
      <c r="I386" s="173" t="s">
        <v>4</v>
      </c>
      <c r="J386" s="42"/>
      <c r="K386" s="167"/>
      <c r="L386" s="42"/>
      <c r="M386" s="42"/>
      <c r="N386" s="42"/>
      <c r="O386" s="42"/>
      <c r="P386" s="42"/>
      <c r="Q386" s="42"/>
      <c r="R386" s="42"/>
      <c r="S386" s="42"/>
      <c r="T386" s="42"/>
      <c r="U386" s="42"/>
    </row>
    <row r="387" spans="1:21" ht="16.5">
      <c r="A387" s="378">
        <f t="shared" si="23"/>
        <v>148</v>
      </c>
      <c r="B387" s="358" t="s">
        <v>242</v>
      </c>
      <c r="C387" s="216" t="s">
        <v>2</v>
      </c>
      <c r="D387" s="217" t="s">
        <v>98</v>
      </c>
      <c r="E387" s="218" t="s">
        <v>84</v>
      </c>
      <c r="F387" s="142">
        <f>1.1*F386</f>
        <v>40.81</v>
      </c>
      <c r="G387" s="397"/>
      <c r="H387" s="220">
        <f t="shared" si="22"/>
        <v>0</v>
      </c>
      <c r="I387" s="173" t="s">
        <v>4</v>
      </c>
      <c r="J387" s="42"/>
      <c r="K387" s="382"/>
      <c r="L387" s="42"/>
      <c r="M387" s="42"/>
      <c r="N387" s="42"/>
      <c r="O387" s="42"/>
      <c r="P387" s="42"/>
      <c r="Q387" s="42"/>
      <c r="R387" s="42"/>
      <c r="S387" s="42"/>
      <c r="T387" s="42"/>
      <c r="U387" s="42"/>
    </row>
    <row r="388" spans="1:21" ht="12.75">
      <c r="A388" s="378">
        <f t="shared" si="23"/>
        <v>149</v>
      </c>
      <c r="B388" s="148" t="s">
        <v>265</v>
      </c>
      <c r="C388" s="213" t="s">
        <v>390</v>
      </c>
      <c r="D388" s="161" t="s">
        <v>573</v>
      </c>
      <c r="E388" s="74" t="s">
        <v>84</v>
      </c>
      <c r="F388" s="137">
        <f>+F389</f>
        <v>1.6</v>
      </c>
      <c r="G388" s="386"/>
      <c r="H388" s="75">
        <f t="shared" si="22"/>
        <v>0</v>
      </c>
      <c r="I388" s="169" t="s">
        <v>4</v>
      </c>
      <c r="K388" s="167"/>
      <c r="L388" s="42"/>
      <c r="M388" s="42"/>
      <c r="N388" s="42"/>
      <c r="O388" s="42"/>
      <c r="P388" s="42"/>
      <c r="Q388" s="42"/>
      <c r="R388" s="42"/>
      <c r="S388" s="42"/>
      <c r="T388" s="42"/>
      <c r="U388" s="42"/>
    </row>
    <row r="389" spans="1:21" ht="25.5">
      <c r="A389" s="212">
        <f t="shared" si="23"/>
        <v>150</v>
      </c>
      <c r="B389" s="148" t="s">
        <v>243</v>
      </c>
      <c r="C389" s="222" t="s">
        <v>389</v>
      </c>
      <c r="D389" s="88" t="s">
        <v>898</v>
      </c>
      <c r="E389" s="218" t="s">
        <v>84</v>
      </c>
      <c r="F389" s="166">
        <f>2*0.8</f>
        <v>1.6</v>
      </c>
      <c r="G389" s="394"/>
      <c r="H389" s="220">
        <f t="shared" si="22"/>
        <v>0</v>
      </c>
      <c r="I389" s="173" t="s">
        <v>4</v>
      </c>
      <c r="J389" s="195"/>
      <c r="K389" s="167"/>
      <c r="L389" s="170" t="s">
        <v>899</v>
      </c>
      <c r="M389" s="42"/>
      <c r="N389" s="42"/>
      <c r="O389" s="42"/>
      <c r="P389" s="42"/>
      <c r="Q389" s="42"/>
      <c r="R389" s="42"/>
      <c r="S389" s="42"/>
      <c r="T389" s="42"/>
      <c r="U389" s="42"/>
    </row>
    <row r="390" spans="1:21" ht="13.5" thickBot="1">
      <c r="A390" s="212">
        <f t="shared" si="23"/>
        <v>151</v>
      </c>
      <c r="B390" s="148" t="s">
        <v>166</v>
      </c>
      <c r="C390" s="190"/>
      <c r="D390" s="72" t="s">
        <v>126</v>
      </c>
      <c r="E390" s="233" t="s">
        <v>89</v>
      </c>
      <c r="F390" s="133">
        <f>+H377+H378+H380+H381+H385+H387+H389</f>
        <v>0</v>
      </c>
      <c r="G390" s="395"/>
      <c r="H390" s="234">
        <f t="shared" si="22"/>
        <v>0</v>
      </c>
      <c r="I390" s="169" t="s">
        <v>4</v>
      </c>
      <c r="L390" s="42"/>
      <c r="M390" s="42"/>
      <c r="N390" s="42"/>
      <c r="O390" s="42"/>
      <c r="P390" s="42"/>
      <c r="Q390" s="42"/>
      <c r="R390" s="42"/>
      <c r="S390" s="42"/>
      <c r="T390" s="42"/>
      <c r="U390" s="42"/>
    </row>
    <row r="391" spans="1:21" ht="13.5" thickBot="1">
      <c r="A391" s="42"/>
      <c r="B391" s="271"/>
      <c r="C391" s="190"/>
      <c r="D391" s="85" t="s">
        <v>82</v>
      </c>
      <c r="E391" s="86"/>
      <c r="F391" s="223"/>
      <c r="G391" s="296"/>
      <c r="H391" s="78">
        <f>SUM(H376:H390)</f>
        <v>0</v>
      </c>
      <c r="L391" s="42"/>
      <c r="M391" s="42"/>
      <c r="N391" s="42"/>
      <c r="O391" s="42"/>
      <c r="P391" s="42"/>
      <c r="Q391" s="42"/>
      <c r="R391" s="42"/>
      <c r="S391" s="42"/>
      <c r="T391" s="42"/>
      <c r="U391" s="42"/>
    </row>
    <row r="392" spans="1:21" ht="12.75">
      <c r="A392" s="212"/>
      <c r="B392" s="148"/>
      <c r="C392" s="190"/>
      <c r="D392" s="224"/>
      <c r="E392" s="208"/>
      <c r="F392" s="128"/>
      <c r="H392" s="209"/>
      <c r="L392" s="42"/>
      <c r="M392" s="42"/>
      <c r="N392" s="42"/>
      <c r="O392" s="42"/>
      <c r="P392" s="42"/>
      <c r="Q392" s="42"/>
      <c r="R392" s="42"/>
      <c r="S392" s="42"/>
      <c r="T392" s="42"/>
      <c r="U392" s="42"/>
    </row>
    <row r="393" spans="1:21" ht="16.5">
      <c r="A393" s="212"/>
      <c r="B393" s="148"/>
      <c r="C393" s="225" t="s">
        <v>445</v>
      </c>
      <c r="D393" s="65" t="s">
        <v>446</v>
      </c>
      <c r="E393" s="65"/>
      <c r="F393" s="136"/>
      <c r="G393" s="297"/>
      <c r="H393" s="65"/>
      <c r="L393" s="42"/>
      <c r="M393" s="42"/>
      <c r="N393" s="42"/>
      <c r="O393" s="42"/>
      <c r="P393" s="42"/>
      <c r="Q393" s="42"/>
      <c r="R393" s="42"/>
      <c r="S393" s="42"/>
      <c r="T393" s="42"/>
      <c r="U393" s="42"/>
    </row>
    <row r="394" spans="1:21" ht="12.75">
      <c r="A394" s="212">
        <f>A390+1</f>
        <v>152</v>
      </c>
      <c r="B394" s="148" t="s">
        <v>465</v>
      </c>
      <c r="C394" s="213"/>
      <c r="D394" s="72" t="s">
        <v>435</v>
      </c>
      <c r="E394" s="74" t="s">
        <v>83</v>
      </c>
      <c r="F394" s="137">
        <v>3</v>
      </c>
      <c r="G394" s="386"/>
      <c r="H394" s="75">
        <f>F394*G394</f>
        <v>0</v>
      </c>
      <c r="I394" s="169" t="s">
        <v>4</v>
      </c>
      <c r="L394" s="42"/>
      <c r="M394" s="42"/>
      <c r="N394" s="42"/>
      <c r="O394" s="42"/>
      <c r="P394" s="42"/>
      <c r="Q394" s="42"/>
      <c r="R394" s="185">
        <v>0.00156</v>
      </c>
      <c r="S394" s="159"/>
      <c r="T394" s="42"/>
      <c r="U394" s="42"/>
    </row>
    <row r="395" spans="1:21" ht="12.75">
      <c r="A395" s="212">
        <f aca="true" t="shared" si="24" ref="A395:A407">A394+1</f>
        <v>153</v>
      </c>
      <c r="B395" s="148" t="s">
        <v>147</v>
      </c>
      <c r="C395" s="190"/>
      <c r="D395" s="72" t="s">
        <v>149</v>
      </c>
      <c r="E395" s="74" t="s">
        <v>80</v>
      </c>
      <c r="F395" s="137">
        <v>1</v>
      </c>
      <c r="G395" s="386"/>
      <c r="H395" s="75">
        <f aca="true" t="shared" si="25" ref="H395:H407">F395*G395</f>
        <v>0</v>
      </c>
      <c r="I395" s="169" t="s">
        <v>4</v>
      </c>
      <c r="L395" s="42"/>
      <c r="M395" s="42"/>
      <c r="N395" s="42"/>
      <c r="O395" s="42"/>
      <c r="P395" s="42"/>
      <c r="Q395" s="42"/>
      <c r="R395" s="185"/>
      <c r="S395" s="159"/>
      <c r="T395" s="42"/>
      <c r="U395" s="42"/>
    </row>
    <row r="396" spans="1:21" ht="12.75">
      <c r="A396" s="212">
        <f t="shared" si="24"/>
        <v>154</v>
      </c>
      <c r="B396" s="148" t="s">
        <v>447</v>
      </c>
      <c r="C396" s="190"/>
      <c r="D396" s="72" t="s">
        <v>37</v>
      </c>
      <c r="E396" s="74" t="s">
        <v>80</v>
      </c>
      <c r="F396" s="137">
        <v>1</v>
      </c>
      <c r="G396" s="386"/>
      <c r="H396" s="75">
        <f t="shared" si="25"/>
        <v>0</v>
      </c>
      <c r="I396" s="169" t="s">
        <v>4</v>
      </c>
      <c r="L396" s="42"/>
      <c r="M396" s="42"/>
      <c r="N396" s="42"/>
      <c r="O396" s="42"/>
      <c r="P396" s="42"/>
      <c r="Q396" s="42"/>
      <c r="R396" s="185">
        <f>0.002*F396</f>
        <v>0.002</v>
      </c>
      <c r="S396" s="159" t="s">
        <v>85</v>
      </c>
      <c r="T396" s="42"/>
      <c r="U396" s="42"/>
    </row>
    <row r="397" spans="1:21" ht="12.75">
      <c r="A397" s="212">
        <f t="shared" si="24"/>
        <v>155</v>
      </c>
      <c r="B397" s="148" t="s">
        <v>301</v>
      </c>
      <c r="C397" s="190"/>
      <c r="D397" s="72" t="s">
        <v>300</v>
      </c>
      <c r="E397" s="74" t="s">
        <v>83</v>
      </c>
      <c r="F397" s="137">
        <v>2</v>
      </c>
      <c r="G397" s="386"/>
      <c r="H397" s="75">
        <f t="shared" si="25"/>
        <v>0</v>
      </c>
      <c r="I397" s="169" t="s">
        <v>4</v>
      </c>
      <c r="L397" s="42"/>
      <c r="M397" s="42"/>
      <c r="N397" s="42"/>
      <c r="O397" s="42"/>
      <c r="P397" s="42"/>
      <c r="Q397" s="42"/>
      <c r="R397" s="185">
        <v>0.08</v>
      </c>
      <c r="S397" s="159"/>
      <c r="T397" s="42"/>
      <c r="U397" s="42"/>
    </row>
    <row r="398" spans="1:21" ht="12.75">
      <c r="A398" s="212">
        <f t="shared" si="24"/>
        <v>156</v>
      </c>
      <c r="B398" s="148" t="s">
        <v>209</v>
      </c>
      <c r="C398" s="190"/>
      <c r="D398" s="72" t="s">
        <v>210</v>
      </c>
      <c r="E398" s="74" t="s">
        <v>83</v>
      </c>
      <c r="F398" s="137">
        <v>1</v>
      </c>
      <c r="G398" s="386"/>
      <c r="H398" s="75">
        <f t="shared" si="25"/>
        <v>0</v>
      </c>
      <c r="I398" s="169" t="s">
        <v>4</v>
      </c>
      <c r="L398" s="42"/>
      <c r="M398" s="42"/>
      <c r="N398" s="42"/>
      <c r="O398" s="42"/>
      <c r="P398" s="42"/>
      <c r="Q398" s="42"/>
      <c r="R398" s="185">
        <f>0.01933*F398</f>
        <v>0.01933</v>
      </c>
      <c r="S398" s="159"/>
      <c r="T398" s="42"/>
      <c r="U398" s="42"/>
    </row>
    <row r="399" spans="1:21" ht="12.75">
      <c r="A399" s="212">
        <f t="shared" si="24"/>
        <v>157</v>
      </c>
      <c r="B399" s="148" t="s">
        <v>448</v>
      </c>
      <c r="C399" s="190"/>
      <c r="D399" s="72" t="s">
        <v>36</v>
      </c>
      <c r="E399" s="74" t="s">
        <v>83</v>
      </c>
      <c r="F399" s="143">
        <v>3</v>
      </c>
      <c r="G399" s="386"/>
      <c r="H399" s="75">
        <f t="shared" si="25"/>
        <v>0</v>
      </c>
      <c r="I399" s="169" t="s">
        <v>4</v>
      </c>
      <c r="L399" s="42"/>
      <c r="M399" s="42"/>
      <c r="N399" s="42"/>
      <c r="O399" s="42"/>
      <c r="P399" s="42"/>
      <c r="Q399" s="42"/>
      <c r="R399" s="185"/>
      <c r="S399" s="159"/>
      <c r="T399" s="42"/>
      <c r="U399" s="42"/>
    </row>
    <row r="400" spans="1:21" ht="12.75">
      <c r="A400" s="212">
        <f t="shared" si="24"/>
        <v>158</v>
      </c>
      <c r="B400" s="148" t="s">
        <v>536</v>
      </c>
      <c r="C400" s="190"/>
      <c r="D400" s="69" t="s">
        <v>537</v>
      </c>
      <c r="E400" s="74" t="s">
        <v>83</v>
      </c>
      <c r="F400" s="143">
        <v>1</v>
      </c>
      <c r="G400" s="386"/>
      <c r="H400" s="75">
        <f t="shared" si="25"/>
        <v>0</v>
      </c>
      <c r="I400" s="169" t="s">
        <v>4</v>
      </c>
      <c r="J400" s="337"/>
      <c r="K400" s="167"/>
      <c r="L400" s="42"/>
      <c r="M400" s="42"/>
      <c r="N400" s="42"/>
      <c r="O400" s="42"/>
      <c r="P400" s="42"/>
      <c r="Q400" s="185">
        <v>0.035</v>
      </c>
      <c r="R400" s="159"/>
      <c r="S400" s="42"/>
      <c r="T400" s="42"/>
      <c r="U400" s="42"/>
    </row>
    <row r="401" spans="1:21" ht="12.75">
      <c r="A401" s="212">
        <f t="shared" si="24"/>
        <v>159</v>
      </c>
      <c r="B401" s="148" t="s">
        <v>160</v>
      </c>
      <c r="C401" s="190"/>
      <c r="D401" s="72" t="s">
        <v>162</v>
      </c>
      <c r="E401" s="74" t="s">
        <v>85</v>
      </c>
      <c r="F401" s="143">
        <f>+R402</f>
        <v>0.10289</v>
      </c>
      <c r="G401" s="386"/>
      <c r="H401" s="75">
        <f>F401*G401</f>
        <v>0</v>
      </c>
      <c r="I401" s="169" t="s">
        <v>4</v>
      </c>
      <c r="L401" s="42"/>
      <c r="M401" s="42"/>
      <c r="N401" s="42"/>
      <c r="O401" s="42"/>
      <c r="P401" s="42"/>
      <c r="Q401" s="42"/>
      <c r="R401" s="185"/>
      <c r="S401" s="159"/>
      <c r="T401" s="42"/>
      <c r="U401" s="42"/>
    </row>
    <row r="402" spans="1:21" ht="12.75">
      <c r="A402" s="212">
        <f t="shared" si="24"/>
        <v>160</v>
      </c>
      <c r="B402" s="148" t="s">
        <v>362</v>
      </c>
      <c r="C402" s="190"/>
      <c r="D402" s="72" t="s">
        <v>449</v>
      </c>
      <c r="E402" s="74" t="s">
        <v>85</v>
      </c>
      <c r="F402" s="143">
        <f>F401</f>
        <v>0.10289</v>
      </c>
      <c r="G402" s="386"/>
      <c r="H402" s="75">
        <f t="shared" si="25"/>
        <v>0</v>
      </c>
      <c r="I402" s="169" t="s">
        <v>4</v>
      </c>
      <c r="L402" s="42"/>
      <c r="M402" s="42"/>
      <c r="N402" s="42"/>
      <c r="O402" s="42"/>
      <c r="P402" s="42"/>
      <c r="Q402" s="42"/>
      <c r="R402" s="185">
        <f>SUM(R394:R401)</f>
        <v>0.10289</v>
      </c>
      <c r="S402" s="159"/>
      <c r="T402" s="42"/>
      <c r="U402" s="42"/>
    </row>
    <row r="403" spans="1:21" ht="12.75">
      <c r="A403" s="212">
        <f t="shared" si="24"/>
        <v>161</v>
      </c>
      <c r="B403" s="148" t="s">
        <v>158</v>
      </c>
      <c r="C403" s="190"/>
      <c r="D403" s="72" t="s">
        <v>159</v>
      </c>
      <c r="E403" s="74" t="s">
        <v>85</v>
      </c>
      <c r="F403" s="143">
        <f>+F402*2</f>
        <v>0.20578</v>
      </c>
      <c r="G403" s="386"/>
      <c r="H403" s="75">
        <f t="shared" si="25"/>
        <v>0</v>
      </c>
      <c r="I403" s="169" t="s">
        <v>4</v>
      </c>
      <c r="L403" s="42"/>
      <c r="M403" s="42"/>
      <c r="N403" s="42"/>
      <c r="O403" s="42"/>
      <c r="P403" s="42"/>
      <c r="Q403" s="42"/>
      <c r="R403" s="185"/>
      <c r="S403" s="159"/>
      <c r="T403" s="42"/>
      <c r="U403" s="42"/>
    </row>
    <row r="404" spans="1:21" ht="12.75">
      <c r="A404" s="212">
        <f t="shared" si="24"/>
        <v>162</v>
      </c>
      <c r="B404" s="148" t="s">
        <v>363</v>
      </c>
      <c r="C404" s="190"/>
      <c r="D404" s="72" t="s">
        <v>364</v>
      </c>
      <c r="E404" s="74" t="s">
        <v>85</v>
      </c>
      <c r="F404" s="143">
        <f>+F401</f>
        <v>0.10289</v>
      </c>
      <c r="G404" s="385"/>
      <c r="H404" s="75">
        <f t="shared" si="25"/>
        <v>0</v>
      </c>
      <c r="I404" s="169" t="s">
        <v>4</v>
      </c>
      <c r="L404" s="42"/>
      <c r="M404" s="42"/>
      <c r="N404" s="42"/>
      <c r="O404" s="42"/>
      <c r="P404" s="42"/>
      <c r="Q404" s="42"/>
      <c r="R404" s="42"/>
      <c r="S404" s="42"/>
      <c r="T404" s="42"/>
      <c r="U404" s="42"/>
    </row>
    <row r="405" spans="1:21" ht="12.75">
      <c r="A405" s="212">
        <f t="shared" si="24"/>
        <v>163</v>
      </c>
      <c r="B405" s="148" t="s">
        <v>365</v>
      </c>
      <c r="C405" s="190"/>
      <c r="D405" s="72" t="s">
        <v>366</v>
      </c>
      <c r="E405" s="74" t="s">
        <v>85</v>
      </c>
      <c r="F405" s="143">
        <f>+F401</f>
        <v>0.10289</v>
      </c>
      <c r="G405" s="386"/>
      <c r="H405" s="75">
        <f t="shared" si="25"/>
        <v>0</v>
      </c>
      <c r="I405" s="169" t="s">
        <v>4</v>
      </c>
      <c r="L405" s="42"/>
      <c r="M405" s="42"/>
      <c r="N405" s="42"/>
      <c r="O405" s="42"/>
      <c r="P405" s="42"/>
      <c r="Q405" s="42"/>
      <c r="R405" s="128"/>
      <c r="S405" s="42"/>
      <c r="T405" s="42"/>
      <c r="U405" s="42"/>
    </row>
    <row r="406" spans="1:21" ht="12.75">
      <c r="A406" s="212">
        <f t="shared" si="24"/>
        <v>164</v>
      </c>
      <c r="B406" s="148" t="s">
        <v>164</v>
      </c>
      <c r="C406" s="190"/>
      <c r="D406" s="72" t="s">
        <v>165</v>
      </c>
      <c r="E406" s="74" t="s">
        <v>85</v>
      </c>
      <c r="F406" s="143">
        <f>+F401</f>
        <v>0.10289</v>
      </c>
      <c r="G406" s="386"/>
      <c r="H406" s="75">
        <f t="shared" si="25"/>
        <v>0</v>
      </c>
      <c r="I406" s="169" t="s">
        <v>4</v>
      </c>
      <c r="L406" s="42"/>
      <c r="M406" s="42"/>
      <c r="N406" s="42"/>
      <c r="O406" s="42"/>
      <c r="P406" s="42"/>
      <c r="Q406" s="42"/>
      <c r="R406" s="128"/>
      <c r="S406" s="42"/>
      <c r="T406" s="42"/>
      <c r="U406" s="42"/>
    </row>
    <row r="407" spans="1:21" ht="13.5" thickBot="1">
      <c r="A407" s="212">
        <f t="shared" si="24"/>
        <v>165</v>
      </c>
      <c r="B407" s="148" t="s">
        <v>599</v>
      </c>
      <c r="C407" s="190"/>
      <c r="D407" s="72" t="s">
        <v>163</v>
      </c>
      <c r="E407" s="74" t="s">
        <v>85</v>
      </c>
      <c r="F407" s="143">
        <f>+F401</f>
        <v>0.10289</v>
      </c>
      <c r="G407" s="386"/>
      <c r="H407" s="75">
        <f t="shared" si="25"/>
        <v>0</v>
      </c>
      <c r="I407" s="169" t="s">
        <v>4</v>
      </c>
      <c r="L407" s="42"/>
      <c r="M407" s="42"/>
      <c r="N407" s="42"/>
      <c r="O407" s="42"/>
      <c r="P407" s="42"/>
      <c r="Q407" s="42"/>
      <c r="R407" s="128"/>
      <c r="S407" s="42"/>
      <c r="T407" s="42"/>
      <c r="U407" s="42"/>
    </row>
    <row r="408" spans="1:21" ht="15.75" thickBot="1">
      <c r="A408" s="212"/>
      <c r="B408" s="148"/>
      <c r="C408" s="190"/>
      <c r="D408" s="237" t="s">
        <v>82</v>
      </c>
      <c r="E408" s="238"/>
      <c r="F408" s="239"/>
      <c r="G408" s="240"/>
      <c r="H408" s="241">
        <f>SUM(H394:H407)</f>
        <v>0</v>
      </c>
      <c r="L408" s="42"/>
      <c r="M408" s="42"/>
      <c r="N408" s="42"/>
      <c r="O408" s="42"/>
      <c r="P408" s="42"/>
      <c r="Q408" s="42"/>
      <c r="R408" s="128"/>
      <c r="S408" s="42"/>
      <c r="T408" s="42"/>
      <c r="U408" s="42"/>
    </row>
    <row r="409" spans="1:21" ht="12.75">
      <c r="A409" s="212"/>
      <c r="B409" s="148"/>
      <c r="C409" s="190"/>
      <c r="D409" s="224"/>
      <c r="E409" s="208"/>
      <c r="F409" s="128"/>
      <c r="H409" s="209"/>
      <c r="L409" s="42"/>
      <c r="M409" s="42"/>
      <c r="N409" s="42"/>
      <c r="O409" s="42"/>
      <c r="P409" s="42"/>
      <c r="Q409" s="42"/>
      <c r="R409" s="128"/>
      <c r="S409" s="42"/>
      <c r="T409" s="42"/>
      <c r="U409" s="42"/>
    </row>
    <row r="410" spans="1:21" ht="16.5">
      <c r="A410" s="212"/>
      <c r="B410" s="148"/>
      <c r="C410" s="225" t="s">
        <v>450</v>
      </c>
      <c r="D410" s="65" t="s">
        <v>425</v>
      </c>
      <c r="E410" s="65"/>
      <c r="F410" s="136"/>
      <c r="G410" s="297"/>
      <c r="H410" s="65"/>
      <c r="L410" s="42"/>
      <c r="M410" s="42"/>
      <c r="N410" s="42"/>
      <c r="O410" s="42"/>
      <c r="P410" s="42"/>
      <c r="Q410" s="42"/>
      <c r="R410" s="128"/>
      <c r="S410" s="42"/>
      <c r="T410" s="42"/>
      <c r="U410" s="42"/>
    </row>
    <row r="411" spans="1:21" ht="63" customHeight="1">
      <c r="A411" s="212"/>
      <c r="B411" s="148"/>
      <c r="C411" s="200"/>
      <c r="D411" s="429" t="s">
        <v>577</v>
      </c>
      <c r="E411" s="429"/>
      <c r="F411" s="429"/>
      <c r="G411" s="104"/>
      <c r="H411" s="104"/>
      <c r="L411" s="42"/>
      <c r="M411" s="42"/>
      <c r="N411" s="42"/>
      <c r="O411" s="42"/>
      <c r="P411" s="42"/>
      <c r="Q411" s="42"/>
      <c r="R411" s="128"/>
      <c r="S411" s="42"/>
      <c r="T411" s="42"/>
      <c r="U411" s="42"/>
    </row>
    <row r="412" spans="1:21" ht="25.5">
      <c r="A412" s="212">
        <f>A407+1</f>
        <v>166</v>
      </c>
      <c r="B412" s="148" t="s">
        <v>507</v>
      </c>
      <c r="C412" s="213"/>
      <c r="D412" s="191" t="s">
        <v>549</v>
      </c>
      <c r="E412" s="74" t="s">
        <v>84</v>
      </c>
      <c r="F412" s="137">
        <f>2.6+1.5+0.6+1.5+3+1.2</f>
        <v>10.399999999999999</v>
      </c>
      <c r="G412" s="386"/>
      <c r="H412" s="75">
        <f>F412*G412</f>
        <v>0</v>
      </c>
      <c r="I412" s="169" t="s">
        <v>4</v>
      </c>
      <c r="L412" s="42"/>
      <c r="M412" s="42"/>
      <c r="N412" s="42"/>
      <c r="O412" s="42"/>
      <c r="P412" s="42"/>
      <c r="Q412" s="42"/>
      <c r="R412" s="128"/>
      <c r="S412" s="42"/>
      <c r="T412" s="42"/>
      <c r="U412" s="42"/>
    </row>
    <row r="413" spans="1:21" ht="25.5">
      <c r="A413" s="212">
        <f>A412+1</f>
        <v>167</v>
      </c>
      <c r="B413" s="243" t="s">
        <v>508</v>
      </c>
      <c r="C413" s="190"/>
      <c r="D413" s="242" t="s">
        <v>548</v>
      </c>
      <c r="E413" s="74" t="s">
        <v>84</v>
      </c>
      <c r="F413" s="137">
        <v>2</v>
      </c>
      <c r="G413" s="386"/>
      <c r="H413" s="75">
        <f>F413*G413</f>
        <v>0</v>
      </c>
      <c r="I413" s="169" t="s">
        <v>4</v>
      </c>
      <c r="L413" s="42"/>
      <c r="M413" s="42"/>
      <c r="N413" s="42"/>
      <c r="O413" s="42"/>
      <c r="P413" s="42"/>
      <c r="Q413" s="42"/>
      <c r="R413" s="128"/>
      <c r="S413" s="42"/>
      <c r="T413" s="42"/>
      <c r="U413" s="42"/>
    </row>
    <row r="414" spans="1:21" ht="25.5">
      <c r="A414" s="212">
        <f>A413+1</f>
        <v>168</v>
      </c>
      <c r="B414" s="379" t="s">
        <v>902</v>
      </c>
      <c r="C414" s="190" t="s">
        <v>145</v>
      </c>
      <c r="D414" s="242" t="s">
        <v>903</v>
      </c>
      <c r="E414" s="74" t="s">
        <v>83</v>
      </c>
      <c r="F414" s="137">
        <v>1</v>
      </c>
      <c r="G414" s="386"/>
      <c r="H414" s="75">
        <f>F414*G414</f>
        <v>0</v>
      </c>
      <c r="I414" s="169" t="s">
        <v>4</v>
      </c>
      <c r="J414" s="369"/>
      <c r="L414" s="42"/>
      <c r="M414" s="42"/>
      <c r="N414" s="42"/>
      <c r="O414" s="42"/>
      <c r="P414" s="42"/>
      <c r="Q414" s="42"/>
      <c r="R414" s="128"/>
      <c r="S414" s="42"/>
      <c r="T414" s="42"/>
      <c r="U414" s="42"/>
    </row>
    <row r="415" spans="1:21" ht="12.75">
      <c r="A415" s="212">
        <f aca="true" t="shared" si="26" ref="A415:A423">A414+1</f>
        <v>169</v>
      </c>
      <c r="B415" s="148" t="s">
        <v>542</v>
      </c>
      <c r="C415" s="190"/>
      <c r="D415" s="191" t="s">
        <v>904</v>
      </c>
      <c r="E415" s="74" t="s">
        <v>83</v>
      </c>
      <c r="F415" s="137">
        <v>2</v>
      </c>
      <c r="G415" s="386"/>
      <c r="H415" s="75">
        <f aca="true" t="shared" si="27" ref="H415:H424">F415*G415</f>
        <v>0</v>
      </c>
      <c r="I415" s="169" t="s">
        <v>4</v>
      </c>
      <c r="L415" s="42"/>
      <c r="M415" s="42"/>
      <c r="N415" s="42"/>
      <c r="O415" s="42"/>
      <c r="P415" s="42"/>
      <c r="Q415" s="42"/>
      <c r="R415" s="128"/>
      <c r="S415" s="42"/>
      <c r="T415" s="42"/>
      <c r="U415" s="42"/>
    </row>
    <row r="416" spans="1:21" ht="12.75">
      <c r="A416" s="212">
        <f t="shared" si="26"/>
        <v>170</v>
      </c>
      <c r="B416" s="148" t="s">
        <v>543</v>
      </c>
      <c r="C416" s="190"/>
      <c r="D416" s="191" t="s">
        <v>544</v>
      </c>
      <c r="E416" s="74" t="s">
        <v>83</v>
      </c>
      <c r="F416" s="137">
        <v>1</v>
      </c>
      <c r="G416" s="386"/>
      <c r="H416" s="75">
        <f t="shared" si="27"/>
        <v>0</v>
      </c>
      <c r="I416" s="169" t="s">
        <v>4</v>
      </c>
      <c r="L416" s="42"/>
      <c r="M416" s="42"/>
      <c r="N416" s="42"/>
      <c r="O416" s="42"/>
      <c r="P416" s="42"/>
      <c r="Q416" s="42"/>
      <c r="R416" s="128"/>
      <c r="S416" s="42"/>
      <c r="T416" s="42"/>
      <c r="U416" s="42"/>
    </row>
    <row r="417" spans="1:21" ht="12.75">
      <c r="A417" s="212">
        <f t="shared" si="26"/>
        <v>171</v>
      </c>
      <c r="B417" s="148" t="s">
        <v>545</v>
      </c>
      <c r="C417" s="190"/>
      <c r="D417" s="191" t="s">
        <v>900</v>
      </c>
      <c r="E417" s="74" t="s">
        <v>83</v>
      </c>
      <c r="F417" s="137">
        <v>1</v>
      </c>
      <c r="G417" s="386"/>
      <c r="H417" s="75">
        <f>F417*G417</f>
        <v>0</v>
      </c>
      <c r="I417" s="169" t="s">
        <v>4</v>
      </c>
      <c r="L417" s="42"/>
      <c r="M417" s="42"/>
      <c r="N417" s="42"/>
      <c r="O417" s="42"/>
      <c r="P417" s="42"/>
      <c r="Q417" s="42"/>
      <c r="R417" s="42"/>
      <c r="S417" s="42"/>
      <c r="T417" s="42"/>
      <c r="U417" s="42"/>
    </row>
    <row r="418" spans="1:21" ht="12.75">
      <c r="A418" s="212">
        <f>A417+1</f>
        <v>172</v>
      </c>
      <c r="B418" s="148" t="s">
        <v>458</v>
      </c>
      <c r="C418" s="190"/>
      <c r="D418" s="242" t="s">
        <v>457</v>
      </c>
      <c r="E418" s="74" t="s">
        <v>83</v>
      </c>
      <c r="F418" s="137">
        <v>1</v>
      </c>
      <c r="G418" s="386"/>
      <c r="H418" s="75">
        <f t="shared" si="27"/>
        <v>0</v>
      </c>
      <c r="I418" s="169" t="s">
        <v>4</v>
      </c>
      <c r="L418" s="42"/>
      <c r="M418" s="42"/>
      <c r="N418" s="42"/>
      <c r="O418" s="42"/>
      <c r="P418" s="42"/>
      <c r="Q418" s="42"/>
      <c r="R418" s="42"/>
      <c r="S418" s="42"/>
      <c r="T418" s="42"/>
      <c r="U418" s="42"/>
    </row>
    <row r="419" spans="1:21" ht="38.25">
      <c r="A419" s="212">
        <f>A418+1</f>
        <v>173</v>
      </c>
      <c r="B419" s="148" t="s">
        <v>510</v>
      </c>
      <c r="C419" s="190"/>
      <c r="D419" s="191" t="s">
        <v>302</v>
      </c>
      <c r="E419" s="74" t="s">
        <v>83</v>
      </c>
      <c r="F419" s="137">
        <v>1</v>
      </c>
      <c r="G419" s="386"/>
      <c r="H419" s="75">
        <f t="shared" si="27"/>
        <v>0</v>
      </c>
      <c r="I419" s="169" t="s">
        <v>7</v>
      </c>
      <c r="L419" s="170" t="s">
        <v>266</v>
      </c>
      <c r="M419" s="42"/>
      <c r="N419" s="42"/>
      <c r="O419" s="42"/>
      <c r="P419" s="42"/>
      <c r="Q419" s="42"/>
      <c r="R419" s="42"/>
      <c r="S419" s="42"/>
      <c r="T419" s="42"/>
      <c r="U419" s="42"/>
    </row>
    <row r="420" spans="1:21" ht="38.25">
      <c r="A420" s="212">
        <f>A419+1</f>
        <v>174</v>
      </c>
      <c r="B420" s="328" t="s">
        <v>600</v>
      </c>
      <c r="C420" s="190"/>
      <c r="D420" s="242" t="s">
        <v>901</v>
      </c>
      <c r="E420" s="74" t="s">
        <v>83</v>
      </c>
      <c r="F420" s="137">
        <v>1</v>
      </c>
      <c r="G420" s="386"/>
      <c r="H420" s="75">
        <f t="shared" si="27"/>
        <v>0</v>
      </c>
      <c r="I420" s="169" t="s">
        <v>4</v>
      </c>
      <c r="J420" s="337"/>
      <c r="K420" s="167"/>
      <c r="L420" s="42"/>
      <c r="M420" s="42"/>
      <c r="N420" s="42"/>
      <c r="O420" s="42"/>
      <c r="P420" s="42"/>
      <c r="Q420" s="42"/>
      <c r="R420" s="42"/>
      <c r="S420" s="42"/>
      <c r="T420" s="42"/>
      <c r="U420" s="42"/>
    </row>
    <row r="421" spans="1:21" ht="16.5" customHeight="1">
      <c r="A421" s="212">
        <f>A420+1</f>
        <v>175</v>
      </c>
      <c r="B421" s="272" t="s">
        <v>620</v>
      </c>
      <c r="C421" s="213"/>
      <c r="D421" s="324" t="s">
        <v>621</v>
      </c>
      <c r="E421" s="70" t="s">
        <v>84</v>
      </c>
      <c r="F421" s="133">
        <f>+F423</f>
        <v>12.399999999999999</v>
      </c>
      <c r="G421" s="386"/>
      <c r="H421" s="75">
        <f>F421*G421</f>
        <v>0</v>
      </c>
      <c r="I421" s="169" t="s">
        <v>4</v>
      </c>
      <c r="L421" s="170"/>
      <c r="M421" s="42"/>
      <c r="N421" s="42"/>
      <c r="O421" s="42"/>
      <c r="P421" s="42"/>
      <c r="Q421" s="42"/>
      <c r="R421" s="42"/>
      <c r="S421" s="42"/>
      <c r="T421" s="42"/>
      <c r="U421" s="42"/>
    </row>
    <row r="422" spans="1:21" ht="12.75">
      <c r="A422" s="212">
        <f>A421+1</f>
        <v>176</v>
      </c>
      <c r="B422" s="148" t="s">
        <v>703</v>
      </c>
      <c r="C422" s="213"/>
      <c r="D422" s="69" t="s">
        <v>704</v>
      </c>
      <c r="E422" s="74" t="s">
        <v>84</v>
      </c>
      <c r="F422" s="137">
        <f>+F421</f>
        <v>12.399999999999999</v>
      </c>
      <c r="G422" s="398"/>
      <c r="H422" s="75">
        <f>F422*G422</f>
        <v>0</v>
      </c>
      <c r="I422" s="169" t="s">
        <v>4</v>
      </c>
      <c r="L422" s="42"/>
      <c r="M422" s="42"/>
      <c r="N422" s="42"/>
      <c r="O422" s="42"/>
      <c r="P422" s="42"/>
      <c r="Q422" s="42"/>
      <c r="R422" s="42"/>
      <c r="S422" s="42"/>
      <c r="T422" s="42"/>
      <c r="U422" s="42"/>
    </row>
    <row r="423" spans="1:21" ht="12.75">
      <c r="A423" s="212">
        <f t="shared" si="26"/>
        <v>177</v>
      </c>
      <c r="B423" s="148" t="s">
        <v>509</v>
      </c>
      <c r="C423" s="190"/>
      <c r="D423" s="242" t="s">
        <v>196</v>
      </c>
      <c r="E423" s="74" t="s">
        <v>84</v>
      </c>
      <c r="F423" s="137">
        <f>+F412+F413</f>
        <v>12.399999999999999</v>
      </c>
      <c r="G423" s="386"/>
      <c r="H423" s="75">
        <f t="shared" si="27"/>
        <v>0</v>
      </c>
      <c r="I423" s="169" t="s">
        <v>4</v>
      </c>
      <c r="L423" s="42"/>
      <c r="M423" s="42"/>
      <c r="N423" s="42"/>
      <c r="O423" s="42"/>
      <c r="P423" s="42"/>
      <c r="Q423" s="42"/>
      <c r="R423" s="42"/>
      <c r="S423" s="42"/>
      <c r="T423" s="42"/>
      <c r="U423" s="42"/>
    </row>
    <row r="424" spans="1:21" ht="13.5" thickBot="1">
      <c r="A424" s="212">
        <f>A423+1</f>
        <v>178</v>
      </c>
      <c r="B424" s="148" t="s">
        <v>166</v>
      </c>
      <c r="C424" s="190"/>
      <c r="D424" s="72" t="s">
        <v>126</v>
      </c>
      <c r="E424" s="233" t="s">
        <v>89</v>
      </c>
      <c r="F424" s="133">
        <f>+H412+H413+H414+H419+H420+H422</f>
        <v>0</v>
      </c>
      <c r="G424" s="395"/>
      <c r="H424" s="234">
        <f t="shared" si="27"/>
        <v>0</v>
      </c>
      <c r="I424" s="169" t="s">
        <v>4</v>
      </c>
      <c r="L424" s="42"/>
      <c r="M424" s="42"/>
      <c r="N424" s="42"/>
      <c r="O424" s="42"/>
      <c r="P424" s="42"/>
      <c r="Q424" s="42"/>
      <c r="R424" s="42"/>
      <c r="S424" s="42"/>
      <c r="T424" s="42"/>
      <c r="U424" s="42"/>
    </row>
    <row r="425" spans="1:21" ht="13.5" thickBot="1">
      <c r="A425" s="212"/>
      <c r="B425" s="148"/>
      <c r="C425" s="190"/>
      <c r="D425" s="85" t="s">
        <v>82</v>
      </c>
      <c r="E425" s="86"/>
      <c r="F425" s="223"/>
      <c r="G425" s="296"/>
      <c r="H425" s="78">
        <f>SUBTOTAL(9,H412:H424)</f>
        <v>0</v>
      </c>
      <c r="L425" s="42"/>
      <c r="M425" s="42"/>
      <c r="N425" s="42"/>
      <c r="O425" s="42"/>
      <c r="P425" s="42"/>
      <c r="Q425" s="42"/>
      <c r="R425" s="42"/>
      <c r="S425" s="42"/>
      <c r="T425" s="42"/>
      <c r="U425" s="42"/>
    </row>
    <row r="426" spans="1:21" ht="14.25" customHeight="1">
      <c r="A426" s="212"/>
      <c r="B426" s="148"/>
      <c r="C426" s="190"/>
      <c r="D426" s="224"/>
      <c r="E426" s="208"/>
      <c r="F426" s="128"/>
      <c r="H426" s="209"/>
      <c r="L426" s="42"/>
      <c r="M426" s="42"/>
      <c r="N426" s="42"/>
      <c r="O426" s="42"/>
      <c r="P426" s="42"/>
      <c r="Q426" s="42"/>
      <c r="R426" s="42"/>
      <c r="S426" s="42"/>
      <c r="T426" s="42"/>
      <c r="U426" s="42"/>
    </row>
    <row r="427" spans="1:21" ht="16.5">
      <c r="A427" s="212"/>
      <c r="B427" s="148"/>
      <c r="C427" s="225" t="s">
        <v>451</v>
      </c>
      <c r="D427" s="65" t="s">
        <v>426</v>
      </c>
      <c r="E427" s="65"/>
      <c r="F427" s="136"/>
      <c r="G427" s="297"/>
      <c r="H427" s="65"/>
      <c r="L427" s="42"/>
      <c r="M427" s="42"/>
      <c r="N427" s="42"/>
      <c r="O427" s="42"/>
      <c r="P427" s="42"/>
      <c r="Q427" s="42"/>
      <c r="R427" s="42"/>
      <c r="S427" s="42"/>
      <c r="T427" s="42"/>
      <c r="U427" s="42"/>
    </row>
    <row r="428" spans="1:21" ht="60.75" customHeight="1">
      <c r="A428" s="212"/>
      <c r="B428" s="148"/>
      <c r="C428" s="235"/>
      <c r="D428" s="429" t="s">
        <v>463</v>
      </c>
      <c r="E428" s="429"/>
      <c r="F428" s="429"/>
      <c r="G428" s="104"/>
      <c r="H428" s="104"/>
      <c r="L428" s="42"/>
      <c r="M428" s="42"/>
      <c r="N428" s="42"/>
      <c r="O428" s="42"/>
      <c r="P428" s="42"/>
      <c r="Q428" s="42"/>
      <c r="R428" s="42"/>
      <c r="S428" s="42"/>
      <c r="T428" s="42"/>
      <c r="U428" s="42"/>
    </row>
    <row r="429" spans="1:21" ht="12.75">
      <c r="A429" s="212">
        <f>A424+1</f>
        <v>179</v>
      </c>
      <c r="B429" s="148" t="s">
        <v>561</v>
      </c>
      <c r="C429" s="213"/>
      <c r="D429" s="242" t="s">
        <v>468</v>
      </c>
      <c r="E429" s="74" t="s">
        <v>84</v>
      </c>
      <c r="F429" s="137">
        <f>1.6+1.5+0.8+2.4+1.7+4.6+1.2+1.2+0.7+1.5+0.8</f>
        <v>17.999999999999996</v>
      </c>
      <c r="G429" s="386"/>
      <c r="H429" s="75">
        <f>F429*G429</f>
        <v>0</v>
      </c>
      <c r="I429" s="169" t="s">
        <v>4</v>
      </c>
      <c r="L429" s="42"/>
      <c r="M429" s="42"/>
      <c r="N429" s="42"/>
      <c r="O429" s="42"/>
      <c r="P429" s="42"/>
      <c r="Q429" s="42"/>
      <c r="R429" s="42"/>
      <c r="S429" s="42"/>
      <c r="T429" s="42"/>
      <c r="U429" s="42"/>
    </row>
    <row r="430" spans="1:21" ht="12.75">
      <c r="A430" s="212">
        <f aca="true" t="shared" si="28" ref="A430:A440">A429+1</f>
        <v>180</v>
      </c>
      <c r="B430" s="148" t="s">
        <v>93</v>
      </c>
      <c r="C430" s="213"/>
      <c r="D430" s="191" t="s">
        <v>90</v>
      </c>
      <c r="E430" s="74" t="s">
        <v>84</v>
      </c>
      <c r="F430" s="137">
        <v>5.1</v>
      </c>
      <c r="G430" s="386"/>
      <c r="H430" s="75">
        <f>F430*G430</f>
        <v>0</v>
      </c>
      <c r="I430" s="169" t="s">
        <v>4</v>
      </c>
      <c r="L430" s="42"/>
      <c r="M430" s="42"/>
      <c r="N430" s="42"/>
      <c r="O430" s="42"/>
      <c r="P430" s="42"/>
      <c r="Q430" s="42"/>
      <c r="R430" s="42"/>
      <c r="S430" s="42"/>
      <c r="T430" s="42"/>
      <c r="U430" s="42"/>
    </row>
    <row r="431" spans="1:21" ht="12.75">
      <c r="A431" s="212">
        <f t="shared" si="28"/>
        <v>181</v>
      </c>
      <c r="B431" s="148" t="s">
        <v>273</v>
      </c>
      <c r="C431" s="192"/>
      <c r="D431" s="242" t="s">
        <v>1</v>
      </c>
      <c r="E431" s="74" t="s">
        <v>84</v>
      </c>
      <c r="F431" s="137">
        <f>4.6+1.2+1.2+0.7+1.5+0.8</f>
        <v>10</v>
      </c>
      <c r="G431" s="386"/>
      <c r="H431" s="75">
        <f aca="true" t="shared" si="29" ref="H431:H445">F431*G431</f>
        <v>0</v>
      </c>
      <c r="I431" s="169" t="s">
        <v>4</v>
      </c>
      <c r="L431" s="42"/>
      <c r="M431" s="42"/>
      <c r="N431" s="42"/>
      <c r="O431" s="42"/>
      <c r="P431" s="42"/>
      <c r="Q431" s="42"/>
      <c r="R431" s="42"/>
      <c r="S431" s="42"/>
      <c r="T431" s="42"/>
      <c r="U431" s="42"/>
    </row>
    <row r="432" spans="1:21" ht="12.75">
      <c r="A432" s="212">
        <f t="shared" si="28"/>
        <v>182</v>
      </c>
      <c r="B432" s="148" t="s">
        <v>274</v>
      </c>
      <c r="C432" s="192"/>
      <c r="D432" s="191" t="s">
        <v>61</v>
      </c>
      <c r="E432" s="74" t="s">
        <v>84</v>
      </c>
      <c r="F432" s="137">
        <f>+F430</f>
        <v>5.1</v>
      </c>
      <c r="G432" s="386"/>
      <c r="H432" s="75">
        <f>F432*G432</f>
        <v>0</v>
      </c>
      <c r="I432" s="169" t="s">
        <v>4</v>
      </c>
      <c r="L432" s="42"/>
      <c r="M432" s="42"/>
      <c r="N432" s="42"/>
      <c r="O432" s="42"/>
      <c r="P432" s="42"/>
      <c r="Q432" s="42"/>
      <c r="R432" s="42"/>
      <c r="S432" s="42"/>
      <c r="T432" s="42"/>
      <c r="U432" s="42"/>
    </row>
    <row r="433" spans="1:21" ht="12.75">
      <c r="A433" s="212">
        <f t="shared" si="28"/>
        <v>183</v>
      </c>
      <c r="B433" s="148" t="s">
        <v>275</v>
      </c>
      <c r="C433" s="192"/>
      <c r="D433" s="242" t="s">
        <v>358</v>
      </c>
      <c r="E433" s="74" t="s">
        <v>84</v>
      </c>
      <c r="F433" s="137">
        <f>1.6+1.5+0.8+2.4+1.7</f>
        <v>8</v>
      </c>
      <c r="G433" s="386"/>
      <c r="H433" s="75">
        <f t="shared" si="29"/>
        <v>0</v>
      </c>
      <c r="I433" s="169" t="s">
        <v>4</v>
      </c>
      <c r="L433" s="42"/>
      <c r="M433" s="42"/>
      <c r="N433" s="42"/>
      <c r="O433" s="42"/>
      <c r="P433" s="42"/>
      <c r="Q433" s="42"/>
      <c r="R433" s="42"/>
      <c r="S433" s="42"/>
      <c r="T433" s="42"/>
      <c r="U433" s="42"/>
    </row>
    <row r="434" spans="1:21" ht="12.75">
      <c r="A434" s="212">
        <f t="shared" si="28"/>
        <v>184</v>
      </c>
      <c r="B434" s="148" t="s">
        <v>280</v>
      </c>
      <c r="C434" s="156"/>
      <c r="D434" s="180" t="s">
        <v>281</v>
      </c>
      <c r="E434" s="157" t="s">
        <v>83</v>
      </c>
      <c r="F434" s="143">
        <f>+F435+F436</f>
        <v>6</v>
      </c>
      <c r="G434" s="386"/>
      <c r="H434" s="158">
        <f t="shared" si="29"/>
        <v>0</v>
      </c>
      <c r="I434" s="169" t="s">
        <v>4</v>
      </c>
      <c r="K434" s="174"/>
      <c r="L434" s="159"/>
      <c r="M434" s="42"/>
      <c r="N434" s="42"/>
      <c r="O434" s="42"/>
      <c r="P434" s="42"/>
      <c r="Q434" s="42"/>
      <c r="R434" s="42"/>
      <c r="S434" s="42"/>
      <c r="T434" s="42"/>
      <c r="U434" s="42"/>
    </row>
    <row r="435" spans="1:21" ht="25.5">
      <c r="A435" s="212">
        <f t="shared" si="28"/>
        <v>185</v>
      </c>
      <c r="B435" s="148" t="s">
        <v>279</v>
      </c>
      <c r="C435" s="192"/>
      <c r="D435" s="191" t="s">
        <v>33</v>
      </c>
      <c r="E435" s="74" t="s">
        <v>83</v>
      </c>
      <c r="F435" s="137">
        <v>1</v>
      </c>
      <c r="G435" s="386"/>
      <c r="H435" s="75">
        <f t="shared" si="29"/>
        <v>0</v>
      </c>
      <c r="I435" s="169" t="s">
        <v>4</v>
      </c>
      <c r="L435" s="42"/>
      <c r="M435" s="42"/>
      <c r="N435" s="42"/>
      <c r="O435" s="42"/>
      <c r="P435" s="42"/>
      <c r="Q435" s="42"/>
      <c r="R435" s="42"/>
      <c r="S435" s="42"/>
      <c r="T435" s="42"/>
      <c r="U435" s="42"/>
    </row>
    <row r="436" spans="1:21" ht="12.75">
      <c r="A436" s="212">
        <f t="shared" si="28"/>
        <v>186</v>
      </c>
      <c r="B436" s="183" t="s">
        <v>276</v>
      </c>
      <c r="C436" s="192"/>
      <c r="D436" s="191" t="s">
        <v>32</v>
      </c>
      <c r="E436" s="74" t="s">
        <v>83</v>
      </c>
      <c r="F436" s="137">
        <v>5</v>
      </c>
      <c r="G436" s="386"/>
      <c r="H436" s="75">
        <f t="shared" si="29"/>
        <v>0</v>
      </c>
      <c r="I436" s="169" t="s">
        <v>4</v>
      </c>
      <c r="L436" s="42"/>
      <c r="M436" s="42"/>
      <c r="N436" s="42"/>
      <c r="O436" s="42"/>
      <c r="P436" s="42"/>
      <c r="Q436" s="42"/>
      <c r="R436" s="42"/>
      <c r="S436" s="42"/>
      <c r="T436" s="42"/>
      <c r="U436" s="42"/>
    </row>
    <row r="437" spans="1:21" ht="12.75">
      <c r="A437" s="212">
        <f t="shared" si="28"/>
        <v>187</v>
      </c>
      <c r="B437" s="183" t="s">
        <v>277</v>
      </c>
      <c r="C437" s="192"/>
      <c r="D437" s="191" t="s">
        <v>63</v>
      </c>
      <c r="E437" s="74" t="s">
        <v>83</v>
      </c>
      <c r="F437" s="137">
        <v>1</v>
      </c>
      <c r="G437" s="386"/>
      <c r="H437" s="75">
        <f t="shared" si="29"/>
        <v>0</v>
      </c>
      <c r="I437" s="169" t="s">
        <v>4</v>
      </c>
      <c r="L437" s="42"/>
      <c r="M437" s="42"/>
      <c r="N437" s="42"/>
      <c r="O437" s="42"/>
      <c r="P437" s="42"/>
      <c r="Q437" s="42"/>
      <c r="R437" s="42"/>
      <c r="S437" s="42"/>
      <c r="T437" s="42"/>
      <c r="U437" s="42"/>
    </row>
    <row r="438" spans="1:21" ht="12.75">
      <c r="A438" s="212">
        <f t="shared" si="28"/>
        <v>188</v>
      </c>
      <c r="B438" s="183" t="s">
        <v>278</v>
      </c>
      <c r="C438" s="192"/>
      <c r="D438" s="191" t="s">
        <v>62</v>
      </c>
      <c r="E438" s="74" t="s">
        <v>83</v>
      </c>
      <c r="F438" s="137">
        <v>1</v>
      </c>
      <c r="G438" s="386"/>
      <c r="H438" s="75">
        <f t="shared" si="29"/>
        <v>0</v>
      </c>
      <c r="I438" s="169" t="s">
        <v>4</v>
      </c>
      <c r="L438" s="42"/>
      <c r="M438" s="42"/>
      <c r="N438" s="42"/>
      <c r="O438" s="42"/>
      <c r="P438" s="42"/>
      <c r="Q438" s="42"/>
      <c r="R438" s="42"/>
      <c r="S438" s="42"/>
      <c r="T438" s="42"/>
      <c r="U438" s="42"/>
    </row>
    <row r="439" spans="1:21" ht="16.5" customHeight="1">
      <c r="A439" s="212">
        <f t="shared" si="28"/>
        <v>189</v>
      </c>
      <c r="B439" s="272">
        <v>28651070</v>
      </c>
      <c r="C439" s="190" t="s">
        <v>145</v>
      </c>
      <c r="D439" s="180" t="s">
        <v>582</v>
      </c>
      <c r="E439" s="74" t="s">
        <v>83</v>
      </c>
      <c r="F439" s="137">
        <v>1</v>
      </c>
      <c r="G439" s="386"/>
      <c r="H439" s="75">
        <f>F439*G439</f>
        <v>0</v>
      </c>
      <c r="I439" s="169" t="s">
        <v>4</v>
      </c>
      <c r="L439" s="170"/>
      <c r="M439" s="42"/>
      <c r="N439" s="42"/>
      <c r="O439" s="42"/>
      <c r="P439" s="42"/>
      <c r="Q439" s="42"/>
      <c r="R439" s="42"/>
      <c r="S439" s="42"/>
      <c r="T439" s="42"/>
      <c r="U439" s="42"/>
    </row>
    <row r="440" spans="1:21" ht="16.5" customHeight="1">
      <c r="A440" s="212">
        <f t="shared" si="28"/>
        <v>190</v>
      </c>
      <c r="B440" s="272" t="s">
        <v>622</v>
      </c>
      <c r="C440" s="213"/>
      <c r="D440" s="324" t="s">
        <v>623</v>
      </c>
      <c r="E440" s="70" t="s">
        <v>84</v>
      </c>
      <c r="F440" s="133">
        <f>+F442</f>
        <v>23.099999999999994</v>
      </c>
      <c r="G440" s="386"/>
      <c r="H440" s="75">
        <f>F440*G440</f>
        <v>0</v>
      </c>
      <c r="I440" s="169" t="s">
        <v>4</v>
      </c>
      <c r="L440" s="170"/>
      <c r="M440" s="42"/>
      <c r="N440" s="42"/>
      <c r="O440" s="42"/>
      <c r="P440" s="42"/>
      <c r="Q440" s="42"/>
      <c r="R440" s="42"/>
      <c r="S440" s="42"/>
      <c r="T440" s="42"/>
      <c r="U440" s="42"/>
    </row>
    <row r="441" spans="1:21" ht="12.75">
      <c r="A441" s="212">
        <f>A440+1</f>
        <v>191</v>
      </c>
      <c r="B441" s="148" t="s">
        <v>703</v>
      </c>
      <c r="C441" s="213"/>
      <c r="D441" s="69" t="s">
        <v>704</v>
      </c>
      <c r="E441" s="74" t="s">
        <v>84</v>
      </c>
      <c r="F441" s="137">
        <f>+F440</f>
        <v>23.099999999999994</v>
      </c>
      <c r="G441" s="398"/>
      <c r="H441" s="75">
        <f>F441*G441</f>
        <v>0</v>
      </c>
      <c r="I441" s="169" t="s">
        <v>4</v>
      </c>
      <c r="L441" s="42"/>
      <c r="M441" s="42"/>
      <c r="N441" s="42"/>
      <c r="O441" s="42"/>
      <c r="P441" s="42"/>
      <c r="Q441" s="42"/>
      <c r="R441" s="42"/>
      <c r="S441" s="42"/>
      <c r="T441" s="42"/>
      <c r="U441" s="42"/>
    </row>
    <row r="442" spans="1:21" ht="12.75">
      <c r="A442" s="212">
        <f>A441+1</f>
        <v>192</v>
      </c>
      <c r="B442" s="148" t="s">
        <v>948</v>
      </c>
      <c r="C442" s="213"/>
      <c r="D442" s="84" t="s">
        <v>469</v>
      </c>
      <c r="E442" s="70" t="s">
        <v>84</v>
      </c>
      <c r="F442" s="133">
        <f>+F429+F430</f>
        <v>23.099999999999994</v>
      </c>
      <c r="G442" s="386"/>
      <c r="H442" s="75">
        <f t="shared" si="29"/>
        <v>0</v>
      </c>
      <c r="I442" s="169" t="s">
        <v>4</v>
      </c>
      <c r="L442" s="42"/>
      <c r="M442" s="42"/>
      <c r="N442" s="42"/>
      <c r="O442" s="42"/>
      <c r="P442" s="42"/>
      <c r="Q442" s="42"/>
      <c r="R442" s="42"/>
      <c r="S442" s="42"/>
      <c r="T442" s="42"/>
      <c r="U442" s="42"/>
    </row>
    <row r="443" spans="1:21" ht="12.75">
      <c r="A443" s="212">
        <f>A442+1</f>
        <v>193</v>
      </c>
      <c r="B443" s="148" t="s">
        <v>562</v>
      </c>
      <c r="C443" s="190"/>
      <c r="D443" s="191" t="s">
        <v>563</v>
      </c>
      <c r="E443" s="74" t="s">
        <v>84</v>
      </c>
      <c r="F443" s="137">
        <f>+F442</f>
        <v>23.099999999999994</v>
      </c>
      <c r="G443" s="386"/>
      <c r="H443" s="75">
        <f t="shared" si="29"/>
        <v>0</v>
      </c>
      <c r="I443" s="169" t="s">
        <v>4</v>
      </c>
      <c r="L443" s="42"/>
      <c r="M443" s="42"/>
      <c r="N443" s="42"/>
      <c r="O443" s="42"/>
      <c r="P443" s="42"/>
      <c r="Q443" s="42"/>
      <c r="R443" s="42"/>
      <c r="S443" s="42"/>
      <c r="T443" s="42"/>
      <c r="U443" s="42"/>
    </row>
    <row r="444" spans="1:21" ht="12.75">
      <c r="A444" s="212">
        <f>A443+1</f>
        <v>194</v>
      </c>
      <c r="B444" s="148" t="s">
        <v>150</v>
      </c>
      <c r="C444" s="190"/>
      <c r="D444" s="191" t="s">
        <v>495</v>
      </c>
      <c r="E444" s="74" t="s">
        <v>83</v>
      </c>
      <c r="F444" s="137">
        <v>1</v>
      </c>
      <c r="G444" s="386"/>
      <c r="H444" s="75">
        <f>F444*G444</f>
        <v>0</v>
      </c>
      <c r="I444" s="169" t="s">
        <v>4</v>
      </c>
      <c r="L444" s="42"/>
      <c r="M444" s="42"/>
      <c r="N444" s="42"/>
      <c r="O444" s="42"/>
      <c r="P444" s="42"/>
      <c r="Q444" s="42"/>
      <c r="R444" s="42"/>
      <c r="S444" s="42"/>
      <c r="T444" s="42"/>
      <c r="U444" s="42"/>
    </row>
    <row r="445" spans="1:21" ht="13.5" thickBot="1">
      <c r="A445" s="212">
        <f>A444+1</f>
        <v>195</v>
      </c>
      <c r="B445" s="148" t="s">
        <v>166</v>
      </c>
      <c r="C445" s="190"/>
      <c r="D445" s="72" t="s">
        <v>126</v>
      </c>
      <c r="E445" s="233" t="s">
        <v>89</v>
      </c>
      <c r="F445" s="137">
        <f>SUM(H429:H439)</f>
        <v>0</v>
      </c>
      <c r="G445" s="395"/>
      <c r="H445" s="234">
        <f t="shared" si="29"/>
        <v>0</v>
      </c>
      <c r="I445" s="169" t="s">
        <v>4</v>
      </c>
      <c r="L445" s="42"/>
      <c r="M445" s="42"/>
      <c r="N445" s="42"/>
      <c r="O445" s="42"/>
      <c r="P445" s="42"/>
      <c r="Q445" s="42"/>
      <c r="R445" s="42"/>
      <c r="S445" s="42"/>
      <c r="T445" s="42"/>
      <c r="U445" s="42"/>
    </row>
    <row r="446" spans="1:21" ht="13.5" thickBot="1">
      <c r="A446" s="212"/>
      <c r="B446" s="148"/>
      <c r="C446" s="190"/>
      <c r="D446" s="85" t="s">
        <v>82</v>
      </c>
      <c r="E446" s="86"/>
      <c r="F446" s="223"/>
      <c r="G446" s="296"/>
      <c r="H446" s="78">
        <f>SUBTOTAL(9,H429:H445)</f>
        <v>0</v>
      </c>
      <c r="L446" s="42"/>
      <c r="M446" s="42"/>
      <c r="N446" s="42"/>
      <c r="O446" s="42"/>
      <c r="P446" s="42"/>
      <c r="Q446" s="42"/>
      <c r="R446" s="42"/>
      <c r="S446" s="42"/>
      <c r="T446" s="42"/>
      <c r="U446" s="42"/>
    </row>
    <row r="447" spans="1:12" s="159" customFormat="1" ht="12.75">
      <c r="A447" s="212"/>
      <c r="B447" s="148"/>
      <c r="C447" s="190"/>
      <c r="D447" s="224"/>
      <c r="E447" s="208"/>
      <c r="F447" s="128"/>
      <c r="G447" s="292"/>
      <c r="H447" s="209"/>
      <c r="I447" s="169"/>
      <c r="J447" s="10"/>
      <c r="K447" s="95"/>
      <c r="L447" s="42"/>
    </row>
    <row r="448" spans="1:21" ht="16.5">
      <c r="A448" s="212"/>
      <c r="B448" s="148"/>
      <c r="C448" s="225" t="s">
        <v>452</v>
      </c>
      <c r="D448" s="65" t="s">
        <v>427</v>
      </c>
      <c r="E448" s="65"/>
      <c r="F448" s="136"/>
      <c r="G448" s="297"/>
      <c r="H448" s="65"/>
      <c r="L448" s="42"/>
      <c r="M448" s="42"/>
      <c r="N448" s="42"/>
      <c r="O448" s="42"/>
      <c r="P448" s="42"/>
      <c r="Q448" s="42"/>
      <c r="R448" s="42"/>
      <c r="S448" s="42"/>
      <c r="T448" s="42"/>
      <c r="U448" s="42"/>
    </row>
    <row r="449" spans="1:21" ht="70.5" customHeight="1">
      <c r="A449" s="212"/>
      <c r="B449" s="148"/>
      <c r="C449" s="235"/>
      <c r="D449" s="429" t="s">
        <v>462</v>
      </c>
      <c r="E449" s="429"/>
      <c r="F449" s="429"/>
      <c r="G449" s="104"/>
      <c r="H449" s="104"/>
      <c r="L449" s="42"/>
      <c r="M449" s="42"/>
      <c r="N449" s="42"/>
      <c r="O449" s="42"/>
      <c r="P449" s="42"/>
      <c r="Q449" s="42"/>
      <c r="R449" s="42"/>
      <c r="S449" s="42"/>
      <c r="T449" s="42"/>
      <c r="U449" s="42"/>
    </row>
    <row r="450" spans="1:21" ht="12.75">
      <c r="A450" s="212">
        <f>A445+1</f>
        <v>196</v>
      </c>
      <c r="B450" s="148" t="s">
        <v>565</v>
      </c>
      <c r="C450" s="190" t="s">
        <v>395</v>
      </c>
      <c r="D450" s="72" t="s">
        <v>564</v>
      </c>
      <c r="E450" s="74" t="s">
        <v>83</v>
      </c>
      <c r="F450" s="137">
        <v>1</v>
      </c>
      <c r="G450" s="386"/>
      <c r="H450" s="75">
        <f>F450*G450</f>
        <v>0</v>
      </c>
      <c r="I450" s="169" t="s">
        <v>4</v>
      </c>
      <c r="L450" s="42"/>
      <c r="M450" s="42"/>
      <c r="N450" s="42"/>
      <c r="O450" s="42"/>
      <c r="P450" s="42"/>
      <c r="Q450" s="42"/>
      <c r="R450" s="42"/>
      <c r="S450" s="42"/>
      <c r="T450" s="42"/>
      <c r="U450" s="42"/>
    </row>
    <row r="451" spans="1:21" ht="38.25">
      <c r="A451" s="212">
        <f aca="true" t="shared" si="30" ref="A451:A458">A450+1</f>
        <v>197</v>
      </c>
      <c r="B451" s="148" t="s">
        <v>511</v>
      </c>
      <c r="C451" s="222" t="s">
        <v>394</v>
      </c>
      <c r="D451" s="217" t="s">
        <v>910</v>
      </c>
      <c r="E451" s="218" t="s">
        <v>83</v>
      </c>
      <c r="F451" s="219">
        <v>1</v>
      </c>
      <c r="G451" s="394"/>
      <c r="H451" s="220">
        <f aca="true" t="shared" si="31" ref="H451:H474">F451*G451</f>
        <v>0</v>
      </c>
      <c r="I451" s="169" t="s">
        <v>4</v>
      </c>
      <c r="L451" s="170" t="s">
        <v>905</v>
      </c>
      <c r="M451" s="42"/>
      <c r="N451" s="42"/>
      <c r="O451" s="42"/>
      <c r="P451" s="42"/>
      <c r="Q451" s="42"/>
      <c r="R451" s="42"/>
      <c r="S451" s="42"/>
      <c r="T451" s="42"/>
      <c r="U451" s="42"/>
    </row>
    <row r="452" spans="1:21" ht="12.75">
      <c r="A452" s="212">
        <f t="shared" si="30"/>
        <v>198</v>
      </c>
      <c r="B452" s="148" t="s">
        <v>470</v>
      </c>
      <c r="C452" s="190" t="s">
        <v>395</v>
      </c>
      <c r="D452" s="72" t="s">
        <v>440</v>
      </c>
      <c r="E452" s="74" t="s">
        <v>83</v>
      </c>
      <c r="F452" s="137">
        <v>1</v>
      </c>
      <c r="G452" s="386"/>
      <c r="H452" s="75">
        <f t="shared" si="31"/>
        <v>0</v>
      </c>
      <c r="I452" s="169" t="s">
        <v>4</v>
      </c>
      <c r="L452" s="42"/>
      <c r="M452" s="42"/>
      <c r="N452" s="42"/>
      <c r="O452" s="42"/>
      <c r="P452" s="42"/>
      <c r="Q452" s="42"/>
      <c r="R452" s="42"/>
      <c r="S452" s="42"/>
      <c r="T452" s="42"/>
      <c r="U452" s="42"/>
    </row>
    <row r="453" spans="1:21" ht="12.75">
      <c r="A453" s="212">
        <f t="shared" si="30"/>
        <v>199</v>
      </c>
      <c r="B453" s="148" t="s">
        <v>244</v>
      </c>
      <c r="C453" s="222" t="s">
        <v>394</v>
      </c>
      <c r="D453" s="217" t="s">
        <v>482</v>
      </c>
      <c r="E453" s="218" t="s">
        <v>83</v>
      </c>
      <c r="F453" s="219">
        <v>1</v>
      </c>
      <c r="G453" s="394"/>
      <c r="H453" s="220">
        <f>F453*G453</f>
        <v>0</v>
      </c>
      <c r="I453" s="169" t="s">
        <v>4</v>
      </c>
      <c r="L453" s="42" t="s">
        <v>611</v>
      </c>
      <c r="M453" s="42"/>
      <c r="N453" s="42"/>
      <c r="O453" s="42"/>
      <c r="P453" s="42"/>
      <c r="Q453" s="42"/>
      <c r="R453" s="42"/>
      <c r="S453" s="42"/>
      <c r="T453" s="42"/>
      <c r="U453" s="42"/>
    </row>
    <row r="454" spans="1:21" ht="12.75">
      <c r="A454" s="212">
        <f t="shared" si="30"/>
        <v>200</v>
      </c>
      <c r="B454" s="148" t="s">
        <v>459</v>
      </c>
      <c r="C454" s="213" t="s">
        <v>395</v>
      </c>
      <c r="D454" s="72" t="s">
        <v>460</v>
      </c>
      <c r="E454" s="74" t="s">
        <v>83</v>
      </c>
      <c r="F454" s="137">
        <v>1</v>
      </c>
      <c r="G454" s="386"/>
      <c r="H454" s="75">
        <f>F454*G454</f>
        <v>0</v>
      </c>
      <c r="I454" s="169" t="s">
        <v>4</v>
      </c>
      <c r="L454" s="42"/>
      <c r="M454" s="42"/>
      <c r="N454" s="42"/>
      <c r="O454" s="42"/>
      <c r="P454" s="42"/>
      <c r="Q454" s="42"/>
      <c r="R454" s="42"/>
      <c r="S454" s="42"/>
      <c r="T454" s="42"/>
      <c r="U454" s="42"/>
    </row>
    <row r="455" spans="1:21" ht="12.75">
      <c r="A455" s="212">
        <f t="shared" si="30"/>
        <v>201</v>
      </c>
      <c r="B455" s="148" t="s">
        <v>246</v>
      </c>
      <c r="C455" s="216" t="s">
        <v>394</v>
      </c>
      <c r="D455" s="217" t="s">
        <v>267</v>
      </c>
      <c r="E455" s="218" t="s">
        <v>83</v>
      </c>
      <c r="F455" s="219">
        <v>1</v>
      </c>
      <c r="G455" s="394"/>
      <c r="H455" s="220">
        <f t="shared" si="31"/>
        <v>0</v>
      </c>
      <c r="I455" s="169" t="s">
        <v>4</v>
      </c>
      <c r="L455" s="42"/>
      <c r="M455" s="42"/>
      <c r="N455" s="42"/>
      <c r="O455" s="42"/>
      <c r="P455" s="42"/>
      <c r="Q455" s="42"/>
      <c r="R455" s="42"/>
      <c r="S455" s="42"/>
      <c r="T455" s="42"/>
      <c r="U455" s="42"/>
    </row>
    <row r="456" spans="1:21" ht="12.75">
      <c r="A456" s="212">
        <f t="shared" si="30"/>
        <v>202</v>
      </c>
      <c r="B456" s="148" t="s">
        <v>566</v>
      </c>
      <c r="C456" s="190" t="s">
        <v>395</v>
      </c>
      <c r="D456" s="72" t="s">
        <v>541</v>
      </c>
      <c r="E456" s="74" t="s">
        <v>83</v>
      </c>
      <c r="F456" s="137">
        <v>1</v>
      </c>
      <c r="G456" s="386"/>
      <c r="H456" s="75">
        <f t="shared" si="31"/>
        <v>0</v>
      </c>
      <c r="I456" s="169" t="s">
        <v>4</v>
      </c>
      <c r="L456" s="42"/>
      <c r="M456" s="42"/>
      <c r="N456" s="42"/>
      <c r="O456" s="42"/>
      <c r="P456" s="42"/>
      <c r="Q456" s="42"/>
      <c r="R456" s="42"/>
      <c r="S456" s="42"/>
      <c r="T456" s="42"/>
      <c r="U456" s="42"/>
    </row>
    <row r="457" spans="1:21" ht="56.25" customHeight="1">
      <c r="A457" s="212">
        <f t="shared" si="30"/>
        <v>203</v>
      </c>
      <c r="B457" s="148" t="s">
        <v>248</v>
      </c>
      <c r="C457" s="222" t="s">
        <v>394</v>
      </c>
      <c r="D457" s="88" t="s">
        <v>909</v>
      </c>
      <c r="E457" s="218" t="s">
        <v>83</v>
      </c>
      <c r="F457" s="219">
        <v>1</v>
      </c>
      <c r="G457" s="394"/>
      <c r="H457" s="220">
        <f>F457*G457</f>
        <v>0</v>
      </c>
      <c r="I457" s="169" t="s">
        <v>4</v>
      </c>
      <c r="L457" s="42" t="s">
        <v>908</v>
      </c>
      <c r="M457" s="42"/>
      <c r="N457" s="42"/>
      <c r="O457" s="42"/>
      <c r="P457" s="42"/>
      <c r="Q457" s="42"/>
      <c r="R457" s="42"/>
      <c r="S457" s="42"/>
      <c r="T457" s="42"/>
      <c r="U457" s="42"/>
    </row>
    <row r="458" spans="1:21" ht="51.75" customHeight="1">
      <c r="A458" s="212">
        <f t="shared" si="30"/>
        <v>204</v>
      </c>
      <c r="B458" s="148" t="s">
        <v>247</v>
      </c>
      <c r="C458" s="222" t="s">
        <v>394</v>
      </c>
      <c r="D458" s="217" t="s">
        <v>907</v>
      </c>
      <c r="E458" s="218" t="s">
        <v>83</v>
      </c>
      <c r="F458" s="219">
        <v>1</v>
      </c>
      <c r="G458" s="394"/>
      <c r="H458" s="220">
        <f>F458*G458</f>
        <v>0</v>
      </c>
      <c r="I458" s="169" t="s">
        <v>4</v>
      </c>
      <c r="L458" s="170" t="s">
        <v>906</v>
      </c>
      <c r="M458" s="42"/>
      <c r="N458" s="42"/>
      <c r="O458" s="42"/>
      <c r="P458" s="42"/>
      <c r="Q458" s="42"/>
      <c r="R458" s="42"/>
      <c r="S458" s="42"/>
      <c r="T458" s="42"/>
      <c r="U458" s="42"/>
    </row>
    <row r="459" spans="1:21" ht="25.5">
      <c r="A459" s="212">
        <f>A458+1</f>
        <v>205</v>
      </c>
      <c r="B459" s="148" t="s">
        <v>567</v>
      </c>
      <c r="C459" s="190" t="s">
        <v>395</v>
      </c>
      <c r="D459" s="72" t="s">
        <v>546</v>
      </c>
      <c r="E459" s="74" t="s">
        <v>83</v>
      </c>
      <c r="F459" s="137">
        <v>1</v>
      </c>
      <c r="G459" s="386"/>
      <c r="H459" s="75">
        <f t="shared" si="31"/>
        <v>0</v>
      </c>
      <c r="I459" s="169" t="s">
        <v>4</v>
      </c>
      <c r="L459" s="42"/>
      <c r="M459" s="42"/>
      <c r="N459" s="42"/>
      <c r="O459" s="42"/>
      <c r="P459" s="42"/>
      <c r="Q459" s="42"/>
      <c r="R459" s="42"/>
      <c r="S459" s="42"/>
      <c r="T459" s="42"/>
      <c r="U459" s="42"/>
    </row>
    <row r="460" spans="1:21" ht="41.25" customHeight="1">
      <c r="A460" s="212">
        <f>A459+1</f>
        <v>206</v>
      </c>
      <c r="B460" s="148" t="s">
        <v>307</v>
      </c>
      <c r="C460" s="222" t="s">
        <v>394</v>
      </c>
      <c r="D460" s="217" t="s">
        <v>914</v>
      </c>
      <c r="E460" s="218" t="s">
        <v>83</v>
      </c>
      <c r="F460" s="219">
        <v>1</v>
      </c>
      <c r="G460" s="394"/>
      <c r="H460" s="220">
        <f t="shared" si="31"/>
        <v>0</v>
      </c>
      <c r="I460" s="169" t="s">
        <v>4</v>
      </c>
      <c r="L460" s="170" t="s">
        <v>917</v>
      </c>
      <c r="M460" s="42"/>
      <c r="N460" s="42"/>
      <c r="O460" s="42"/>
      <c r="P460" s="42"/>
      <c r="Q460" s="42"/>
      <c r="R460" s="363"/>
      <c r="S460" s="349"/>
      <c r="T460" s="42"/>
      <c r="U460" s="42"/>
    </row>
    <row r="461" spans="1:21" ht="48.75" customHeight="1">
      <c r="A461" s="212">
        <f aca="true" t="shared" si="32" ref="A461:A474">A460+1</f>
        <v>207</v>
      </c>
      <c r="B461" s="148" t="s">
        <v>245</v>
      </c>
      <c r="C461" s="222" t="s">
        <v>394</v>
      </c>
      <c r="D461" s="217" t="s">
        <v>568</v>
      </c>
      <c r="E461" s="218" t="s">
        <v>83</v>
      </c>
      <c r="F461" s="219">
        <v>1</v>
      </c>
      <c r="G461" s="394"/>
      <c r="H461" s="220">
        <f t="shared" si="31"/>
        <v>0</v>
      </c>
      <c r="I461" s="169" t="s">
        <v>4</v>
      </c>
      <c r="L461" s="170" t="s">
        <v>915</v>
      </c>
      <c r="M461" s="42"/>
      <c r="N461" s="42"/>
      <c r="O461" s="42"/>
      <c r="P461" s="42"/>
      <c r="Q461" s="42"/>
      <c r="R461" s="42"/>
      <c r="S461" s="42"/>
      <c r="T461" s="42"/>
      <c r="U461" s="42"/>
    </row>
    <row r="462" spans="1:21" ht="55.5" customHeight="1">
      <c r="A462" s="212">
        <f t="shared" si="32"/>
        <v>208</v>
      </c>
      <c r="B462" s="148" t="s">
        <v>308</v>
      </c>
      <c r="C462" s="222" t="s">
        <v>394</v>
      </c>
      <c r="D462" s="217" t="s">
        <v>918</v>
      </c>
      <c r="E462" s="218" t="s">
        <v>83</v>
      </c>
      <c r="F462" s="219">
        <v>1</v>
      </c>
      <c r="G462" s="394"/>
      <c r="H462" s="220">
        <f>F462*G462</f>
        <v>0</v>
      </c>
      <c r="I462" s="169" t="s">
        <v>4</v>
      </c>
      <c r="L462" s="170" t="s">
        <v>916</v>
      </c>
      <c r="M462" s="42"/>
      <c r="N462" s="42"/>
      <c r="O462" s="42"/>
      <c r="P462" s="42"/>
      <c r="Q462" s="42"/>
      <c r="R462" s="42"/>
      <c r="S462" s="42"/>
      <c r="T462" s="42"/>
      <c r="U462" s="42"/>
    </row>
    <row r="463" spans="1:21" ht="16.5">
      <c r="A463" s="212">
        <f t="shared" si="32"/>
        <v>209</v>
      </c>
      <c r="B463" s="148" t="s">
        <v>512</v>
      </c>
      <c r="C463" s="190" t="s">
        <v>395</v>
      </c>
      <c r="D463" s="72" t="s">
        <v>513</v>
      </c>
      <c r="E463" s="74" t="s">
        <v>83</v>
      </c>
      <c r="F463" s="137">
        <v>1</v>
      </c>
      <c r="G463" s="386"/>
      <c r="H463" s="75">
        <f t="shared" si="31"/>
        <v>0</v>
      </c>
      <c r="I463" s="172" t="s">
        <v>4</v>
      </c>
      <c r="J463" s="162"/>
      <c r="L463" s="188"/>
      <c r="M463" s="367"/>
      <c r="N463" s="367"/>
      <c r="O463" s="367"/>
      <c r="P463" s="42"/>
      <c r="Q463" s="42"/>
      <c r="R463" s="42"/>
      <c r="S463" s="42"/>
      <c r="T463" s="42"/>
      <c r="U463" s="42"/>
    </row>
    <row r="464" spans="1:21" ht="12.75">
      <c r="A464" s="212">
        <f t="shared" si="32"/>
        <v>210</v>
      </c>
      <c r="B464" s="148" t="s">
        <v>211</v>
      </c>
      <c r="C464" s="190" t="s">
        <v>395</v>
      </c>
      <c r="D464" s="72" t="s">
        <v>0</v>
      </c>
      <c r="E464" s="74" t="s">
        <v>83</v>
      </c>
      <c r="F464" s="137">
        <v>1</v>
      </c>
      <c r="G464" s="386"/>
      <c r="H464" s="75">
        <f t="shared" si="31"/>
        <v>0</v>
      </c>
      <c r="I464" s="172" t="s">
        <v>4</v>
      </c>
      <c r="J464" s="162"/>
      <c r="L464" s="42" t="s">
        <v>913</v>
      </c>
      <c r="M464" s="42"/>
      <c r="N464" s="42"/>
      <c r="O464" s="42"/>
      <c r="P464" s="42"/>
      <c r="Q464" s="42"/>
      <c r="R464" s="42"/>
      <c r="S464" s="42"/>
      <c r="T464" s="42"/>
      <c r="U464" s="42"/>
    </row>
    <row r="465" spans="1:21" ht="51">
      <c r="A465" s="212">
        <f t="shared" si="32"/>
        <v>211</v>
      </c>
      <c r="B465" s="148" t="s">
        <v>540</v>
      </c>
      <c r="C465" s="222"/>
      <c r="D465" s="88" t="s">
        <v>912</v>
      </c>
      <c r="E465" s="218" t="s">
        <v>83</v>
      </c>
      <c r="F465" s="219">
        <v>1</v>
      </c>
      <c r="G465" s="394"/>
      <c r="H465" s="220">
        <f t="shared" si="31"/>
        <v>0</v>
      </c>
      <c r="I465" s="169" t="s">
        <v>4</v>
      </c>
      <c r="L465" s="42" t="s">
        <v>911</v>
      </c>
      <c r="M465" s="42"/>
      <c r="N465" s="42"/>
      <c r="O465" s="42"/>
      <c r="P465" s="42"/>
      <c r="Q465" s="42"/>
      <c r="R465" s="42"/>
      <c r="S465" s="42"/>
      <c r="T465" s="42"/>
      <c r="U465" s="42"/>
    </row>
    <row r="466" spans="1:21" ht="12.75">
      <c r="A466" s="212">
        <f t="shared" si="32"/>
        <v>212</v>
      </c>
      <c r="B466" s="148" t="s">
        <v>569</v>
      </c>
      <c r="C466" s="190" t="s">
        <v>395</v>
      </c>
      <c r="D466" s="72" t="s">
        <v>570</v>
      </c>
      <c r="E466" s="74" t="s">
        <v>83</v>
      </c>
      <c r="F466" s="137">
        <v>1</v>
      </c>
      <c r="G466" s="386"/>
      <c r="H466" s="75">
        <f t="shared" si="31"/>
        <v>0</v>
      </c>
      <c r="I466" s="169" t="s">
        <v>4</v>
      </c>
      <c r="L466" s="42"/>
      <c r="M466" s="42"/>
      <c r="N466" s="42"/>
      <c r="O466" s="42"/>
      <c r="P466" s="42"/>
      <c r="Q466" s="42"/>
      <c r="R466" s="42"/>
      <c r="S466" s="42"/>
      <c r="T466" s="42"/>
      <c r="U466" s="42"/>
    </row>
    <row r="467" spans="1:21" ht="38.25">
      <c r="A467" s="212">
        <f t="shared" si="32"/>
        <v>213</v>
      </c>
      <c r="B467" s="148" t="s">
        <v>483</v>
      </c>
      <c r="C467" s="222" t="s">
        <v>394</v>
      </c>
      <c r="D467" s="217" t="s">
        <v>920</v>
      </c>
      <c r="E467" s="218" t="s">
        <v>83</v>
      </c>
      <c r="F467" s="219">
        <v>1</v>
      </c>
      <c r="G467" s="388"/>
      <c r="H467" s="220">
        <f t="shared" si="31"/>
        <v>0</v>
      </c>
      <c r="I467" s="169" t="s">
        <v>4</v>
      </c>
      <c r="L467" s="42" t="s">
        <v>919</v>
      </c>
      <c r="M467" s="42"/>
      <c r="N467" s="42"/>
      <c r="O467" s="42"/>
      <c r="P467" s="42"/>
      <c r="Q467" s="42"/>
      <c r="R467" s="42"/>
      <c r="S467" s="42"/>
      <c r="T467" s="42"/>
      <c r="U467" s="42"/>
    </row>
    <row r="468" spans="1:21" ht="16.5">
      <c r="A468" s="212">
        <f>A467+1</f>
        <v>214</v>
      </c>
      <c r="B468" s="148" t="s">
        <v>137</v>
      </c>
      <c r="C468" s="190" t="s">
        <v>395</v>
      </c>
      <c r="D468" s="72" t="s">
        <v>138</v>
      </c>
      <c r="E468" s="74" t="s">
        <v>83</v>
      </c>
      <c r="F468" s="137">
        <v>1</v>
      </c>
      <c r="G468" s="386"/>
      <c r="H468" s="75">
        <f t="shared" si="31"/>
        <v>0</v>
      </c>
      <c r="I468" s="169" t="s">
        <v>4</v>
      </c>
      <c r="L468" s="170" t="s">
        <v>921</v>
      </c>
      <c r="M468" s="42"/>
      <c r="N468" s="42"/>
      <c r="O468" s="42"/>
      <c r="P468" s="42"/>
      <c r="Q468" s="42"/>
      <c r="R468" s="42"/>
      <c r="S468" s="42"/>
      <c r="T468" s="42"/>
      <c r="U468" s="42"/>
    </row>
    <row r="469" spans="1:21" ht="48" customHeight="1">
      <c r="A469" s="212">
        <f t="shared" si="32"/>
        <v>215</v>
      </c>
      <c r="B469" s="148" t="s">
        <v>484</v>
      </c>
      <c r="C469" s="216" t="s">
        <v>394</v>
      </c>
      <c r="D469" s="217" t="s">
        <v>922</v>
      </c>
      <c r="E469" s="218" t="s">
        <v>83</v>
      </c>
      <c r="F469" s="219">
        <v>1</v>
      </c>
      <c r="G469" s="394"/>
      <c r="H469" s="220">
        <f t="shared" si="31"/>
        <v>0</v>
      </c>
      <c r="I469" s="169" t="s">
        <v>4</v>
      </c>
      <c r="L469" s="170" t="s">
        <v>925</v>
      </c>
      <c r="M469" s="42"/>
      <c r="N469" s="42"/>
      <c r="O469" s="42"/>
      <c r="P469" s="42"/>
      <c r="Q469" s="42"/>
      <c r="R469" s="42"/>
      <c r="S469" s="42"/>
      <c r="T469" s="42"/>
      <c r="U469" s="42"/>
    </row>
    <row r="470" spans="1:21" ht="44.25" customHeight="1">
      <c r="A470" s="212">
        <f t="shared" si="32"/>
        <v>216</v>
      </c>
      <c r="B470" s="148" t="s">
        <v>485</v>
      </c>
      <c r="C470" s="222" t="s">
        <v>394</v>
      </c>
      <c r="D470" s="217" t="s">
        <v>923</v>
      </c>
      <c r="E470" s="218" t="s">
        <v>83</v>
      </c>
      <c r="F470" s="219">
        <v>1</v>
      </c>
      <c r="G470" s="394"/>
      <c r="H470" s="220">
        <f>F470*G470</f>
        <v>0</v>
      </c>
      <c r="I470" s="169" t="s">
        <v>4</v>
      </c>
      <c r="L470" s="170" t="s">
        <v>101</v>
      </c>
      <c r="M470" s="42"/>
      <c r="N470" s="42"/>
      <c r="O470" s="42"/>
      <c r="P470" s="42"/>
      <c r="Q470" s="42"/>
      <c r="R470" s="42"/>
      <c r="S470" s="42"/>
      <c r="T470" s="42"/>
      <c r="U470" s="42"/>
    </row>
    <row r="471" spans="1:21" ht="23.25" customHeight="1">
      <c r="A471" s="212">
        <f t="shared" si="32"/>
        <v>217</v>
      </c>
      <c r="B471" s="148" t="s">
        <v>139</v>
      </c>
      <c r="C471" s="192" t="s">
        <v>395</v>
      </c>
      <c r="D471" s="72" t="s">
        <v>269</v>
      </c>
      <c r="E471" s="74" t="s">
        <v>83</v>
      </c>
      <c r="F471" s="137">
        <v>1</v>
      </c>
      <c r="G471" s="386"/>
      <c r="H471" s="75">
        <f>F471*G471</f>
        <v>0</v>
      </c>
      <c r="I471" s="169" t="s">
        <v>4</v>
      </c>
      <c r="L471" s="170" t="s">
        <v>924</v>
      </c>
      <c r="M471" s="42"/>
      <c r="N471" s="42"/>
      <c r="O471" s="42"/>
      <c r="P471" s="42"/>
      <c r="Q471" s="42"/>
      <c r="R471" s="42"/>
      <c r="S471" s="42"/>
      <c r="T471" s="42"/>
      <c r="U471" s="42"/>
    </row>
    <row r="472" spans="1:21" ht="37.5" customHeight="1">
      <c r="A472" s="212">
        <f t="shared" si="32"/>
        <v>218</v>
      </c>
      <c r="B472" s="148" t="s">
        <v>486</v>
      </c>
      <c r="C472" s="216" t="s">
        <v>394</v>
      </c>
      <c r="D472" s="217" t="s">
        <v>436</v>
      </c>
      <c r="E472" s="218" t="s">
        <v>83</v>
      </c>
      <c r="F472" s="219">
        <v>1</v>
      </c>
      <c r="G472" s="394"/>
      <c r="H472" s="220">
        <f t="shared" si="31"/>
        <v>0</v>
      </c>
      <c r="I472" s="169" t="s">
        <v>4</v>
      </c>
      <c r="L472" s="170" t="s">
        <v>926</v>
      </c>
      <c r="M472" s="42"/>
      <c r="N472" s="42"/>
      <c r="O472" s="42"/>
      <c r="P472" s="42"/>
      <c r="Q472" s="42"/>
      <c r="R472" s="42"/>
      <c r="S472" s="42"/>
      <c r="T472" s="42"/>
      <c r="U472" s="42"/>
    </row>
    <row r="473" spans="1:21" ht="12.75">
      <c r="A473" s="212">
        <f t="shared" si="32"/>
        <v>219</v>
      </c>
      <c r="B473" s="148" t="s">
        <v>487</v>
      </c>
      <c r="C473" s="192"/>
      <c r="D473" s="72" t="s">
        <v>323</v>
      </c>
      <c r="E473" s="74" t="s">
        <v>83</v>
      </c>
      <c r="F473" s="137">
        <v>5</v>
      </c>
      <c r="G473" s="386"/>
      <c r="H473" s="75">
        <f t="shared" si="31"/>
        <v>0</v>
      </c>
      <c r="I473" s="169" t="s">
        <v>4</v>
      </c>
      <c r="L473" s="42"/>
      <c r="M473" s="42"/>
      <c r="N473" s="42"/>
      <c r="O473" s="42"/>
      <c r="P473" s="42"/>
      <c r="Q473" s="42"/>
      <c r="R473" s="42"/>
      <c r="S473" s="42"/>
      <c r="T473" s="42"/>
      <c r="U473" s="42"/>
    </row>
    <row r="474" spans="1:21" ht="13.5" thickBot="1">
      <c r="A474" s="212">
        <f t="shared" si="32"/>
        <v>220</v>
      </c>
      <c r="B474" s="148" t="s">
        <v>166</v>
      </c>
      <c r="C474" s="190"/>
      <c r="D474" s="72" t="s">
        <v>126</v>
      </c>
      <c r="E474" s="233" t="s">
        <v>89</v>
      </c>
      <c r="F474" s="133">
        <f>+H451+Cena_2e+H455+H457+H458+H460+H461+H462+H465+H467+H469+H470+H472+H473</f>
        <v>0</v>
      </c>
      <c r="G474" s="395"/>
      <c r="H474" s="234">
        <f t="shared" si="31"/>
        <v>0</v>
      </c>
      <c r="I474" s="169" t="s">
        <v>4</v>
      </c>
      <c r="L474" s="42"/>
      <c r="M474" s="42"/>
      <c r="N474" s="42"/>
      <c r="O474" s="42"/>
      <c r="P474" s="42"/>
      <c r="Q474" s="42"/>
      <c r="R474" s="42"/>
      <c r="S474" s="42"/>
      <c r="T474" s="42"/>
      <c r="U474" s="42"/>
    </row>
    <row r="475" spans="1:21" ht="13.5" thickBot="1">
      <c r="A475" s="212"/>
      <c r="B475" s="148"/>
      <c r="C475" s="190"/>
      <c r="D475" s="85" t="s">
        <v>82</v>
      </c>
      <c r="E475" s="86"/>
      <c r="F475" s="223"/>
      <c r="G475" s="296"/>
      <c r="H475" s="78">
        <f>SUBTOTAL(9,H450:H474)</f>
        <v>0</v>
      </c>
      <c r="L475" s="42"/>
      <c r="M475" s="42"/>
      <c r="N475" s="42"/>
      <c r="O475" s="42"/>
      <c r="P475" s="42"/>
      <c r="Q475" s="42"/>
      <c r="R475" s="42"/>
      <c r="S475" s="42"/>
      <c r="T475" s="42"/>
      <c r="U475" s="42"/>
    </row>
    <row r="476" spans="1:21" ht="13.5" thickBot="1">
      <c r="A476" s="212"/>
      <c r="B476" s="148"/>
      <c r="C476" s="190"/>
      <c r="D476" s="224"/>
      <c r="E476" s="208"/>
      <c r="F476" s="128"/>
      <c r="H476" s="209"/>
      <c r="L476" s="42"/>
      <c r="M476" s="42"/>
      <c r="N476" s="42"/>
      <c r="O476" s="42"/>
      <c r="P476" s="42"/>
      <c r="Q476" s="42"/>
      <c r="R476" s="42"/>
      <c r="S476" s="42"/>
      <c r="T476" s="42"/>
      <c r="U476" s="42"/>
    </row>
    <row r="477" spans="1:21" ht="16.5">
      <c r="A477" s="212"/>
      <c r="B477" s="148"/>
      <c r="C477" s="225" t="s">
        <v>453</v>
      </c>
      <c r="D477" s="110" t="s">
        <v>428</v>
      </c>
      <c r="E477" s="110"/>
      <c r="F477" s="140"/>
      <c r="G477" s="299"/>
      <c r="H477" s="110"/>
      <c r="L477" s="42"/>
      <c r="M477" s="42"/>
      <c r="N477" s="42"/>
      <c r="O477" s="42"/>
      <c r="P477" s="42"/>
      <c r="Q477" s="42"/>
      <c r="R477" s="42"/>
      <c r="S477" s="42"/>
      <c r="T477" s="42"/>
      <c r="U477" s="42"/>
    </row>
    <row r="478" spans="1:21" ht="93.75" customHeight="1">
      <c r="A478" s="212"/>
      <c r="B478" s="148"/>
      <c r="C478" s="235"/>
      <c r="D478" s="429" t="s">
        <v>322</v>
      </c>
      <c r="E478" s="429"/>
      <c r="F478" s="429"/>
      <c r="G478" s="104"/>
      <c r="H478" s="104"/>
      <c r="L478" s="42"/>
      <c r="M478" s="42"/>
      <c r="N478" s="42"/>
      <c r="O478" s="42"/>
      <c r="P478" s="42"/>
      <c r="Q478" s="42"/>
      <c r="R478" s="42"/>
      <c r="S478" s="42"/>
      <c r="T478" s="42"/>
      <c r="U478" s="42"/>
    </row>
    <row r="479" spans="1:21" ht="12.75">
      <c r="A479" s="212">
        <f>A474+1</f>
        <v>221</v>
      </c>
      <c r="B479" s="183" t="s">
        <v>46</v>
      </c>
      <c r="C479" s="156" t="s">
        <v>395</v>
      </c>
      <c r="D479" s="161" t="s">
        <v>47</v>
      </c>
      <c r="E479" s="157" t="s">
        <v>84</v>
      </c>
      <c r="F479" s="143">
        <f>+F480+F481</f>
        <v>3.5</v>
      </c>
      <c r="G479" s="387"/>
      <c r="H479" s="158">
        <f aca="true" t="shared" si="33" ref="H479:H488">F479*G479</f>
        <v>0</v>
      </c>
      <c r="I479" s="258" t="s">
        <v>7</v>
      </c>
      <c r="J479" s="164"/>
      <c r="L479" s="380"/>
      <c r="M479" s="42"/>
      <c r="N479" s="42"/>
      <c r="O479" s="42"/>
      <c r="P479" s="42"/>
      <c r="Q479" s="42"/>
      <c r="R479" s="42"/>
      <c r="S479" s="42"/>
      <c r="T479" s="42"/>
      <c r="U479" s="42"/>
    </row>
    <row r="480" spans="1:21" ht="12.75">
      <c r="A480" s="212">
        <f>A479+1</f>
        <v>222</v>
      </c>
      <c r="B480" s="183" t="s">
        <v>601</v>
      </c>
      <c r="C480" s="184" t="s">
        <v>394</v>
      </c>
      <c r="D480" s="177" t="s">
        <v>396</v>
      </c>
      <c r="E480" s="178" t="s">
        <v>84</v>
      </c>
      <c r="F480" s="166">
        <f>0.5+2+0.5</f>
        <v>3</v>
      </c>
      <c r="G480" s="394"/>
      <c r="H480" s="179">
        <f t="shared" si="33"/>
        <v>0</v>
      </c>
      <c r="I480" s="258" t="s">
        <v>7</v>
      </c>
      <c r="L480" s="42"/>
      <c r="M480" s="42"/>
      <c r="N480" s="42"/>
      <c r="O480" s="42"/>
      <c r="P480" s="42"/>
      <c r="Q480" s="42"/>
      <c r="R480" s="42"/>
      <c r="S480" s="42"/>
      <c r="T480" s="42"/>
      <c r="U480" s="42"/>
    </row>
    <row r="481" spans="1:21" ht="25.5">
      <c r="A481" s="212">
        <f>A480+1</f>
        <v>223</v>
      </c>
      <c r="B481" s="183" t="s">
        <v>397</v>
      </c>
      <c r="C481" s="176" t="s">
        <v>394</v>
      </c>
      <c r="D481" s="177" t="s">
        <v>927</v>
      </c>
      <c r="E481" s="178" t="s">
        <v>84</v>
      </c>
      <c r="F481" s="166">
        <v>0.5</v>
      </c>
      <c r="G481" s="394"/>
      <c r="H481" s="179">
        <f t="shared" si="33"/>
        <v>0</v>
      </c>
      <c r="I481" s="258" t="s">
        <v>7</v>
      </c>
      <c r="L481" s="42"/>
      <c r="M481" s="42"/>
      <c r="N481" s="42"/>
      <c r="O481" s="42"/>
      <c r="P481" s="42"/>
      <c r="Q481" s="42"/>
      <c r="R481" s="42"/>
      <c r="S481" s="42"/>
      <c r="T481" s="42"/>
      <c r="U481" s="42"/>
    </row>
    <row r="482" spans="1:21" ht="12.75">
      <c r="A482" s="212">
        <f>A481+1</f>
        <v>224</v>
      </c>
      <c r="B482" s="183">
        <v>429853216</v>
      </c>
      <c r="C482" s="176" t="s">
        <v>394</v>
      </c>
      <c r="D482" s="177" t="s">
        <v>928</v>
      </c>
      <c r="E482" s="178" t="s">
        <v>83</v>
      </c>
      <c r="F482" s="166">
        <v>2</v>
      </c>
      <c r="G482" s="394"/>
      <c r="H482" s="179">
        <f t="shared" si="33"/>
        <v>0</v>
      </c>
      <c r="I482" s="258" t="s">
        <v>7</v>
      </c>
      <c r="J482" s="337"/>
      <c r="K482" s="383"/>
      <c r="L482" s="42"/>
      <c r="M482" s="42"/>
      <c r="N482" s="42"/>
      <c r="O482" s="42"/>
      <c r="P482" s="42"/>
      <c r="Q482" s="42"/>
      <c r="R482" s="42"/>
      <c r="S482" s="42"/>
      <c r="T482" s="42"/>
      <c r="U482" s="42"/>
    </row>
    <row r="483" spans="1:21" ht="12.75">
      <c r="A483" s="212">
        <f>A482+1</f>
        <v>225</v>
      </c>
      <c r="B483" s="183">
        <v>429853211</v>
      </c>
      <c r="C483" s="184" t="s">
        <v>394</v>
      </c>
      <c r="D483" s="177" t="s">
        <v>398</v>
      </c>
      <c r="E483" s="178" t="s">
        <v>83</v>
      </c>
      <c r="F483" s="166">
        <v>1</v>
      </c>
      <c r="G483" s="394"/>
      <c r="H483" s="179">
        <f t="shared" si="33"/>
        <v>0</v>
      </c>
      <c r="I483" s="258" t="s">
        <v>7</v>
      </c>
      <c r="J483" s="337"/>
      <c r="K483" s="383"/>
      <c r="L483" s="42"/>
      <c r="M483" s="42"/>
      <c r="N483" s="42"/>
      <c r="O483" s="42"/>
      <c r="P483" s="42"/>
      <c r="Q483" s="42"/>
      <c r="R483" s="42"/>
      <c r="S483" s="42"/>
      <c r="T483" s="42"/>
      <c r="U483" s="42"/>
    </row>
    <row r="484" spans="1:21" ht="12.75" customHeight="1">
      <c r="A484" s="212">
        <f aca="true" t="shared" si="34" ref="A484:A495">A483+1</f>
        <v>226</v>
      </c>
      <c r="B484" s="183">
        <v>429853241</v>
      </c>
      <c r="C484" s="176" t="s">
        <v>394</v>
      </c>
      <c r="D484" s="177" t="s">
        <v>399</v>
      </c>
      <c r="E484" s="178" t="s">
        <v>83</v>
      </c>
      <c r="F484" s="166">
        <v>5</v>
      </c>
      <c r="G484" s="394"/>
      <c r="H484" s="179">
        <f t="shared" si="33"/>
        <v>0</v>
      </c>
      <c r="I484" s="258" t="s">
        <v>7</v>
      </c>
      <c r="J484" s="337"/>
      <c r="K484" s="383"/>
      <c r="L484" s="42"/>
      <c r="M484" s="42"/>
      <c r="N484" s="42"/>
      <c r="O484" s="42"/>
      <c r="P484" s="42"/>
      <c r="Q484" s="42"/>
      <c r="R484" s="42"/>
      <c r="S484" s="42"/>
      <c r="T484" s="42"/>
      <c r="U484" s="42"/>
    </row>
    <row r="485" spans="1:21" ht="12.75">
      <c r="A485" s="212">
        <f t="shared" si="34"/>
        <v>227</v>
      </c>
      <c r="B485" s="183">
        <v>429853271</v>
      </c>
      <c r="C485" s="176" t="s">
        <v>394</v>
      </c>
      <c r="D485" s="177" t="s">
        <v>400</v>
      </c>
      <c r="E485" s="178" t="s">
        <v>83</v>
      </c>
      <c r="F485" s="166">
        <v>5</v>
      </c>
      <c r="G485" s="394"/>
      <c r="H485" s="179">
        <f t="shared" si="33"/>
        <v>0</v>
      </c>
      <c r="I485" s="258" t="s">
        <v>7</v>
      </c>
      <c r="J485" s="337"/>
      <c r="K485" s="383"/>
      <c r="L485" s="42"/>
      <c r="M485" s="42"/>
      <c r="N485" s="42"/>
      <c r="O485" s="42"/>
      <c r="P485" s="42"/>
      <c r="Q485" s="42"/>
      <c r="R485" s="42"/>
      <c r="S485" s="42"/>
      <c r="T485" s="42"/>
      <c r="U485" s="42"/>
    </row>
    <row r="486" spans="1:21" ht="12.75">
      <c r="A486" s="212">
        <f t="shared" si="34"/>
        <v>228</v>
      </c>
      <c r="B486" s="183">
        <v>429853245</v>
      </c>
      <c r="C486" s="176" t="s">
        <v>394</v>
      </c>
      <c r="D486" s="177" t="s">
        <v>303</v>
      </c>
      <c r="E486" s="178" t="s">
        <v>83</v>
      </c>
      <c r="F486" s="329">
        <v>1</v>
      </c>
      <c r="G486" s="394"/>
      <c r="H486" s="179">
        <f t="shared" si="33"/>
        <v>0</v>
      </c>
      <c r="I486" s="258" t="s">
        <v>7</v>
      </c>
      <c r="J486" s="164"/>
      <c r="L486" s="159"/>
      <c r="M486" s="42"/>
      <c r="N486" s="42"/>
      <c r="O486" s="42"/>
      <c r="P486" s="42"/>
      <c r="Q486" s="42"/>
      <c r="R486" s="42"/>
      <c r="S486" s="42"/>
      <c r="T486" s="42"/>
      <c r="U486" s="42"/>
    </row>
    <row r="487" spans="1:21" ht="25.5">
      <c r="A487" s="212">
        <f t="shared" si="34"/>
        <v>229</v>
      </c>
      <c r="B487" s="183" t="s">
        <v>401</v>
      </c>
      <c r="C487" s="184" t="s">
        <v>394</v>
      </c>
      <c r="D487" s="177" t="s">
        <v>402</v>
      </c>
      <c r="E487" s="178" t="s">
        <v>83</v>
      </c>
      <c r="F487" s="166">
        <v>1</v>
      </c>
      <c r="G487" s="394"/>
      <c r="H487" s="179">
        <f t="shared" si="33"/>
        <v>0</v>
      </c>
      <c r="I487" s="258" t="s">
        <v>7</v>
      </c>
      <c r="J487" s="337"/>
      <c r="L487" s="175" t="s">
        <v>403</v>
      </c>
      <c r="M487" s="42"/>
      <c r="N487" s="42"/>
      <c r="O487" s="42"/>
      <c r="P487" s="42"/>
      <c r="Q487" s="42"/>
      <c r="R487" s="42"/>
      <c r="S487" s="42"/>
      <c r="T487" s="42"/>
      <c r="U487" s="42"/>
    </row>
    <row r="488" spans="1:21" ht="16.5">
      <c r="A488" s="212">
        <f>A487+1</f>
        <v>230</v>
      </c>
      <c r="B488" s="183" t="s">
        <v>602</v>
      </c>
      <c r="C488" s="156"/>
      <c r="D488" s="157" t="s">
        <v>100</v>
      </c>
      <c r="E488" s="157" t="s">
        <v>84</v>
      </c>
      <c r="F488" s="143">
        <v>2</v>
      </c>
      <c r="G488" s="387"/>
      <c r="H488" s="158">
        <f t="shared" si="33"/>
        <v>0</v>
      </c>
      <c r="I488" s="258" t="s">
        <v>7</v>
      </c>
      <c r="J488" s="164"/>
      <c r="L488" s="175" t="s">
        <v>73</v>
      </c>
      <c r="M488" s="42"/>
      <c r="N488" s="42"/>
      <c r="O488" s="42"/>
      <c r="P488" s="42"/>
      <c r="Q488" s="42"/>
      <c r="R488" s="42"/>
      <c r="S488" s="42"/>
      <c r="T488" s="42"/>
      <c r="U488" s="42"/>
    </row>
    <row r="489" spans="1:21" ht="16.5">
      <c r="A489" s="212">
        <f t="shared" si="34"/>
        <v>231</v>
      </c>
      <c r="B489" s="183" t="s">
        <v>929</v>
      </c>
      <c r="C489" s="165" t="s">
        <v>395</v>
      </c>
      <c r="D489" s="161" t="s">
        <v>930</v>
      </c>
      <c r="E489" s="157" t="s">
        <v>84</v>
      </c>
      <c r="F489" s="143">
        <v>17</v>
      </c>
      <c r="G489" s="387"/>
      <c r="H489" s="267">
        <f aca="true" t="shared" si="35" ref="H489:H496">F489*G489</f>
        <v>0</v>
      </c>
      <c r="I489" s="258" t="s">
        <v>7</v>
      </c>
      <c r="J489" s="337"/>
      <c r="K489" s="384"/>
      <c r="L489" s="170"/>
      <c r="M489" s="42"/>
      <c r="N489" s="42"/>
      <c r="O489" s="42"/>
      <c r="P489" s="42"/>
      <c r="Q489" s="42"/>
      <c r="R489" s="42"/>
      <c r="S489" s="42"/>
      <c r="T489" s="42"/>
      <c r="U489" s="42"/>
    </row>
    <row r="490" spans="1:21" ht="16.5">
      <c r="A490" s="212">
        <f t="shared" si="34"/>
        <v>232</v>
      </c>
      <c r="B490" s="183" t="s">
        <v>931</v>
      </c>
      <c r="C490" s="184"/>
      <c r="D490" s="269" t="s">
        <v>932</v>
      </c>
      <c r="E490" s="178" t="s">
        <v>84</v>
      </c>
      <c r="F490" s="166">
        <v>17</v>
      </c>
      <c r="G490" s="394"/>
      <c r="H490" s="268">
        <f t="shared" si="35"/>
        <v>0</v>
      </c>
      <c r="I490" s="258" t="s">
        <v>7</v>
      </c>
      <c r="J490" s="337"/>
      <c r="L490" s="175"/>
      <c r="M490" s="42"/>
      <c r="N490" s="42"/>
      <c r="O490" s="42"/>
      <c r="P490" s="42"/>
      <c r="Q490" s="42"/>
      <c r="R490" s="42"/>
      <c r="S490" s="42"/>
      <c r="T490" s="42"/>
      <c r="U490" s="42"/>
    </row>
    <row r="491" spans="1:21" ht="16.5">
      <c r="A491" s="212">
        <f t="shared" si="34"/>
        <v>233</v>
      </c>
      <c r="B491" s="183" t="s">
        <v>404</v>
      </c>
      <c r="C491" s="156" t="s">
        <v>405</v>
      </c>
      <c r="D491" s="161" t="s">
        <v>406</v>
      </c>
      <c r="E491" s="157" t="s">
        <v>83</v>
      </c>
      <c r="F491" s="143">
        <v>1</v>
      </c>
      <c r="G491" s="387"/>
      <c r="H491" s="158">
        <f t="shared" si="35"/>
        <v>0</v>
      </c>
      <c r="I491" s="258" t="s">
        <v>7</v>
      </c>
      <c r="J491" s="337"/>
      <c r="K491" s="384"/>
      <c r="L491" s="42"/>
      <c r="M491" s="42"/>
      <c r="N491" s="42"/>
      <c r="O491" s="42"/>
      <c r="P491" s="42"/>
      <c r="Q491" s="42"/>
      <c r="R491" s="42"/>
      <c r="S491" s="42"/>
      <c r="T491" s="42"/>
      <c r="U491" s="42"/>
    </row>
    <row r="492" spans="1:21" ht="16.5">
      <c r="A492" s="212">
        <f t="shared" si="34"/>
        <v>234</v>
      </c>
      <c r="B492" s="183" t="s">
        <v>212</v>
      </c>
      <c r="C492" s="184" t="s">
        <v>394</v>
      </c>
      <c r="D492" s="177" t="s">
        <v>296</v>
      </c>
      <c r="E492" s="178" t="s">
        <v>80</v>
      </c>
      <c r="F492" s="166">
        <v>1</v>
      </c>
      <c r="G492" s="394"/>
      <c r="H492" s="179">
        <f t="shared" si="35"/>
        <v>0</v>
      </c>
      <c r="I492" s="258" t="s">
        <v>7</v>
      </c>
      <c r="J492" s="337"/>
      <c r="L492" s="175" t="s">
        <v>295</v>
      </c>
      <c r="M492" s="42"/>
      <c r="N492" s="42"/>
      <c r="O492" s="42"/>
      <c r="P492" s="42"/>
      <c r="Q492" s="42"/>
      <c r="R492" s="42"/>
      <c r="S492" s="42"/>
      <c r="T492" s="42"/>
      <c r="U492" s="42"/>
    </row>
    <row r="493" spans="1:21" ht="12.75">
      <c r="A493" s="212">
        <f t="shared" si="34"/>
        <v>235</v>
      </c>
      <c r="B493" s="183" t="s">
        <v>330</v>
      </c>
      <c r="C493" s="156"/>
      <c r="D493" s="161" t="s">
        <v>933</v>
      </c>
      <c r="E493" s="157" t="s">
        <v>80</v>
      </c>
      <c r="F493" s="143">
        <v>1</v>
      </c>
      <c r="G493" s="387"/>
      <c r="H493" s="158">
        <f t="shared" si="35"/>
        <v>0</v>
      </c>
      <c r="I493" s="258" t="s">
        <v>4</v>
      </c>
      <c r="J493" s="164"/>
      <c r="L493" s="42"/>
      <c r="M493" s="42"/>
      <c r="N493" s="42"/>
      <c r="O493" s="42"/>
      <c r="P493" s="42"/>
      <c r="Q493" s="42"/>
      <c r="R493" s="42"/>
      <c r="S493" s="42"/>
      <c r="T493" s="42"/>
      <c r="U493" s="42"/>
    </row>
    <row r="494" spans="1:21" ht="12.75">
      <c r="A494" s="212">
        <f t="shared" si="34"/>
        <v>236</v>
      </c>
      <c r="B494" s="183" t="s">
        <v>955</v>
      </c>
      <c r="C494" s="156" t="s">
        <v>145</v>
      </c>
      <c r="D494" s="161" t="s">
        <v>297</v>
      </c>
      <c r="E494" s="157" t="s">
        <v>80</v>
      </c>
      <c r="F494" s="143">
        <v>1</v>
      </c>
      <c r="G494" s="387"/>
      <c r="H494" s="158">
        <f t="shared" si="35"/>
        <v>0</v>
      </c>
      <c r="I494" s="258" t="s">
        <v>4</v>
      </c>
      <c r="J494" s="164"/>
      <c r="L494" s="42"/>
      <c r="M494" s="42"/>
      <c r="N494" s="42"/>
      <c r="O494" s="42"/>
      <c r="P494" s="42"/>
      <c r="Q494" s="42"/>
      <c r="R494" s="42"/>
      <c r="S494" s="42"/>
      <c r="T494" s="42"/>
      <c r="U494" s="42"/>
    </row>
    <row r="495" spans="1:21" ht="12.75">
      <c r="A495" s="212">
        <f t="shared" si="34"/>
        <v>237</v>
      </c>
      <c r="B495" s="183" t="s">
        <v>412</v>
      </c>
      <c r="C495" s="156"/>
      <c r="D495" s="161" t="s">
        <v>422</v>
      </c>
      <c r="E495" s="157" t="s">
        <v>80</v>
      </c>
      <c r="F495" s="143">
        <v>1</v>
      </c>
      <c r="G495" s="387"/>
      <c r="H495" s="158">
        <f t="shared" si="35"/>
        <v>0</v>
      </c>
      <c r="I495" s="258" t="s">
        <v>7</v>
      </c>
      <c r="J495" s="164"/>
      <c r="L495" s="42"/>
      <c r="M495" s="42"/>
      <c r="N495" s="42"/>
      <c r="O495" s="42"/>
      <c r="P495" s="42"/>
      <c r="Q495" s="42"/>
      <c r="R495" s="42"/>
      <c r="S495" s="42"/>
      <c r="T495" s="42"/>
      <c r="U495" s="42"/>
    </row>
    <row r="496" spans="1:21" ht="13.5" thickBot="1">
      <c r="A496" s="212">
        <f>A495+1</f>
        <v>238</v>
      </c>
      <c r="B496" s="183" t="s">
        <v>166</v>
      </c>
      <c r="C496" s="160"/>
      <c r="D496" s="161" t="s">
        <v>126</v>
      </c>
      <c r="E496" s="181" t="s">
        <v>89</v>
      </c>
      <c r="F496" s="134">
        <f>+H480+H481+H482+H483+Cena_2f+H485+H486+H487+H488+H490+H492+H495</f>
        <v>0</v>
      </c>
      <c r="G496" s="399"/>
      <c r="H496" s="182">
        <f t="shared" si="35"/>
        <v>0</v>
      </c>
      <c r="I496" s="258" t="s">
        <v>7</v>
      </c>
      <c r="J496" s="164"/>
      <c r="L496" s="42"/>
      <c r="M496" s="42"/>
      <c r="N496" s="42"/>
      <c r="O496" s="42"/>
      <c r="P496" s="42"/>
      <c r="Q496" s="42"/>
      <c r="R496" s="42"/>
      <c r="S496" s="42"/>
      <c r="T496" s="42"/>
      <c r="U496" s="42"/>
    </row>
    <row r="497" spans="1:21" ht="13.5" thickBot="1">
      <c r="A497" s="212"/>
      <c r="B497" s="148"/>
      <c r="C497" s="190"/>
      <c r="D497" s="85" t="s">
        <v>82</v>
      </c>
      <c r="E497" s="86"/>
      <c r="F497" s="223"/>
      <c r="G497" s="296"/>
      <c r="H497" s="78">
        <f>SUM(H479:H496)</f>
        <v>0</v>
      </c>
      <c r="L497" s="42"/>
      <c r="M497" s="42"/>
      <c r="N497" s="42"/>
      <c r="O497" s="42"/>
      <c r="P497" s="42"/>
      <c r="Q497" s="42"/>
      <c r="R497" s="42"/>
      <c r="S497" s="42"/>
      <c r="T497" s="42"/>
      <c r="U497" s="42"/>
    </row>
    <row r="498" spans="1:21" ht="12.75">
      <c r="A498" s="212"/>
      <c r="B498" s="148"/>
      <c r="C498" s="190"/>
      <c r="D498" s="224"/>
      <c r="E498" s="208"/>
      <c r="F498" s="128"/>
      <c r="H498" s="209"/>
      <c r="L498" s="42"/>
      <c r="M498" s="42"/>
      <c r="N498" s="42"/>
      <c r="O498" s="42"/>
      <c r="P498" s="42"/>
      <c r="Q498" s="42"/>
      <c r="R498" s="42"/>
      <c r="S498" s="42"/>
      <c r="T498" s="42"/>
      <c r="U498" s="42"/>
    </row>
    <row r="499" spans="1:21" ht="16.5">
      <c r="A499" s="212"/>
      <c r="B499" s="148"/>
      <c r="C499" s="225" t="s">
        <v>454</v>
      </c>
      <c r="D499" s="111" t="s">
        <v>35</v>
      </c>
      <c r="E499" s="111"/>
      <c r="F499" s="136"/>
      <c r="G499" s="300"/>
      <c r="H499" s="111"/>
      <c r="L499" s="42"/>
      <c r="M499" s="42"/>
      <c r="N499" s="42"/>
      <c r="O499" s="42"/>
      <c r="P499" s="42"/>
      <c r="Q499" s="42"/>
      <c r="R499" s="42"/>
      <c r="S499" s="42"/>
      <c r="T499" s="42"/>
      <c r="U499" s="42"/>
    </row>
    <row r="500" spans="1:21" ht="68.25" customHeight="1">
      <c r="A500" s="212"/>
      <c r="B500" s="148"/>
      <c r="C500" s="235"/>
      <c r="D500" s="429" t="s">
        <v>577</v>
      </c>
      <c r="E500" s="429"/>
      <c r="F500" s="429"/>
      <c r="G500" s="103"/>
      <c r="H500" s="103"/>
      <c r="L500" s="42"/>
      <c r="M500" s="42"/>
      <c r="N500" s="42"/>
      <c r="O500" s="42"/>
      <c r="P500" s="42"/>
      <c r="Q500" s="42"/>
      <c r="R500" s="42"/>
      <c r="S500" s="42"/>
      <c r="T500" s="42"/>
      <c r="U500" s="42"/>
    </row>
    <row r="501" spans="1:21" ht="25.5">
      <c r="A501" s="212">
        <f>A496+1</f>
        <v>239</v>
      </c>
      <c r="B501" s="358" t="s">
        <v>712</v>
      </c>
      <c r="C501" s="222"/>
      <c r="D501" s="72" t="s">
        <v>713</v>
      </c>
      <c r="E501" s="74" t="s">
        <v>84</v>
      </c>
      <c r="F501" s="137">
        <v>45</v>
      </c>
      <c r="G501" s="386"/>
      <c r="H501" s="75">
        <f>F501*G501</f>
        <v>0</v>
      </c>
      <c r="I501" s="169" t="s">
        <v>4</v>
      </c>
      <c r="L501" s="42"/>
      <c r="M501" s="42"/>
      <c r="N501" s="42"/>
      <c r="O501" s="42"/>
      <c r="P501" s="42"/>
      <c r="Q501" s="42"/>
      <c r="R501" s="42"/>
      <c r="S501" s="42"/>
      <c r="T501" s="42"/>
      <c r="U501" s="42"/>
    </row>
    <row r="502" spans="1:21" ht="25.5">
      <c r="A502" s="212">
        <f aca="true" t="shared" si="36" ref="A502:A533">A501+1</f>
        <v>240</v>
      </c>
      <c r="B502" s="358" t="s">
        <v>714</v>
      </c>
      <c r="C502" s="222"/>
      <c r="D502" s="72" t="s">
        <v>715</v>
      </c>
      <c r="E502" s="74" t="s">
        <v>84</v>
      </c>
      <c r="F502" s="137">
        <v>16</v>
      </c>
      <c r="G502" s="386"/>
      <c r="H502" s="75">
        <f>F502*G502</f>
        <v>0</v>
      </c>
      <c r="I502" s="169" t="s">
        <v>4</v>
      </c>
      <c r="L502" s="42"/>
      <c r="M502" s="42"/>
      <c r="N502" s="42"/>
      <c r="O502" s="42"/>
      <c r="P502" s="42"/>
      <c r="Q502" s="42"/>
      <c r="R502" s="42"/>
      <c r="S502" s="42"/>
      <c r="T502" s="42"/>
      <c r="U502" s="42"/>
    </row>
    <row r="503" spans="1:21" ht="25.5">
      <c r="A503" s="212">
        <f t="shared" si="36"/>
        <v>241</v>
      </c>
      <c r="B503" s="358" t="s">
        <v>716</v>
      </c>
      <c r="C503" s="244"/>
      <c r="D503" s="72" t="s">
        <v>717</v>
      </c>
      <c r="E503" s="74" t="s">
        <v>84</v>
      </c>
      <c r="F503" s="137">
        <v>4</v>
      </c>
      <c r="G503" s="386"/>
      <c r="H503" s="75">
        <f>F503*G503</f>
        <v>0</v>
      </c>
      <c r="I503" s="169" t="s">
        <v>4</v>
      </c>
      <c r="L503" s="42"/>
      <c r="M503" s="42"/>
      <c r="N503" s="42"/>
      <c r="O503" s="42"/>
      <c r="P503" s="42"/>
      <c r="Q503" s="42"/>
      <c r="R503" s="42"/>
      <c r="S503" s="42"/>
      <c r="T503" s="42"/>
      <c r="U503" s="42"/>
    </row>
    <row r="504" spans="1:21" ht="12.75">
      <c r="A504" s="212">
        <f t="shared" si="36"/>
        <v>242</v>
      </c>
      <c r="B504" s="358" t="s">
        <v>718</v>
      </c>
      <c r="C504" s="190"/>
      <c r="D504" s="72" t="s">
        <v>719</v>
      </c>
      <c r="E504" s="74" t="s">
        <v>84</v>
      </c>
      <c r="F504" s="137">
        <f>+F501+F502+F503</f>
        <v>65</v>
      </c>
      <c r="G504" s="386"/>
      <c r="H504" s="75">
        <f>F504*G504</f>
        <v>0</v>
      </c>
      <c r="I504" s="169" t="s">
        <v>4</v>
      </c>
      <c r="L504" s="42"/>
      <c r="M504" s="42"/>
      <c r="N504" s="42"/>
      <c r="O504" s="42"/>
      <c r="P504" s="42"/>
      <c r="Q504" s="42"/>
      <c r="R504" s="42"/>
      <c r="S504" s="42"/>
      <c r="T504" s="42"/>
      <c r="U504" s="42"/>
    </row>
    <row r="505" spans="1:21" ht="25.5">
      <c r="A505" s="212">
        <f t="shared" si="36"/>
        <v>243</v>
      </c>
      <c r="B505" s="148" t="s">
        <v>76</v>
      </c>
      <c r="C505" s="190"/>
      <c r="D505" s="72" t="s">
        <v>39</v>
      </c>
      <c r="E505" s="72" t="s">
        <v>84</v>
      </c>
      <c r="F505" s="133">
        <v>45</v>
      </c>
      <c r="G505" s="386"/>
      <c r="H505" s="75">
        <f aca="true" t="shared" si="37" ref="H505:H535">F505*G505</f>
        <v>0</v>
      </c>
      <c r="I505" s="169" t="s">
        <v>4</v>
      </c>
      <c r="L505" s="42"/>
      <c r="M505" s="42"/>
      <c r="N505" s="42"/>
      <c r="O505" s="42"/>
      <c r="P505" s="42"/>
      <c r="Q505" s="42"/>
      <c r="R505" s="42"/>
      <c r="S505" s="42"/>
      <c r="T505" s="42"/>
      <c r="U505" s="42"/>
    </row>
    <row r="506" spans="1:21" ht="25.5">
      <c r="A506" s="212">
        <f t="shared" si="36"/>
        <v>244</v>
      </c>
      <c r="B506" s="148" t="s">
        <v>75</v>
      </c>
      <c r="C506" s="190"/>
      <c r="D506" s="72" t="s">
        <v>40</v>
      </c>
      <c r="E506" s="72" t="s">
        <v>84</v>
      </c>
      <c r="F506" s="133">
        <v>16</v>
      </c>
      <c r="G506" s="386"/>
      <c r="H506" s="75">
        <f t="shared" si="37"/>
        <v>0</v>
      </c>
      <c r="I506" s="169" t="s">
        <v>4</v>
      </c>
      <c r="L506" s="42"/>
      <c r="M506" s="42"/>
      <c r="N506" s="42"/>
      <c r="O506" s="42"/>
      <c r="P506" s="42"/>
      <c r="Q506" s="42"/>
      <c r="R506" s="42"/>
      <c r="S506" s="42"/>
      <c r="T506" s="42"/>
      <c r="U506" s="42"/>
    </row>
    <row r="507" spans="1:21" ht="25.5">
      <c r="A507" s="212">
        <f t="shared" si="36"/>
        <v>245</v>
      </c>
      <c r="B507" s="148" t="s">
        <v>275</v>
      </c>
      <c r="C507" s="190"/>
      <c r="D507" s="72" t="s">
        <v>41</v>
      </c>
      <c r="E507" s="74" t="s">
        <v>84</v>
      </c>
      <c r="F507" s="133">
        <v>4</v>
      </c>
      <c r="G507" s="386"/>
      <c r="H507" s="75">
        <f t="shared" si="37"/>
        <v>0</v>
      </c>
      <c r="I507" s="169" t="s">
        <v>4</v>
      </c>
      <c r="L507" s="42"/>
      <c r="M507" s="42"/>
      <c r="N507" s="42"/>
      <c r="O507" s="42"/>
      <c r="P507" s="42"/>
      <c r="Q507" s="42"/>
      <c r="R507" s="42"/>
      <c r="S507" s="42"/>
      <c r="T507" s="42"/>
      <c r="U507" s="42"/>
    </row>
    <row r="508" spans="1:21" ht="12.75">
      <c r="A508" s="212">
        <f t="shared" si="36"/>
        <v>246</v>
      </c>
      <c r="B508" s="148" t="s">
        <v>520</v>
      </c>
      <c r="C508" s="213"/>
      <c r="D508" s="72" t="s">
        <v>521</v>
      </c>
      <c r="E508" s="74" t="s">
        <v>83</v>
      </c>
      <c r="F508" s="137">
        <f>SUM(F509:F511)</f>
        <v>6</v>
      </c>
      <c r="G508" s="386"/>
      <c r="H508" s="75">
        <f t="shared" si="37"/>
        <v>0</v>
      </c>
      <c r="I508" s="169" t="s">
        <v>4</v>
      </c>
      <c r="L508" s="42"/>
      <c r="M508" s="42"/>
      <c r="N508" s="42"/>
      <c r="O508" s="42"/>
      <c r="P508" s="42"/>
      <c r="Q508" s="42"/>
      <c r="R508" s="42"/>
      <c r="S508" s="42"/>
      <c r="T508" s="42"/>
      <c r="U508" s="42"/>
    </row>
    <row r="509" spans="1:21" ht="16.5">
      <c r="A509" s="212">
        <f t="shared" si="36"/>
        <v>247</v>
      </c>
      <c r="B509" s="148" t="s">
        <v>516</v>
      </c>
      <c r="C509" s="222"/>
      <c r="D509" s="217" t="s">
        <v>140</v>
      </c>
      <c r="E509" s="218" t="s">
        <v>83</v>
      </c>
      <c r="F509" s="138">
        <v>2</v>
      </c>
      <c r="G509" s="394"/>
      <c r="H509" s="220">
        <f t="shared" si="37"/>
        <v>0</v>
      </c>
      <c r="I509" s="169" t="s">
        <v>4</v>
      </c>
      <c r="L509" s="170"/>
      <c r="M509" s="42"/>
      <c r="N509" s="42"/>
      <c r="O509" s="42"/>
      <c r="P509" s="42"/>
      <c r="Q509" s="42"/>
      <c r="R509" s="42"/>
      <c r="S509" s="42"/>
      <c r="T509" s="42"/>
      <c r="U509" s="42"/>
    </row>
    <row r="510" spans="1:21" ht="16.5">
      <c r="A510" s="212">
        <f t="shared" si="36"/>
        <v>248</v>
      </c>
      <c r="B510" s="148" t="s">
        <v>517</v>
      </c>
      <c r="C510" s="222"/>
      <c r="D510" s="217" t="s">
        <v>74</v>
      </c>
      <c r="E510" s="218" t="s">
        <v>83</v>
      </c>
      <c r="F510" s="219">
        <v>1</v>
      </c>
      <c r="G510" s="394"/>
      <c r="H510" s="220">
        <f t="shared" si="37"/>
        <v>0</v>
      </c>
      <c r="I510" s="169" t="s">
        <v>4</v>
      </c>
      <c r="L510" s="170"/>
      <c r="M510" s="42"/>
      <c r="N510" s="42"/>
      <c r="O510" s="42"/>
      <c r="P510" s="42"/>
      <c r="Q510" s="42"/>
      <c r="R510" s="42"/>
      <c r="S510" s="42"/>
      <c r="T510" s="42"/>
      <c r="U510" s="42"/>
    </row>
    <row r="511" spans="1:21" ht="16.5">
      <c r="A511" s="212">
        <f t="shared" si="36"/>
        <v>249</v>
      </c>
      <c r="B511" s="148" t="s">
        <v>528</v>
      </c>
      <c r="C511" s="222"/>
      <c r="D511" s="217" t="s">
        <v>527</v>
      </c>
      <c r="E511" s="218" t="s">
        <v>83</v>
      </c>
      <c r="F511" s="219">
        <v>3</v>
      </c>
      <c r="G511" s="394"/>
      <c r="H511" s="220">
        <f t="shared" si="37"/>
        <v>0</v>
      </c>
      <c r="I511" s="169" t="s">
        <v>4</v>
      </c>
      <c r="L511" s="170"/>
      <c r="M511" s="42"/>
      <c r="N511" s="42"/>
      <c r="O511" s="42"/>
      <c r="P511" s="42"/>
      <c r="Q511" s="42"/>
      <c r="R511" s="42"/>
      <c r="S511" s="42"/>
      <c r="T511" s="42"/>
      <c r="U511" s="42"/>
    </row>
    <row r="512" spans="1:21" ht="12.75">
      <c r="A512" s="212">
        <f t="shared" si="36"/>
        <v>250</v>
      </c>
      <c r="B512" s="148" t="s">
        <v>522</v>
      </c>
      <c r="C512" s="213"/>
      <c r="D512" s="72" t="s">
        <v>523</v>
      </c>
      <c r="E512" s="74" t="s">
        <v>83</v>
      </c>
      <c r="F512" s="137">
        <f>+F513</f>
        <v>3</v>
      </c>
      <c r="G512" s="386"/>
      <c r="H512" s="75">
        <f t="shared" si="37"/>
        <v>0</v>
      </c>
      <c r="I512" s="169" t="s">
        <v>4</v>
      </c>
      <c r="L512" s="42"/>
      <c r="M512" s="42"/>
      <c r="N512" s="42"/>
      <c r="O512" s="42"/>
      <c r="P512" s="42"/>
      <c r="Q512" s="42"/>
      <c r="R512" s="42"/>
      <c r="S512" s="42"/>
      <c r="T512" s="42"/>
      <c r="U512" s="42"/>
    </row>
    <row r="513" spans="1:21" ht="25.5">
      <c r="A513" s="212">
        <f t="shared" si="36"/>
        <v>251</v>
      </c>
      <c r="B513" s="148" t="s">
        <v>518</v>
      </c>
      <c r="C513" s="222"/>
      <c r="D513" s="217" t="s">
        <v>519</v>
      </c>
      <c r="E513" s="218" t="s">
        <v>83</v>
      </c>
      <c r="F513" s="219">
        <v>3</v>
      </c>
      <c r="G513" s="394"/>
      <c r="H513" s="220">
        <f t="shared" si="37"/>
        <v>0</v>
      </c>
      <c r="I513" s="169" t="s">
        <v>4</v>
      </c>
      <c r="L513" s="170"/>
      <c r="M513" s="42"/>
      <c r="N513" s="42"/>
      <c r="O513" s="42"/>
      <c r="P513" s="42"/>
      <c r="Q513" s="42"/>
      <c r="R513" s="42"/>
      <c r="S513" s="42"/>
      <c r="T513" s="42"/>
      <c r="U513" s="42"/>
    </row>
    <row r="514" spans="1:21" ht="12.75">
      <c r="A514" s="212">
        <f t="shared" si="36"/>
        <v>252</v>
      </c>
      <c r="B514" s="148" t="s">
        <v>524</v>
      </c>
      <c r="C514" s="213"/>
      <c r="D514" s="72" t="s">
        <v>525</v>
      </c>
      <c r="E514" s="74" t="s">
        <v>83</v>
      </c>
      <c r="F514" s="137">
        <f>+F515+F516+F517</f>
        <v>3</v>
      </c>
      <c r="G514" s="386"/>
      <c r="H514" s="75">
        <f t="shared" si="37"/>
        <v>0</v>
      </c>
      <c r="I514" s="169" t="s">
        <v>4</v>
      </c>
      <c r="L514" s="42"/>
      <c r="M514" s="42"/>
      <c r="N514" s="42"/>
      <c r="O514" s="42"/>
      <c r="P514" s="42"/>
      <c r="Q514" s="42"/>
      <c r="R514" s="42"/>
      <c r="S514" s="42"/>
      <c r="T514" s="42"/>
      <c r="U514" s="42"/>
    </row>
    <row r="515" spans="1:21" ht="26.25" customHeight="1">
      <c r="A515" s="212">
        <f t="shared" si="36"/>
        <v>253</v>
      </c>
      <c r="B515" s="148" t="s">
        <v>473</v>
      </c>
      <c r="C515" s="222"/>
      <c r="D515" s="217" t="s">
        <v>976</v>
      </c>
      <c r="E515" s="218" t="s">
        <v>83</v>
      </c>
      <c r="F515" s="219">
        <v>1</v>
      </c>
      <c r="G515" s="394"/>
      <c r="H515" s="220">
        <f t="shared" si="37"/>
        <v>0</v>
      </c>
      <c r="I515" s="169" t="s">
        <v>4</v>
      </c>
      <c r="L515" s="170"/>
      <c r="M515" s="42"/>
      <c r="N515" s="42"/>
      <c r="O515" s="42"/>
      <c r="P515" s="42"/>
      <c r="Q515" s="42"/>
      <c r="R515" s="42"/>
      <c r="S515" s="42"/>
      <c r="T515" s="42"/>
      <c r="U515" s="42"/>
    </row>
    <row r="516" spans="1:21" ht="16.5">
      <c r="A516" s="212">
        <f t="shared" si="36"/>
        <v>254</v>
      </c>
      <c r="B516" s="148" t="s">
        <v>515</v>
      </c>
      <c r="C516" s="222"/>
      <c r="D516" s="217" t="s">
        <v>382</v>
      </c>
      <c r="E516" s="218" t="s">
        <v>83</v>
      </c>
      <c r="F516" s="219">
        <v>1</v>
      </c>
      <c r="G516" s="394"/>
      <c r="H516" s="220">
        <f t="shared" si="37"/>
        <v>0</v>
      </c>
      <c r="I516" s="169" t="s">
        <v>4</v>
      </c>
      <c r="L516" s="170"/>
      <c r="M516" s="42"/>
      <c r="N516" s="42"/>
      <c r="O516" s="42"/>
      <c r="P516" s="42"/>
      <c r="Q516" s="42"/>
      <c r="R516" s="42"/>
      <c r="S516" s="42"/>
      <c r="T516" s="42"/>
      <c r="U516" s="42"/>
    </row>
    <row r="517" spans="1:21" ht="16.5">
      <c r="A517" s="212">
        <f t="shared" si="36"/>
        <v>255</v>
      </c>
      <c r="B517" s="148" t="s">
        <v>603</v>
      </c>
      <c r="C517" s="222"/>
      <c r="D517" s="217" t="s">
        <v>383</v>
      </c>
      <c r="E517" s="218" t="s">
        <v>83</v>
      </c>
      <c r="F517" s="219">
        <v>1</v>
      </c>
      <c r="G517" s="394"/>
      <c r="H517" s="220">
        <f t="shared" si="37"/>
        <v>0</v>
      </c>
      <c r="I517" s="169" t="s">
        <v>4</v>
      </c>
      <c r="K517" s="116"/>
      <c r="L517" s="170" t="s">
        <v>157</v>
      </c>
      <c r="M517" s="42"/>
      <c r="N517" s="42"/>
      <c r="O517" s="42"/>
      <c r="P517" s="42"/>
      <c r="Q517" s="42"/>
      <c r="R517" s="42"/>
      <c r="S517" s="42"/>
      <c r="T517" s="42"/>
      <c r="U517" s="42"/>
    </row>
    <row r="518" spans="1:21" ht="12.75">
      <c r="A518" s="212">
        <f t="shared" si="36"/>
        <v>256</v>
      </c>
      <c r="B518" s="148" t="s">
        <v>529</v>
      </c>
      <c r="C518" s="213" t="s">
        <v>560</v>
      </c>
      <c r="D518" s="72" t="s">
        <v>496</v>
      </c>
      <c r="E518" s="74" t="s">
        <v>83</v>
      </c>
      <c r="F518" s="137">
        <v>4</v>
      </c>
      <c r="G518" s="386"/>
      <c r="H518" s="75">
        <f t="shared" si="37"/>
        <v>0</v>
      </c>
      <c r="I518" s="169" t="s">
        <v>4</v>
      </c>
      <c r="L518" s="42"/>
      <c r="M518" s="42"/>
      <c r="N518" s="42"/>
      <c r="O518" s="42"/>
      <c r="P518" s="42"/>
      <c r="Q518" s="42"/>
      <c r="R518" s="42"/>
      <c r="S518" s="42"/>
      <c r="T518" s="42"/>
      <c r="U518" s="42"/>
    </row>
    <row r="519" spans="1:21" ht="16.5">
      <c r="A519" s="212">
        <f t="shared" si="36"/>
        <v>257</v>
      </c>
      <c r="B519" s="148" t="s">
        <v>708</v>
      </c>
      <c r="C519" s="190" t="s">
        <v>395</v>
      </c>
      <c r="D519" s="72" t="s">
        <v>709</v>
      </c>
      <c r="E519" s="72" t="s">
        <v>83</v>
      </c>
      <c r="F519" s="137">
        <v>1</v>
      </c>
      <c r="G519" s="386"/>
      <c r="H519" s="75">
        <f>F519*G519</f>
        <v>0</v>
      </c>
      <c r="I519" s="325" t="s">
        <v>4</v>
      </c>
      <c r="L519" s="170"/>
      <c r="M519" s="42"/>
      <c r="N519" s="42"/>
      <c r="O519" s="42"/>
      <c r="P519" s="42"/>
      <c r="Q519" s="42"/>
      <c r="R519" s="42"/>
      <c r="S519" s="42"/>
      <c r="T519" s="42"/>
      <c r="U519" s="42"/>
    </row>
    <row r="520" spans="1:21" ht="16.5">
      <c r="A520" s="212">
        <f t="shared" si="36"/>
        <v>258</v>
      </c>
      <c r="B520" s="148" t="s">
        <v>972</v>
      </c>
      <c r="C520" s="190" t="s">
        <v>395</v>
      </c>
      <c r="D520" s="72" t="s">
        <v>973</v>
      </c>
      <c r="E520" s="72" t="s">
        <v>83</v>
      </c>
      <c r="F520" s="137">
        <v>2</v>
      </c>
      <c r="G520" s="386"/>
      <c r="H520" s="75">
        <f>F520*G520</f>
        <v>0</v>
      </c>
      <c r="I520" s="325" t="s">
        <v>4</v>
      </c>
      <c r="L520" s="170"/>
      <c r="M520" s="42"/>
      <c r="N520" s="42"/>
      <c r="O520" s="42"/>
      <c r="P520" s="42"/>
      <c r="Q520" s="42"/>
      <c r="R520" s="42"/>
      <c r="S520" s="42"/>
      <c r="T520" s="42"/>
      <c r="U520" s="42"/>
    </row>
    <row r="521" spans="1:21" ht="25.5">
      <c r="A521" s="212">
        <f t="shared" si="36"/>
        <v>259</v>
      </c>
      <c r="B521" s="148" t="s">
        <v>969</v>
      </c>
      <c r="C521" s="326"/>
      <c r="D521" s="217" t="s">
        <v>966</v>
      </c>
      <c r="E521" s="72" t="s">
        <v>83</v>
      </c>
      <c r="F521" s="219">
        <v>1</v>
      </c>
      <c r="G521" s="394"/>
      <c r="H521" s="220">
        <f t="shared" si="37"/>
        <v>0</v>
      </c>
      <c r="I521" s="169" t="s">
        <v>4</v>
      </c>
      <c r="L521" s="170"/>
      <c r="M521" s="42"/>
      <c r="N521" s="42"/>
      <c r="O521" s="42"/>
      <c r="P521" s="42"/>
      <c r="Q521" s="42"/>
      <c r="R521" s="42"/>
      <c r="S521" s="42"/>
      <c r="T521" s="42"/>
      <c r="U521" s="42"/>
    </row>
    <row r="522" spans="1:21" ht="25.5">
      <c r="A522" s="212">
        <f t="shared" si="36"/>
        <v>260</v>
      </c>
      <c r="B522" s="148" t="s">
        <v>970</v>
      </c>
      <c r="C522" s="326"/>
      <c r="D522" s="217" t="s">
        <v>967</v>
      </c>
      <c r="E522" s="72" t="s">
        <v>83</v>
      </c>
      <c r="F522" s="219">
        <v>1</v>
      </c>
      <c r="G522" s="394"/>
      <c r="H522" s="220">
        <f t="shared" si="37"/>
        <v>0</v>
      </c>
      <c r="I522" s="169" t="s">
        <v>4</v>
      </c>
      <c r="L522" s="170"/>
      <c r="M522" s="42"/>
      <c r="N522" s="42"/>
      <c r="O522" s="42"/>
      <c r="P522" s="42"/>
      <c r="Q522" s="42"/>
      <c r="R522" s="42"/>
      <c r="S522" s="42"/>
      <c r="T522" s="42"/>
      <c r="U522" s="42"/>
    </row>
    <row r="523" spans="1:21" ht="25.5">
      <c r="A523" s="212">
        <f t="shared" si="36"/>
        <v>261</v>
      </c>
      <c r="B523" s="148" t="s">
        <v>971</v>
      </c>
      <c r="C523" s="326"/>
      <c r="D523" s="217" t="s">
        <v>968</v>
      </c>
      <c r="E523" s="72" t="s">
        <v>83</v>
      </c>
      <c r="F523" s="219">
        <v>1</v>
      </c>
      <c r="G523" s="394"/>
      <c r="H523" s="220">
        <f t="shared" si="37"/>
        <v>0</v>
      </c>
      <c r="I523" s="169" t="s">
        <v>4</v>
      </c>
      <c r="L523" s="170"/>
      <c r="M523" s="42"/>
      <c r="N523" s="42"/>
      <c r="O523" s="42"/>
      <c r="P523" s="42"/>
      <c r="Q523" s="42"/>
      <c r="R523" s="42"/>
      <c r="S523" s="42"/>
      <c r="T523" s="42"/>
      <c r="U523" s="42"/>
    </row>
    <row r="524" spans="1:21" ht="16.5">
      <c r="A524" s="212">
        <f t="shared" si="36"/>
        <v>262</v>
      </c>
      <c r="B524" s="148" t="s">
        <v>151</v>
      </c>
      <c r="C524" s="190" t="s">
        <v>395</v>
      </c>
      <c r="D524" s="72" t="s">
        <v>965</v>
      </c>
      <c r="E524" s="72" t="s">
        <v>83</v>
      </c>
      <c r="F524" s="137">
        <f>SUM(F525:F525)</f>
        <v>1</v>
      </c>
      <c r="G524" s="386"/>
      <c r="H524" s="75">
        <f t="shared" si="37"/>
        <v>0</v>
      </c>
      <c r="I524" s="169" t="s">
        <v>4</v>
      </c>
      <c r="L524" s="279"/>
      <c r="M524" s="42"/>
      <c r="N524" s="42"/>
      <c r="O524" s="42"/>
      <c r="P524" s="42"/>
      <c r="Q524" s="42"/>
      <c r="R524" s="42"/>
      <c r="S524" s="42"/>
      <c r="T524" s="42"/>
      <c r="U524" s="42"/>
    </row>
    <row r="525" spans="1:21" ht="25.5">
      <c r="A525" s="212">
        <f t="shared" si="36"/>
        <v>263</v>
      </c>
      <c r="B525" s="148">
        <v>484518228</v>
      </c>
      <c r="C525" s="222" t="s">
        <v>394</v>
      </c>
      <c r="D525" s="217" t="s">
        <v>964</v>
      </c>
      <c r="E525" s="218" t="s">
        <v>83</v>
      </c>
      <c r="F525" s="219">
        <v>1</v>
      </c>
      <c r="G525" s="394"/>
      <c r="H525" s="220">
        <f t="shared" si="37"/>
        <v>0</v>
      </c>
      <c r="I525" s="169" t="s">
        <v>4</v>
      </c>
      <c r="L525" s="170" t="s">
        <v>381</v>
      </c>
      <c r="M525" s="42"/>
      <c r="N525" s="42"/>
      <c r="O525" s="42"/>
      <c r="P525" s="42"/>
      <c r="Q525" s="42"/>
      <c r="R525" s="42"/>
      <c r="S525" s="42"/>
      <c r="T525" s="42"/>
      <c r="U525" s="42"/>
    </row>
    <row r="526" spans="1:21" ht="16.5">
      <c r="A526" s="212">
        <f t="shared" si="36"/>
        <v>264</v>
      </c>
      <c r="B526" s="148" t="s">
        <v>975</v>
      </c>
      <c r="C526" s="222" t="s">
        <v>394</v>
      </c>
      <c r="D526" s="217" t="s">
        <v>974</v>
      </c>
      <c r="E526" s="218" t="s">
        <v>83</v>
      </c>
      <c r="F526" s="219">
        <v>1</v>
      </c>
      <c r="G526" s="394"/>
      <c r="H526" s="220">
        <f>F526*G526</f>
        <v>0</v>
      </c>
      <c r="I526" s="169" t="s">
        <v>4</v>
      </c>
      <c r="L526" s="170" t="s">
        <v>381</v>
      </c>
      <c r="M526" s="42"/>
      <c r="N526" s="42"/>
      <c r="O526" s="42"/>
      <c r="P526" s="42"/>
      <c r="Q526" s="42"/>
      <c r="R526" s="42"/>
      <c r="S526" s="42"/>
      <c r="T526" s="42"/>
      <c r="U526" s="42"/>
    </row>
    <row r="527" spans="1:21" ht="12.75">
      <c r="A527" s="212">
        <f t="shared" si="36"/>
        <v>265</v>
      </c>
      <c r="B527" s="148" t="s">
        <v>204</v>
      </c>
      <c r="C527" s="213"/>
      <c r="D527" s="72" t="s">
        <v>530</v>
      </c>
      <c r="E527" s="74" t="s">
        <v>84</v>
      </c>
      <c r="F527" s="133">
        <f>+F501+F502+F503</f>
        <v>65</v>
      </c>
      <c r="G527" s="386"/>
      <c r="H527" s="75">
        <f t="shared" si="37"/>
        <v>0</v>
      </c>
      <c r="I527" s="169" t="s">
        <v>4</v>
      </c>
      <c r="L527" s="42"/>
      <c r="M527" s="42"/>
      <c r="N527" s="42"/>
      <c r="O527" s="42"/>
      <c r="P527" s="42"/>
      <c r="Q527" s="42"/>
      <c r="R527" s="42"/>
      <c r="S527" s="42"/>
      <c r="T527" s="42"/>
      <c r="U527" s="42"/>
    </row>
    <row r="528" spans="1:21" ht="12.75">
      <c r="A528" s="212">
        <f t="shared" si="36"/>
        <v>266</v>
      </c>
      <c r="B528" s="148" t="s">
        <v>205</v>
      </c>
      <c r="C528" s="213"/>
      <c r="D528" s="72" t="s">
        <v>206</v>
      </c>
      <c r="E528" s="74" t="s">
        <v>81</v>
      </c>
      <c r="F528" s="133">
        <f>0.5*(0.9*F521+1.2*F522+1.6*F523)*2</f>
        <v>3.7</v>
      </c>
      <c r="G528" s="386"/>
      <c r="H528" s="75">
        <f t="shared" si="37"/>
        <v>0</v>
      </c>
      <c r="I528" s="169" t="s">
        <v>4</v>
      </c>
      <c r="L528" s="42"/>
      <c r="M528" s="42"/>
      <c r="N528" s="42"/>
      <c r="O528" s="42"/>
      <c r="P528" s="42"/>
      <c r="Q528" s="42"/>
      <c r="R528" s="42"/>
      <c r="S528" s="42"/>
      <c r="T528" s="42"/>
      <c r="U528" s="42"/>
    </row>
    <row r="529" spans="1:21" ht="12.75">
      <c r="A529" s="212">
        <f t="shared" si="36"/>
        <v>267</v>
      </c>
      <c r="B529" s="148" t="s">
        <v>710</v>
      </c>
      <c r="C529" s="190"/>
      <c r="D529" s="72" t="s">
        <v>711</v>
      </c>
      <c r="E529" s="74" t="s">
        <v>83</v>
      </c>
      <c r="F529" s="137">
        <v>3</v>
      </c>
      <c r="G529" s="386"/>
      <c r="H529" s="75">
        <f t="shared" si="37"/>
        <v>0</v>
      </c>
      <c r="I529" s="325" t="s">
        <v>4</v>
      </c>
      <c r="L529" s="42"/>
      <c r="M529" s="42"/>
      <c r="N529" s="42"/>
      <c r="O529" s="42"/>
      <c r="P529" s="42"/>
      <c r="Q529" s="42"/>
      <c r="R529" s="42"/>
      <c r="S529" s="42"/>
      <c r="T529" s="42"/>
      <c r="U529" s="42"/>
    </row>
    <row r="530" spans="1:21" ht="12.75">
      <c r="A530" s="212">
        <f t="shared" si="36"/>
        <v>268</v>
      </c>
      <c r="B530" s="148" t="s">
        <v>207</v>
      </c>
      <c r="C530" s="213"/>
      <c r="D530" s="72" t="s">
        <v>208</v>
      </c>
      <c r="E530" s="74" t="s">
        <v>81</v>
      </c>
      <c r="F530" s="133">
        <f>1.22*0.6*F525</f>
        <v>0.732</v>
      </c>
      <c r="G530" s="386"/>
      <c r="H530" s="75">
        <f t="shared" si="37"/>
        <v>0</v>
      </c>
      <c r="I530" s="169" t="s">
        <v>4</v>
      </c>
      <c r="L530" s="42"/>
      <c r="M530" s="42"/>
      <c r="N530" s="42"/>
      <c r="O530" s="42"/>
      <c r="P530" s="42"/>
      <c r="Q530" s="42"/>
      <c r="R530" s="42"/>
      <c r="S530" s="42"/>
      <c r="T530" s="42"/>
      <c r="U530" s="42"/>
    </row>
    <row r="531" spans="1:21" ht="12.75">
      <c r="A531" s="212">
        <f t="shared" si="36"/>
        <v>269</v>
      </c>
      <c r="B531" s="148" t="s">
        <v>488</v>
      </c>
      <c r="C531" s="213"/>
      <c r="D531" s="72" t="s">
        <v>384</v>
      </c>
      <c r="E531" s="74" t="s">
        <v>81</v>
      </c>
      <c r="F531" s="133">
        <f>0.5*(0.9*F521+1.2*F522+1.6*F523)*2+F530</f>
        <v>4.432</v>
      </c>
      <c r="G531" s="386"/>
      <c r="H531" s="75">
        <f t="shared" si="37"/>
        <v>0</v>
      </c>
      <c r="I531" s="169" t="s">
        <v>4</v>
      </c>
      <c r="L531" s="42"/>
      <c r="M531" s="42"/>
      <c r="N531" s="42"/>
      <c r="O531" s="42"/>
      <c r="P531" s="42"/>
      <c r="Q531" s="42"/>
      <c r="R531" s="42"/>
      <c r="S531" s="42"/>
      <c r="T531" s="42"/>
      <c r="U531" s="42"/>
    </row>
    <row r="532" spans="1:21" ht="12.75">
      <c r="A532" s="212">
        <f t="shared" si="36"/>
        <v>270</v>
      </c>
      <c r="B532" s="148" t="s">
        <v>490</v>
      </c>
      <c r="C532" s="213"/>
      <c r="D532" s="72" t="s">
        <v>489</v>
      </c>
      <c r="E532" s="74" t="s">
        <v>83</v>
      </c>
      <c r="F532" s="137">
        <f>+F518</f>
        <v>4</v>
      </c>
      <c r="G532" s="386"/>
      <c r="H532" s="75">
        <f t="shared" si="37"/>
        <v>0</v>
      </c>
      <c r="I532" s="169" t="s">
        <v>4</v>
      </c>
      <c r="L532" s="42"/>
      <c r="M532" s="42"/>
      <c r="N532" s="42"/>
      <c r="O532" s="42"/>
      <c r="P532" s="42"/>
      <c r="Q532" s="42"/>
      <c r="R532" s="42"/>
      <c r="S532" s="42"/>
      <c r="T532" s="42"/>
      <c r="U532" s="42"/>
    </row>
    <row r="533" spans="1:21" ht="12.75">
      <c r="A533" s="212">
        <f t="shared" si="36"/>
        <v>271</v>
      </c>
      <c r="B533" s="148" t="s">
        <v>412</v>
      </c>
      <c r="C533" s="213"/>
      <c r="D533" s="69" t="s">
        <v>413</v>
      </c>
      <c r="E533" s="74" t="s">
        <v>80</v>
      </c>
      <c r="F533" s="137">
        <v>1</v>
      </c>
      <c r="G533" s="386"/>
      <c r="H533" s="75">
        <f t="shared" si="37"/>
        <v>0</v>
      </c>
      <c r="I533" s="169" t="s">
        <v>4</v>
      </c>
      <c r="L533" s="42"/>
      <c r="M533" s="42"/>
      <c r="N533" s="42"/>
      <c r="O533" s="42"/>
      <c r="P533" s="42"/>
      <c r="Q533" s="42"/>
      <c r="R533" s="42"/>
      <c r="S533" s="42"/>
      <c r="T533" s="42"/>
      <c r="U533" s="42"/>
    </row>
    <row r="534" spans="1:21" ht="12.75">
      <c r="A534" s="212">
        <f>A533+1</f>
        <v>272</v>
      </c>
      <c r="B534" s="148" t="s">
        <v>494</v>
      </c>
      <c r="C534" s="213"/>
      <c r="D534" s="69" t="s">
        <v>141</v>
      </c>
      <c r="E534" s="74" t="s">
        <v>80</v>
      </c>
      <c r="F534" s="137">
        <v>1</v>
      </c>
      <c r="G534" s="386"/>
      <c r="H534" s="75">
        <f t="shared" si="37"/>
        <v>0</v>
      </c>
      <c r="I534" s="169" t="s">
        <v>4</v>
      </c>
      <c r="L534" s="42"/>
      <c r="M534" s="42"/>
      <c r="N534" s="42"/>
      <c r="O534" s="42"/>
      <c r="P534" s="42"/>
      <c r="Q534" s="42"/>
      <c r="R534" s="42"/>
      <c r="S534" s="42"/>
      <c r="T534" s="42"/>
      <c r="U534" s="42"/>
    </row>
    <row r="535" spans="1:21" ht="13.5" thickBot="1">
      <c r="A535" s="212">
        <f>A534+1</f>
        <v>273</v>
      </c>
      <c r="B535" s="148" t="s">
        <v>166</v>
      </c>
      <c r="C535" s="213"/>
      <c r="D535" s="72" t="s">
        <v>126</v>
      </c>
      <c r="E535" s="74" t="s">
        <v>89</v>
      </c>
      <c r="F535" s="137">
        <f>+H501+H502+H503+H505+H506+H507+H509+H510+H511+H515+H516+H517+H513+H518+H521+H522+H523+H525+H526</f>
        <v>0</v>
      </c>
      <c r="G535" s="395"/>
      <c r="H535" s="234">
        <f t="shared" si="37"/>
        <v>0</v>
      </c>
      <c r="I535" s="169" t="s">
        <v>4</v>
      </c>
      <c r="L535" s="42"/>
      <c r="M535" s="42"/>
      <c r="N535" s="42"/>
      <c r="O535" s="42"/>
      <c r="P535" s="42"/>
      <c r="Q535" s="42"/>
      <c r="R535" s="42"/>
      <c r="S535" s="42"/>
      <c r="T535" s="42"/>
      <c r="U535" s="42"/>
    </row>
    <row r="536" spans="1:21" ht="13.5" thickBot="1">
      <c r="A536" s="212"/>
      <c r="B536" s="148"/>
      <c r="C536" s="190"/>
      <c r="D536" s="85" t="s">
        <v>82</v>
      </c>
      <c r="E536" s="86"/>
      <c r="F536" s="223"/>
      <c r="G536" s="296"/>
      <c r="H536" s="78">
        <f>SUBTOTAL(9,H501:H535)</f>
        <v>0</v>
      </c>
      <c r="L536" s="42"/>
      <c r="M536" s="42"/>
      <c r="N536" s="42"/>
      <c r="O536" s="42"/>
      <c r="P536" s="42"/>
      <c r="Q536" s="42"/>
      <c r="R536" s="42"/>
      <c r="S536" s="42"/>
      <c r="T536" s="42"/>
      <c r="U536" s="42"/>
    </row>
    <row r="537" spans="1:21" ht="12.75">
      <c r="A537" s="212"/>
      <c r="B537" s="148"/>
      <c r="C537" s="190"/>
      <c r="D537" s="224"/>
      <c r="E537" s="208"/>
      <c r="F537" s="128"/>
      <c r="H537" s="209"/>
      <c r="L537" s="42"/>
      <c r="M537" s="42"/>
      <c r="N537" s="42"/>
      <c r="O537" s="42"/>
      <c r="P537" s="42"/>
      <c r="Q537" s="42"/>
      <c r="R537" s="42"/>
      <c r="S537" s="42"/>
      <c r="T537" s="42"/>
      <c r="U537" s="42"/>
    </row>
    <row r="538" spans="1:21" ht="16.5">
      <c r="A538" s="212"/>
      <c r="B538" s="148"/>
      <c r="C538" s="225" t="s">
        <v>455</v>
      </c>
      <c r="D538" s="111" t="s">
        <v>578</v>
      </c>
      <c r="E538" s="111"/>
      <c r="F538" s="136"/>
      <c r="G538" s="300"/>
      <c r="H538" s="111"/>
      <c r="L538" s="42"/>
      <c r="M538" s="42"/>
      <c r="N538" s="42"/>
      <c r="O538" s="42"/>
      <c r="P538" s="42"/>
      <c r="Q538" s="42"/>
      <c r="R538" s="42"/>
      <c r="S538" s="42"/>
      <c r="T538" s="42"/>
      <c r="U538" s="42"/>
    </row>
    <row r="539" spans="1:21" ht="62.25" customHeight="1">
      <c r="A539" s="212"/>
      <c r="B539" s="148"/>
      <c r="C539" s="235"/>
      <c r="D539" s="429" t="s">
        <v>577</v>
      </c>
      <c r="E539" s="429"/>
      <c r="F539" s="429"/>
      <c r="G539" s="103"/>
      <c r="H539" s="103"/>
      <c r="L539" s="42"/>
      <c r="M539" s="42"/>
      <c r="N539" s="42"/>
      <c r="O539" s="42"/>
      <c r="P539" s="42"/>
      <c r="Q539" s="42"/>
      <c r="R539" s="42"/>
      <c r="S539" s="42"/>
      <c r="T539" s="42"/>
      <c r="U539" s="42"/>
    </row>
    <row r="540" spans="1:21" ht="12.75">
      <c r="A540" s="212">
        <f>A535+1</f>
        <v>274</v>
      </c>
      <c r="B540" s="148" t="s">
        <v>152</v>
      </c>
      <c r="C540" s="190"/>
      <c r="D540" s="191" t="s">
        <v>94</v>
      </c>
      <c r="E540" s="74" t="s">
        <v>84</v>
      </c>
      <c r="F540" s="137">
        <f>2.3+1.8+8.7</f>
        <v>12.799999999999999</v>
      </c>
      <c r="G540" s="386"/>
      <c r="H540" s="75">
        <f aca="true" t="shared" si="38" ref="H540:H570">F540*G540</f>
        <v>0</v>
      </c>
      <c r="I540" s="169" t="s">
        <v>4</v>
      </c>
      <c r="K540" s="116"/>
      <c r="L540" s="42"/>
      <c r="M540" s="42"/>
      <c r="N540" s="42"/>
      <c r="O540" s="42"/>
      <c r="P540" s="42"/>
      <c r="Q540" s="42">
        <v>0.00213</v>
      </c>
      <c r="R540" s="9">
        <f>+Q540*F540</f>
        <v>0.027263999999999997</v>
      </c>
      <c r="S540" s="42"/>
      <c r="T540" s="42"/>
      <c r="U540" s="42"/>
    </row>
    <row r="541" spans="1:21" ht="12.75">
      <c r="A541" s="212">
        <f>A540+1</f>
        <v>275</v>
      </c>
      <c r="B541" s="155" t="s">
        <v>213</v>
      </c>
      <c r="C541" s="213"/>
      <c r="D541" s="72" t="s">
        <v>934</v>
      </c>
      <c r="E541" s="74" t="s">
        <v>83</v>
      </c>
      <c r="F541" s="137">
        <v>1</v>
      </c>
      <c r="G541" s="386"/>
      <c r="H541" s="75">
        <f>F541*G541</f>
        <v>0</v>
      </c>
      <c r="I541" s="169" t="s">
        <v>4</v>
      </c>
      <c r="J541" s="337"/>
      <c r="K541" s="167"/>
      <c r="L541" s="42"/>
      <c r="M541" s="42"/>
      <c r="N541" s="42"/>
      <c r="O541" s="42"/>
      <c r="P541" s="42"/>
      <c r="Q541" s="42"/>
      <c r="R541" s="42"/>
      <c r="S541" s="42"/>
      <c r="T541" s="42"/>
      <c r="U541" s="42"/>
    </row>
    <row r="542" spans="1:18" ht="25.5">
      <c r="A542" s="212">
        <f aca="true" t="shared" si="39" ref="A542:A554">A541+1</f>
        <v>276</v>
      </c>
      <c r="B542" s="155" t="s">
        <v>214</v>
      </c>
      <c r="C542" s="68"/>
      <c r="D542" s="69" t="s">
        <v>989</v>
      </c>
      <c r="E542" s="70" t="s">
        <v>84</v>
      </c>
      <c r="F542" s="133">
        <v>16.2</v>
      </c>
      <c r="G542" s="386"/>
      <c r="H542" s="71">
        <f t="shared" si="38"/>
        <v>0</v>
      </c>
      <c r="I542" s="254" t="s">
        <v>4</v>
      </c>
      <c r="J542" s="37"/>
      <c r="O542" s="280"/>
      <c r="Q542" s="9">
        <v>0.03</v>
      </c>
      <c r="R542" s="119">
        <f>+Q542*F542</f>
        <v>0.486</v>
      </c>
    </row>
    <row r="543" spans="1:18" ht="12.75">
      <c r="A543" s="212"/>
      <c r="B543" s="155"/>
      <c r="C543" s="68"/>
      <c r="D543" s="376" t="s">
        <v>990</v>
      </c>
      <c r="E543" s="70"/>
      <c r="F543" s="133"/>
      <c r="G543" s="112"/>
      <c r="H543" s="71"/>
      <c r="I543" s="254"/>
      <c r="J543" s="37"/>
      <c r="O543" s="280"/>
      <c r="R543" s="119"/>
    </row>
    <row r="544" spans="1:21" ht="12.75">
      <c r="A544" s="212">
        <f>A542+1</f>
        <v>277</v>
      </c>
      <c r="B544" s="148" t="s">
        <v>95</v>
      </c>
      <c r="C544" s="190"/>
      <c r="D544" s="191" t="s">
        <v>96</v>
      </c>
      <c r="E544" s="74" t="s">
        <v>85</v>
      </c>
      <c r="F544" s="133">
        <f>+R544</f>
        <v>0.5132639999999999</v>
      </c>
      <c r="G544" s="386"/>
      <c r="H544" s="75">
        <f t="shared" si="38"/>
        <v>0</v>
      </c>
      <c r="I544" s="169" t="s">
        <v>4</v>
      </c>
      <c r="L544" s="42"/>
      <c r="M544" s="42"/>
      <c r="N544" s="42"/>
      <c r="O544" s="42"/>
      <c r="P544" s="42"/>
      <c r="Q544" s="42"/>
      <c r="R544" s="9">
        <f>SUM(R540:R542)</f>
        <v>0.5132639999999999</v>
      </c>
      <c r="S544" s="42"/>
      <c r="T544" s="42"/>
      <c r="U544" s="42"/>
    </row>
    <row r="545" spans="1:21" ht="25.5">
      <c r="A545" s="212">
        <f t="shared" si="39"/>
        <v>278</v>
      </c>
      <c r="B545" s="148" t="s">
        <v>613</v>
      </c>
      <c r="C545" s="190"/>
      <c r="D545" s="245" t="s">
        <v>410</v>
      </c>
      <c r="E545" s="74" t="s">
        <v>84</v>
      </c>
      <c r="F545" s="137">
        <v>1.7</v>
      </c>
      <c r="G545" s="386"/>
      <c r="H545" s="75">
        <f t="shared" si="38"/>
        <v>0</v>
      </c>
      <c r="I545" s="169" t="s">
        <v>4</v>
      </c>
      <c r="L545" s="42"/>
      <c r="M545" s="42"/>
      <c r="N545" s="42"/>
      <c r="O545" s="42"/>
      <c r="P545" s="42"/>
      <c r="Q545" s="42"/>
      <c r="R545" s="42"/>
      <c r="S545" s="42"/>
      <c r="T545" s="42"/>
      <c r="U545" s="42"/>
    </row>
    <row r="546" spans="1:21" ht="25.5">
      <c r="A546" s="212">
        <f t="shared" si="39"/>
        <v>279</v>
      </c>
      <c r="B546" s="148" t="s">
        <v>614</v>
      </c>
      <c r="C546" s="244"/>
      <c r="D546" s="72" t="s">
        <v>130</v>
      </c>
      <c r="E546" s="74" t="s">
        <v>84</v>
      </c>
      <c r="F546" s="137">
        <f>6+2</f>
        <v>8</v>
      </c>
      <c r="G546" s="386"/>
      <c r="H546" s="75">
        <f t="shared" si="38"/>
        <v>0</v>
      </c>
      <c r="I546" s="169" t="s">
        <v>4</v>
      </c>
      <c r="J546" s="337"/>
      <c r="K546" s="167"/>
      <c r="L546" s="42"/>
      <c r="M546" s="42"/>
      <c r="N546" s="42"/>
      <c r="O546" s="42"/>
      <c r="P546" s="42"/>
      <c r="Q546" s="42"/>
      <c r="R546" s="42"/>
      <c r="S546" s="42"/>
      <c r="T546" s="42"/>
      <c r="U546" s="42"/>
    </row>
    <row r="547" spans="1:21" ht="25.5">
      <c r="A547" s="212">
        <f t="shared" si="39"/>
        <v>280</v>
      </c>
      <c r="B547" s="148" t="s">
        <v>956</v>
      </c>
      <c r="C547" s="190"/>
      <c r="D547" s="273" t="s">
        <v>216</v>
      </c>
      <c r="E547" s="74" t="s">
        <v>83</v>
      </c>
      <c r="F547" s="133">
        <v>2</v>
      </c>
      <c r="G547" s="386"/>
      <c r="H547" s="75">
        <f t="shared" si="38"/>
        <v>0</v>
      </c>
      <c r="I547" s="169" t="s">
        <v>4</v>
      </c>
      <c r="L547" s="42"/>
      <c r="M547" s="42"/>
      <c r="N547" s="42"/>
      <c r="O547" s="42"/>
      <c r="P547" s="42"/>
      <c r="Q547" s="42"/>
      <c r="R547" s="42"/>
      <c r="S547" s="42"/>
      <c r="T547" s="42"/>
      <c r="U547" s="42"/>
    </row>
    <row r="548" spans="1:21" ht="25.5">
      <c r="A548" s="212">
        <f t="shared" si="39"/>
        <v>281</v>
      </c>
      <c r="B548" s="148" t="s">
        <v>414</v>
      </c>
      <c r="C548" s="190" t="s">
        <v>560</v>
      </c>
      <c r="D548" s="191" t="s">
        <v>415</v>
      </c>
      <c r="E548" s="74" t="s">
        <v>84</v>
      </c>
      <c r="F548" s="137">
        <f>1.6+1.7</f>
        <v>3.3</v>
      </c>
      <c r="G548" s="386"/>
      <c r="H548" s="75">
        <f t="shared" si="38"/>
        <v>0</v>
      </c>
      <c r="I548" s="169" t="s">
        <v>4</v>
      </c>
      <c r="K548" s="167"/>
      <c r="L548" s="42" t="s">
        <v>416</v>
      </c>
      <c r="M548" s="42"/>
      <c r="N548" s="42"/>
      <c r="O548" s="42"/>
      <c r="P548" s="42"/>
      <c r="Q548" s="42"/>
      <c r="R548" s="128"/>
      <c r="S548" s="42"/>
      <c r="T548" s="42"/>
      <c r="U548" s="42"/>
    </row>
    <row r="549" spans="1:21" ht="12.75">
      <c r="A549" s="212">
        <f t="shared" si="39"/>
        <v>282</v>
      </c>
      <c r="B549" s="148" t="s">
        <v>538</v>
      </c>
      <c r="C549" s="190"/>
      <c r="D549" s="191" t="s">
        <v>539</v>
      </c>
      <c r="E549" s="74" t="s">
        <v>83</v>
      </c>
      <c r="F549" s="137">
        <v>2</v>
      </c>
      <c r="G549" s="386"/>
      <c r="H549" s="75">
        <f t="shared" si="38"/>
        <v>0</v>
      </c>
      <c r="I549" s="169" t="s">
        <v>4</v>
      </c>
      <c r="J549" s="42"/>
      <c r="K549" s="167"/>
      <c r="L549" s="42"/>
      <c r="M549" s="42"/>
      <c r="N549" s="42"/>
      <c r="O549" s="42"/>
      <c r="P549" s="42"/>
      <c r="Q549" s="128"/>
      <c r="R549" s="42"/>
      <c r="S549" s="42"/>
      <c r="T549" s="42"/>
      <c r="U549" s="42"/>
    </row>
    <row r="550" spans="1:25" ht="12.75">
      <c r="A550" s="212">
        <f t="shared" si="39"/>
        <v>283</v>
      </c>
      <c r="B550" s="148" t="s">
        <v>423</v>
      </c>
      <c r="C550" s="192"/>
      <c r="D550" s="191" t="s">
        <v>368</v>
      </c>
      <c r="E550" s="74" t="s">
        <v>83</v>
      </c>
      <c r="F550" s="137">
        <v>1</v>
      </c>
      <c r="G550" s="386"/>
      <c r="H550" s="75">
        <f t="shared" si="38"/>
        <v>0</v>
      </c>
      <c r="I550" s="169" t="s">
        <v>4</v>
      </c>
      <c r="K550" s="167"/>
      <c r="L550" s="42"/>
      <c r="M550" s="42"/>
      <c r="N550" s="128"/>
      <c r="O550" s="42"/>
      <c r="P550" s="42"/>
      <c r="Q550" s="42"/>
      <c r="R550" s="42"/>
      <c r="S550" s="42"/>
      <c r="T550" s="42"/>
      <c r="U550" s="42"/>
      <c r="W550" s="101"/>
      <c r="X550" s="101"/>
      <c r="Y550" s="101"/>
    </row>
    <row r="551" spans="1:25" ht="12.75">
      <c r="A551" s="212">
        <f t="shared" si="39"/>
        <v>284</v>
      </c>
      <c r="B551" s="148" t="s">
        <v>949</v>
      </c>
      <c r="C551" s="190"/>
      <c r="D551" s="84" t="s">
        <v>311</v>
      </c>
      <c r="E551" s="74" t="s">
        <v>83</v>
      </c>
      <c r="F551" s="137">
        <v>1</v>
      </c>
      <c r="G551" s="386"/>
      <c r="H551" s="75">
        <f t="shared" si="38"/>
        <v>0</v>
      </c>
      <c r="I551" s="169" t="s">
        <v>4</v>
      </c>
      <c r="K551" s="167"/>
      <c r="L551" s="42"/>
      <c r="M551" s="42"/>
      <c r="N551" s="128"/>
      <c r="O551" s="42"/>
      <c r="P551" s="42"/>
      <c r="Q551" s="42"/>
      <c r="R551" s="42"/>
      <c r="S551" s="42"/>
      <c r="T551" s="42"/>
      <c r="U551" s="42"/>
      <c r="W551" s="101"/>
      <c r="X551" s="101"/>
      <c r="Y551" s="101"/>
    </row>
    <row r="552" spans="1:25" ht="38.25">
      <c r="A552" s="212">
        <f t="shared" si="39"/>
        <v>285</v>
      </c>
      <c r="B552" s="148" t="s">
        <v>154</v>
      </c>
      <c r="C552" s="190"/>
      <c r="D552" s="246" t="s">
        <v>315</v>
      </c>
      <c r="E552" s="74" t="s">
        <v>83</v>
      </c>
      <c r="F552" s="137">
        <v>1</v>
      </c>
      <c r="G552" s="386"/>
      <c r="H552" s="75">
        <f t="shared" si="38"/>
        <v>0</v>
      </c>
      <c r="I552" s="169" t="s">
        <v>4</v>
      </c>
      <c r="K552" s="167"/>
      <c r="L552" s="170" t="s">
        <v>312</v>
      </c>
      <c r="M552" s="42"/>
      <c r="N552" s="128"/>
      <c r="O552" s="42"/>
      <c r="P552" s="42"/>
      <c r="Q552" s="42"/>
      <c r="R552" s="42"/>
      <c r="S552" s="170" t="s">
        <v>153</v>
      </c>
      <c r="T552" s="42"/>
      <c r="U552" s="42"/>
      <c r="W552" s="101"/>
      <c r="X552" s="101"/>
      <c r="Y552" s="101"/>
    </row>
    <row r="553" spans="1:25" ht="25.5">
      <c r="A553" s="212">
        <f t="shared" si="39"/>
        <v>286</v>
      </c>
      <c r="B553" s="148" t="s">
        <v>215</v>
      </c>
      <c r="C553" s="190"/>
      <c r="D553" s="246" t="s">
        <v>313</v>
      </c>
      <c r="E553" s="74" t="s">
        <v>83</v>
      </c>
      <c r="F553" s="137">
        <v>1</v>
      </c>
      <c r="G553" s="386"/>
      <c r="H553" s="75">
        <f t="shared" si="38"/>
        <v>0</v>
      </c>
      <c r="I553" s="169" t="s">
        <v>4</v>
      </c>
      <c r="K553" s="167"/>
      <c r="L553" s="170" t="s">
        <v>314</v>
      </c>
      <c r="M553" s="42"/>
      <c r="N553" s="128"/>
      <c r="O553" s="42"/>
      <c r="P553" s="42"/>
      <c r="Q553" s="42"/>
      <c r="R553" s="42"/>
      <c r="S553" s="170"/>
      <c r="T553" s="42"/>
      <c r="U553" s="42"/>
      <c r="W553" s="101"/>
      <c r="X553" s="101"/>
      <c r="Y553" s="101"/>
    </row>
    <row r="554" spans="1:25" ht="25.5">
      <c r="A554" s="212">
        <f t="shared" si="39"/>
        <v>287</v>
      </c>
      <c r="B554" s="148" t="s">
        <v>494</v>
      </c>
      <c r="C554" s="190"/>
      <c r="D554" s="72" t="s">
        <v>270</v>
      </c>
      <c r="E554" s="74" t="s">
        <v>80</v>
      </c>
      <c r="F554" s="137">
        <v>1</v>
      </c>
      <c r="G554" s="386"/>
      <c r="H554" s="75">
        <f>F554*G554</f>
        <v>0</v>
      </c>
      <c r="I554" s="169" t="s">
        <v>4</v>
      </c>
      <c r="K554" s="167"/>
      <c r="L554" s="42"/>
      <c r="M554" s="42"/>
      <c r="N554" s="128"/>
      <c r="O554" s="42"/>
      <c r="P554" s="42"/>
      <c r="Q554" s="42"/>
      <c r="R554" s="42"/>
      <c r="S554" s="42"/>
      <c r="T554" s="42"/>
      <c r="U554" s="42"/>
      <c r="W554" s="101"/>
      <c r="X554" s="101"/>
      <c r="Y554" s="101"/>
    </row>
    <row r="555" spans="1:25" ht="16.5">
      <c r="A555" s="212">
        <f>A554+1</f>
        <v>288</v>
      </c>
      <c r="B555" s="148" t="s">
        <v>475</v>
      </c>
      <c r="C555" s="190"/>
      <c r="D555" s="247" t="s">
        <v>306</v>
      </c>
      <c r="E555" s="74" t="s">
        <v>83</v>
      </c>
      <c r="F555" s="137">
        <v>1</v>
      </c>
      <c r="G555" s="386"/>
      <c r="H555" s="75">
        <f t="shared" si="38"/>
        <v>0</v>
      </c>
      <c r="I555" s="169" t="s">
        <v>7</v>
      </c>
      <c r="K555" s="167"/>
      <c r="L555" s="170"/>
      <c r="M555" s="42"/>
      <c r="N555" s="128"/>
      <c r="O555" s="42"/>
      <c r="P555" s="42"/>
      <c r="Q555" s="42"/>
      <c r="R555" s="42"/>
      <c r="S555" s="42"/>
      <c r="T555" s="42"/>
      <c r="U555" s="42"/>
      <c r="W555" s="101"/>
      <c r="X555" s="101"/>
      <c r="Y555" s="101"/>
    </row>
    <row r="556" spans="1:25" ht="47.25" customHeight="1">
      <c r="A556" s="212">
        <f aca="true" t="shared" si="40" ref="A556:A574">+A555+1</f>
        <v>289</v>
      </c>
      <c r="B556" s="148" t="s">
        <v>155</v>
      </c>
      <c r="C556" s="222" t="s">
        <v>394</v>
      </c>
      <c r="D556" s="88" t="s">
        <v>187</v>
      </c>
      <c r="E556" s="218" t="s">
        <v>83</v>
      </c>
      <c r="F556" s="219">
        <v>1</v>
      </c>
      <c r="G556" s="394"/>
      <c r="H556" s="220">
        <f t="shared" si="38"/>
        <v>0</v>
      </c>
      <c r="I556" s="169" t="s">
        <v>7</v>
      </c>
      <c r="K556" s="167"/>
      <c r="L556" s="170" t="s">
        <v>143</v>
      </c>
      <c r="M556" s="42"/>
      <c r="N556" s="128"/>
      <c r="O556" s="42"/>
      <c r="P556" s="42"/>
      <c r="Q556" s="42"/>
      <c r="R556" s="42"/>
      <c r="S556" s="42"/>
      <c r="T556" s="42"/>
      <c r="U556" s="42"/>
      <c r="W556" s="101"/>
      <c r="X556" s="101"/>
      <c r="Y556" s="101"/>
    </row>
    <row r="557" spans="1:25" ht="25.5">
      <c r="A557" s="212">
        <f t="shared" si="40"/>
        <v>290</v>
      </c>
      <c r="B557" s="148" t="s">
        <v>156</v>
      </c>
      <c r="C557" s="222" t="s">
        <v>394</v>
      </c>
      <c r="D557" s="217" t="s">
        <v>998</v>
      </c>
      <c r="E557" s="218" t="s">
        <v>83</v>
      </c>
      <c r="F557" s="219">
        <v>1</v>
      </c>
      <c r="G557" s="394"/>
      <c r="H557" s="220">
        <f t="shared" si="38"/>
        <v>0</v>
      </c>
      <c r="I557" s="169" t="s">
        <v>7</v>
      </c>
      <c r="K557" s="167"/>
      <c r="L557" s="42" t="s">
        <v>997</v>
      </c>
      <c r="M557" s="42"/>
      <c r="N557" s="128"/>
      <c r="O557" s="42"/>
      <c r="P557" s="42"/>
      <c r="Q557" s="42"/>
      <c r="R557" s="42"/>
      <c r="S557" s="42"/>
      <c r="T557" s="42"/>
      <c r="U557" s="42"/>
      <c r="W557" s="101"/>
      <c r="X557" s="101"/>
      <c r="Y557" s="101"/>
    </row>
    <row r="558" spans="1:25" ht="21" customHeight="1">
      <c r="A558" s="212">
        <f t="shared" si="40"/>
        <v>291</v>
      </c>
      <c r="B558" s="148" t="s">
        <v>991</v>
      </c>
      <c r="C558" s="222" t="s">
        <v>394</v>
      </c>
      <c r="D558" s="217" t="s">
        <v>962</v>
      </c>
      <c r="E558" s="218" t="s">
        <v>83</v>
      </c>
      <c r="F558" s="219">
        <v>1</v>
      </c>
      <c r="G558" s="394"/>
      <c r="H558" s="220">
        <f t="shared" si="38"/>
        <v>0</v>
      </c>
      <c r="I558" s="169" t="s">
        <v>7</v>
      </c>
      <c r="K558" s="167"/>
      <c r="L558" s="42"/>
      <c r="M558" s="42"/>
      <c r="N558" s="128"/>
      <c r="O558" s="42"/>
      <c r="P558" s="42"/>
      <c r="Q558" s="42"/>
      <c r="R558" s="42"/>
      <c r="S558" s="42"/>
      <c r="T558" s="42"/>
      <c r="U558" s="42"/>
      <c r="W558" s="101"/>
      <c r="X558" s="101"/>
      <c r="Y558" s="101"/>
    </row>
    <row r="559" spans="1:25" ht="21" customHeight="1">
      <c r="A559" s="212">
        <f t="shared" si="40"/>
        <v>292</v>
      </c>
      <c r="B559" s="148" t="s">
        <v>1003</v>
      </c>
      <c r="C559" s="222" t="s">
        <v>394</v>
      </c>
      <c r="D559" s="217" t="s">
        <v>961</v>
      </c>
      <c r="E559" s="218" t="s">
        <v>83</v>
      </c>
      <c r="F559" s="219">
        <v>1</v>
      </c>
      <c r="G559" s="394"/>
      <c r="H559" s="220">
        <f t="shared" si="38"/>
        <v>0</v>
      </c>
      <c r="I559" s="169" t="s">
        <v>7</v>
      </c>
      <c r="K559" s="167"/>
      <c r="L559" s="42" t="s">
        <v>982</v>
      </c>
      <c r="M559" s="42"/>
      <c r="N559" s="128"/>
      <c r="O559" s="42"/>
      <c r="P559" s="42"/>
      <c r="Q559" s="42"/>
      <c r="R559" s="42"/>
      <c r="S559" s="42"/>
      <c r="T559" s="42"/>
      <c r="U559" s="42"/>
      <c r="W559" s="101"/>
      <c r="X559" s="101"/>
      <c r="Y559" s="101"/>
    </row>
    <row r="560" spans="1:25" ht="25.5">
      <c r="A560" s="212">
        <f t="shared" si="40"/>
        <v>293</v>
      </c>
      <c r="B560" s="148" t="s">
        <v>1002</v>
      </c>
      <c r="C560" s="222" t="s">
        <v>394</v>
      </c>
      <c r="D560" s="88" t="s">
        <v>977</v>
      </c>
      <c r="E560" s="218" t="s">
        <v>83</v>
      </c>
      <c r="F560" s="219">
        <v>1</v>
      </c>
      <c r="G560" s="394"/>
      <c r="H560" s="220">
        <f t="shared" si="38"/>
        <v>0</v>
      </c>
      <c r="I560" s="169" t="s">
        <v>7</v>
      </c>
      <c r="K560" s="167"/>
      <c r="L560" s="170" t="s">
        <v>612</v>
      </c>
      <c r="M560" s="42"/>
      <c r="N560" s="128"/>
      <c r="O560" s="42"/>
      <c r="P560" s="42"/>
      <c r="Q560" s="42"/>
      <c r="R560" s="42"/>
      <c r="S560" s="42"/>
      <c r="T560" s="42"/>
      <c r="U560" s="42"/>
      <c r="W560" s="101"/>
      <c r="X560" s="101"/>
      <c r="Y560" s="101"/>
    </row>
    <row r="561" spans="1:25" ht="16.5">
      <c r="A561" s="212">
        <f t="shared" si="40"/>
        <v>294</v>
      </c>
      <c r="B561" s="148" t="s">
        <v>474</v>
      </c>
      <c r="C561" s="213" t="s">
        <v>395</v>
      </c>
      <c r="D561" s="72" t="s">
        <v>938</v>
      </c>
      <c r="E561" s="74" t="s">
        <v>84</v>
      </c>
      <c r="F561" s="137">
        <v>21</v>
      </c>
      <c r="G561" s="386"/>
      <c r="H561" s="75">
        <f t="shared" si="38"/>
        <v>0</v>
      </c>
      <c r="I561" s="169" t="s">
        <v>7</v>
      </c>
      <c r="K561" s="167"/>
      <c r="M561" s="42"/>
      <c r="N561" s="42"/>
      <c r="O561" s="42"/>
      <c r="P561" s="42"/>
      <c r="Q561" s="42"/>
      <c r="R561" s="42"/>
      <c r="S561" s="42"/>
      <c r="T561" s="42"/>
      <c r="U561" s="42"/>
      <c r="W561" s="101"/>
      <c r="X561" s="106"/>
      <c r="Y561" s="101"/>
    </row>
    <row r="562" spans="1:24" ht="12.75">
      <c r="A562" s="212">
        <f t="shared" si="40"/>
        <v>295</v>
      </c>
      <c r="B562" s="183" t="s">
        <v>959</v>
      </c>
      <c r="C562" s="222" t="s">
        <v>394</v>
      </c>
      <c r="D562" s="177" t="s">
        <v>935</v>
      </c>
      <c r="E562" s="178" t="s">
        <v>83</v>
      </c>
      <c r="F562" s="166">
        <v>1</v>
      </c>
      <c r="G562" s="394"/>
      <c r="H562" s="179">
        <f t="shared" si="38"/>
        <v>0</v>
      </c>
      <c r="I562" s="258" t="s">
        <v>4</v>
      </c>
      <c r="J562" s="42"/>
      <c r="K562" s="167"/>
      <c r="L562" s="42" t="s">
        <v>980</v>
      </c>
      <c r="M562" s="42"/>
      <c r="N562" s="42"/>
      <c r="O562" s="42"/>
      <c r="P562" s="42"/>
      <c r="Q562" s="42"/>
      <c r="R562" s="42"/>
      <c r="S562" s="42"/>
      <c r="T562" s="42"/>
      <c r="U562" s="42"/>
      <c r="V562" s="101"/>
      <c r="W562" s="101"/>
      <c r="X562" s="101"/>
    </row>
    <row r="563" spans="1:24" ht="12.75">
      <c r="A563" s="212">
        <f t="shared" si="40"/>
        <v>296</v>
      </c>
      <c r="B563" s="183" t="s">
        <v>959</v>
      </c>
      <c r="C563" s="222" t="s">
        <v>394</v>
      </c>
      <c r="D563" s="177" t="s">
        <v>936</v>
      </c>
      <c r="E563" s="178" t="s">
        <v>83</v>
      </c>
      <c r="F563" s="166">
        <v>2</v>
      </c>
      <c r="G563" s="394"/>
      <c r="H563" s="179">
        <f>F563*G563</f>
        <v>0</v>
      </c>
      <c r="I563" s="258" t="s">
        <v>4</v>
      </c>
      <c r="J563" s="42"/>
      <c r="K563" s="167"/>
      <c r="L563" s="42" t="s">
        <v>979</v>
      </c>
      <c r="M563" s="42"/>
      <c r="N563" s="42"/>
      <c r="O563" s="42"/>
      <c r="P563" s="42"/>
      <c r="Q563" s="42"/>
      <c r="R563" s="42"/>
      <c r="S563" s="42"/>
      <c r="T563" s="42"/>
      <c r="U563" s="42"/>
      <c r="V563" s="101"/>
      <c r="W563" s="101"/>
      <c r="X563" s="101"/>
    </row>
    <row r="564" spans="1:25" ht="12.75">
      <c r="A564" s="212">
        <f t="shared" si="40"/>
        <v>297</v>
      </c>
      <c r="B564" s="148" t="s">
        <v>305</v>
      </c>
      <c r="C564" s="222" t="s">
        <v>394</v>
      </c>
      <c r="D564" s="217" t="s">
        <v>937</v>
      </c>
      <c r="E564" s="218" t="s">
        <v>83</v>
      </c>
      <c r="F564" s="219">
        <v>1</v>
      </c>
      <c r="G564" s="394"/>
      <c r="H564" s="220">
        <f t="shared" si="38"/>
        <v>0</v>
      </c>
      <c r="I564" s="169" t="s">
        <v>7</v>
      </c>
      <c r="K564" s="167"/>
      <c r="L564" s="42" t="s">
        <v>981</v>
      </c>
      <c r="M564" s="42"/>
      <c r="N564" s="128"/>
      <c r="O564" s="42"/>
      <c r="P564" s="42"/>
      <c r="Q564" s="42"/>
      <c r="R564" s="42"/>
      <c r="S564" s="42"/>
      <c r="T564" s="42"/>
      <c r="U564" s="42"/>
      <c r="W564" s="101"/>
      <c r="X564" s="101"/>
      <c r="Y564" s="101"/>
    </row>
    <row r="565" spans="1:25" ht="12.75">
      <c r="A565" s="212">
        <f t="shared" si="40"/>
        <v>298</v>
      </c>
      <c r="B565" s="148" t="s">
        <v>999</v>
      </c>
      <c r="C565" s="222"/>
      <c r="D565" s="217" t="s">
        <v>992</v>
      </c>
      <c r="E565" s="218" t="s">
        <v>83</v>
      </c>
      <c r="F565" s="138">
        <v>2</v>
      </c>
      <c r="G565" s="394"/>
      <c r="H565" s="220">
        <f>F565*G565</f>
        <v>0</v>
      </c>
      <c r="I565" s="169" t="s">
        <v>7</v>
      </c>
      <c r="K565" s="167"/>
      <c r="L565" s="42"/>
      <c r="M565" s="42"/>
      <c r="N565" s="128"/>
      <c r="O565" s="42"/>
      <c r="P565" s="42"/>
      <c r="Q565" s="42"/>
      <c r="R565" s="42"/>
      <c r="S565" s="42"/>
      <c r="T565" s="42"/>
      <c r="U565" s="42"/>
      <c r="W565" s="101"/>
      <c r="X565" s="101"/>
      <c r="Y565" s="101"/>
    </row>
    <row r="566" spans="1:25" ht="12.75">
      <c r="A566" s="212">
        <f t="shared" si="40"/>
        <v>299</v>
      </c>
      <c r="B566" s="148" t="s">
        <v>1000</v>
      </c>
      <c r="C566" s="222"/>
      <c r="D566" s="217" t="s">
        <v>993</v>
      </c>
      <c r="E566" s="218" t="s">
        <v>83</v>
      </c>
      <c r="F566" s="138">
        <v>2</v>
      </c>
      <c r="G566" s="394"/>
      <c r="H566" s="220">
        <f>F566*G566</f>
        <v>0</v>
      </c>
      <c r="I566" s="169" t="s">
        <v>7</v>
      </c>
      <c r="K566" s="167"/>
      <c r="L566" s="42"/>
      <c r="M566" s="42"/>
      <c r="N566" s="128"/>
      <c r="O566" s="42"/>
      <c r="P566" s="42"/>
      <c r="Q566" s="42"/>
      <c r="R566" s="42"/>
      <c r="S566" s="42"/>
      <c r="T566" s="42"/>
      <c r="U566" s="42"/>
      <c r="W566" s="101"/>
      <c r="X566" s="101"/>
      <c r="Y566" s="101"/>
    </row>
    <row r="567" spans="1:25" ht="12.75">
      <c r="A567" s="212">
        <f t="shared" si="40"/>
        <v>300</v>
      </c>
      <c r="B567" s="148" t="s">
        <v>1001</v>
      </c>
      <c r="C567" s="222"/>
      <c r="D567" s="217" t="s">
        <v>995</v>
      </c>
      <c r="E567" s="218" t="s">
        <v>84</v>
      </c>
      <c r="F567" s="138">
        <v>2</v>
      </c>
      <c r="G567" s="394"/>
      <c r="H567" s="220">
        <f>F567*G567</f>
        <v>0</v>
      </c>
      <c r="I567" s="169" t="s">
        <v>7</v>
      </c>
      <c r="K567" s="167"/>
      <c r="L567" s="42" t="s">
        <v>996</v>
      </c>
      <c r="M567" s="42"/>
      <c r="N567" s="128"/>
      <c r="O567" s="42"/>
      <c r="P567" s="42"/>
      <c r="Q567" s="42"/>
      <c r="R567" s="42"/>
      <c r="S567" s="42"/>
      <c r="T567" s="42"/>
      <c r="U567" s="42"/>
      <c r="W567" s="101"/>
      <c r="X567" s="101"/>
      <c r="Y567" s="101"/>
    </row>
    <row r="568" spans="1:25" ht="12.75">
      <c r="A568" s="212">
        <f t="shared" si="40"/>
        <v>301</v>
      </c>
      <c r="B568" s="148" t="s">
        <v>994</v>
      </c>
      <c r="C568" s="222"/>
      <c r="D568" s="217" t="s">
        <v>963</v>
      </c>
      <c r="E568" s="218" t="s">
        <v>83</v>
      </c>
      <c r="F568" s="219">
        <v>1</v>
      </c>
      <c r="G568" s="394"/>
      <c r="H568" s="220">
        <f>F568*G568</f>
        <v>0</v>
      </c>
      <c r="I568" s="169" t="s">
        <v>7</v>
      </c>
      <c r="K568" s="167"/>
      <c r="L568" s="42"/>
      <c r="M568" s="42"/>
      <c r="N568" s="128"/>
      <c r="O568" s="42"/>
      <c r="P568" s="42"/>
      <c r="Q568" s="42"/>
      <c r="R568" s="42"/>
      <c r="S568" s="42"/>
      <c r="T568" s="42"/>
      <c r="U568" s="42"/>
      <c r="W568" s="101"/>
      <c r="X568" s="101"/>
      <c r="Y568" s="101"/>
    </row>
    <row r="569" spans="1:25" ht="12.75">
      <c r="A569" s="212">
        <f t="shared" si="40"/>
        <v>302</v>
      </c>
      <c r="B569" s="148">
        <v>484813537</v>
      </c>
      <c r="C569" s="222" t="s">
        <v>394</v>
      </c>
      <c r="D569" s="217" t="s">
        <v>984</v>
      </c>
      <c r="E569" s="218" t="s">
        <v>83</v>
      </c>
      <c r="F569" s="219">
        <v>1</v>
      </c>
      <c r="G569" s="394"/>
      <c r="H569" s="220">
        <f>F569*G569</f>
        <v>0</v>
      </c>
      <c r="I569" s="169" t="s">
        <v>7</v>
      </c>
      <c r="K569" s="167"/>
      <c r="L569" s="42" t="s">
        <v>983</v>
      </c>
      <c r="M569" s="42"/>
      <c r="N569" s="128"/>
      <c r="O569" s="42"/>
      <c r="P569" s="42"/>
      <c r="Q569" s="42"/>
      <c r="R569" s="42"/>
      <c r="S569" s="42"/>
      <c r="T569" s="42"/>
      <c r="U569" s="42"/>
      <c r="W569" s="101"/>
      <c r="X569" s="101"/>
      <c r="Y569" s="101"/>
    </row>
    <row r="570" spans="1:24" ht="45.75" customHeight="1">
      <c r="A570" s="212">
        <f t="shared" si="40"/>
        <v>303</v>
      </c>
      <c r="B570" s="148" t="s">
        <v>978</v>
      </c>
      <c r="C570" s="222" t="s">
        <v>394</v>
      </c>
      <c r="D570" s="269" t="s">
        <v>960</v>
      </c>
      <c r="E570" s="178" t="s">
        <v>84</v>
      </c>
      <c r="F570" s="219">
        <v>17</v>
      </c>
      <c r="G570" s="394"/>
      <c r="H570" s="220">
        <f t="shared" si="38"/>
        <v>0</v>
      </c>
      <c r="I570" s="169" t="s">
        <v>7</v>
      </c>
      <c r="J570" s="42"/>
      <c r="K570" s="381"/>
      <c r="L570" s="280" t="s">
        <v>298</v>
      </c>
      <c r="M570" s="42"/>
      <c r="N570" s="42"/>
      <c r="O570" s="42"/>
      <c r="P570" s="42"/>
      <c r="Q570" s="42"/>
      <c r="R570" s="42"/>
      <c r="S570" s="42"/>
      <c r="T570" s="42"/>
      <c r="U570" s="42"/>
      <c r="V570" s="101"/>
      <c r="W570" s="101"/>
      <c r="X570" s="101"/>
    </row>
    <row r="571" spans="1:25" ht="12.75">
      <c r="A571" s="212">
        <f t="shared" si="40"/>
        <v>304</v>
      </c>
      <c r="B571" s="148">
        <v>484813537</v>
      </c>
      <c r="C571" s="222" t="s">
        <v>394</v>
      </c>
      <c r="D571" s="217" t="s">
        <v>985</v>
      </c>
      <c r="E571" s="218" t="s">
        <v>83</v>
      </c>
      <c r="F571" s="219">
        <v>1</v>
      </c>
      <c r="G571" s="394"/>
      <c r="H571" s="220">
        <f aca="true" t="shared" si="41" ref="H571:H577">F571*G571</f>
        <v>0</v>
      </c>
      <c r="I571" s="169" t="s">
        <v>7</v>
      </c>
      <c r="K571" s="167"/>
      <c r="L571" s="42" t="s">
        <v>986</v>
      </c>
      <c r="M571" s="42"/>
      <c r="N571" s="128"/>
      <c r="O571" s="42"/>
      <c r="P571" s="42"/>
      <c r="Q571" s="42"/>
      <c r="R571" s="42"/>
      <c r="S571" s="42"/>
      <c r="T571" s="42"/>
      <c r="U571" s="42"/>
      <c r="W571" s="101"/>
      <c r="X571" s="101"/>
      <c r="Y571" s="101"/>
    </row>
    <row r="572" spans="1:25" ht="25.5">
      <c r="A572" s="212">
        <f t="shared" si="40"/>
        <v>305</v>
      </c>
      <c r="B572" s="148" t="s">
        <v>70</v>
      </c>
      <c r="C572" s="222" t="s">
        <v>394</v>
      </c>
      <c r="D572" s="217" t="s">
        <v>987</v>
      </c>
      <c r="E572" s="218" t="s">
        <v>84</v>
      </c>
      <c r="F572" s="219">
        <v>1</v>
      </c>
      <c r="G572" s="394"/>
      <c r="H572" s="220">
        <f t="shared" si="41"/>
        <v>0</v>
      </c>
      <c r="I572" s="169" t="s">
        <v>7</v>
      </c>
      <c r="L572" s="42" t="s">
        <v>988</v>
      </c>
      <c r="M572" s="42"/>
      <c r="N572" s="128"/>
      <c r="O572" s="42"/>
      <c r="P572" s="42"/>
      <c r="Q572" s="42"/>
      <c r="R572" s="42"/>
      <c r="S572" s="42"/>
      <c r="T572" s="42"/>
      <c r="U572" s="42"/>
      <c r="W572" s="101"/>
      <c r="X572" s="101"/>
      <c r="Y572" s="101"/>
    </row>
    <row r="573" spans="1:25" ht="28.5" customHeight="1">
      <c r="A573" s="212">
        <f t="shared" si="40"/>
        <v>306</v>
      </c>
      <c r="B573" s="148" t="s">
        <v>330</v>
      </c>
      <c r="C573" s="213" t="s">
        <v>145</v>
      </c>
      <c r="D573" s="191" t="s">
        <v>1004</v>
      </c>
      <c r="E573" s="74" t="s">
        <v>80</v>
      </c>
      <c r="F573" s="137">
        <v>1</v>
      </c>
      <c r="G573" s="386"/>
      <c r="H573" s="75">
        <f t="shared" si="41"/>
        <v>0</v>
      </c>
      <c r="I573" s="169" t="s">
        <v>4</v>
      </c>
      <c r="K573" s="167"/>
      <c r="L573" s="42"/>
      <c r="M573" s="42"/>
      <c r="N573" s="42"/>
      <c r="O573" s="42"/>
      <c r="P573" s="42"/>
      <c r="Q573" s="42"/>
      <c r="R573" s="42"/>
      <c r="S573" s="42"/>
      <c r="T573" s="42"/>
      <c r="U573" s="42"/>
      <c r="W573" s="101"/>
      <c r="X573" s="106"/>
      <c r="Y573" s="101"/>
    </row>
    <row r="574" spans="1:25" ht="16.5">
      <c r="A574" s="212">
        <f t="shared" si="40"/>
        <v>307</v>
      </c>
      <c r="B574" s="148" t="s">
        <v>330</v>
      </c>
      <c r="C574" s="213"/>
      <c r="D574" s="191" t="s">
        <v>148</v>
      </c>
      <c r="E574" s="74" t="s">
        <v>80</v>
      </c>
      <c r="F574" s="137">
        <v>1</v>
      </c>
      <c r="G574" s="386"/>
      <c r="H574" s="75">
        <f t="shared" si="41"/>
        <v>0</v>
      </c>
      <c r="I574" s="169" t="s">
        <v>4</v>
      </c>
      <c r="K574" s="167"/>
      <c r="L574" s="42"/>
      <c r="M574" s="42"/>
      <c r="N574" s="42"/>
      <c r="O574" s="42"/>
      <c r="P574" s="42"/>
      <c r="Q574" s="42"/>
      <c r="R574" s="42"/>
      <c r="S574" s="42"/>
      <c r="T574" s="42"/>
      <c r="U574" s="42"/>
      <c r="W574" s="101"/>
      <c r="X574" s="106"/>
      <c r="Y574" s="101"/>
    </row>
    <row r="575" spans="1:25" ht="16.5">
      <c r="A575" s="212">
        <f>A574+1</f>
        <v>308</v>
      </c>
      <c r="B575" s="148" t="s">
        <v>493</v>
      </c>
      <c r="C575" s="190"/>
      <c r="D575" s="191" t="s">
        <v>579</v>
      </c>
      <c r="E575" s="74" t="s">
        <v>80</v>
      </c>
      <c r="F575" s="137">
        <v>1</v>
      </c>
      <c r="G575" s="386"/>
      <c r="H575" s="75">
        <f t="shared" si="41"/>
        <v>0</v>
      </c>
      <c r="I575" s="169" t="s">
        <v>4</v>
      </c>
      <c r="K575" s="167"/>
      <c r="L575" s="42"/>
      <c r="M575" s="42"/>
      <c r="N575" s="42"/>
      <c r="O575" s="42"/>
      <c r="P575" s="42"/>
      <c r="Q575" s="42"/>
      <c r="R575" s="42"/>
      <c r="S575" s="42"/>
      <c r="T575" s="42"/>
      <c r="U575" s="42"/>
      <c r="W575" s="101"/>
      <c r="X575" s="106"/>
      <c r="Y575" s="101"/>
    </row>
    <row r="576" spans="1:25" ht="16.5">
      <c r="A576" s="212">
        <f>+A575+1</f>
        <v>309</v>
      </c>
      <c r="B576" s="148" t="s">
        <v>88</v>
      </c>
      <c r="C576" s="190"/>
      <c r="D576" s="191" t="s">
        <v>492</v>
      </c>
      <c r="E576" s="74" t="s">
        <v>339</v>
      </c>
      <c r="F576" s="137">
        <v>4</v>
      </c>
      <c r="G576" s="386"/>
      <c r="H576" s="75">
        <f t="shared" si="41"/>
        <v>0</v>
      </c>
      <c r="I576" s="169" t="s">
        <v>4</v>
      </c>
      <c r="K576" s="167"/>
      <c r="L576" s="42"/>
      <c r="M576" s="42"/>
      <c r="N576" s="42"/>
      <c r="O576" s="42"/>
      <c r="P576" s="42"/>
      <c r="Q576" s="42"/>
      <c r="R576" s="42"/>
      <c r="S576" s="42"/>
      <c r="T576" s="42"/>
      <c r="U576" s="42"/>
      <c r="W576" s="101"/>
      <c r="X576" s="106"/>
      <c r="Y576" s="101"/>
    </row>
    <row r="577" spans="1:25" ht="17.25" thickBot="1">
      <c r="A577" s="212">
        <f>+A576+1</f>
        <v>310</v>
      </c>
      <c r="B577" s="148" t="s">
        <v>166</v>
      </c>
      <c r="C577" s="190"/>
      <c r="D577" s="72" t="s">
        <v>126</v>
      </c>
      <c r="E577" s="74" t="s">
        <v>89</v>
      </c>
      <c r="F577" s="133">
        <f>+H545+H546+H547+H548+H550+H551+H552+H553+H556+H557+H558+H559+H560+H562+H563+H564+H565+H566+H567+H568+H569+H570+H571+H572</f>
        <v>0</v>
      </c>
      <c r="G577" s="395"/>
      <c r="H577" s="234">
        <f t="shared" si="41"/>
        <v>0</v>
      </c>
      <c r="I577" s="169" t="s">
        <v>4</v>
      </c>
      <c r="L577" s="42"/>
      <c r="M577" s="42"/>
      <c r="N577" s="42"/>
      <c r="O577" s="42"/>
      <c r="P577" s="42"/>
      <c r="Q577" s="42"/>
      <c r="R577" s="42"/>
      <c r="S577" s="42"/>
      <c r="T577" s="42"/>
      <c r="U577" s="42"/>
      <c r="W577" s="101"/>
      <c r="X577" s="106"/>
      <c r="Y577" s="101"/>
    </row>
    <row r="578" spans="1:25" ht="17.25" thickBot="1">
      <c r="A578" s="212"/>
      <c r="B578" s="148"/>
      <c r="C578" s="190"/>
      <c r="D578" s="85" t="s">
        <v>82</v>
      </c>
      <c r="E578" s="86"/>
      <c r="F578" s="223"/>
      <c r="G578" s="296"/>
      <c r="H578" s="78">
        <f>SUBTOTAL(9,H540:H577)</f>
        <v>0</v>
      </c>
      <c r="L578" s="42"/>
      <c r="M578" s="42"/>
      <c r="N578" s="42"/>
      <c r="O578" s="42"/>
      <c r="P578" s="42"/>
      <c r="Q578" s="42"/>
      <c r="R578" s="42"/>
      <c r="S578" s="42"/>
      <c r="T578" s="42"/>
      <c r="U578" s="42"/>
      <c r="W578" s="101"/>
      <c r="X578" s="106"/>
      <c r="Y578" s="101"/>
    </row>
    <row r="579" spans="1:25" ht="12.75">
      <c r="A579" s="212"/>
      <c r="B579" s="148"/>
      <c r="C579" s="190"/>
      <c r="D579" s="224"/>
      <c r="E579" s="208"/>
      <c r="F579" s="128"/>
      <c r="H579" s="209"/>
      <c r="L579" s="42"/>
      <c r="M579" s="42"/>
      <c r="N579" s="42"/>
      <c r="O579" s="42"/>
      <c r="P579" s="42"/>
      <c r="Q579" s="42"/>
      <c r="R579" s="42"/>
      <c r="S579" s="42"/>
      <c r="T579" s="42"/>
      <c r="U579" s="42"/>
      <c r="W579" s="101"/>
      <c r="X579" s="101"/>
      <c r="Y579" s="101"/>
    </row>
    <row r="580" spans="1:25" ht="16.5">
      <c r="A580" s="212"/>
      <c r="B580" s="148"/>
      <c r="C580" s="248">
        <v>4</v>
      </c>
      <c r="D580" s="65" t="s">
        <v>20</v>
      </c>
      <c r="E580" s="65"/>
      <c r="F580" s="136"/>
      <c r="G580" s="297"/>
      <c r="H580" s="65"/>
      <c r="L580" s="42"/>
      <c r="M580" s="42"/>
      <c r="N580" s="42"/>
      <c r="O580" s="42"/>
      <c r="P580" s="42"/>
      <c r="Q580" s="42"/>
      <c r="R580" s="42"/>
      <c r="S580" s="42"/>
      <c r="T580" s="42"/>
      <c r="U580" s="42"/>
      <c r="W580" s="101"/>
      <c r="X580" s="106"/>
      <c r="Y580" s="101"/>
    </row>
    <row r="581" spans="1:25" ht="66" customHeight="1">
      <c r="A581" s="212"/>
      <c r="B581" s="148"/>
      <c r="C581" s="200"/>
      <c r="D581" s="429" t="s">
        <v>438</v>
      </c>
      <c r="E581" s="429"/>
      <c r="F581" s="429"/>
      <c r="G581" s="103"/>
      <c r="H581" s="103"/>
      <c r="L581" s="42"/>
      <c r="M581" s="42"/>
      <c r="N581" s="42"/>
      <c r="O581" s="42"/>
      <c r="P581" s="42"/>
      <c r="Q581" s="42"/>
      <c r="R581" s="42"/>
      <c r="S581" s="42"/>
      <c r="T581" s="42"/>
      <c r="U581" s="42"/>
      <c r="W581" s="101"/>
      <c r="X581" s="106"/>
      <c r="Y581" s="101"/>
    </row>
    <row r="582" spans="1:25" ht="16.5">
      <c r="A582" s="212">
        <f>A577+1</f>
        <v>311</v>
      </c>
      <c r="B582" s="148"/>
      <c r="C582" s="213"/>
      <c r="D582" s="72" t="s">
        <v>941</v>
      </c>
      <c r="E582" s="74" t="s">
        <v>181</v>
      </c>
      <c r="F582" s="137">
        <v>1</v>
      </c>
      <c r="G582" s="112">
        <f>'ESI-ESA'!H41</f>
        <v>0</v>
      </c>
      <c r="H582" s="75">
        <f>'ESI-ESA'!H41</f>
        <v>0</v>
      </c>
      <c r="I582" s="169" t="s">
        <v>4</v>
      </c>
      <c r="L582" s="42"/>
      <c r="M582" s="42"/>
      <c r="N582" s="42"/>
      <c r="O582" s="42"/>
      <c r="P582" s="42"/>
      <c r="Q582" s="42"/>
      <c r="R582" s="42"/>
      <c r="S582" s="42"/>
      <c r="T582" s="42"/>
      <c r="U582" s="42"/>
      <c r="W582" s="101"/>
      <c r="X582" s="106"/>
      <c r="Y582" s="101"/>
    </row>
    <row r="583" spans="1:25" ht="16.5">
      <c r="A583" s="212">
        <f>A582+1</f>
        <v>312</v>
      </c>
      <c r="B583" s="148"/>
      <c r="C583" s="213"/>
      <c r="D583" s="72" t="s">
        <v>939</v>
      </c>
      <c r="E583" s="74" t="s">
        <v>181</v>
      </c>
      <c r="F583" s="137">
        <v>1</v>
      </c>
      <c r="G583" s="112">
        <f>'ESI-ESA'!H55</f>
        <v>0</v>
      </c>
      <c r="H583" s="75">
        <f>'ESI-ESA'!H55</f>
        <v>0</v>
      </c>
      <c r="I583" s="169" t="s">
        <v>4</v>
      </c>
      <c r="L583" s="42"/>
      <c r="M583" s="42"/>
      <c r="N583" s="42"/>
      <c r="O583" s="42"/>
      <c r="P583" s="42"/>
      <c r="Q583" s="42"/>
      <c r="R583" s="42"/>
      <c r="S583" s="42"/>
      <c r="T583" s="42"/>
      <c r="U583" s="42"/>
      <c r="W583" s="101"/>
      <c r="X583" s="106"/>
      <c r="Y583" s="101"/>
    </row>
    <row r="584" spans="1:25" ht="17.25" thickBot="1">
      <c r="A584" s="212">
        <f>A583+1</f>
        <v>313</v>
      </c>
      <c r="B584" s="148"/>
      <c r="C584" s="213"/>
      <c r="D584" s="72" t="s">
        <v>940</v>
      </c>
      <c r="E584" s="74" t="s">
        <v>181</v>
      </c>
      <c r="F584" s="137">
        <v>1</v>
      </c>
      <c r="G584" s="112">
        <f>'ESI-ESA'!H61</f>
        <v>0</v>
      </c>
      <c r="H584" s="75">
        <f>'ESI-ESA'!H61</f>
        <v>0</v>
      </c>
      <c r="I584" s="169" t="s">
        <v>4</v>
      </c>
      <c r="L584" s="42"/>
      <c r="M584" s="42"/>
      <c r="N584" s="42"/>
      <c r="O584" s="42"/>
      <c r="P584" s="42"/>
      <c r="Q584" s="42"/>
      <c r="R584" s="42"/>
      <c r="S584" s="42"/>
      <c r="T584" s="42"/>
      <c r="U584" s="42"/>
      <c r="W584" s="101"/>
      <c r="X584" s="106"/>
      <c r="Y584" s="101"/>
    </row>
    <row r="585" spans="1:25" ht="13.5" thickBot="1">
      <c r="A585" s="212"/>
      <c r="B585" s="148"/>
      <c r="C585" s="190"/>
      <c r="D585" s="85" t="s">
        <v>82</v>
      </c>
      <c r="E585" s="86"/>
      <c r="F585" s="223"/>
      <c r="G585" s="296"/>
      <c r="H585" s="78">
        <f>SUBTOTAL(9,H582:H584)</f>
        <v>0</v>
      </c>
      <c r="L585" s="42"/>
      <c r="M585" s="42"/>
      <c r="N585" s="42"/>
      <c r="O585" s="42"/>
      <c r="P585" s="42"/>
      <c r="Q585" s="42"/>
      <c r="R585" s="42"/>
      <c r="S585" s="42"/>
      <c r="T585" s="42"/>
      <c r="U585" s="42"/>
      <c r="W585" s="101"/>
      <c r="X585" s="101"/>
      <c r="Y585" s="101"/>
    </row>
    <row r="586" spans="1:25" ht="12.75">
      <c r="A586" s="212"/>
      <c r="B586" s="148"/>
      <c r="C586" s="190"/>
      <c r="D586" s="224"/>
      <c r="E586" s="208"/>
      <c r="F586" s="128"/>
      <c r="H586" s="209"/>
      <c r="L586" s="42"/>
      <c r="M586" s="42"/>
      <c r="N586" s="42"/>
      <c r="O586" s="42"/>
      <c r="P586" s="42"/>
      <c r="Q586" s="42"/>
      <c r="R586" s="42"/>
      <c r="S586" s="42"/>
      <c r="T586" s="42"/>
      <c r="U586" s="42"/>
      <c r="W586" s="101"/>
      <c r="X586" s="101"/>
      <c r="Y586" s="101"/>
    </row>
    <row r="587" spans="1:21" ht="16.5">
      <c r="A587" s="212"/>
      <c r="B587" s="148"/>
      <c r="C587" s="248">
        <v>5</v>
      </c>
      <c r="D587" s="65" t="s">
        <v>21</v>
      </c>
      <c r="E587" s="65"/>
      <c r="F587" s="136"/>
      <c r="G587" s="297"/>
      <c r="H587" s="65"/>
      <c r="L587" s="42"/>
      <c r="M587" s="42"/>
      <c r="N587" s="42"/>
      <c r="O587" s="42"/>
      <c r="P587" s="42"/>
      <c r="Q587" s="42"/>
      <c r="R587" s="42"/>
      <c r="S587" s="42"/>
      <c r="T587" s="42"/>
      <c r="U587" s="42"/>
    </row>
    <row r="588" spans="1:21" ht="69.75" customHeight="1">
      <c r="A588" s="212"/>
      <c r="B588" s="148"/>
      <c r="C588" s="200"/>
      <c r="D588" s="429" t="s">
        <v>180</v>
      </c>
      <c r="E588" s="429"/>
      <c r="F588" s="429"/>
      <c r="G588" s="103"/>
      <c r="H588" s="103"/>
      <c r="L588" s="42" t="s">
        <v>19</v>
      </c>
      <c r="M588" s="42"/>
      <c r="N588" s="42"/>
      <c r="O588" s="42"/>
      <c r="P588" s="42"/>
      <c r="Q588" s="42"/>
      <c r="R588" s="42"/>
      <c r="S588" s="42"/>
      <c r="T588" s="42"/>
      <c r="U588" s="42"/>
    </row>
    <row r="589" spans="1:21" ht="12.75">
      <c r="A589" s="212">
        <f>A584+1</f>
        <v>314</v>
      </c>
      <c r="B589" s="148"/>
      <c r="C589" s="213"/>
      <c r="D589" s="72" t="s">
        <v>942</v>
      </c>
      <c r="E589" s="74" t="s">
        <v>181</v>
      </c>
      <c r="F589" s="137">
        <v>1</v>
      </c>
      <c r="G589" s="112">
        <f>'ESI-ESA'!H78</f>
        <v>0</v>
      </c>
      <c r="H589" s="75">
        <f>'ESI-ESA'!H78</f>
        <v>0</v>
      </c>
      <c r="I589" s="169" t="s">
        <v>4</v>
      </c>
      <c r="K589" s="168"/>
      <c r="L589" s="42"/>
      <c r="M589" s="42"/>
      <c r="N589" s="42"/>
      <c r="O589" s="42"/>
      <c r="P589" s="42"/>
      <c r="Q589" s="42"/>
      <c r="R589" s="42"/>
      <c r="S589" s="42"/>
      <c r="T589" s="42"/>
      <c r="U589" s="42"/>
    </row>
    <row r="590" spans="1:21" ht="13.5" thickBot="1">
      <c r="A590" s="212">
        <f>A589+1</f>
        <v>315</v>
      </c>
      <c r="B590" s="148"/>
      <c r="C590" s="213"/>
      <c r="D590" s="72" t="s">
        <v>940</v>
      </c>
      <c r="E590" s="74" t="s">
        <v>181</v>
      </c>
      <c r="F590" s="137">
        <v>1</v>
      </c>
      <c r="G590" s="112">
        <f>'ESI-ESA'!H84</f>
        <v>0</v>
      </c>
      <c r="H590" s="75">
        <f>'ESI-ESA'!H84</f>
        <v>0</v>
      </c>
      <c r="I590" s="169" t="s">
        <v>4</v>
      </c>
      <c r="L590" s="42"/>
      <c r="M590" s="42"/>
      <c r="N590" s="42"/>
      <c r="O590" s="42"/>
      <c r="P590" s="42"/>
      <c r="Q590" s="42"/>
      <c r="R590" s="42"/>
      <c r="S590" s="42"/>
      <c r="T590" s="42"/>
      <c r="U590" s="42"/>
    </row>
    <row r="591" spans="1:21" ht="13.5" thickBot="1">
      <c r="A591" s="212"/>
      <c r="B591" s="148"/>
      <c r="C591" s="190"/>
      <c r="D591" s="85" t="s">
        <v>82</v>
      </c>
      <c r="E591" s="86"/>
      <c r="F591" s="223"/>
      <c r="G591" s="296"/>
      <c r="H591" s="78">
        <f>SUBTOTAL(9,H589:H590)</f>
        <v>0</v>
      </c>
      <c r="K591" s="167"/>
      <c r="L591" s="42"/>
      <c r="M591" s="42"/>
      <c r="N591" s="42"/>
      <c r="O591" s="42"/>
      <c r="P591" s="42"/>
      <c r="Q591" s="42"/>
      <c r="R591" s="42"/>
      <c r="S591" s="42"/>
      <c r="T591" s="42"/>
      <c r="U591" s="42"/>
    </row>
    <row r="592" spans="1:21" ht="12.75">
      <c r="A592" s="212"/>
      <c r="B592" s="148"/>
      <c r="C592" s="190"/>
      <c r="D592" s="224"/>
      <c r="E592" s="208"/>
      <c r="F592" s="128"/>
      <c r="H592" s="209"/>
      <c r="K592" s="167"/>
      <c r="L592" s="42"/>
      <c r="M592" s="42"/>
      <c r="N592" s="42"/>
      <c r="O592" s="42"/>
      <c r="P592" s="42"/>
      <c r="Q592" s="42"/>
      <c r="R592" s="42"/>
      <c r="S592" s="42"/>
      <c r="T592" s="42"/>
      <c r="U592" s="42"/>
    </row>
    <row r="593" spans="1:21" ht="16.5">
      <c r="A593" s="42"/>
      <c r="B593" s="271"/>
      <c r="C593" s="200">
        <v>6</v>
      </c>
      <c r="D593" s="65" t="s">
        <v>116</v>
      </c>
      <c r="E593" s="65"/>
      <c r="F593" s="136"/>
      <c r="G593" s="297"/>
      <c r="H593" s="65"/>
      <c r="K593" s="167"/>
      <c r="L593" s="42"/>
      <c r="M593" s="42"/>
      <c r="N593" s="42"/>
      <c r="O593" s="42"/>
      <c r="P593" s="42"/>
      <c r="Q593" s="42"/>
      <c r="R593" s="42"/>
      <c r="S593" s="42"/>
      <c r="T593" s="42"/>
      <c r="U593" s="42"/>
    </row>
    <row r="594" spans="1:21" ht="13.5" thickBot="1">
      <c r="A594" s="212">
        <f>A590+1</f>
        <v>316</v>
      </c>
      <c r="B594" s="148" t="s">
        <v>491</v>
      </c>
      <c r="C594" s="190" t="s">
        <v>1095</v>
      </c>
      <c r="D594" s="72" t="s">
        <v>1096</v>
      </c>
      <c r="E594" s="74" t="s">
        <v>83</v>
      </c>
      <c r="F594" s="137">
        <v>1</v>
      </c>
      <c r="G594" s="386"/>
      <c r="H594" s="75">
        <f>F594*G594</f>
        <v>0</v>
      </c>
      <c r="I594" s="169" t="s">
        <v>7</v>
      </c>
      <c r="K594" s="167"/>
      <c r="L594" s="42"/>
      <c r="M594" s="42"/>
      <c r="N594" s="42"/>
      <c r="O594" s="42"/>
      <c r="P594" s="42"/>
      <c r="Q594" s="42"/>
      <c r="R594" s="42"/>
      <c r="S594" s="42"/>
      <c r="T594" s="42"/>
      <c r="U594" s="42"/>
    </row>
    <row r="595" spans="1:21" ht="13.5" thickBot="1">
      <c r="A595" s="212"/>
      <c r="B595" s="148"/>
      <c r="C595" s="195"/>
      <c r="D595" s="85" t="s">
        <v>82</v>
      </c>
      <c r="E595" s="86"/>
      <c r="F595" s="223"/>
      <c r="G595" s="296"/>
      <c r="H595" s="249">
        <f>SUBTOTAL(9,H594:H594)</f>
        <v>0</v>
      </c>
      <c r="K595" s="167"/>
      <c r="L595" s="42"/>
      <c r="M595" s="42"/>
      <c r="N595" s="42"/>
      <c r="O595" s="42"/>
      <c r="P595" s="42"/>
      <c r="Q595" s="42"/>
      <c r="R595" s="42"/>
      <c r="S595" s="42"/>
      <c r="T595" s="42"/>
      <c r="U595" s="42"/>
    </row>
  </sheetData>
  <sheetProtection password="F4F7" sheet="1" selectLockedCells="1"/>
  <mergeCells count="40">
    <mergeCell ref="D6:H6"/>
    <mergeCell ref="D7:H7"/>
    <mergeCell ref="D8:H8"/>
    <mergeCell ref="D66:H66"/>
    <mergeCell ref="D65:H65"/>
    <mergeCell ref="G34:H34"/>
    <mergeCell ref="D67:H67"/>
    <mergeCell ref="D4:H4"/>
    <mergeCell ref="D5:H5"/>
    <mergeCell ref="D64:H64"/>
    <mergeCell ref="D102:H102"/>
    <mergeCell ref="D91:H91"/>
    <mergeCell ref="D76:H76"/>
    <mergeCell ref="D62:H62"/>
    <mergeCell ref="D63:H63"/>
    <mergeCell ref="G43:H43"/>
    <mergeCell ref="D75:H75"/>
    <mergeCell ref="D68:H68"/>
    <mergeCell ref="D71:H71"/>
    <mergeCell ref="D69:H69"/>
    <mergeCell ref="D73:H73"/>
    <mergeCell ref="D581:F581"/>
    <mergeCell ref="D220:F220"/>
    <mergeCell ref="D341:F341"/>
    <mergeCell ref="D302:F302"/>
    <mergeCell ref="D588:F588"/>
    <mergeCell ref="D428:F428"/>
    <mergeCell ref="D449:F449"/>
    <mergeCell ref="D478:F478"/>
    <mergeCell ref="D539:F539"/>
    <mergeCell ref="D375:F375"/>
    <mergeCell ref="D500:F500"/>
    <mergeCell ref="D411:F411"/>
    <mergeCell ref="D332:F332"/>
    <mergeCell ref="D78:H78"/>
    <mergeCell ref="D79:H79"/>
    <mergeCell ref="D105:H105"/>
    <mergeCell ref="D100:H100"/>
    <mergeCell ref="D88:H88"/>
    <mergeCell ref="D208:F208"/>
  </mergeCells>
  <conditionalFormatting sqref="D61 E69">
    <cfRule type="expression" priority="105" dxfId="5" stopIfTrue="1">
      <formula>ISTEXT(D61)</formula>
    </cfRule>
  </conditionalFormatting>
  <conditionalFormatting sqref="F69:H69">
    <cfRule type="expression" priority="106" dxfId="5" stopIfTrue="1">
      <formula>ISNUMBER(F69)</formula>
    </cfRule>
  </conditionalFormatting>
  <hyperlinks>
    <hyperlink ref="D14" location="Kapitola_2" display="Kapitola_2"/>
    <hyperlink ref="D13" location="Kapitola_1" display="Kapitola_1"/>
    <hyperlink ref="D184:H184" location="Rekapitulace_2" display="Stropní deska v úrovni terénu"/>
    <hyperlink ref="D32" location="Dokoncovaci_prace" display="Dokoncovaci_prace"/>
    <hyperlink ref="D105:H105" location="Rekapitulace_1" display="Bourací a přípravné práce"/>
    <hyperlink ref="D207:H207" location="Rekapitulace_2b" display="Živičné izolace"/>
    <hyperlink ref="D219:H219" location="Rekapitulace_2c" display="Povlakové izolace proti vodě"/>
    <hyperlink ref="D16" location="Kapitola_2b" display="Kapitola_2b"/>
    <hyperlink ref="D17" location="Kapitola_2c" display="Kapitola_2c"/>
    <hyperlink ref="D24" location="Kapitola_2d" display="Kapitola_2d"/>
    <hyperlink ref="D25" location="Kapitola_2e" display="Kapitola_2e"/>
    <hyperlink ref="D26" location="Kapitola_2f" display="Kapitola_2f"/>
    <hyperlink ref="D30" location="Kapitola_2g" display="Kapitola_2g"/>
    <hyperlink ref="D31" location="Kapitola_2h" display="Kapitola_2h"/>
    <hyperlink ref="D18" location="Kapitola_2j" display="Kapitola_2j"/>
    <hyperlink ref="D19" location="Kapitola_2k" display="Kapitola_2k"/>
    <hyperlink ref="D20" location="Kapitola_2l" display="Kapitola_2l"/>
    <hyperlink ref="D21" location="Kapitola_2m" display="Kapitola_2m"/>
    <hyperlink ref="D83" location="Doplňky_dodavatele" display="Doplňky dodavatele"/>
    <hyperlink ref="D593:H593" location="Rekapitulace_Dokončovací_práce" display="Dokončovací práce"/>
    <hyperlink ref="D410:H410" location="Rekapitulace_2d" display="Izolace tepelné"/>
    <hyperlink ref="D427:H427" location="Rekapitulace_2e" display="Kanalizace"/>
    <hyperlink ref="D448:H448" location="Rekapitulace_2f" display="Konstrukce klempířské"/>
    <hyperlink ref="D580:H580" location="Rekapitulace_2g" display="Elektroinstalace - silnoproud"/>
    <hyperlink ref="D477:H477" location="Rekapitulace_2i" display="Vzduchotechnika"/>
    <hyperlink ref="D587:H587" location="Rekapitulace_2h" display="Elektroinstalace - slaboproud"/>
    <hyperlink ref="D301:H301" location="Rekapitulace_2j" display="Konstrukce truhlářské"/>
    <hyperlink ref="D331:H331" location="Rekapitulace_2k" display="Konstrukce zámečnické"/>
    <hyperlink ref="D340:H340" location="Rekapitulace_2l" display="Podlahy z dlaždic"/>
    <hyperlink ref="D374:H374" location="Rekapitulace_2m" display="Podlahy povlakové"/>
    <hyperlink ref="D499:H499" location="Rekapitulace_2h" display="Elektroinstalace - slaboproud"/>
    <hyperlink ref="D538:H538" location="Rekapitulace_2h" display="Elektroinstalace - slaboproud"/>
    <hyperlink ref="D393:H393" location="Rekapitulace_2d" display="Izolace tepelné"/>
    <hyperlink ref="L419" r:id="rId1" display="https://ok-levne.cz/hl138-podomitkovy-sifon-ke-klimatizacnim-jednotkam-dn32-100x100mm.html"/>
    <hyperlink ref="L278" r:id="rId2" display="https://www.siko.cz/lista-ukoncovaci-l-hlinik-elox-stribrna-delka-250-cm-vyska-10-mm-ale10250/p/ALE10250?gclid=Cj0KCQiA9P__BRC0ARIsAEZ6iriUFCvPfDFm63Tta9iemIg6LPSMDKSCYPiZbtg7MIgDR_wcOYbWNo4aAst_EALw_wcB"/>
    <hyperlink ref="L318" r:id="rId3" display="https://www.spalensky.com/e/ostatni-drevene-vyrobky-676/dverni-prahy-971/?page=1&amp;sort=title&amp;parameters=2582"/>
    <hyperlink ref="L317" r:id="rId4" display="https://www.kovani-kliky.cz/cobra-ochranne-kovani-alt-wien--staromosaz/"/>
    <hyperlink ref="L276" r:id="rId5" display="https://www.siko.cz/obklad-fineza-happy-moon-svetle-bezova-20x40-cm-mat-waamb341-1/p/SIKOOE74411"/>
    <hyperlink ref="L385" r:id="rId6" display="https://www.e-podlaha.cz/drevena-podlaha-dub-sukovity-rustikal-1518245-lak--parador-trivrstva/"/>
  </hyperlinks>
  <printOptions gridLines="1" horizontalCentered="1"/>
  <pageMargins left="0.3937007874015748" right="0.3937007874015748" top="0.7874015748031497" bottom="0.7874015748031497" header="0.3937007874015748" footer="0.3937007874015748"/>
  <pageSetup fitToHeight="0" fitToWidth="1" horizontalDpi="600" verticalDpi="600" orientation="portrait" paperSize="9" scale="61" r:id="rId7"/>
  <headerFooter alignWithMargins="0">
    <oddFooter>&amp;CStránka &amp;P z &amp;N</oddFooter>
  </headerFooter>
  <rowBreaks count="4" manualBreakCount="4">
    <brk id="97" max="8" man="1"/>
    <brk id="162" max="8" man="1"/>
    <brk id="218" max="8" man="1"/>
    <brk id="339" max="8" man="1"/>
  </rowBreaks>
</worksheet>
</file>

<file path=xl/worksheets/sheet2.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selection activeCell="K7" sqref="K7"/>
    </sheetView>
  </sheetViews>
  <sheetFormatPr defaultColWidth="9.00390625" defaultRowHeight="12.75"/>
  <cols>
    <col min="1" max="1" width="4.75390625" style="195" customWidth="1"/>
    <col min="2" max="2" width="15.00390625" style="195" customWidth="1"/>
    <col min="3" max="3" width="46.875" style="42" customWidth="1"/>
    <col min="4" max="4" width="4.625" style="42" customWidth="1"/>
    <col min="5" max="5" width="5.625" style="42" customWidth="1"/>
    <col min="6" max="6" width="7.625" style="42" customWidth="1"/>
    <col min="7" max="7" width="9.875" style="42" customWidth="1"/>
    <col min="8" max="8" width="9.375" style="42" customWidth="1"/>
    <col min="9" max="9" width="1.25" style="42" customWidth="1"/>
    <col min="10" max="10" width="0" style="0" hidden="1" customWidth="1"/>
    <col min="11" max="11" width="9.125" style="167" customWidth="1"/>
    <col min="13" max="13" width="0" style="0" hidden="1" customWidth="1"/>
  </cols>
  <sheetData>
    <row r="1" spans="1:10" ht="15.75">
      <c r="A1" s="457" t="s">
        <v>1010</v>
      </c>
      <c r="B1" s="457"/>
      <c r="C1" s="457"/>
      <c r="D1" s="457"/>
      <c r="E1" s="457"/>
      <c r="F1" s="457"/>
      <c r="G1" s="457"/>
      <c r="H1" s="457"/>
      <c r="I1" s="400"/>
      <c r="J1" s="335"/>
    </row>
    <row r="2" spans="1:10" ht="15.75">
      <c r="A2" s="380"/>
      <c r="B2" s="380"/>
      <c r="C2" s="401" t="s">
        <v>324</v>
      </c>
      <c r="D2" s="194"/>
      <c r="E2" s="194"/>
      <c r="F2" s="194"/>
      <c r="G2" s="194"/>
      <c r="H2" s="194"/>
      <c r="I2" s="194"/>
      <c r="J2" s="5"/>
    </row>
    <row r="3" spans="1:10" ht="15.75">
      <c r="A3" s="380"/>
      <c r="B3" s="380"/>
      <c r="C3" s="402" t="s">
        <v>325</v>
      </c>
      <c r="D3" s="194"/>
      <c r="E3" s="194"/>
      <c r="F3" s="194"/>
      <c r="G3" s="194"/>
      <c r="H3" s="194"/>
      <c r="I3" s="194"/>
      <c r="J3" s="5"/>
    </row>
    <row r="4" spans="1:11" ht="12.75">
      <c r="A4" s="380"/>
      <c r="B4" s="380" t="s">
        <v>326</v>
      </c>
      <c r="C4" s="403" t="s">
        <v>327</v>
      </c>
      <c r="D4" s="194"/>
      <c r="E4" s="380" t="s">
        <v>86</v>
      </c>
      <c r="F4" s="380" t="s">
        <v>328</v>
      </c>
      <c r="G4" s="380" t="s">
        <v>329</v>
      </c>
      <c r="H4" s="380" t="s">
        <v>87</v>
      </c>
      <c r="I4" s="380"/>
      <c r="J4" s="5" t="s">
        <v>142</v>
      </c>
      <c r="K4" s="427" t="s">
        <v>31</v>
      </c>
    </row>
    <row r="5" spans="1:10" ht="12.75">
      <c r="A5" s="380">
        <v>1</v>
      </c>
      <c r="B5" s="380" t="s">
        <v>1011</v>
      </c>
      <c r="C5" s="194" t="s">
        <v>1046</v>
      </c>
      <c r="D5" s="194" t="s">
        <v>83</v>
      </c>
      <c r="E5" s="194">
        <v>4</v>
      </c>
      <c r="F5" s="277"/>
      <c r="G5" s="277"/>
      <c r="H5" s="404">
        <f aca="true" t="shared" si="0" ref="H5:H39">(F5+G5)*E5</f>
        <v>0</v>
      </c>
      <c r="I5" s="404"/>
      <c r="J5" s="5">
        <f aca="true" t="shared" si="1" ref="J5:J14">E5*F5</f>
        <v>0</v>
      </c>
    </row>
    <row r="6" spans="1:13" ht="22.5">
      <c r="A6" s="380">
        <f aca="true" t="shared" si="2" ref="A6:A39">A5+1</f>
        <v>2</v>
      </c>
      <c r="B6" s="380" t="s">
        <v>1012</v>
      </c>
      <c r="C6" s="405" t="s">
        <v>1045</v>
      </c>
      <c r="D6" s="194" t="s">
        <v>83</v>
      </c>
      <c r="E6" s="194">
        <v>3</v>
      </c>
      <c r="F6" s="277"/>
      <c r="G6" s="277"/>
      <c r="H6" s="404">
        <f t="shared" si="0"/>
        <v>0</v>
      </c>
      <c r="I6" s="404"/>
      <c r="J6" s="5">
        <f t="shared" si="1"/>
        <v>0</v>
      </c>
      <c r="M6" t="s">
        <v>1042</v>
      </c>
    </row>
    <row r="7" spans="1:13" ht="22.5">
      <c r="A7" s="380">
        <f t="shared" si="2"/>
        <v>3</v>
      </c>
      <c r="B7" s="380" t="s">
        <v>1012</v>
      </c>
      <c r="C7" s="405" t="s">
        <v>1044</v>
      </c>
      <c r="D7" s="194" t="s">
        <v>83</v>
      </c>
      <c r="E7" s="194">
        <v>3</v>
      </c>
      <c r="F7" s="277"/>
      <c r="G7" s="277"/>
      <c r="H7" s="404">
        <f t="shared" si="0"/>
        <v>0</v>
      </c>
      <c r="I7" s="404"/>
      <c r="J7" s="5">
        <f t="shared" si="1"/>
        <v>0</v>
      </c>
      <c r="M7" t="s">
        <v>1043</v>
      </c>
    </row>
    <row r="8" spans="1:10" ht="22.5">
      <c r="A8" s="380">
        <f t="shared" si="2"/>
        <v>4</v>
      </c>
      <c r="B8" s="380" t="s">
        <v>1048</v>
      </c>
      <c r="C8" s="405" t="s">
        <v>1047</v>
      </c>
      <c r="D8" s="194" t="s">
        <v>83</v>
      </c>
      <c r="E8" s="194">
        <v>1</v>
      </c>
      <c r="F8" s="277"/>
      <c r="G8" s="277"/>
      <c r="H8" s="404">
        <f t="shared" si="0"/>
        <v>0</v>
      </c>
      <c r="I8" s="404"/>
      <c r="J8" s="5">
        <f t="shared" si="1"/>
        <v>0</v>
      </c>
    </row>
    <row r="9" spans="1:10" ht="12.75">
      <c r="A9" s="380">
        <f t="shared" si="2"/>
        <v>5</v>
      </c>
      <c r="B9" s="380" t="s">
        <v>1013</v>
      </c>
      <c r="C9" s="194" t="s">
        <v>1049</v>
      </c>
      <c r="D9" s="194" t="s">
        <v>83</v>
      </c>
      <c r="E9" s="194">
        <v>27</v>
      </c>
      <c r="F9" s="277"/>
      <c r="G9" s="277"/>
      <c r="H9" s="404">
        <f t="shared" si="0"/>
        <v>0</v>
      </c>
      <c r="I9" s="404"/>
      <c r="J9" s="5">
        <f t="shared" si="1"/>
        <v>0</v>
      </c>
    </row>
    <row r="10" spans="1:10" ht="12.75">
      <c r="A10" s="380">
        <f t="shared" si="2"/>
        <v>6</v>
      </c>
      <c r="B10" s="380" t="s">
        <v>1014</v>
      </c>
      <c r="C10" s="194" t="s">
        <v>331</v>
      </c>
      <c r="D10" s="194" t="s">
        <v>83</v>
      </c>
      <c r="E10" s="194">
        <v>3</v>
      </c>
      <c r="F10" s="277"/>
      <c r="G10" s="277"/>
      <c r="H10" s="404">
        <f t="shared" si="0"/>
        <v>0</v>
      </c>
      <c r="I10" s="404"/>
      <c r="J10" s="5">
        <f t="shared" si="1"/>
        <v>0</v>
      </c>
    </row>
    <row r="11" spans="1:10" ht="12.75">
      <c r="A11" s="380">
        <f t="shared" si="2"/>
        <v>7</v>
      </c>
      <c r="B11" s="380" t="s">
        <v>1050</v>
      </c>
      <c r="C11" s="194" t="s">
        <v>1015</v>
      </c>
      <c r="D11" s="194" t="s">
        <v>83</v>
      </c>
      <c r="E11" s="194">
        <v>2</v>
      </c>
      <c r="F11" s="277"/>
      <c r="G11" s="277"/>
      <c r="H11" s="404">
        <f t="shared" si="0"/>
        <v>0</v>
      </c>
      <c r="I11" s="404"/>
      <c r="J11" s="5">
        <f t="shared" si="1"/>
        <v>0</v>
      </c>
    </row>
    <row r="12" spans="1:10" ht="12.75">
      <c r="A12" s="380">
        <f t="shared" si="2"/>
        <v>8</v>
      </c>
      <c r="B12" s="380" t="s">
        <v>1016</v>
      </c>
      <c r="C12" s="194" t="s">
        <v>1017</v>
      </c>
      <c r="D12" s="194" t="s">
        <v>83</v>
      </c>
      <c r="E12" s="194">
        <v>4</v>
      </c>
      <c r="F12" s="277"/>
      <c r="G12" s="277"/>
      <c r="H12" s="404">
        <f t="shared" si="0"/>
        <v>0</v>
      </c>
      <c r="I12" s="404"/>
      <c r="J12" s="5">
        <f t="shared" si="1"/>
        <v>0</v>
      </c>
    </row>
    <row r="13" spans="1:10" ht="12.75">
      <c r="A13" s="380">
        <f t="shared" si="2"/>
        <v>9</v>
      </c>
      <c r="B13" s="380" t="s">
        <v>1018</v>
      </c>
      <c r="C13" s="194" t="s">
        <v>1019</v>
      </c>
      <c r="D13" s="194" t="s">
        <v>83</v>
      </c>
      <c r="E13" s="194">
        <v>2</v>
      </c>
      <c r="F13" s="277"/>
      <c r="G13" s="277"/>
      <c r="H13" s="404">
        <f t="shared" si="0"/>
        <v>0</v>
      </c>
      <c r="I13" s="404"/>
      <c r="J13" s="5">
        <f t="shared" si="1"/>
        <v>0</v>
      </c>
    </row>
    <row r="14" spans="1:10" ht="12.75">
      <c r="A14" s="380">
        <f t="shared" si="2"/>
        <v>10</v>
      </c>
      <c r="B14" s="380" t="s">
        <v>1020</v>
      </c>
      <c r="C14" s="194" t="s">
        <v>1051</v>
      </c>
      <c r="D14" s="194" t="s">
        <v>83</v>
      </c>
      <c r="E14" s="194">
        <v>2</v>
      </c>
      <c r="F14" s="277"/>
      <c r="G14" s="277"/>
      <c r="H14" s="404">
        <f t="shared" si="0"/>
        <v>0</v>
      </c>
      <c r="I14" s="404"/>
      <c r="J14" s="5">
        <f t="shared" si="1"/>
        <v>0</v>
      </c>
    </row>
    <row r="15" spans="1:10" ht="12.75">
      <c r="A15" s="380">
        <f t="shared" si="2"/>
        <v>11</v>
      </c>
      <c r="B15" s="380" t="s">
        <v>1021</v>
      </c>
      <c r="C15" s="194" t="s">
        <v>1052</v>
      </c>
      <c r="D15" s="194" t="s">
        <v>83</v>
      </c>
      <c r="E15" s="194">
        <v>2</v>
      </c>
      <c r="F15" s="277"/>
      <c r="G15" s="277"/>
      <c r="H15" s="404">
        <f t="shared" si="0"/>
        <v>0</v>
      </c>
      <c r="I15" s="404"/>
      <c r="J15" s="5"/>
    </row>
    <row r="16" spans="1:10" ht="12.75">
      <c r="A16" s="380">
        <f t="shared" si="2"/>
        <v>12</v>
      </c>
      <c r="B16" s="380" t="s">
        <v>330</v>
      </c>
      <c r="C16" s="194" t="s">
        <v>332</v>
      </c>
      <c r="D16" s="194" t="s">
        <v>83</v>
      </c>
      <c r="E16" s="194">
        <v>21</v>
      </c>
      <c r="F16" s="278"/>
      <c r="G16" s="278"/>
      <c r="H16" s="404">
        <f t="shared" si="0"/>
        <v>0</v>
      </c>
      <c r="I16" s="404"/>
      <c r="J16" s="5">
        <f>E16*F16</f>
        <v>0</v>
      </c>
    </row>
    <row r="17" spans="1:10" ht="12.75">
      <c r="A17" s="380">
        <f t="shared" si="2"/>
        <v>13</v>
      </c>
      <c r="B17" s="380" t="s">
        <v>330</v>
      </c>
      <c r="C17" s="194" t="s">
        <v>333</v>
      </c>
      <c r="D17" s="194" t="s">
        <v>83</v>
      </c>
      <c r="E17" s="194">
        <v>6</v>
      </c>
      <c r="F17" s="278"/>
      <c r="G17" s="278"/>
      <c r="H17" s="404">
        <f t="shared" si="0"/>
        <v>0</v>
      </c>
      <c r="I17" s="404"/>
      <c r="J17" s="5">
        <f>E17*F17</f>
        <v>0</v>
      </c>
    </row>
    <row r="18" spans="1:10" ht="12.75">
      <c r="A18" s="380">
        <f t="shared" si="2"/>
        <v>14</v>
      </c>
      <c r="B18" s="380" t="s">
        <v>330</v>
      </c>
      <c r="C18" s="228" t="s">
        <v>271</v>
      </c>
      <c r="D18" s="194" t="s">
        <v>83</v>
      </c>
      <c r="E18" s="228">
        <v>3</v>
      </c>
      <c r="F18" s="278"/>
      <c r="G18" s="278"/>
      <c r="H18" s="404">
        <f t="shared" si="0"/>
        <v>0</v>
      </c>
      <c r="I18" s="404"/>
      <c r="J18" s="5">
        <f>E18*F18</f>
        <v>0</v>
      </c>
    </row>
    <row r="19" spans="1:10" ht="12.75">
      <c r="A19" s="380">
        <f t="shared" si="2"/>
        <v>15</v>
      </c>
      <c r="B19" s="380" t="s">
        <v>330</v>
      </c>
      <c r="C19" s="228" t="s">
        <v>1022</v>
      </c>
      <c r="D19" s="194" t="s">
        <v>83</v>
      </c>
      <c r="E19" s="228">
        <v>1</v>
      </c>
      <c r="F19" s="278"/>
      <c r="G19" s="278"/>
      <c r="H19" s="404">
        <f t="shared" si="0"/>
        <v>0</v>
      </c>
      <c r="I19" s="404"/>
      <c r="J19" s="5">
        <f>E19*F19</f>
        <v>0</v>
      </c>
    </row>
    <row r="20" spans="1:10" ht="12.75">
      <c r="A20" s="380">
        <f t="shared" si="2"/>
        <v>16</v>
      </c>
      <c r="B20" s="380" t="s">
        <v>617</v>
      </c>
      <c r="C20" s="194" t="s">
        <v>22</v>
      </c>
      <c r="D20" s="194" t="s">
        <v>83</v>
      </c>
      <c r="E20" s="194">
        <v>2</v>
      </c>
      <c r="F20" s="278"/>
      <c r="G20" s="278"/>
      <c r="H20" s="404">
        <f t="shared" si="0"/>
        <v>0</v>
      </c>
      <c r="I20" s="404"/>
      <c r="J20" s="5">
        <f aca="true" t="shared" si="3" ref="J20:J28">E20*F20</f>
        <v>0</v>
      </c>
    </row>
    <row r="21" spans="1:10" ht="12.75">
      <c r="A21" s="380">
        <f t="shared" si="2"/>
        <v>17</v>
      </c>
      <c r="B21" s="380" t="s">
        <v>1053</v>
      </c>
      <c r="C21" s="194" t="s">
        <v>1054</v>
      </c>
      <c r="D21" s="194" t="s">
        <v>83</v>
      </c>
      <c r="E21" s="194">
        <v>42</v>
      </c>
      <c r="F21" s="278"/>
      <c r="G21" s="278"/>
      <c r="H21" s="404">
        <f t="shared" si="0"/>
        <v>0</v>
      </c>
      <c r="I21" s="404"/>
      <c r="J21" s="5">
        <f t="shared" si="3"/>
        <v>0</v>
      </c>
    </row>
    <row r="22" spans="1:10" ht="12.75">
      <c r="A22" s="380">
        <f t="shared" si="2"/>
        <v>18</v>
      </c>
      <c r="B22" s="380">
        <v>210010321</v>
      </c>
      <c r="C22" s="194" t="s">
        <v>1055</v>
      </c>
      <c r="D22" s="194" t="s">
        <v>83</v>
      </c>
      <c r="E22" s="194">
        <v>8</v>
      </c>
      <c r="F22" s="278"/>
      <c r="G22" s="278"/>
      <c r="H22" s="404">
        <f t="shared" si="0"/>
        <v>0</v>
      </c>
      <c r="I22" s="404"/>
      <c r="J22" s="5">
        <f t="shared" si="3"/>
        <v>0</v>
      </c>
    </row>
    <row r="23" spans="1:10" ht="12.75">
      <c r="A23" s="380">
        <f t="shared" si="2"/>
        <v>19</v>
      </c>
      <c r="B23" s="380" t="s">
        <v>1023</v>
      </c>
      <c r="C23" s="194" t="s">
        <v>334</v>
      </c>
      <c r="D23" s="194" t="s">
        <v>83</v>
      </c>
      <c r="E23" s="194">
        <v>20</v>
      </c>
      <c r="F23" s="277"/>
      <c r="G23" s="277"/>
      <c r="H23" s="404">
        <f t="shared" si="0"/>
        <v>0</v>
      </c>
      <c r="I23" s="404"/>
      <c r="J23" s="5">
        <f t="shared" si="3"/>
        <v>0</v>
      </c>
    </row>
    <row r="24" spans="1:13" ht="12.75">
      <c r="A24" s="380">
        <f t="shared" si="2"/>
        <v>20</v>
      </c>
      <c r="B24" s="380" t="s">
        <v>1057</v>
      </c>
      <c r="C24" s="194" t="s">
        <v>1024</v>
      </c>
      <c r="D24" s="194" t="s">
        <v>84</v>
      </c>
      <c r="E24" s="194">
        <v>240</v>
      </c>
      <c r="F24" s="278"/>
      <c r="G24" s="278"/>
      <c r="H24" s="404">
        <f t="shared" si="0"/>
        <v>0</v>
      </c>
      <c r="I24" s="404"/>
      <c r="J24" s="5">
        <f t="shared" si="3"/>
        <v>0</v>
      </c>
      <c r="M24" t="s">
        <v>1056</v>
      </c>
    </row>
    <row r="25" spans="1:13" ht="12.75">
      <c r="A25" s="380">
        <f t="shared" si="2"/>
        <v>21</v>
      </c>
      <c r="B25" s="380" t="s">
        <v>1059</v>
      </c>
      <c r="C25" s="194" t="s">
        <v>1025</v>
      </c>
      <c r="D25" s="194" t="s">
        <v>84</v>
      </c>
      <c r="E25" s="194">
        <v>18</v>
      </c>
      <c r="F25" s="278"/>
      <c r="G25" s="278"/>
      <c r="H25" s="404">
        <f t="shared" si="0"/>
        <v>0</v>
      </c>
      <c r="I25" s="404"/>
      <c r="J25" s="5">
        <f t="shared" si="3"/>
        <v>0</v>
      </c>
      <c r="M25" t="s">
        <v>1058</v>
      </c>
    </row>
    <row r="26" spans="1:13" ht="12.75">
      <c r="A26" s="380">
        <f t="shared" si="2"/>
        <v>22</v>
      </c>
      <c r="B26" s="380" t="s">
        <v>1061</v>
      </c>
      <c r="C26" s="194" t="s">
        <v>272</v>
      </c>
      <c r="D26" s="194" t="s">
        <v>84</v>
      </c>
      <c r="E26" s="194">
        <v>90</v>
      </c>
      <c r="F26" s="278"/>
      <c r="G26" s="278"/>
      <c r="H26" s="404">
        <f t="shared" si="0"/>
        <v>0</v>
      </c>
      <c r="I26" s="404"/>
      <c r="J26" s="5">
        <f t="shared" si="3"/>
        <v>0</v>
      </c>
      <c r="M26" t="s">
        <v>1060</v>
      </c>
    </row>
    <row r="27" spans="1:13" ht="12.75">
      <c r="A27" s="380">
        <f t="shared" si="2"/>
        <v>23</v>
      </c>
      <c r="B27" s="380" t="s">
        <v>1063</v>
      </c>
      <c r="C27" s="194" t="s">
        <v>335</v>
      </c>
      <c r="D27" s="194" t="s">
        <v>84</v>
      </c>
      <c r="E27" s="194">
        <v>18</v>
      </c>
      <c r="F27" s="278"/>
      <c r="G27" s="278"/>
      <c r="H27" s="404">
        <f t="shared" si="0"/>
        <v>0</v>
      </c>
      <c r="I27" s="404"/>
      <c r="J27" s="5">
        <f t="shared" si="3"/>
        <v>0</v>
      </c>
      <c r="M27" t="s">
        <v>1062</v>
      </c>
    </row>
    <row r="28" spans="1:10" ht="12.75">
      <c r="A28" s="380">
        <f t="shared" si="2"/>
        <v>24</v>
      </c>
      <c r="B28" s="380" t="s">
        <v>1026</v>
      </c>
      <c r="C28" s="406" t="s">
        <v>1027</v>
      </c>
      <c r="D28" s="194" t="s">
        <v>83</v>
      </c>
      <c r="E28" s="194">
        <v>1</v>
      </c>
      <c r="F28" s="278"/>
      <c r="G28" s="278"/>
      <c r="H28" s="404">
        <f t="shared" si="0"/>
        <v>0</v>
      </c>
      <c r="I28" s="404"/>
      <c r="J28" s="5">
        <f t="shared" si="3"/>
        <v>0</v>
      </c>
    </row>
    <row r="29" spans="1:10" ht="12.75">
      <c r="A29" s="380">
        <f t="shared" si="2"/>
        <v>25</v>
      </c>
      <c r="B29" s="380" t="s">
        <v>618</v>
      </c>
      <c r="C29" s="194" t="s">
        <v>1028</v>
      </c>
      <c r="D29" s="194" t="s">
        <v>83</v>
      </c>
      <c r="E29" s="194">
        <v>1</v>
      </c>
      <c r="F29" s="404"/>
      <c r="G29" s="278"/>
      <c r="H29" s="404">
        <f t="shared" si="0"/>
        <v>0</v>
      </c>
      <c r="I29" s="404"/>
      <c r="J29" s="5"/>
    </row>
    <row r="30" spans="1:10" ht="12.75">
      <c r="A30" s="380">
        <f t="shared" si="2"/>
        <v>26</v>
      </c>
      <c r="B30" s="380">
        <v>210292041</v>
      </c>
      <c r="C30" s="194" t="s">
        <v>336</v>
      </c>
      <c r="D30" s="194" t="s">
        <v>83</v>
      </c>
      <c r="E30" s="194">
        <v>36</v>
      </c>
      <c r="F30" s="404"/>
      <c r="G30" s="278"/>
      <c r="H30" s="404">
        <f t="shared" si="0"/>
        <v>0</v>
      </c>
      <c r="I30" s="404"/>
      <c r="J30" s="5"/>
    </row>
    <row r="31" spans="1:10" ht="12.75">
      <c r="A31" s="380">
        <f t="shared" si="2"/>
        <v>27</v>
      </c>
      <c r="B31" s="380" t="s">
        <v>1065</v>
      </c>
      <c r="C31" s="194" t="s">
        <v>1064</v>
      </c>
      <c r="D31" s="194" t="s">
        <v>83</v>
      </c>
      <c r="E31" s="194">
        <v>72</v>
      </c>
      <c r="F31" s="278"/>
      <c r="G31" s="278"/>
      <c r="H31" s="404">
        <f t="shared" si="0"/>
        <v>0</v>
      </c>
      <c r="I31" s="404"/>
      <c r="J31" s="5">
        <f>E31*F31</f>
        <v>0</v>
      </c>
    </row>
    <row r="32" spans="1:10" ht="12.75">
      <c r="A32" s="380">
        <f t="shared" si="2"/>
        <v>28</v>
      </c>
      <c r="B32" s="380" t="s">
        <v>619</v>
      </c>
      <c r="C32" s="194" t="s">
        <v>188</v>
      </c>
      <c r="D32" s="194" t="s">
        <v>84</v>
      </c>
      <c r="E32" s="194">
        <v>90</v>
      </c>
      <c r="F32" s="404"/>
      <c r="G32" s="278"/>
      <c r="H32" s="404">
        <f t="shared" si="0"/>
        <v>0</v>
      </c>
      <c r="I32" s="404"/>
      <c r="J32" s="5"/>
    </row>
    <row r="33" spans="1:10" ht="12.75">
      <c r="A33" s="380">
        <f t="shared" si="2"/>
        <v>29</v>
      </c>
      <c r="B33" s="380" t="s">
        <v>1066</v>
      </c>
      <c r="C33" s="194" t="s">
        <v>1067</v>
      </c>
      <c r="D33" s="194" t="s">
        <v>84</v>
      </c>
      <c r="E33" s="194">
        <v>16</v>
      </c>
      <c r="F33" s="404"/>
      <c r="G33" s="278"/>
      <c r="H33" s="404">
        <f t="shared" si="0"/>
        <v>0</v>
      </c>
      <c r="I33" s="404"/>
      <c r="J33" s="5"/>
    </row>
    <row r="34" spans="1:10" ht="12.75">
      <c r="A34" s="380">
        <f t="shared" si="2"/>
        <v>30</v>
      </c>
      <c r="B34" s="380">
        <v>210040721</v>
      </c>
      <c r="C34" s="194" t="s">
        <v>23</v>
      </c>
      <c r="D34" s="194" t="s">
        <v>83</v>
      </c>
      <c r="E34" s="194">
        <v>5</v>
      </c>
      <c r="F34" s="404"/>
      <c r="G34" s="278"/>
      <c r="H34" s="404">
        <f t="shared" si="0"/>
        <v>0</v>
      </c>
      <c r="I34" s="404"/>
      <c r="J34" s="5"/>
    </row>
    <row r="35" spans="1:10" ht="12.75">
      <c r="A35" s="380">
        <f t="shared" si="2"/>
        <v>31</v>
      </c>
      <c r="B35" s="380">
        <v>973033141</v>
      </c>
      <c r="C35" s="194" t="s">
        <v>24</v>
      </c>
      <c r="D35" s="194" t="s">
        <v>83</v>
      </c>
      <c r="E35" s="194">
        <v>50</v>
      </c>
      <c r="F35" s="404"/>
      <c r="G35" s="278"/>
      <c r="H35" s="404">
        <f t="shared" si="0"/>
        <v>0</v>
      </c>
      <c r="I35" s="404"/>
      <c r="J35" s="5"/>
    </row>
    <row r="36" spans="1:10" ht="22.5">
      <c r="A36" s="380">
        <f t="shared" si="2"/>
        <v>32</v>
      </c>
      <c r="B36" s="380" t="s">
        <v>330</v>
      </c>
      <c r="C36" s="405" t="s">
        <v>1094</v>
      </c>
      <c r="D36" s="194" t="s">
        <v>83</v>
      </c>
      <c r="E36" s="194">
        <v>2</v>
      </c>
      <c r="F36" s="404"/>
      <c r="G36" s="277"/>
      <c r="H36" s="404">
        <f t="shared" si="0"/>
        <v>0</v>
      </c>
      <c r="I36" s="404"/>
      <c r="J36" s="5"/>
    </row>
    <row r="37" spans="1:10" ht="12.75">
      <c r="A37" s="380">
        <f t="shared" si="2"/>
        <v>33</v>
      </c>
      <c r="B37" s="380" t="s">
        <v>330</v>
      </c>
      <c r="C37" s="194" t="s">
        <v>337</v>
      </c>
      <c r="D37" s="194" t="s">
        <v>338</v>
      </c>
      <c r="E37" s="194">
        <v>1</v>
      </c>
      <c r="F37" s="404"/>
      <c r="G37" s="278"/>
      <c r="H37" s="404">
        <f t="shared" si="0"/>
        <v>0</v>
      </c>
      <c r="I37" s="404"/>
      <c r="J37" s="5"/>
    </row>
    <row r="38" spans="1:10" ht="12.75">
      <c r="A38" s="380">
        <f t="shared" si="2"/>
        <v>34</v>
      </c>
      <c r="B38" s="380" t="s">
        <v>88</v>
      </c>
      <c r="C38" s="194" t="s">
        <v>25</v>
      </c>
      <c r="D38" s="194" t="s">
        <v>339</v>
      </c>
      <c r="E38" s="194">
        <v>12</v>
      </c>
      <c r="F38" s="404"/>
      <c r="G38" s="278"/>
      <c r="H38" s="404">
        <f t="shared" si="0"/>
        <v>0</v>
      </c>
      <c r="I38" s="404"/>
      <c r="J38" s="5"/>
    </row>
    <row r="39" spans="1:10" ht="12.75">
      <c r="A39" s="380">
        <f t="shared" si="2"/>
        <v>35</v>
      </c>
      <c r="B39" s="380" t="s">
        <v>88</v>
      </c>
      <c r="C39" s="194" t="s">
        <v>340</v>
      </c>
      <c r="D39" s="194" t="s">
        <v>339</v>
      </c>
      <c r="E39" s="194">
        <v>12</v>
      </c>
      <c r="F39" s="404"/>
      <c r="G39" s="278"/>
      <c r="H39" s="404">
        <f t="shared" si="0"/>
        <v>0</v>
      </c>
      <c r="I39" s="404"/>
      <c r="J39" s="5"/>
    </row>
    <row r="40" spans="1:10" ht="12.75">
      <c r="A40" s="380"/>
      <c r="B40" s="380" t="s">
        <v>88</v>
      </c>
      <c r="C40" s="194" t="s">
        <v>1029</v>
      </c>
      <c r="D40" s="194" t="s">
        <v>338</v>
      </c>
      <c r="E40" s="194">
        <v>1</v>
      </c>
      <c r="G40" s="278"/>
      <c r="H40" s="404">
        <f>(G40)*E40</f>
        <v>0</v>
      </c>
      <c r="I40" s="404"/>
      <c r="J40" s="5"/>
    </row>
    <row r="41" spans="1:10" ht="12.75">
      <c r="A41" s="380"/>
      <c r="B41" s="380"/>
      <c r="C41" s="403" t="s">
        <v>341</v>
      </c>
      <c r="D41" s="194"/>
      <c r="E41" s="194"/>
      <c r="F41" s="404"/>
      <c r="G41" s="404"/>
      <c r="H41" s="407">
        <f>SUM(H5:H40)</f>
        <v>0</v>
      </c>
      <c r="I41" s="407"/>
      <c r="J41" s="5">
        <f>SUM(J5:J39)</f>
        <v>0</v>
      </c>
    </row>
    <row r="42" spans="1:10" ht="12.75">
      <c r="A42" s="380"/>
      <c r="B42" s="380"/>
      <c r="C42" s="403"/>
      <c r="D42" s="194"/>
      <c r="E42" s="194"/>
      <c r="F42" s="404"/>
      <c r="G42" s="404"/>
      <c r="H42" s="407"/>
      <c r="I42" s="407"/>
      <c r="J42" s="5"/>
    </row>
    <row r="43" spans="1:10" ht="12.75">
      <c r="A43" s="380"/>
      <c r="B43" s="380"/>
      <c r="C43" s="403"/>
      <c r="D43" s="194"/>
      <c r="E43" s="194"/>
      <c r="F43" s="404"/>
      <c r="G43" s="404"/>
      <c r="H43" s="407"/>
      <c r="I43" s="407"/>
      <c r="J43" s="5"/>
    </row>
    <row r="44" spans="1:10" ht="12.75">
      <c r="A44" s="380"/>
      <c r="B44" s="380"/>
      <c r="C44" s="403" t="s">
        <v>1030</v>
      </c>
      <c r="D44" s="194"/>
      <c r="E44" s="194"/>
      <c r="F44" s="404"/>
      <c r="G44" s="404"/>
      <c r="H44" s="404"/>
      <c r="I44" s="404"/>
      <c r="J44" s="5"/>
    </row>
    <row r="45" spans="1:13" ht="23.25">
      <c r="A45" s="380">
        <f>A39+1</f>
        <v>36</v>
      </c>
      <c r="B45" s="408" t="s">
        <v>1031</v>
      </c>
      <c r="C45" s="405" t="s">
        <v>1069</v>
      </c>
      <c r="D45" s="194" t="s">
        <v>83</v>
      </c>
      <c r="E45" s="194">
        <v>1</v>
      </c>
      <c r="F45" s="278"/>
      <c r="G45" s="404"/>
      <c r="H45" s="404">
        <f aca="true" t="shared" si="4" ref="H45:H54">(F45+G45)*E45</f>
        <v>0</v>
      </c>
      <c r="I45" s="404"/>
      <c r="J45" s="5">
        <f>E45*F45</f>
        <v>0</v>
      </c>
      <c r="M45" t="s">
        <v>1068</v>
      </c>
    </row>
    <row r="46" spans="1:13" ht="15">
      <c r="A46" s="380">
        <f aca="true" t="shared" si="5" ref="A46:A54">A45+1</f>
        <v>37</v>
      </c>
      <c r="B46" s="409" t="s">
        <v>330</v>
      </c>
      <c r="C46" s="194" t="s">
        <v>1077</v>
      </c>
      <c r="D46" s="194" t="s">
        <v>83</v>
      </c>
      <c r="E46" s="194">
        <v>1</v>
      </c>
      <c r="F46" s="277"/>
      <c r="G46" s="404"/>
      <c r="H46" s="404">
        <f t="shared" si="4"/>
        <v>0</v>
      </c>
      <c r="I46" s="404"/>
      <c r="J46" s="5">
        <f aca="true" t="shared" si="6" ref="J46:J53">E46*F46</f>
        <v>0</v>
      </c>
      <c r="M46" t="s">
        <v>1070</v>
      </c>
    </row>
    <row r="47" spans="1:13" ht="15">
      <c r="A47" s="380">
        <f t="shared" si="5"/>
        <v>38</v>
      </c>
      <c r="B47" s="408" t="s">
        <v>1032</v>
      </c>
      <c r="C47" s="194" t="s">
        <v>1072</v>
      </c>
      <c r="D47" s="194" t="s">
        <v>83</v>
      </c>
      <c r="E47" s="194">
        <v>2</v>
      </c>
      <c r="F47" s="277"/>
      <c r="G47" s="277"/>
      <c r="H47" s="404">
        <f t="shared" si="4"/>
        <v>0</v>
      </c>
      <c r="I47" s="404"/>
      <c r="J47" s="5">
        <f t="shared" si="6"/>
        <v>0</v>
      </c>
      <c r="M47" t="s">
        <v>1071</v>
      </c>
    </row>
    <row r="48" spans="1:13" ht="15">
      <c r="A48" s="380">
        <f t="shared" si="5"/>
        <v>39</v>
      </c>
      <c r="B48" s="408" t="s">
        <v>1032</v>
      </c>
      <c r="C48" s="194" t="s">
        <v>1076</v>
      </c>
      <c r="D48" s="194" t="s">
        <v>83</v>
      </c>
      <c r="E48" s="194">
        <v>1</v>
      </c>
      <c r="F48" s="277"/>
      <c r="G48" s="277"/>
      <c r="H48" s="404">
        <f t="shared" si="4"/>
        <v>0</v>
      </c>
      <c r="I48" s="404"/>
      <c r="J48" s="5">
        <f t="shared" si="6"/>
        <v>0</v>
      </c>
      <c r="M48" t="s">
        <v>1073</v>
      </c>
    </row>
    <row r="49" spans="1:10" ht="15">
      <c r="A49" s="380">
        <f t="shared" si="5"/>
        <v>40</v>
      </c>
      <c r="B49" s="408" t="s">
        <v>1033</v>
      </c>
      <c r="C49" s="194" t="s">
        <v>1074</v>
      </c>
      <c r="D49" s="194" t="s">
        <v>83</v>
      </c>
      <c r="E49" s="194">
        <v>1</v>
      </c>
      <c r="F49" s="277"/>
      <c r="G49" s="277"/>
      <c r="H49" s="404">
        <f t="shared" si="4"/>
        <v>0</v>
      </c>
      <c r="I49" s="404"/>
      <c r="J49" s="5">
        <f t="shared" si="6"/>
        <v>0</v>
      </c>
    </row>
    <row r="50" spans="1:10" ht="15">
      <c r="A50" s="380">
        <f t="shared" si="5"/>
        <v>41</v>
      </c>
      <c r="B50" s="408" t="s">
        <v>1033</v>
      </c>
      <c r="C50" s="194" t="s">
        <v>1075</v>
      </c>
      <c r="D50" s="194" t="s">
        <v>83</v>
      </c>
      <c r="E50" s="194">
        <v>9</v>
      </c>
      <c r="F50" s="277"/>
      <c r="G50" s="277"/>
      <c r="H50" s="404">
        <f t="shared" si="4"/>
        <v>0</v>
      </c>
      <c r="I50" s="404"/>
      <c r="J50" s="5">
        <f t="shared" si="6"/>
        <v>0</v>
      </c>
    </row>
    <row r="51" spans="1:10" ht="15">
      <c r="A51" s="380">
        <f t="shared" si="5"/>
        <v>42</v>
      </c>
      <c r="B51" s="408" t="s">
        <v>1034</v>
      </c>
      <c r="C51" s="194" t="s">
        <v>342</v>
      </c>
      <c r="D51" s="194" t="s">
        <v>84</v>
      </c>
      <c r="E51" s="194">
        <v>0.5</v>
      </c>
      <c r="F51" s="277"/>
      <c r="G51" s="277"/>
      <c r="H51" s="404">
        <f t="shared" si="4"/>
        <v>0</v>
      </c>
      <c r="I51" s="404"/>
      <c r="J51" s="5">
        <f t="shared" si="6"/>
        <v>0</v>
      </c>
    </row>
    <row r="52" spans="1:10" ht="15">
      <c r="A52" s="380">
        <f t="shared" si="5"/>
        <v>43</v>
      </c>
      <c r="B52" s="409" t="s">
        <v>330</v>
      </c>
      <c r="C52" s="194" t="s">
        <v>1035</v>
      </c>
      <c r="D52" s="194" t="s">
        <v>83</v>
      </c>
      <c r="E52" s="194">
        <v>1</v>
      </c>
      <c r="F52" s="277"/>
      <c r="G52" s="404"/>
      <c r="H52" s="404">
        <f t="shared" si="4"/>
        <v>0</v>
      </c>
      <c r="I52" s="404"/>
      <c r="J52" s="5">
        <f t="shared" si="6"/>
        <v>0</v>
      </c>
    </row>
    <row r="53" spans="1:10" ht="12.75">
      <c r="A53" s="380">
        <f t="shared" si="5"/>
        <v>44</v>
      </c>
      <c r="B53" s="380" t="s">
        <v>330</v>
      </c>
      <c r="C53" s="410" t="s">
        <v>370</v>
      </c>
      <c r="D53" s="194" t="s">
        <v>80</v>
      </c>
      <c r="E53" s="194">
        <v>1</v>
      </c>
      <c r="F53" s="277"/>
      <c r="G53" s="404"/>
      <c r="H53" s="404">
        <f t="shared" si="4"/>
        <v>0</v>
      </c>
      <c r="I53" s="404"/>
      <c r="J53" s="5">
        <f t="shared" si="6"/>
        <v>0</v>
      </c>
    </row>
    <row r="54" spans="1:10" ht="12.75">
      <c r="A54" s="380">
        <f t="shared" si="5"/>
        <v>45</v>
      </c>
      <c r="B54" s="380" t="s">
        <v>330</v>
      </c>
      <c r="C54" s="194" t="s">
        <v>343</v>
      </c>
      <c r="D54" s="194" t="s">
        <v>80</v>
      </c>
      <c r="E54" s="194">
        <v>1</v>
      </c>
      <c r="F54" s="404"/>
      <c r="G54" s="277"/>
      <c r="H54" s="404">
        <f t="shared" si="4"/>
        <v>0</v>
      </c>
      <c r="I54" s="404"/>
      <c r="J54" s="5"/>
    </row>
    <row r="55" spans="1:10" ht="12.75">
      <c r="A55" s="380"/>
      <c r="B55" s="380"/>
      <c r="C55" s="403" t="s">
        <v>1036</v>
      </c>
      <c r="D55" s="194"/>
      <c r="E55" s="194"/>
      <c r="F55" s="194"/>
      <c r="G55" s="194"/>
      <c r="H55" s="407">
        <f>SUM(H45:H54)</f>
        <v>0</v>
      </c>
      <c r="I55" s="407"/>
      <c r="J55" s="5">
        <f>SUM(J45:J54)</f>
        <v>0</v>
      </c>
    </row>
    <row r="56" spans="1:10" ht="12.75">
      <c r="A56" s="380"/>
      <c r="B56" s="380"/>
      <c r="C56" s="403"/>
      <c r="D56" s="194"/>
      <c r="E56" s="194"/>
      <c r="F56" s="194"/>
      <c r="G56" s="194"/>
      <c r="H56" s="407"/>
      <c r="I56" s="407"/>
      <c r="J56" s="5"/>
    </row>
    <row r="57" spans="1:16" s="5" customFormat="1" ht="13.5" customHeight="1">
      <c r="A57" s="411"/>
      <c r="B57" s="411"/>
      <c r="C57" s="412" t="s">
        <v>437</v>
      </c>
      <c r="D57" s="410"/>
      <c r="E57" s="410"/>
      <c r="F57" s="410"/>
      <c r="G57" s="410"/>
      <c r="H57" s="410"/>
      <c r="I57" s="410"/>
      <c r="J57" s="274"/>
      <c r="K57" s="428"/>
      <c r="L57" s="274"/>
      <c r="M57" s="275"/>
      <c r="N57" s="193"/>
      <c r="O57" s="194"/>
      <c r="P57" s="194"/>
    </row>
    <row r="58" spans="1:16" s="5" customFormat="1" ht="12.75">
      <c r="A58" s="411">
        <f>A54+1</f>
        <v>46</v>
      </c>
      <c r="B58" s="411" t="s">
        <v>330</v>
      </c>
      <c r="C58" s="413" t="s">
        <v>189</v>
      </c>
      <c r="D58" s="410" t="s">
        <v>89</v>
      </c>
      <c r="E58" s="334"/>
      <c r="F58" s="414">
        <f>+J41+J55</f>
        <v>0</v>
      </c>
      <c r="G58" s="414"/>
      <c r="H58" s="414">
        <f>(F58+G58)*E58</f>
        <v>0</v>
      </c>
      <c r="I58" s="415"/>
      <c r="J58" s="274"/>
      <c r="K58" s="428"/>
      <c r="L58" s="276"/>
      <c r="M58" s="275"/>
      <c r="N58" s="193"/>
      <c r="O58" s="194"/>
      <c r="P58" s="194"/>
    </row>
    <row r="59" spans="1:16" s="5" customFormat="1" ht="13.5" customHeight="1">
      <c r="A59" s="411">
        <f>+A58+1</f>
        <v>47</v>
      </c>
      <c r="B59" s="411" t="s">
        <v>330</v>
      </c>
      <c r="C59" s="413" t="s">
        <v>439</v>
      </c>
      <c r="D59" s="410" t="s">
        <v>89</v>
      </c>
      <c r="E59" s="334"/>
      <c r="F59" s="414"/>
      <c r="G59" s="414">
        <f>+H41+H55-F58</f>
        <v>0</v>
      </c>
      <c r="H59" s="414">
        <f>(F59+G59)*E59</f>
        <v>0</v>
      </c>
      <c r="I59" s="415"/>
      <c r="J59" s="274"/>
      <c r="K59" s="428"/>
      <c r="L59" s="276"/>
      <c r="M59" s="275"/>
      <c r="N59" s="193"/>
      <c r="O59" s="194"/>
      <c r="P59" s="194"/>
    </row>
    <row r="60" spans="1:16" s="5" customFormat="1" ht="13.5" customHeight="1">
      <c r="A60" s="411">
        <f>+A59+1</f>
        <v>48</v>
      </c>
      <c r="B60" s="411" t="s">
        <v>330</v>
      </c>
      <c r="C60" s="405" t="s">
        <v>1040</v>
      </c>
      <c r="D60" s="410" t="s">
        <v>89</v>
      </c>
      <c r="E60" s="334"/>
      <c r="F60" s="414">
        <f>F58</f>
        <v>0</v>
      </c>
      <c r="G60" s="414"/>
      <c r="H60" s="414">
        <f>E60*F60</f>
        <v>0</v>
      </c>
      <c r="I60" s="415"/>
      <c r="J60" s="274"/>
      <c r="K60" s="428"/>
      <c r="L60" s="276"/>
      <c r="M60" s="275"/>
      <c r="N60" s="193"/>
      <c r="O60" s="194"/>
      <c r="P60" s="194"/>
    </row>
    <row r="61" spans="1:16" s="5" customFormat="1" ht="13.5" customHeight="1">
      <c r="A61" s="416"/>
      <c r="B61" s="411"/>
      <c r="C61" s="412" t="s">
        <v>347</v>
      </c>
      <c r="D61" s="412"/>
      <c r="E61" s="417"/>
      <c r="F61" s="412"/>
      <c r="G61" s="412"/>
      <c r="H61" s="418">
        <f>SUM(H58:H60)</f>
        <v>0</v>
      </c>
      <c r="I61" s="419"/>
      <c r="J61" s="274"/>
      <c r="K61" s="428"/>
      <c r="L61" s="274"/>
      <c r="M61" s="275"/>
      <c r="N61" s="193"/>
      <c r="O61" s="194"/>
      <c r="P61" s="194"/>
    </row>
    <row r="62" spans="1:10" ht="12.75">
      <c r="A62" s="380"/>
      <c r="B62" s="380"/>
      <c r="C62" s="403"/>
      <c r="D62" s="194"/>
      <c r="E62" s="194"/>
      <c r="F62" s="194"/>
      <c r="G62" s="194"/>
      <c r="H62" s="407"/>
      <c r="I62" s="407"/>
      <c r="J62" s="5"/>
    </row>
    <row r="63" spans="1:10" ht="15.75">
      <c r="A63" s="380"/>
      <c r="B63" s="380"/>
      <c r="C63" s="402" t="s">
        <v>344</v>
      </c>
      <c r="D63" s="194"/>
      <c r="E63" s="194"/>
      <c r="F63" s="194"/>
      <c r="G63" s="194"/>
      <c r="H63" s="407"/>
      <c r="I63" s="407"/>
      <c r="J63" s="5"/>
    </row>
    <row r="64" spans="1:10" ht="12.75">
      <c r="A64" s="380"/>
      <c r="B64" s="380"/>
      <c r="C64" s="403" t="s">
        <v>327</v>
      </c>
      <c r="D64" s="194"/>
      <c r="E64" s="380" t="s">
        <v>86</v>
      </c>
      <c r="F64" s="380" t="s">
        <v>328</v>
      </c>
      <c r="G64" s="380" t="s">
        <v>329</v>
      </c>
      <c r="H64" s="380" t="s">
        <v>87</v>
      </c>
      <c r="I64" s="407"/>
      <c r="J64" s="5"/>
    </row>
    <row r="65" spans="1:10" ht="12.75">
      <c r="A65" s="380">
        <v>49</v>
      </c>
      <c r="B65" s="380" t="s">
        <v>330</v>
      </c>
      <c r="C65" s="194" t="s">
        <v>1037</v>
      </c>
      <c r="D65" s="194" t="s">
        <v>83</v>
      </c>
      <c r="E65" s="420">
        <v>1</v>
      </c>
      <c r="F65" s="278"/>
      <c r="G65" s="380"/>
      <c r="H65" s="404">
        <f aca="true" t="shared" si="7" ref="H65:H77">(F65+G65)*E65</f>
        <v>0</v>
      </c>
      <c r="I65" s="407"/>
      <c r="J65" s="5">
        <f aca="true" t="shared" si="8" ref="J65:J72">E65*F65</f>
        <v>0</v>
      </c>
    </row>
    <row r="66" spans="1:10" ht="12.75">
      <c r="A66" s="380">
        <f aca="true" t="shared" si="9" ref="A66:A76">A65+1</f>
        <v>50</v>
      </c>
      <c r="B66" s="380" t="s">
        <v>1082</v>
      </c>
      <c r="C66" s="194" t="s">
        <v>1078</v>
      </c>
      <c r="D66" s="194" t="s">
        <v>83</v>
      </c>
      <c r="E66" s="194">
        <v>1</v>
      </c>
      <c r="F66" s="278"/>
      <c r="G66" s="278"/>
      <c r="H66" s="404">
        <f t="shared" si="7"/>
        <v>0</v>
      </c>
      <c r="I66" s="407"/>
      <c r="J66" s="5">
        <f t="shared" si="8"/>
        <v>0</v>
      </c>
    </row>
    <row r="67" spans="1:13" ht="12.75">
      <c r="A67" s="380">
        <f t="shared" si="9"/>
        <v>51</v>
      </c>
      <c r="B67" s="380">
        <v>210111012</v>
      </c>
      <c r="C67" s="194" t="s">
        <v>1079</v>
      </c>
      <c r="D67" s="194" t="s">
        <v>83</v>
      </c>
      <c r="E67" s="194">
        <v>1</v>
      </c>
      <c r="F67" s="278"/>
      <c r="G67" s="278"/>
      <c r="H67" s="404">
        <f t="shared" si="7"/>
        <v>0</v>
      </c>
      <c r="I67" s="407"/>
      <c r="J67" s="5">
        <f t="shared" si="8"/>
        <v>0</v>
      </c>
      <c r="M67" t="s">
        <v>1081</v>
      </c>
    </row>
    <row r="68" spans="1:10" ht="12.75">
      <c r="A68" s="380">
        <f t="shared" si="9"/>
        <v>52</v>
      </c>
      <c r="B68" s="380" t="s">
        <v>1083</v>
      </c>
      <c r="C68" s="194" t="s">
        <v>1080</v>
      </c>
      <c r="D68" s="194" t="s">
        <v>83</v>
      </c>
      <c r="E68" s="194">
        <v>2</v>
      </c>
      <c r="F68" s="278"/>
      <c r="G68" s="278"/>
      <c r="H68" s="404">
        <f t="shared" si="7"/>
        <v>0</v>
      </c>
      <c r="I68" s="407"/>
      <c r="J68" s="5">
        <f t="shared" si="8"/>
        <v>0</v>
      </c>
    </row>
    <row r="69" spans="1:10" ht="12.75">
      <c r="A69" s="380">
        <f t="shared" si="9"/>
        <v>53</v>
      </c>
      <c r="B69" s="380" t="s">
        <v>1053</v>
      </c>
      <c r="C69" s="194" t="s">
        <v>1038</v>
      </c>
      <c r="D69" s="194" t="s">
        <v>83</v>
      </c>
      <c r="E69" s="194">
        <v>4</v>
      </c>
      <c r="F69" s="278"/>
      <c r="G69" s="278"/>
      <c r="H69" s="404">
        <f t="shared" si="7"/>
        <v>0</v>
      </c>
      <c r="I69" s="404"/>
      <c r="J69" s="5">
        <f t="shared" si="8"/>
        <v>0</v>
      </c>
    </row>
    <row r="70" spans="1:13" ht="22.5">
      <c r="A70" s="380">
        <f t="shared" si="9"/>
        <v>54</v>
      </c>
      <c r="B70" s="421" t="s">
        <v>1085</v>
      </c>
      <c r="C70" s="405" t="s">
        <v>1084</v>
      </c>
      <c r="D70" s="194" t="s">
        <v>84</v>
      </c>
      <c r="E70" s="194">
        <v>25</v>
      </c>
      <c r="F70" s="278"/>
      <c r="G70" s="278"/>
      <c r="H70" s="404">
        <f t="shared" si="7"/>
        <v>0</v>
      </c>
      <c r="I70" s="404"/>
      <c r="J70" s="5">
        <f t="shared" si="8"/>
        <v>0</v>
      </c>
      <c r="M70" t="s">
        <v>1086</v>
      </c>
    </row>
    <row r="71" spans="1:13" ht="12.75">
      <c r="A71" s="380">
        <f t="shared" si="9"/>
        <v>55</v>
      </c>
      <c r="B71" s="380" t="s">
        <v>1088</v>
      </c>
      <c r="C71" s="194" t="s">
        <v>1092</v>
      </c>
      <c r="D71" s="194" t="s">
        <v>84</v>
      </c>
      <c r="E71" s="194">
        <v>55</v>
      </c>
      <c r="F71" s="278"/>
      <c r="G71" s="278"/>
      <c r="H71" s="404">
        <f t="shared" si="7"/>
        <v>0</v>
      </c>
      <c r="I71" s="404"/>
      <c r="J71" s="5">
        <f t="shared" si="8"/>
        <v>0</v>
      </c>
      <c r="M71" t="s">
        <v>1087</v>
      </c>
    </row>
    <row r="72" spans="1:13" ht="12.75">
      <c r="A72" s="380">
        <f t="shared" si="9"/>
        <v>56</v>
      </c>
      <c r="B72" s="380">
        <v>210010003</v>
      </c>
      <c r="C72" s="194" t="s">
        <v>1089</v>
      </c>
      <c r="D72" s="194" t="s">
        <v>84</v>
      </c>
      <c r="E72" s="194">
        <v>25</v>
      </c>
      <c r="F72" s="278"/>
      <c r="G72" s="278"/>
      <c r="H72" s="404">
        <f t="shared" si="7"/>
        <v>0</v>
      </c>
      <c r="I72" s="404"/>
      <c r="J72" s="5">
        <f t="shared" si="8"/>
        <v>0</v>
      </c>
      <c r="M72" t="s">
        <v>1090</v>
      </c>
    </row>
    <row r="73" spans="1:10" ht="12.75">
      <c r="A73" s="380">
        <f t="shared" si="9"/>
        <v>57</v>
      </c>
      <c r="B73" s="380">
        <v>973033141</v>
      </c>
      <c r="C73" s="194" t="s">
        <v>24</v>
      </c>
      <c r="D73" s="194" t="s">
        <v>83</v>
      </c>
      <c r="E73" s="194">
        <v>4</v>
      </c>
      <c r="F73" s="404"/>
      <c r="G73" s="278"/>
      <c r="H73" s="404">
        <f t="shared" si="7"/>
        <v>0</v>
      </c>
      <c r="I73" s="404"/>
      <c r="J73" s="5"/>
    </row>
    <row r="74" spans="1:10" ht="12.75">
      <c r="A74" s="380">
        <f t="shared" si="9"/>
        <v>58</v>
      </c>
      <c r="B74" s="380" t="s">
        <v>1091</v>
      </c>
      <c r="C74" s="194" t="s">
        <v>188</v>
      </c>
      <c r="D74" s="194" t="s">
        <v>84</v>
      </c>
      <c r="E74" s="194">
        <v>26</v>
      </c>
      <c r="F74" s="404"/>
      <c r="G74" s="278"/>
      <c r="H74" s="404">
        <f t="shared" si="7"/>
        <v>0</v>
      </c>
      <c r="I74" s="404"/>
      <c r="J74" s="5"/>
    </row>
    <row r="75" spans="1:10" ht="12.75">
      <c r="A75" s="380">
        <f t="shared" si="9"/>
        <v>59</v>
      </c>
      <c r="B75" s="380">
        <v>210292041</v>
      </c>
      <c r="C75" s="194" t="s">
        <v>336</v>
      </c>
      <c r="D75" s="194" t="s">
        <v>83</v>
      </c>
      <c r="E75" s="194">
        <v>4</v>
      </c>
      <c r="F75" s="404"/>
      <c r="G75" s="278"/>
      <c r="H75" s="404">
        <f t="shared" si="7"/>
        <v>0</v>
      </c>
      <c r="I75" s="404"/>
      <c r="J75" s="5"/>
    </row>
    <row r="76" spans="1:10" ht="12.75">
      <c r="A76" s="380">
        <f t="shared" si="9"/>
        <v>60</v>
      </c>
      <c r="B76" s="380">
        <v>210040721</v>
      </c>
      <c r="C76" s="194" t="s">
        <v>23</v>
      </c>
      <c r="D76" s="194" t="s">
        <v>83</v>
      </c>
      <c r="E76" s="194">
        <v>2</v>
      </c>
      <c r="F76" s="404"/>
      <c r="G76" s="278"/>
      <c r="H76" s="404">
        <f t="shared" si="7"/>
        <v>0</v>
      </c>
      <c r="I76" s="404"/>
      <c r="J76" s="5"/>
    </row>
    <row r="77" spans="1:10" ht="12.75">
      <c r="A77" s="380"/>
      <c r="B77" s="380" t="s">
        <v>1093</v>
      </c>
      <c r="C77" s="194" t="s">
        <v>1039</v>
      </c>
      <c r="D77" s="194" t="s">
        <v>84</v>
      </c>
      <c r="E77" s="194">
        <v>2</v>
      </c>
      <c r="F77" s="404"/>
      <c r="G77" s="278"/>
      <c r="H77" s="404">
        <f t="shared" si="7"/>
        <v>0</v>
      </c>
      <c r="I77" s="404"/>
      <c r="J77" s="5"/>
    </row>
    <row r="78" spans="1:10" ht="12.75">
      <c r="A78" s="380"/>
      <c r="B78" s="380"/>
      <c r="C78" s="403" t="s">
        <v>345</v>
      </c>
      <c r="D78" s="194"/>
      <c r="E78" s="194"/>
      <c r="F78" s="404"/>
      <c r="G78" s="404"/>
      <c r="H78" s="407">
        <f>SUM(H65:H77)</f>
        <v>0</v>
      </c>
      <c r="I78" s="404"/>
      <c r="J78" s="5">
        <f>SUM(J65:J77)</f>
        <v>0</v>
      </c>
    </row>
    <row r="79" spans="1:10" ht="12.75">
      <c r="A79" s="380"/>
      <c r="B79" s="380"/>
      <c r="C79" s="403"/>
      <c r="D79" s="194"/>
      <c r="E79" s="194"/>
      <c r="F79" s="404"/>
      <c r="G79" s="404"/>
      <c r="H79" s="407"/>
      <c r="I79" s="404"/>
      <c r="J79" s="5"/>
    </row>
    <row r="80" spans="1:16" s="5" customFormat="1" ht="13.5" customHeight="1">
      <c r="A80" s="411"/>
      <c r="B80" s="411"/>
      <c r="C80" s="412" t="s">
        <v>437</v>
      </c>
      <c r="D80" s="410"/>
      <c r="E80" s="410"/>
      <c r="F80" s="410"/>
      <c r="G80" s="410"/>
      <c r="H80" s="410"/>
      <c r="I80" s="410"/>
      <c r="J80" s="274"/>
      <c r="K80" s="428"/>
      <c r="L80" s="274"/>
      <c r="M80" s="275"/>
      <c r="N80" s="193"/>
      <c r="O80" s="194"/>
      <c r="P80" s="194"/>
    </row>
    <row r="81" spans="1:16" s="5" customFormat="1" ht="12.75">
      <c r="A81" s="411">
        <f>A77+1</f>
        <v>1</v>
      </c>
      <c r="B81" s="411" t="s">
        <v>330</v>
      </c>
      <c r="C81" s="413" t="s">
        <v>189</v>
      </c>
      <c r="D81" s="410" t="s">
        <v>89</v>
      </c>
      <c r="E81" s="334"/>
      <c r="F81" s="414">
        <f>+J64+J78</f>
        <v>0</v>
      </c>
      <c r="G81" s="414"/>
      <c r="H81" s="414">
        <f>(F81+G81)*E81</f>
        <v>0</v>
      </c>
      <c r="I81" s="415"/>
      <c r="J81" s="274"/>
      <c r="K81" s="428"/>
      <c r="L81" s="276"/>
      <c r="M81" s="275"/>
      <c r="N81" s="193"/>
      <c r="O81" s="194"/>
      <c r="P81" s="194"/>
    </row>
    <row r="82" spans="1:16" s="5" customFormat="1" ht="13.5" customHeight="1">
      <c r="A82" s="411">
        <f>+A81+1</f>
        <v>2</v>
      </c>
      <c r="B82" s="411" t="s">
        <v>330</v>
      </c>
      <c r="C82" s="413" t="s">
        <v>439</v>
      </c>
      <c r="D82" s="410" t="s">
        <v>89</v>
      </c>
      <c r="E82" s="334"/>
      <c r="F82" s="414"/>
      <c r="G82" s="414">
        <f>H78-F81</f>
        <v>0</v>
      </c>
      <c r="H82" s="414">
        <f>(F82+G82)*E82</f>
        <v>0</v>
      </c>
      <c r="I82" s="415"/>
      <c r="J82" s="274"/>
      <c r="K82" s="428"/>
      <c r="L82" s="276"/>
      <c r="M82" s="275"/>
      <c r="N82" s="193"/>
      <c r="O82" s="194"/>
      <c r="P82" s="194"/>
    </row>
    <row r="83" spans="1:16" s="5" customFormat="1" ht="13.5" customHeight="1">
      <c r="A83" s="411">
        <f>+A82+1</f>
        <v>3</v>
      </c>
      <c r="B83" s="411" t="s">
        <v>330</v>
      </c>
      <c r="C83" s="405" t="s">
        <v>1040</v>
      </c>
      <c r="D83" s="410" t="s">
        <v>89</v>
      </c>
      <c r="E83" s="334"/>
      <c r="F83" s="414">
        <f>F81</f>
        <v>0</v>
      </c>
      <c r="G83" s="414"/>
      <c r="H83" s="414">
        <f>E83*F83</f>
        <v>0</v>
      </c>
      <c r="I83" s="415"/>
      <c r="J83" s="274"/>
      <c r="K83" s="428"/>
      <c r="L83" s="276"/>
      <c r="M83" s="275"/>
      <c r="N83" s="193"/>
      <c r="O83" s="194"/>
      <c r="P83" s="194"/>
    </row>
    <row r="84" spans="1:16" s="5" customFormat="1" ht="14.25" customHeight="1">
      <c r="A84" s="416"/>
      <c r="B84" s="411"/>
      <c r="C84" s="412" t="s">
        <v>347</v>
      </c>
      <c r="D84" s="412"/>
      <c r="E84" s="417"/>
      <c r="F84" s="412"/>
      <c r="G84" s="412"/>
      <c r="H84" s="418">
        <f>SUM(H81:H83)</f>
        <v>0</v>
      </c>
      <c r="I84" s="419"/>
      <c r="J84" s="274"/>
      <c r="K84" s="428"/>
      <c r="L84" s="274"/>
      <c r="M84" s="275"/>
      <c r="N84" s="193"/>
      <c r="O84" s="194"/>
      <c r="P84" s="194"/>
    </row>
    <row r="85" spans="1:16" s="5" customFormat="1" ht="14.25" customHeight="1">
      <c r="A85" s="416"/>
      <c r="B85" s="411"/>
      <c r="C85" s="412"/>
      <c r="D85" s="412"/>
      <c r="E85" s="417"/>
      <c r="F85" s="412"/>
      <c r="G85" s="412"/>
      <c r="H85" s="418"/>
      <c r="I85" s="419"/>
      <c r="J85" s="274"/>
      <c r="K85" s="428"/>
      <c r="L85" s="274"/>
      <c r="M85" s="275"/>
      <c r="N85" s="193"/>
      <c r="O85" s="194"/>
      <c r="P85" s="194"/>
    </row>
    <row r="86" spans="1:16" s="5" customFormat="1" ht="14.25" customHeight="1">
      <c r="A86" s="416"/>
      <c r="B86" s="411"/>
      <c r="C86" s="412"/>
      <c r="D86" s="412"/>
      <c r="E86" s="417"/>
      <c r="F86" s="412"/>
      <c r="G86" s="412"/>
      <c r="H86" s="418"/>
      <c r="I86" s="419"/>
      <c r="J86" s="274"/>
      <c r="K86" s="428"/>
      <c r="L86" s="274"/>
      <c r="M86" s="275"/>
      <c r="N86" s="193"/>
      <c r="O86" s="194"/>
      <c r="P86" s="194"/>
    </row>
    <row r="87" spans="1:10" ht="12.75">
      <c r="A87" s="380"/>
      <c r="B87" s="380"/>
      <c r="C87" s="403" t="s">
        <v>348</v>
      </c>
      <c r="D87" s="194"/>
      <c r="E87" s="194"/>
      <c r="F87" s="194"/>
      <c r="G87" s="194"/>
      <c r="H87" s="407">
        <f>+H61+H55+H41+H78+H84</f>
        <v>0</v>
      </c>
      <c r="I87" s="407"/>
      <c r="J87" s="332"/>
    </row>
    <row r="88" spans="1:10" ht="12.75">
      <c r="A88" s="380"/>
      <c r="B88" s="380"/>
      <c r="C88" s="403" t="s">
        <v>349</v>
      </c>
      <c r="D88" s="333">
        <v>0.15</v>
      </c>
      <c r="E88" s="194"/>
      <c r="F88" s="194"/>
      <c r="G88" s="194"/>
      <c r="H88" s="407">
        <f>H87*D88</f>
        <v>0</v>
      </c>
      <c r="I88" s="407"/>
      <c r="J88" s="332"/>
    </row>
    <row r="89" spans="1:10" ht="12.75">
      <c r="A89" s="380"/>
      <c r="B89" s="380"/>
      <c r="C89" s="422" t="s">
        <v>350</v>
      </c>
      <c r="D89" s="423"/>
      <c r="E89" s="423"/>
      <c r="F89" s="423"/>
      <c r="G89" s="423"/>
      <c r="H89" s="424">
        <f>SUM(H87:H88)</f>
        <v>0</v>
      </c>
      <c r="I89" s="407"/>
      <c r="J89" s="332"/>
    </row>
    <row r="90" spans="1:10" ht="12.75">
      <c r="A90" s="380"/>
      <c r="B90" s="380"/>
      <c r="C90" s="403"/>
      <c r="D90" s="194"/>
      <c r="E90" s="194"/>
      <c r="F90" s="194"/>
      <c r="G90" s="194"/>
      <c r="H90" s="407"/>
      <c r="I90" s="407"/>
      <c r="J90" s="332"/>
    </row>
    <row r="91" spans="1:10" ht="12.75">
      <c r="A91" s="380"/>
      <c r="B91" s="380"/>
      <c r="C91" s="403"/>
      <c r="D91" s="194"/>
      <c r="E91" s="194"/>
      <c r="F91" s="194"/>
      <c r="G91" s="194"/>
      <c r="H91" s="407"/>
      <c r="I91" s="407"/>
      <c r="J91" s="332"/>
    </row>
    <row r="92" spans="1:10" ht="12.75">
      <c r="A92" s="380"/>
      <c r="B92" s="380"/>
      <c r="C92" s="403" t="s">
        <v>351</v>
      </c>
      <c r="D92" s="194"/>
      <c r="E92" s="194"/>
      <c r="F92" s="194"/>
      <c r="G92" s="194"/>
      <c r="H92" s="194"/>
      <c r="I92" s="194"/>
      <c r="J92" s="5"/>
    </row>
    <row r="93" spans="1:10" ht="12.75">
      <c r="A93" s="380"/>
      <c r="B93" s="380"/>
      <c r="C93" s="455" t="s">
        <v>1041</v>
      </c>
      <c r="D93" s="455"/>
      <c r="E93" s="455"/>
      <c r="F93" s="455"/>
      <c r="G93" s="455"/>
      <c r="H93" s="455"/>
      <c r="I93" s="425"/>
      <c r="J93" s="5"/>
    </row>
    <row r="94" spans="1:10" ht="12.75">
      <c r="A94" s="380"/>
      <c r="B94" s="380"/>
      <c r="C94" s="456" t="s">
        <v>112</v>
      </c>
      <c r="D94" s="456"/>
      <c r="E94" s="456"/>
      <c r="F94" s="456"/>
      <c r="G94" s="456"/>
      <c r="H94" s="456"/>
      <c r="I94" s="194"/>
      <c r="J94" s="5"/>
    </row>
    <row r="95" spans="1:10" ht="12.75">
      <c r="A95" s="380"/>
      <c r="B95" s="380"/>
      <c r="C95" s="451" t="s">
        <v>352</v>
      </c>
      <c r="D95" s="451"/>
      <c r="E95" s="451"/>
      <c r="F95" s="451"/>
      <c r="G95" s="451"/>
      <c r="H95" s="451"/>
      <c r="I95" s="194"/>
      <c r="J95" s="5"/>
    </row>
    <row r="96" spans="1:10" ht="12.75">
      <c r="A96" s="380"/>
      <c r="B96" s="380"/>
      <c r="C96" s="453" t="s">
        <v>353</v>
      </c>
      <c r="D96" s="453"/>
      <c r="E96" s="453"/>
      <c r="F96" s="453"/>
      <c r="G96" s="453"/>
      <c r="H96" s="453"/>
      <c r="I96" s="194"/>
      <c r="J96" s="5"/>
    </row>
    <row r="97" spans="1:10" ht="12.75">
      <c r="A97" s="380"/>
      <c r="B97" s="380"/>
      <c r="C97" s="451" t="s">
        <v>354</v>
      </c>
      <c r="D97" s="451"/>
      <c r="E97" s="451"/>
      <c r="F97" s="451"/>
      <c r="G97" s="451"/>
      <c r="H97" s="451"/>
      <c r="I97" s="194"/>
      <c r="J97" s="5"/>
    </row>
    <row r="98" spans="1:10" ht="12.75">
      <c r="A98" s="380"/>
      <c r="B98" s="380"/>
      <c r="C98" s="452" t="s">
        <v>355</v>
      </c>
      <c r="D98" s="452"/>
      <c r="E98" s="452"/>
      <c r="F98" s="452"/>
      <c r="G98" s="452"/>
      <c r="H98" s="452"/>
      <c r="I98" s="194"/>
      <c r="J98" s="5"/>
    </row>
    <row r="99" spans="1:10" ht="12.75">
      <c r="A99" s="380"/>
      <c r="B99" s="380"/>
      <c r="C99" s="426" t="s">
        <v>356</v>
      </c>
      <c r="D99" s="426"/>
      <c r="E99" s="426"/>
      <c r="F99" s="426"/>
      <c r="G99" s="426"/>
      <c r="H99" s="426"/>
      <c r="I99" s="194"/>
      <c r="J99" s="5"/>
    </row>
    <row r="100" spans="3:8" ht="12.75">
      <c r="C100" s="453" t="s">
        <v>78</v>
      </c>
      <c r="D100" s="453"/>
      <c r="E100" s="453"/>
      <c r="F100" s="453"/>
      <c r="G100" s="453"/>
      <c r="H100" s="453"/>
    </row>
    <row r="101" spans="3:8" ht="12.75">
      <c r="C101" s="453" t="s">
        <v>79</v>
      </c>
      <c r="D101" s="453"/>
      <c r="E101" s="453"/>
      <c r="F101" s="453"/>
      <c r="G101" s="453"/>
      <c r="H101" s="453"/>
    </row>
    <row r="102" spans="3:8" ht="12.75">
      <c r="C102" s="453" t="s">
        <v>128</v>
      </c>
      <c r="D102" s="453"/>
      <c r="E102" s="453"/>
      <c r="F102" s="453"/>
      <c r="G102" s="453"/>
      <c r="H102" s="453"/>
    </row>
    <row r="104" spans="3:8" ht="12.75">
      <c r="C104" s="454"/>
      <c r="D104" s="454"/>
      <c r="E104" s="454"/>
      <c r="F104" s="454"/>
      <c r="G104" s="454"/>
      <c r="H104" s="454"/>
    </row>
    <row r="105" spans="3:8" ht="12.75">
      <c r="C105" s="454"/>
      <c r="D105" s="454"/>
      <c r="E105" s="454"/>
      <c r="F105" s="454"/>
      <c r="G105" s="454"/>
      <c r="H105" s="454"/>
    </row>
  </sheetData>
  <sheetProtection password="F4F7" sheet="1" objects="1" scenarios="1"/>
  <mergeCells count="11">
    <mergeCell ref="C93:H93"/>
    <mergeCell ref="C94:H94"/>
    <mergeCell ref="C95:H95"/>
    <mergeCell ref="C96:H96"/>
    <mergeCell ref="A1:H1"/>
    <mergeCell ref="C97:H97"/>
    <mergeCell ref="C98:H98"/>
    <mergeCell ref="C100:H100"/>
    <mergeCell ref="C101:H101"/>
    <mergeCell ref="C102:H102"/>
    <mergeCell ref="C104:H105"/>
  </mergeCells>
  <conditionalFormatting sqref="C94:H94">
    <cfRule type="expression" priority="4" dxfId="5" stopIfTrue="1">
      <formula>ISTEXT(C94)</formula>
    </cfRule>
  </conditionalFormatting>
  <conditionalFormatting sqref="C59">
    <cfRule type="expression" priority="3" dxfId="5" stopIfTrue="1">
      <formula>ISTEXT(C59)</formula>
    </cfRule>
  </conditionalFormatting>
  <conditionalFormatting sqref="C82">
    <cfRule type="expression" priority="1" dxfId="5" stopIfTrue="1">
      <formula>ISTEXT(C82)</formula>
    </cfRule>
  </conditionalFormatting>
  <printOptions gridLines="1"/>
  <pageMargins left="0.7086614173228347" right="0.7086614173228347" top="0.7874015748031497" bottom="0.7874015748031497" header="0.31496062992125984" footer="0.31496062992125984"/>
  <pageSetup fitToHeight="0"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2:L35"/>
  <sheetViews>
    <sheetView zoomScalePageLayoutView="0" workbookViewId="0" topLeftCell="A1">
      <selection activeCell="B14" sqref="B14"/>
    </sheetView>
  </sheetViews>
  <sheetFormatPr defaultColWidth="9.00390625" defaultRowHeight="12.75"/>
  <cols>
    <col min="1" max="1" width="15.00390625" style="0" customWidth="1"/>
    <col min="2" max="2" width="57.25390625" style="0" customWidth="1"/>
    <col min="3" max="3" width="14.00390625" style="0" customWidth="1"/>
    <col min="4" max="4" width="15.125" style="0" customWidth="1"/>
    <col min="5" max="5" width="10.625" style="0" customWidth="1"/>
    <col min="6" max="6" width="9.25390625" style="0" customWidth="1"/>
    <col min="7" max="7" width="12.00390625" style="0" customWidth="1"/>
    <col min="8" max="8" width="10.125" style="0" customWidth="1"/>
    <col min="9" max="9" width="11.75390625" style="0" customWidth="1"/>
  </cols>
  <sheetData>
    <row r="2" spans="2:3" ht="12.75">
      <c r="B2" t="s">
        <v>695</v>
      </c>
      <c r="C2" t="s">
        <v>656</v>
      </c>
    </row>
    <row r="3" ht="12.75">
      <c r="B3" t="s">
        <v>634</v>
      </c>
    </row>
    <row r="4" spans="1:11" ht="76.5">
      <c r="A4" s="308"/>
      <c r="B4" s="308" t="s">
        <v>638</v>
      </c>
      <c r="C4" s="308" t="s">
        <v>635</v>
      </c>
      <c r="D4" s="309" t="s">
        <v>636</v>
      </c>
      <c r="E4" s="309" t="s">
        <v>686</v>
      </c>
      <c r="F4" s="308" t="s">
        <v>637</v>
      </c>
      <c r="G4" s="308" t="s">
        <v>648</v>
      </c>
      <c r="H4" s="308" t="s">
        <v>645</v>
      </c>
      <c r="I4" s="308" t="s">
        <v>646</v>
      </c>
      <c r="J4" s="309" t="s">
        <v>690</v>
      </c>
      <c r="K4" s="309" t="s">
        <v>691</v>
      </c>
    </row>
    <row r="5" spans="1:11" ht="12.75">
      <c r="A5" s="308"/>
      <c r="B5" s="308"/>
      <c r="C5" s="308" t="s">
        <v>644</v>
      </c>
      <c r="D5" s="308"/>
      <c r="E5" s="308" t="s">
        <v>642</v>
      </c>
      <c r="F5" s="308" t="s">
        <v>643</v>
      </c>
      <c r="G5" s="308" t="s">
        <v>642</v>
      </c>
      <c r="H5" s="308" t="s">
        <v>83</v>
      </c>
      <c r="I5" s="308" t="s">
        <v>642</v>
      </c>
      <c r="J5" s="308"/>
      <c r="K5" s="313"/>
    </row>
    <row r="6" spans="1:11" ht="51">
      <c r="A6" s="308" t="s">
        <v>650</v>
      </c>
      <c r="B6" s="309" t="s">
        <v>641</v>
      </c>
      <c r="C6" s="308" t="s">
        <v>639</v>
      </c>
      <c r="D6" s="308" t="s">
        <v>640</v>
      </c>
      <c r="E6" s="308">
        <v>840</v>
      </c>
      <c r="F6" s="310">
        <v>600</v>
      </c>
      <c r="G6" s="308">
        <v>3200</v>
      </c>
      <c r="H6" s="308">
        <v>1</v>
      </c>
      <c r="I6" s="308">
        <f aca="true" t="shared" si="0" ref="I6:I17">+E6+G6</f>
        <v>4040</v>
      </c>
      <c r="J6" s="308">
        <f aca="true" t="shared" si="1" ref="J6:J26">+H6*I6</f>
        <v>4040</v>
      </c>
      <c r="K6" s="313">
        <f>+J6/1.21</f>
        <v>3338.8429752066118</v>
      </c>
    </row>
    <row r="7" spans="1:11" ht="51">
      <c r="A7" s="308"/>
      <c r="B7" s="309" t="s">
        <v>641</v>
      </c>
      <c r="C7" s="308" t="s">
        <v>647</v>
      </c>
      <c r="D7" s="308" t="s">
        <v>640</v>
      </c>
      <c r="E7" s="308">
        <v>640</v>
      </c>
      <c r="F7" s="310">
        <v>400</v>
      </c>
      <c r="G7" s="308">
        <v>3040</v>
      </c>
      <c r="H7" s="308">
        <v>1</v>
      </c>
      <c r="I7" s="308">
        <f t="shared" si="0"/>
        <v>3680</v>
      </c>
      <c r="J7" s="308">
        <f t="shared" si="1"/>
        <v>3680</v>
      </c>
      <c r="K7" s="313">
        <f aca="true" t="shared" si="2" ref="K7:K31">+J7/1.21</f>
        <v>3041.322314049587</v>
      </c>
    </row>
    <row r="8" spans="1:11" ht="51">
      <c r="A8" s="308"/>
      <c r="B8" s="309" t="s">
        <v>641</v>
      </c>
      <c r="C8" s="308" t="s">
        <v>649</v>
      </c>
      <c r="D8" s="308" t="s">
        <v>640</v>
      </c>
      <c r="E8" s="308">
        <v>1000</v>
      </c>
      <c r="F8" s="310">
        <v>800</v>
      </c>
      <c r="G8" s="308">
        <v>3360</v>
      </c>
      <c r="H8" s="308">
        <v>0</v>
      </c>
      <c r="I8" s="308">
        <f t="shared" si="0"/>
        <v>4360</v>
      </c>
      <c r="J8" s="308">
        <f t="shared" si="1"/>
        <v>0</v>
      </c>
      <c r="K8" s="313">
        <f t="shared" si="2"/>
        <v>0</v>
      </c>
    </row>
    <row r="9" spans="1:11" ht="12.75">
      <c r="A9" s="308"/>
      <c r="B9" s="309" t="s">
        <v>684</v>
      </c>
      <c r="C9" s="308" t="s">
        <v>639</v>
      </c>
      <c r="D9" s="308" t="s">
        <v>668</v>
      </c>
      <c r="E9" s="308">
        <v>100</v>
      </c>
      <c r="F9" s="310">
        <v>600</v>
      </c>
      <c r="G9" s="312">
        <v>0</v>
      </c>
      <c r="H9" s="308">
        <v>0</v>
      </c>
      <c r="I9" s="308">
        <f t="shared" si="0"/>
        <v>100</v>
      </c>
      <c r="J9" s="308">
        <f t="shared" si="1"/>
        <v>0</v>
      </c>
      <c r="K9" s="313">
        <f t="shared" si="2"/>
        <v>0</v>
      </c>
    </row>
    <row r="10" spans="1:11" ht="12.75">
      <c r="A10" s="308"/>
      <c r="B10" s="309" t="s">
        <v>696</v>
      </c>
      <c r="C10" s="308" t="s">
        <v>669</v>
      </c>
      <c r="D10" s="308"/>
      <c r="E10" s="308">
        <v>240</v>
      </c>
      <c r="F10" s="310">
        <v>600</v>
      </c>
      <c r="G10" s="308"/>
      <c r="H10" s="308">
        <v>2</v>
      </c>
      <c r="I10" s="308">
        <f t="shared" si="0"/>
        <v>240</v>
      </c>
      <c r="J10" s="308">
        <f t="shared" si="1"/>
        <v>480</v>
      </c>
      <c r="K10" s="313">
        <f t="shared" si="2"/>
        <v>396.6942148760331</v>
      </c>
    </row>
    <row r="11" spans="1:11" ht="25.5">
      <c r="A11" s="308"/>
      <c r="B11" s="309" t="s">
        <v>679</v>
      </c>
      <c r="C11" s="308" t="s">
        <v>639</v>
      </c>
      <c r="D11" s="308">
        <v>0</v>
      </c>
      <c r="E11" s="308"/>
      <c r="F11" s="310"/>
      <c r="G11" s="308">
        <v>680</v>
      </c>
      <c r="H11" s="308">
        <v>1</v>
      </c>
      <c r="I11" s="308">
        <f t="shared" si="0"/>
        <v>680</v>
      </c>
      <c r="J11" s="308">
        <f t="shared" si="1"/>
        <v>680</v>
      </c>
      <c r="K11" s="313">
        <f t="shared" si="2"/>
        <v>561.9834710743802</v>
      </c>
    </row>
    <row r="12" spans="1:11" ht="12.75">
      <c r="A12" s="308"/>
      <c r="B12" s="309" t="s">
        <v>671</v>
      </c>
      <c r="C12" s="308" t="s">
        <v>670</v>
      </c>
      <c r="D12" s="308"/>
      <c r="E12" s="308"/>
      <c r="F12" s="310">
        <v>150</v>
      </c>
      <c r="G12" s="308">
        <v>600</v>
      </c>
      <c r="H12" s="308">
        <v>0</v>
      </c>
      <c r="I12" s="308">
        <f t="shared" si="0"/>
        <v>600</v>
      </c>
      <c r="J12" s="308">
        <f t="shared" si="1"/>
        <v>0</v>
      </c>
      <c r="K12" s="313">
        <f t="shared" si="2"/>
        <v>0</v>
      </c>
    </row>
    <row r="13" spans="1:11" ht="42" customHeight="1">
      <c r="A13" s="308"/>
      <c r="B13" s="311" t="s">
        <v>653</v>
      </c>
      <c r="C13" s="308" t="s">
        <v>675</v>
      </c>
      <c r="D13" s="308" t="s">
        <v>674</v>
      </c>
      <c r="E13" s="308">
        <v>600</v>
      </c>
      <c r="F13" s="310">
        <v>300</v>
      </c>
      <c r="G13" s="308">
        <v>760</v>
      </c>
      <c r="H13" s="308">
        <v>1</v>
      </c>
      <c r="I13" s="308">
        <f t="shared" si="0"/>
        <v>1360</v>
      </c>
      <c r="J13" s="308">
        <f t="shared" si="1"/>
        <v>1360</v>
      </c>
      <c r="K13" s="313">
        <f t="shared" si="2"/>
        <v>1123.9669421487604</v>
      </c>
    </row>
    <row r="14" spans="1:11" ht="42" customHeight="1">
      <c r="A14" s="308"/>
      <c r="B14" s="311" t="s">
        <v>653</v>
      </c>
      <c r="C14" s="308" t="s">
        <v>667</v>
      </c>
      <c r="D14" s="308" t="s">
        <v>666</v>
      </c>
      <c r="E14" s="308">
        <v>750</v>
      </c>
      <c r="F14" s="310">
        <v>400</v>
      </c>
      <c r="G14" s="308">
        <v>840</v>
      </c>
      <c r="H14" s="308">
        <v>0</v>
      </c>
      <c r="I14" s="308">
        <f t="shared" si="0"/>
        <v>1590</v>
      </c>
      <c r="J14" s="308">
        <f t="shared" si="1"/>
        <v>0</v>
      </c>
      <c r="K14" s="313">
        <f t="shared" si="2"/>
        <v>0</v>
      </c>
    </row>
    <row r="15" spans="1:11" ht="42" customHeight="1">
      <c r="A15" s="308"/>
      <c r="B15" s="309" t="s">
        <v>653</v>
      </c>
      <c r="C15" s="308" t="s">
        <v>639</v>
      </c>
      <c r="D15" s="308" t="s">
        <v>664</v>
      </c>
      <c r="E15" s="308">
        <v>950</v>
      </c>
      <c r="F15" s="310">
        <v>600</v>
      </c>
      <c r="G15" s="308">
        <v>1040</v>
      </c>
      <c r="H15" s="308">
        <v>0</v>
      </c>
      <c r="I15" s="308">
        <f t="shared" si="0"/>
        <v>1990</v>
      </c>
      <c r="J15" s="308">
        <f t="shared" si="1"/>
        <v>0</v>
      </c>
      <c r="K15" s="313">
        <f t="shared" si="2"/>
        <v>0</v>
      </c>
    </row>
    <row r="16" spans="1:11" ht="42" customHeight="1">
      <c r="A16" s="308"/>
      <c r="B16" s="309" t="s">
        <v>653</v>
      </c>
      <c r="C16" s="308" t="s">
        <v>639</v>
      </c>
      <c r="D16" s="308" t="s">
        <v>663</v>
      </c>
      <c r="E16" s="308">
        <f>2*600</f>
        <v>1200</v>
      </c>
      <c r="F16" s="310">
        <v>600</v>
      </c>
      <c r="G16" s="308">
        <v>1040</v>
      </c>
      <c r="H16" s="308">
        <v>2</v>
      </c>
      <c r="I16" s="308">
        <f t="shared" si="0"/>
        <v>2240</v>
      </c>
      <c r="J16" s="308">
        <f t="shared" si="1"/>
        <v>4480</v>
      </c>
      <c r="K16" s="313">
        <f t="shared" si="2"/>
        <v>3702.4793388429753</v>
      </c>
    </row>
    <row r="17" spans="1:11" ht="25.5">
      <c r="A17" s="308" t="s">
        <v>661</v>
      </c>
      <c r="B17" s="309" t="s">
        <v>655</v>
      </c>
      <c r="C17" s="308" t="s">
        <v>654</v>
      </c>
      <c r="D17" s="308" t="s">
        <v>664</v>
      </c>
      <c r="E17" s="308">
        <v>1000</v>
      </c>
      <c r="F17" s="310" t="s">
        <v>665</v>
      </c>
      <c r="G17" s="308">
        <v>1520</v>
      </c>
      <c r="H17" s="308">
        <v>0</v>
      </c>
      <c r="I17" s="308">
        <f t="shared" si="0"/>
        <v>2520</v>
      </c>
      <c r="J17" s="308">
        <f t="shared" si="1"/>
        <v>0</v>
      </c>
      <c r="K17" s="313">
        <f t="shared" si="2"/>
        <v>0</v>
      </c>
    </row>
    <row r="18" spans="1:11" ht="12.75">
      <c r="A18" s="316"/>
      <c r="B18" s="317"/>
      <c r="C18" s="316"/>
      <c r="D18" s="316"/>
      <c r="E18" s="316"/>
      <c r="F18" s="318"/>
      <c r="G18" s="316"/>
      <c r="H18" s="316"/>
      <c r="I18" s="316"/>
      <c r="J18" s="316"/>
      <c r="K18" s="319"/>
    </row>
    <row r="19" spans="1:11" ht="12.75">
      <c r="A19" s="308" t="s">
        <v>651</v>
      </c>
      <c r="B19" s="308" t="s">
        <v>658</v>
      </c>
      <c r="C19" s="308" t="s">
        <v>657</v>
      </c>
      <c r="D19" s="308" t="s">
        <v>664</v>
      </c>
      <c r="E19" s="308">
        <v>950</v>
      </c>
      <c r="F19" s="310">
        <v>600</v>
      </c>
      <c r="G19" s="308">
        <v>1150</v>
      </c>
      <c r="H19" s="308">
        <v>0</v>
      </c>
      <c r="I19" s="308">
        <f aca="true" t="shared" si="3" ref="I19:I27">+E19+G19</f>
        <v>2100</v>
      </c>
      <c r="J19" s="308">
        <f t="shared" si="1"/>
        <v>0</v>
      </c>
      <c r="K19" s="313">
        <f t="shared" si="2"/>
        <v>0</v>
      </c>
    </row>
    <row r="20" spans="1:11" ht="12.75">
      <c r="A20" s="308"/>
      <c r="B20" s="308"/>
      <c r="C20" s="308"/>
      <c r="D20" s="308" t="s">
        <v>663</v>
      </c>
      <c r="E20" s="308">
        <f>2*600</f>
        <v>1200</v>
      </c>
      <c r="F20" s="310">
        <v>600</v>
      </c>
      <c r="G20" s="308">
        <v>1150</v>
      </c>
      <c r="H20" s="308">
        <v>0</v>
      </c>
      <c r="I20" s="308">
        <f t="shared" si="3"/>
        <v>2350</v>
      </c>
      <c r="J20" s="308">
        <f>+H20*I20</f>
        <v>0</v>
      </c>
      <c r="K20" s="313">
        <f t="shared" si="2"/>
        <v>0</v>
      </c>
    </row>
    <row r="21" spans="1:11" ht="12.75">
      <c r="A21" s="308"/>
      <c r="B21" s="308" t="s">
        <v>658</v>
      </c>
      <c r="C21" s="308" t="s">
        <v>698</v>
      </c>
      <c r="D21" s="308" t="s">
        <v>697</v>
      </c>
      <c r="E21" s="308">
        <v>1500</v>
      </c>
      <c r="F21" s="310">
        <v>800</v>
      </c>
      <c r="G21" s="308">
        <f>2*950</f>
        <v>1900</v>
      </c>
      <c r="H21" s="308">
        <v>0</v>
      </c>
      <c r="I21" s="308">
        <f t="shared" si="3"/>
        <v>3400</v>
      </c>
      <c r="J21" s="308">
        <f>+H21*I21</f>
        <v>0</v>
      </c>
      <c r="K21" s="313">
        <f t="shared" si="2"/>
        <v>0</v>
      </c>
    </row>
    <row r="22" spans="1:11" ht="12.75">
      <c r="A22" s="308"/>
      <c r="B22" s="308" t="s">
        <v>658</v>
      </c>
      <c r="C22" s="308" t="s">
        <v>672</v>
      </c>
      <c r="D22" s="308" t="s">
        <v>666</v>
      </c>
      <c r="E22" s="308">
        <v>750</v>
      </c>
      <c r="F22" s="310">
        <v>400</v>
      </c>
      <c r="G22" s="308">
        <v>950</v>
      </c>
      <c r="H22" s="308">
        <v>1</v>
      </c>
      <c r="I22" s="308">
        <f t="shared" si="3"/>
        <v>1700</v>
      </c>
      <c r="J22" s="308">
        <f>+H22*I22</f>
        <v>1700</v>
      </c>
      <c r="K22" s="313">
        <f t="shared" si="2"/>
        <v>1404.9586776859505</v>
      </c>
    </row>
    <row r="23" spans="1:11" ht="12.75">
      <c r="A23" s="308"/>
      <c r="B23" s="308" t="s">
        <v>658</v>
      </c>
      <c r="C23" s="308" t="s">
        <v>701</v>
      </c>
      <c r="D23" s="308" t="s">
        <v>674</v>
      </c>
      <c r="E23" s="308">
        <v>600</v>
      </c>
      <c r="F23" s="310">
        <v>300</v>
      </c>
      <c r="G23" s="308">
        <v>950</v>
      </c>
      <c r="H23" s="308">
        <v>0</v>
      </c>
      <c r="I23" s="308">
        <f t="shared" si="3"/>
        <v>1550</v>
      </c>
      <c r="J23" s="308">
        <f>+H23*I23</f>
        <v>0</v>
      </c>
      <c r="K23" s="313">
        <f>+J23/1.21</f>
        <v>0</v>
      </c>
    </row>
    <row r="24" spans="1:11" ht="12.75">
      <c r="A24" s="308"/>
      <c r="B24" s="308" t="s">
        <v>658</v>
      </c>
      <c r="C24" s="308" t="s">
        <v>673</v>
      </c>
      <c r="D24" s="308" t="s">
        <v>652</v>
      </c>
      <c r="E24" s="308">
        <v>280</v>
      </c>
      <c r="F24" s="310">
        <v>150</v>
      </c>
      <c r="G24" s="308">
        <v>550</v>
      </c>
      <c r="H24" s="308">
        <v>0</v>
      </c>
      <c r="I24" s="308">
        <f t="shared" si="3"/>
        <v>830</v>
      </c>
      <c r="J24" s="308">
        <f>+H24*I24</f>
        <v>0</v>
      </c>
      <c r="K24" s="313">
        <f t="shared" si="2"/>
        <v>0</v>
      </c>
    </row>
    <row r="25" spans="1:11" ht="12.75">
      <c r="A25" s="308"/>
      <c r="B25" s="308" t="s">
        <v>659</v>
      </c>
      <c r="C25" s="308" t="s">
        <v>660</v>
      </c>
      <c r="D25" s="308" t="s">
        <v>652</v>
      </c>
      <c r="E25" s="308">
        <v>600</v>
      </c>
      <c r="F25" s="310">
        <v>600</v>
      </c>
      <c r="G25" s="308">
        <v>950</v>
      </c>
      <c r="H25" s="308">
        <v>7</v>
      </c>
      <c r="I25" s="308">
        <f t="shared" si="3"/>
        <v>1550</v>
      </c>
      <c r="J25" s="308">
        <f t="shared" si="1"/>
        <v>10850</v>
      </c>
      <c r="K25" s="313">
        <f t="shared" si="2"/>
        <v>8966.94214876033</v>
      </c>
    </row>
    <row r="26" spans="1:11" ht="12.75">
      <c r="A26" s="308" t="s">
        <v>662</v>
      </c>
      <c r="B26" s="308" t="s">
        <v>687</v>
      </c>
      <c r="C26" s="308" t="s">
        <v>657</v>
      </c>
      <c r="D26" s="308" t="s">
        <v>652</v>
      </c>
      <c r="E26" s="308">
        <v>1000</v>
      </c>
      <c r="F26" s="310" t="s">
        <v>688</v>
      </c>
      <c r="G26" s="308">
        <v>2200</v>
      </c>
      <c r="H26" s="308">
        <v>0</v>
      </c>
      <c r="I26" s="308">
        <f t="shared" si="3"/>
        <v>3200</v>
      </c>
      <c r="J26" s="308">
        <f t="shared" si="1"/>
        <v>0</v>
      </c>
      <c r="K26" s="313">
        <f t="shared" si="2"/>
        <v>0</v>
      </c>
    </row>
    <row r="27" spans="1:11" ht="12.75">
      <c r="A27" s="308" t="s">
        <v>676</v>
      </c>
      <c r="B27" s="308" t="s">
        <v>677</v>
      </c>
      <c r="C27" s="308" t="s">
        <v>678</v>
      </c>
      <c r="D27" s="308"/>
      <c r="E27" s="308"/>
      <c r="F27" s="310">
        <v>2000</v>
      </c>
      <c r="G27" s="308">
        <v>479</v>
      </c>
      <c r="H27" s="308">
        <v>2</v>
      </c>
      <c r="I27" s="308">
        <f t="shared" si="3"/>
        <v>479</v>
      </c>
      <c r="J27" s="308">
        <f>+H27*I27</f>
        <v>958</v>
      </c>
      <c r="K27" s="313">
        <f t="shared" si="2"/>
        <v>791.7355371900827</v>
      </c>
    </row>
    <row r="28" spans="1:11" ht="12.75">
      <c r="A28" s="316"/>
      <c r="B28" s="316"/>
      <c r="C28" s="316"/>
      <c r="D28" s="316"/>
      <c r="E28" s="316"/>
      <c r="F28" s="318"/>
      <c r="G28" s="316"/>
      <c r="H28" s="316"/>
      <c r="I28" s="316"/>
      <c r="J28" s="316"/>
      <c r="K28" s="319"/>
    </row>
    <row r="29" spans="1:11" ht="12.75">
      <c r="A29" s="308" t="s">
        <v>680</v>
      </c>
      <c r="B29" s="308" t="s">
        <v>683</v>
      </c>
      <c r="C29" s="308" t="s">
        <v>682</v>
      </c>
      <c r="D29" s="308" t="s">
        <v>681</v>
      </c>
      <c r="E29" s="308">
        <v>1160</v>
      </c>
      <c r="F29" s="310">
        <v>600</v>
      </c>
      <c r="G29" s="308">
        <v>2400</v>
      </c>
      <c r="H29" s="308">
        <v>0</v>
      </c>
      <c r="I29" s="308">
        <f>+E29+G29</f>
        <v>3560</v>
      </c>
      <c r="J29" s="308">
        <f>+H29*I29</f>
        <v>0</v>
      </c>
      <c r="K29" s="313">
        <f t="shared" si="2"/>
        <v>0</v>
      </c>
    </row>
    <row r="30" spans="1:11" ht="12.75">
      <c r="A30" s="308"/>
      <c r="B30" s="308" t="s">
        <v>683</v>
      </c>
      <c r="C30" s="308" t="s">
        <v>682</v>
      </c>
      <c r="D30" s="308" t="s">
        <v>685</v>
      </c>
      <c r="E30" s="308">
        <v>1680</v>
      </c>
      <c r="F30" s="310">
        <v>600</v>
      </c>
      <c r="G30" s="308">
        <v>2400</v>
      </c>
      <c r="H30" s="308">
        <v>0</v>
      </c>
      <c r="I30" s="308">
        <f>+E30+G30</f>
        <v>4080</v>
      </c>
      <c r="J30" s="308">
        <f>+H30*I30</f>
        <v>0</v>
      </c>
      <c r="K30" s="313">
        <f t="shared" si="2"/>
        <v>0</v>
      </c>
    </row>
    <row r="31" spans="1:11" ht="12.75">
      <c r="A31" s="308" t="s">
        <v>694</v>
      </c>
      <c r="B31" s="308" t="s">
        <v>693</v>
      </c>
      <c r="C31" s="308" t="s">
        <v>689</v>
      </c>
      <c r="D31" s="308"/>
      <c r="E31" s="308"/>
      <c r="F31" s="310">
        <v>4100</v>
      </c>
      <c r="G31" s="308"/>
      <c r="H31" s="308">
        <v>1</v>
      </c>
      <c r="I31" s="308">
        <v>4775</v>
      </c>
      <c r="J31" s="308">
        <f>+H31*I31</f>
        <v>4775</v>
      </c>
      <c r="K31" s="313">
        <f t="shared" si="2"/>
        <v>3946.280991735537</v>
      </c>
    </row>
    <row r="32" spans="1:11" ht="12.75">
      <c r="A32" s="320" t="s">
        <v>700</v>
      </c>
      <c r="B32" s="321"/>
      <c r="C32" s="321"/>
      <c r="D32" s="321"/>
      <c r="E32" s="321"/>
      <c r="F32" s="322"/>
      <c r="G32" s="321"/>
      <c r="H32" s="321"/>
      <c r="I32" s="321"/>
      <c r="J32" s="308"/>
      <c r="K32" s="313"/>
    </row>
    <row r="33" spans="1:11" ht="12.75">
      <c r="A33" s="308" t="s">
        <v>699</v>
      </c>
      <c r="B33" s="308"/>
      <c r="C33" s="308"/>
      <c r="D33" s="308"/>
      <c r="E33" s="308"/>
      <c r="F33" s="308"/>
      <c r="G33" s="308"/>
      <c r="H33" s="308">
        <v>17</v>
      </c>
      <c r="I33" s="308">
        <v>55</v>
      </c>
      <c r="J33" s="308">
        <f>+H33*I33</f>
        <v>935</v>
      </c>
      <c r="K33" s="313">
        <f>+J33/1.21</f>
        <v>772.7272727272727</v>
      </c>
    </row>
    <row r="34" spans="1:12" ht="12.75">
      <c r="A34" s="315"/>
      <c r="K34" s="314">
        <f>SUM(K6:K33)</f>
        <v>28047.93388429752</v>
      </c>
      <c r="L34" t="s">
        <v>692</v>
      </c>
    </row>
    <row r="35" spans="10:11" ht="12.75">
      <c r="J35" t="s">
        <v>705</v>
      </c>
      <c r="K35">
        <f>+K34*1.15</f>
        <v>32255.123966942145</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tomashromadko</cp:lastModifiedBy>
  <cp:lastPrinted>2022-11-09T16:17:47Z</cp:lastPrinted>
  <dcterms:created xsi:type="dcterms:W3CDTF">2015-06-09T11:12:40Z</dcterms:created>
  <dcterms:modified xsi:type="dcterms:W3CDTF">2022-11-14T07:44:03Z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