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890" tabRatio="721" activeTab="1"/>
  </bookViews>
  <sheets>
    <sheet name="OBJEKT_CELKOVÉ NÁKLADY" sheetId="1" r:id="rId1"/>
    <sheet name="ESA_ESI" sheetId="2" r:id="rId2"/>
  </sheets>
  <definedNames>
    <definedName name="_2d">#REF!</definedName>
    <definedName name="_xlnm._FilterDatabase" localSheetId="0" hidden="1">'OBJEKT_CELKOVÉ NÁKLADY'!$I$2:$P$435</definedName>
    <definedName name="cc">'OBJEKT_CELKOVÉ NÁKLADY'!#REF!</definedName>
    <definedName name="ccc">'OBJEKT_CELKOVÉ NÁKLADY'!#REF!</definedName>
    <definedName name="cccc">'OBJEKT_CELKOVÉ NÁKLADY'!#REF!</definedName>
    <definedName name="ccccc">'OBJEKT_CELKOVÉ NÁKLADY'!#REF!</definedName>
    <definedName name="cccccc">'OBJEKT_CELKOVÉ NÁKLADY'!#REF!</definedName>
    <definedName name="ccccccc">'OBJEKT_CELKOVÉ NÁKLADY'!#REF!</definedName>
    <definedName name="ccccccccc">'OBJEKT_CELKOVÉ NÁKLADY'!#REF!</definedName>
    <definedName name="cccccccccc">'OBJEKT_CELKOVÉ NÁKLADY'!#REF!</definedName>
    <definedName name="ccccccccccc">'OBJEKT_CELKOVÉ NÁKLADY'!#REF!</definedName>
    <definedName name="ce">'OBJEKT_CELKOVÉ NÁKLADY'!#REF!</definedName>
    <definedName name="cen">'OBJEKT_CELKOVÉ NÁKLADY'!#REF!</definedName>
    <definedName name="cena">'OBJEKT_CELKOVÉ NÁKLADY'!#REF!</definedName>
    <definedName name="Cena_">'OBJEKT_CELKOVÉ NÁKLADY'!#REF!</definedName>
    <definedName name="Cena_1">'OBJEKT_CELKOVÉ NÁKLADY'!$H$132</definedName>
    <definedName name="Cena_2a">'OBJEKT_CELKOVÉ NÁKLADY'!$H$155</definedName>
    <definedName name="Cena_2b">'OBJEKT_CELKOVÉ NÁKLADY'!$H$175</definedName>
    <definedName name="Cena_2c">'OBJEKT_CELKOVÉ NÁKLADY'!$H$217</definedName>
    <definedName name="Cena_2d">'OBJEKT_CELKOVÉ NÁKLADY'!$H$232</definedName>
    <definedName name="Cena_2e">'OBJEKT_CELKOVÉ NÁKLADY'!$H$251</definedName>
    <definedName name="Cena_2f">'OBJEKT_CELKOVÉ NÁKLADY'!$H$313</definedName>
    <definedName name="Cena_2g">'OBJEKT_CELKOVÉ NÁKLADY'!$H$320</definedName>
    <definedName name="Cena_2h">'OBJEKT_CELKOVÉ NÁKLADY'!$H$326</definedName>
    <definedName name="Cena_2i">'OBJEKT_CELKOVÉ NÁKLADY'!$H$352</definedName>
    <definedName name="Cena_2j">'OBJEKT_CELKOVÉ NÁKLADY'!$H$378</definedName>
    <definedName name="Cena_2k">'OBJEKT_CELKOVÉ NÁKLADY'!$H$391</definedName>
    <definedName name="Cena_2l">'OBJEKT_CELKOVÉ NÁKLADY'!$H$408</definedName>
    <definedName name="Cena_2m">'OBJEKT_CELKOVÉ NÁKLADY'!$H$431</definedName>
    <definedName name="Cena_3a">'OBJEKT_CELKOVÉ NÁKLADY'!$H$320</definedName>
    <definedName name="Cena_3b">'OBJEKT_CELKOVÉ NÁKLADY'!$H$326</definedName>
    <definedName name="Cena_3c">'OBJEKT_CELKOVÉ NÁKLADY'!$H$352</definedName>
    <definedName name="Cena_3d">'OBJEKT_CELKOVÉ NÁKLADY'!$H$378</definedName>
    <definedName name="Cena_3e">'OBJEKT_CELKOVÉ NÁKLADY'!#REF!</definedName>
    <definedName name="Cena_3f">'OBJEKT_CELKOVÉ NÁKLADY'!#REF!</definedName>
    <definedName name="Cena_3g">'OBJEKT_CELKOVÉ NÁKLADY'!#REF!</definedName>
    <definedName name="Cena_4a">'OBJEKT_CELKOVÉ NÁKLADY'!#REF!</definedName>
    <definedName name="Cena_4b">'OBJEKT_CELKOVÉ NÁKLADY'!#REF!</definedName>
    <definedName name="Cena_4c">'OBJEKT_CELKOVÉ NÁKLADY'!#REF!</definedName>
    <definedName name="Cena_4d">'OBJEKT_CELKOVÉ NÁKLADY'!#REF!</definedName>
    <definedName name="Cena_4e">'OBJEKT_CELKOVÉ NÁKLADY'!#REF!</definedName>
    <definedName name="Cena_5">'OBJEKT_CELKOVÉ NÁKLADY'!#REF!</definedName>
    <definedName name="Cena_6">'OBJEKT_CELKOVÉ NÁKLADY'!#REF!</definedName>
    <definedName name="Cena_dokoncovaci_prace">'OBJEKT_CELKOVÉ NÁKLADY'!$H$435</definedName>
    <definedName name="Cena_doplňky_dodavatele">'OBJEKT_CELKOVÉ NÁKLADY'!#REF!</definedName>
    <definedName name="Dokoncovaci_prace">'OBJEKT_CELKOVÉ NÁKLADY'!$D$433</definedName>
    <definedName name="Doplňky_dodavatele">'OBJEKT_CELKOVÉ NÁKLADY'!#REF!</definedName>
    <definedName name="kap">'OBJEKT_CELKOVÉ NÁKLADY'!#REF!</definedName>
    <definedName name="kap5">'OBJEKT_CELKOVÉ NÁKLADY'!#REF!</definedName>
    <definedName name="kap6">'OBJEKT_CELKOVÉ NÁKLADY'!#REF!</definedName>
    <definedName name="kapc">'OBJEKT_CELKOVÉ NÁKLADY'!#REF!</definedName>
    <definedName name="kapd">'OBJEKT_CELKOVÉ NÁKLADY'!#REF!</definedName>
    <definedName name="kape">'OBJEKT_CELKOVÉ NÁKLADY'!#REF!</definedName>
    <definedName name="Kapitola_1">'OBJEKT_CELKOVÉ NÁKLADY'!$D$114</definedName>
    <definedName name="Kapitola_2">'OBJEKT_CELKOVÉ NÁKLADY'!$D$134</definedName>
    <definedName name="Kapitola_2a">'OBJEKT_CELKOVÉ NÁKLADY'!$D$135</definedName>
    <definedName name="Kapitola_2b">'OBJEKT_CELKOVÉ NÁKLADY'!$D$157</definedName>
    <definedName name="Kapitola_2c">'OBJEKT_CELKOVÉ NÁKLADY'!$D$177</definedName>
    <definedName name="Kapitola_2d">'OBJEKT_CELKOVÉ NÁKLADY'!$D$219</definedName>
    <definedName name="Kapitola_2e">'OBJEKT_CELKOVÉ NÁKLADY'!$D$234</definedName>
    <definedName name="Kapitola_2f">'OBJEKT_CELKOVÉ NÁKLADY'!$D$281</definedName>
    <definedName name="Kapitola_2g">'OBJEKT_CELKOVÉ NÁKLADY'!$D$315</definedName>
    <definedName name="Kapitola_2h">'OBJEKT_CELKOVÉ NÁKLADY'!$D$322</definedName>
    <definedName name="Kapitola_2i">'OBJEKT_CELKOVÉ NÁKLADY'!$D$328</definedName>
    <definedName name="Kapitola_2j">'OBJEKT_CELKOVÉ NÁKLADY'!$D$354</definedName>
    <definedName name="Kapitola_2k">'OBJEKT_CELKOVÉ NÁKLADY'!$D$380</definedName>
    <definedName name="Kapitola_2l">'OBJEKT_CELKOVÉ NÁKLADY'!$D$393</definedName>
    <definedName name="Kapitola_2m">'OBJEKT_CELKOVÉ NÁKLADY'!$D$410</definedName>
    <definedName name="Kapitola_3">'OBJEKT_CELKOVÉ NÁKLADY'!#REF!</definedName>
    <definedName name="Kapitola_4">'OBJEKT_CELKOVÉ NÁKLADY'!#REF!</definedName>
    <definedName name="Kapitola_4a">'OBJEKT_CELKOVÉ NÁKLADY'!#REF!</definedName>
    <definedName name="Kapitola_4b">'OBJEKT_CELKOVÉ NÁKLADY'!#REF!</definedName>
    <definedName name="Kapitola_4c">'OBJEKT_CELKOVÉ NÁKLADY'!#REF!</definedName>
    <definedName name="Kapitola_4d">'OBJEKT_CELKOVÉ NÁKLADY'!#REF!</definedName>
    <definedName name="Kapitola_4e">'OBJEKT_CELKOVÉ NÁKLADY'!#REF!</definedName>
    <definedName name="Kapitola_5">'OBJEKT_CELKOVÉ NÁKLADY'!#REF!</definedName>
    <definedName name="Kapitola_6">'OBJEKT_CELKOVÉ NÁKLADY'!#REF!</definedName>
    <definedName name="_xlnm.Print_Titles" localSheetId="0">'OBJEKT_CELKOVÉ NÁKLADY'!$2:$2</definedName>
    <definedName name="_xlnm.Print_Area" localSheetId="1">'ESA_ESI'!$A$1:$V$104</definedName>
    <definedName name="_xlnm.Print_Area" localSheetId="0">'OBJEKT_CELKOVÉ NÁKLADY'!$A$1:$X$435</definedName>
    <definedName name="rek3">'OBJEKT_CELKOVÉ NÁKLADY'!#REF!</definedName>
    <definedName name="rek4">'OBJEKT_CELKOVÉ NÁKLADY'!#REF!</definedName>
    <definedName name="rek4b">'OBJEKT_CELKOVÉ NÁKLADY'!#REF!</definedName>
    <definedName name="rek4c">'OBJEKT_CELKOVÉ NÁKLADY'!#REF!</definedName>
    <definedName name="rek4d">'OBJEKT_CELKOVÉ NÁKLADY'!#REF!</definedName>
    <definedName name="reka">'OBJEKT_CELKOVÉ NÁKLADY'!#REF!</definedName>
    <definedName name="Rekapitulace_1">'OBJEKT_CELKOVÉ NÁKLADY'!$D$14</definedName>
    <definedName name="Rekapitulace_2">'OBJEKT_CELKOVÉ NÁKLADY'!$D$15</definedName>
    <definedName name="Rekapitulace_2a">'OBJEKT_CELKOVÉ NÁKLADY'!$D$16</definedName>
    <definedName name="Rekapitulace_2b">'OBJEKT_CELKOVÉ NÁKLADY'!$D$17</definedName>
    <definedName name="Rekapitulace_2c">'OBJEKT_CELKOVÉ NÁKLADY'!$D$18</definedName>
    <definedName name="Rekapitulace_2d">'OBJEKT_CELKOVÉ NÁKLADY'!$D$19</definedName>
    <definedName name="Rekapitulace_2e">'OBJEKT_CELKOVÉ NÁKLADY'!$D$20</definedName>
    <definedName name="Rekapitulace_2f">'OBJEKT_CELKOVÉ NÁKLADY'!$D$22</definedName>
    <definedName name="Rekapitulace_2g">'OBJEKT_CELKOVÉ NÁKLADY'!$D$23</definedName>
    <definedName name="Rekapitulace_2h">'OBJEKT_CELKOVÉ NÁKLADY'!$D$24</definedName>
    <definedName name="Rekapitulace_2i">'OBJEKT_CELKOVÉ NÁKLADY'!$D$25</definedName>
    <definedName name="Rekapitulace_2j">'OBJEKT_CELKOVÉ NÁKLADY'!$D$26</definedName>
    <definedName name="Rekapitulace_2k">'OBJEKT_CELKOVÉ NÁKLADY'!$D$27</definedName>
    <definedName name="Rekapitulace_2l">'OBJEKT_CELKOVÉ NÁKLADY'!$D$28</definedName>
    <definedName name="Rekapitulace_2m">'OBJEKT_CELKOVÉ NÁKLADY'!$D$29</definedName>
    <definedName name="Rekapitulace_3">'OBJEKT_CELKOVÉ NÁKLADY'!#REF!</definedName>
    <definedName name="Rekapitulace_3a">'OBJEKT_CELKOVÉ NÁKLADY'!$D$24</definedName>
    <definedName name="Rekapitulace_3b">'OBJEKT_CELKOVÉ NÁKLADY'!#REF!</definedName>
    <definedName name="Rekapitulace_3c">'OBJEKT_CELKOVÉ NÁKLADY'!#REF!</definedName>
    <definedName name="Rekapitulace_3d">'OBJEKT_CELKOVÉ NÁKLADY'!#REF!</definedName>
    <definedName name="Rekapitulace_3e">'OBJEKT_CELKOVÉ NÁKLADY'!#REF!</definedName>
    <definedName name="Rekapitulace_3f">'OBJEKT_CELKOVÉ NÁKLADY'!#REF!</definedName>
    <definedName name="Rekapitulace_3g">'OBJEKT_CELKOVÉ NÁKLADY'!#REF!</definedName>
    <definedName name="Rekapitulace_4">'OBJEKT_CELKOVÉ NÁKLADY'!#REF!</definedName>
    <definedName name="Rekapitulace_4a">'OBJEKT_CELKOVÉ NÁKLADY'!#REF!</definedName>
    <definedName name="Rekapitulace_4b">'OBJEKT_CELKOVÉ NÁKLADY'!#REF!</definedName>
    <definedName name="Rekapitulace_4c">'OBJEKT_CELKOVÉ NÁKLADY'!#REF!</definedName>
    <definedName name="Rekapitulace_4d">'OBJEKT_CELKOVÉ NÁKLADY'!#REF!</definedName>
    <definedName name="Rekapitulace_4e">'OBJEKT_CELKOVÉ NÁKLADY'!#REF!</definedName>
    <definedName name="Rekapitulace_5">'OBJEKT_CELKOVÉ NÁKLADY'!#REF!</definedName>
    <definedName name="Rekapitulace_6">'OBJEKT_CELKOVÉ NÁKLADY'!#REF!</definedName>
    <definedName name="Rekapitulace_Dokončovací_práce">'OBJEKT_CELKOVÉ NÁKLADY'!$D$30</definedName>
    <definedName name="Rekapitulace_Doplňky_dodavatele">'OBJEKT_CELKOVÉ NÁKLADY'!#REF!</definedName>
    <definedName name="rekb">'OBJEKT_CELKOVÉ NÁKLADY'!#REF!</definedName>
    <definedName name="rekc">'OBJEKT_CELKOVÉ NÁKLADY'!#REF!</definedName>
    <definedName name="rekd">'OBJEKT_CELKOVÉ NÁKLADY'!#REF!</definedName>
    <definedName name="reke">'OBJEKT_CELKOVÉ NÁKLADY'!#REF!</definedName>
    <definedName name="rekf">'OBJEKT_CELKOVÉ NÁKLADY'!#REF!</definedName>
    <definedName name="rekg">'OBJEKT_CELKOVÉ NÁKLADY'!#REF!</definedName>
  </definedNames>
  <calcPr fullCalcOnLoad="1"/>
</workbook>
</file>

<file path=xl/sharedStrings.xml><?xml version="1.0" encoding="utf-8"?>
<sst xmlns="http://schemas.openxmlformats.org/spreadsheetml/2006/main" count="1696" uniqueCount="817">
  <si>
    <t>Vodní zápachová uzávěrka DN32 pro odvod kondenzátu (BOJLER) s přídavnou mechanickou zápachovou uzávěrkou, podomítkové provedení. (ref. v. Alcaplast AKS7 )</t>
  </si>
  <si>
    <t>Keramický obklad mramorový/béžový, dle specifikace v PD, vč. prořezu 10%</t>
  </si>
  <si>
    <t>34535435P</t>
  </si>
  <si>
    <t>tlačítkový ovladač pro ovl.ventilátoru</t>
  </si>
  <si>
    <t>210010313RT3P</t>
  </si>
  <si>
    <t>sporáková přípojka do krabice KO</t>
  </si>
  <si>
    <t>650061611R00</t>
  </si>
  <si>
    <t>Jistič 2/1-B, 10kA před spínací hodiny</t>
  </si>
  <si>
    <t>spínač č.1 – jednopólový (strojek,kryt)</t>
  </si>
  <si>
    <t>210201517R00P</t>
  </si>
  <si>
    <t>210201511R00P</t>
  </si>
  <si>
    <t>210201518R00P</t>
  </si>
  <si>
    <t>210111011RT6P</t>
  </si>
  <si>
    <t>650051311RT3P</t>
  </si>
  <si>
    <t>650051341RT3P</t>
  </si>
  <si>
    <t>34536700P</t>
  </si>
  <si>
    <t>34536705P</t>
  </si>
  <si>
    <t>34536710P</t>
  </si>
  <si>
    <t>220711301R00P</t>
  </si>
  <si>
    <t>210220321RT1</t>
  </si>
  <si>
    <t>210010320R00</t>
  </si>
  <si>
    <t>210010322RT1</t>
  </si>
  <si>
    <t>650020161R00</t>
  </si>
  <si>
    <t>210800118RT1</t>
  </si>
  <si>
    <t>210800106RT1</t>
  </si>
  <si>
    <t>210800105RT1</t>
  </si>
  <si>
    <t>210800023RT4</t>
  </si>
  <si>
    <t>rámeček 3x, trojrámeček</t>
  </si>
  <si>
    <t>rozvodnice RB – montáž</t>
  </si>
  <si>
    <t>Jistič 6/1-B, 10kA</t>
  </si>
  <si>
    <t>stykač S20-20</t>
  </si>
  <si>
    <t>telefonní zásuvka (zásuvka,maska,kryt) Cat5e</t>
  </si>
  <si>
    <t>komunikační zásuvka PC (zásuvka,maska,kryt)</t>
  </si>
  <si>
    <t>koaxiální kabel vč.prořezu</t>
  </si>
  <si>
    <t>kabel UTP Cat5e vč.prořezu</t>
  </si>
  <si>
    <t>krabice 125x125 – na povrch</t>
  </si>
  <si>
    <t>SYKFY 5x2x0,5</t>
  </si>
  <si>
    <t>210800546RT1</t>
  </si>
  <si>
    <t>650031621R00</t>
  </si>
  <si>
    <t>210292041R00</t>
  </si>
  <si>
    <t>650123647R00</t>
  </si>
  <si>
    <t>974051215R00</t>
  </si>
  <si>
    <t>974052515R00</t>
  </si>
  <si>
    <t>971033161R00</t>
  </si>
  <si>
    <t>974054208R00</t>
  </si>
  <si>
    <t xml:space="preserve">frézování drážky na stěnách </t>
  </si>
  <si>
    <t>frézování drážky na stropech</t>
  </si>
  <si>
    <t>357161603P</t>
  </si>
  <si>
    <t>358891503P</t>
  </si>
  <si>
    <t>358890405P</t>
  </si>
  <si>
    <t>210131001R00P</t>
  </si>
  <si>
    <t>345604010001P</t>
  </si>
  <si>
    <t>371202013P</t>
  </si>
  <si>
    <t>371202024P</t>
  </si>
  <si>
    <t>210010301RT1P</t>
  </si>
  <si>
    <t>210010313RT1P</t>
  </si>
  <si>
    <t>210800549RT1P</t>
  </si>
  <si>
    <t>210010003RU3</t>
  </si>
  <si>
    <t>210010329RT2P</t>
  </si>
  <si>
    <t>210860201R00</t>
  </si>
  <si>
    <t>a) všechny potřebné pomocné dodávky a práce pro upevnění, zabezpečení funkčnosti a finální pohledové úpravy, které jsou běžně součástí dodávaného výrobku nebo systému, nebo jsou předepsány projektem a nejsou výslovně uvedeny jako samostatné položky (vč. těsnícího a upevňovacího materiálu, svářecího materiálu, plynu a kyslíku, přírub, šroubů, těsnění, šroubení, podložek, kotev atd.)</t>
  </si>
  <si>
    <t>b) náklady na prořez, odpad, zlomky, hmotnostní rozdíly atd., pokud nejsou uvedeny ve výpočtu nosných dodávek samostatně</t>
  </si>
  <si>
    <t>c) náklady vyvolané nepříznivými klimatickými vlivy během výstavby, na preventivní nebo dodatečná opatření a práce s nimi spojené, náklady na čerpání a odvod podzemních a srážkových vod.</t>
  </si>
  <si>
    <t>d) náklady na zakrývání (nebo jiné zajištění) konstrukcí a prací ostatních zhotovitelů nebo stávajících konstrukcí před znečištěním a poškozením a odstranění zakrytí, pokud není uvedeno samostatně</t>
  </si>
  <si>
    <t xml:space="preserve">f) v případě stavební činnosti vytvářející staveništní odpad jsou náklady na staveništní manipulaci se sutí vč.případného pytlování, její odvoz a ekologické uložení na skládku zahrnuty do ceny díla (pokud nejsou tyto činnosti uvedeny v samostatných položkách), stavební odpad se stává majetkem dodavatele stavebních prací a tento zabezpečuje jeho odstranění </t>
  </si>
  <si>
    <t>g) náklady na postavení, udržování, použití a odstranění pomocného pracovního lešení (pokud je technol.potřeba) do v. 1,9 m a zatížení do 150 kg/m2; v případě prací na fasádě objektu náklady na postavení, udržování, použití a odstranění fasádního lešení vč.nezbytných ochranných opatření daných předpisy BOZP</t>
  </si>
  <si>
    <t>h) náklady  na  skladování (vč. skládkovného), dovozné, balné, cla, zpětné  odevzdání obalů</t>
  </si>
  <si>
    <t>i) náklady na stavební přípomoce (pokud nejsou samostatně vykázány)</t>
  </si>
  <si>
    <t>j) náklady na opatření k zajištění BOZP (např. zřízení pomocných ochranných zábradlí u volných okrajů, používání úvazů, ochranných pomůcek, aj.)</t>
  </si>
  <si>
    <t>k) náklady na technologické přestávky</t>
  </si>
  <si>
    <t>l) náklady na splnění všech vyjádření a rozhodnutí dotčených orgánů státní správy (DOSS) a správců sítí a podmínek obsažených ve stevebním povolení, ohlášení</t>
  </si>
  <si>
    <t>m) náklady na zkoušky a atesty během výstavby, vč.nákladů na zkušební provoz a nákladů na média s tím spojená, revize (pokud nejsou samostatně uvedena), zaškolení údržby, provádění údržby a opravy během výstavby; náklady na předepsaná označení zařízení, štítky, schemata aj.</t>
  </si>
  <si>
    <t>n)  náklady na požadované záruky, pojištění a ostatní finanční náklady</t>
  </si>
  <si>
    <t>o) náklady na likvidaci škod, havárií , včetně vyrovnání se sousedy v případě škod vzniklých při provádění</t>
  </si>
  <si>
    <t xml:space="preserve"> - Ostatní materiály, práce, dodávky, služby, ztížené výrobní podmínky související s umístěním stavby a výkony neuvedené v položkových soupisech jednotlivých částí zakázky, potřebné k provedení, dokončení a předání bezvadného díla (jedná se o veškeré samostatně nerozpočtované práce, materiály, výkony, služby a konstrukce), vyplývající ze smlouvy o dílo, dotačního titulu, projektové dokumentace nebo správních rozhodnutí a dokladů shromážděných v dokladové části projektu či jinde. Součástí této položky je i doprava pracovníků na staveniště. Dále sem patří veškeré samostatně nerozpočtované práce a dodávky (dodavatel je povinen provést kontrolu a případnou opravu soupisu prací v rámci podání nabídky na stavební práce). 
- Kompletační činnost a koordinace s případnými subdodavateli</t>
  </si>
  <si>
    <r>
      <rPr>
        <i/>
        <sz val="10"/>
        <rFont val="Arial CE"/>
        <family val="2"/>
      </rPr>
      <t>Cenová soustava:</t>
    </r>
    <r>
      <rPr>
        <sz val="14"/>
        <rFont val="Arial CE"/>
        <family val="2"/>
      </rPr>
      <t xml:space="preserve"> RTS - cenová hladina jaro 2022</t>
    </r>
  </si>
  <si>
    <t>počet mj</t>
  </si>
  <si>
    <t>cena mj</t>
  </si>
  <si>
    <t>cena celkem</t>
  </si>
  <si>
    <t>Rekapitulace</t>
  </si>
  <si>
    <t>Celkem základní cena</t>
  </si>
  <si>
    <t>DPH stavby</t>
  </si>
  <si>
    <t>Celkem vč. DPH</t>
  </si>
  <si>
    <t>Poznámky pro uchazeče</t>
  </si>
  <si>
    <t>Jednotkové ceny by měly obsahovat:</t>
  </si>
  <si>
    <t xml:space="preserve">e) náklady na protihluková a protiprašná zařízení </t>
  </si>
  <si>
    <t>U systémových řešení předpokládáme, že se dodavatel seznámí s typovou dokumentací výrobce a ve své ceně zohlední jak úplné řešení standardní, tak i všechny případné modifikace v průměrné ceně za běžnou jednotku, pokud nejsou v této specifikaci výslovně samostatně uvedeny.</t>
  </si>
  <si>
    <t>Některé výměry v této specifikaci jsou orientační (převážně jsou uvažovány na horní hranici možných dodávek a prací); je žádoucí, aby fakturovány byly pouze skutečně provedené práce.</t>
  </si>
  <si>
    <t>Nedílnou součástí tohoto výkazu je i projektová dokumentace. Pokud dle názoru dodavatele některé práce a dodávky ve výkazu výměr chybí, doplní je do oddílu "Doplňky dodavatele".</t>
  </si>
  <si>
    <t>kpl</t>
  </si>
  <si>
    <t>m2</t>
  </si>
  <si>
    <t>Celkem</t>
  </si>
  <si>
    <t>ks</t>
  </si>
  <si>
    <t>m</t>
  </si>
  <si>
    <t>t</t>
  </si>
  <si>
    <t>počet</t>
  </si>
  <si>
    <t>celkem</t>
  </si>
  <si>
    <t>HZS</t>
  </si>
  <si>
    <t>%</t>
  </si>
  <si>
    <t xml:space="preserve">Uvedené referenční výrobky v PD a ve výkazu výměr nejsou pro zhotovitele závazné. Projektantem jsou uvedeny jako příklad vhodného produktu. Zhotovitel je oprávněn zvolit jiné, srovnatelné materiály, jež zabezpečí shodnou anebo vyšší technickou hodnotu díla. Nabízené materiály předloží objednateli ke schválení a dosažení požadovaných parametrů doloží hodnověrnými dokumenty (atesty, výsledky zkoušek, doklad o shodě apod.). Kde zhotovitel nabídne srovnatelný výrobek nebo materiál na místo označeného nebo specifikovaného, který byl přijat k začlenění do díla, pak se má zato, že sazby a ceny ve výkazu výměr zahrnují veškeré povinnosti a náklady spojené se začleněním srovnatelného výrobku do díla.  </t>
  </si>
  <si>
    <t>2</t>
  </si>
  <si>
    <t>D</t>
  </si>
  <si>
    <t>M</t>
  </si>
  <si>
    <t xml:space="preserve">Jednotková cena by měla vždy, pokud není samostatně uvedeno, obsahovat dodávku a montáž příslušné položky. Technické parametry materiálů a výrobků jsou uvedeny v PD. Zhotovitel při nacenění jednotlivých položek musí zohlednit tyto technické parametry.  </t>
  </si>
  <si>
    <t>kg</t>
  </si>
  <si>
    <t>Pokud není samostaně uvedeno v jedn. cenách kalkulována svislá doprava vč. naložení na dopravní prostředek</t>
  </si>
  <si>
    <t>Pokud nejsou výrobky vyspecifikovány ve výkazu, platí specifikace uvedená v projektové dokumentaci</t>
  </si>
  <si>
    <t>Dokončovací práce</t>
  </si>
  <si>
    <t>M+D</t>
  </si>
  <si>
    <t>2a</t>
  </si>
  <si>
    <t>2b</t>
  </si>
  <si>
    <t>2c</t>
  </si>
  <si>
    <t>2d</t>
  </si>
  <si>
    <t>2e</t>
  </si>
  <si>
    <t>2f</t>
  </si>
  <si>
    <t>2g</t>
  </si>
  <si>
    <t>Konstrukce zámečnické</t>
  </si>
  <si>
    <t xml:space="preserve">Přesun hmot, doprava, režie - stanovený procentní sazbou </t>
  </si>
  <si>
    <t>Soupis stavebních prací, výkonů a služeb</t>
  </si>
  <si>
    <t>Pokud nejsou výměry uvedeny ve vzorci u jednotlivých buněk, byly změřeny z CAD výkresu</t>
  </si>
  <si>
    <t>Přesun hmot, doprava, režie - stanovený procentní sazbou</t>
  </si>
  <si>
    <t>2h</t>
  </si>
  <si>
    <t>Stěny a příčky</t>
  </si>
  <si>
    <t>Stropy a stropní konstrukce</t>
  </si>
  <si>
    <t>Není-li uvedeno jinak jsou položky uvažovány společně dodávka i montáž. Položky označené kódem jsou detailně popsány v tabulce skladeb konstrukcí a povrchových úprav.</t>
  </si>
  <si>
    <t>Montáž revizních dvířek kovových</t>
  </si>
  <si>
    <t>Zdravotechnika - vnitřní kanalizace</t>
  </si>
  <si>
    <t>Zdravotechnika - vnitřní vodovod</t>
  </si>
  <si>
    <t xml:space="preserve">Zdravotechnika - zařizovací předměty, armatury </t>
  </si>
  <si>
    <t>Vzduchotechnika</t>
  </si>
  <si>
    <t>Konstrukce truhlářské</t>
  </si>
  <si>
    <t>Podlahy z dlaždic</t>
  </si>
  <si>
    <t>Není-li uvedeno jinak jsou položky uvažovány společně dodávka i montáž. Součástí nacenění budou všechny systémové doplňky, kotevní a upevňovací prostředky, úpravy spár a rohů a jiný pomocný materiál specifikovaný v technických a montážních předpisech vybraného výrobce. Položky označené kódem jsou detailně popsány v tabulce skladeb konstrukcí a povrchových úprav.</t>
  </si>
  <si>
    <t>Provedení hydroizolační stěrky na svislé ploše za studena vč. systémových prvků</t>
  </si>
  <si>
    <t>KDI1-M</t>
  </si>
  <si>
    <t>KDI1-D</t>
  </si>
  <si>
    <t>Těsnící stěrka, předpokládaná spotřeba 1,2 kg/m2</t>
  </si>
  <si>
    <t>Těsnící stěrka, předpokládaná spotřeba 1,5 kg/m2</t>
  </si>
  <si>
    <t>Není-li uvedeno jinak jsou položky uvažovány společně dodávka i montáž. Součástí nacenění budou všechny systémové doplňky, kotevní a upevňovací prostředky, tmelení spár a rohů a jiný pomocný materiál specifikovaný v technických a montážních předpisech vybraného výrobce. V ceně bude zakalkulováno pomocné lešení. Položky označené kódem jsou detailně popsány v tabulce skladeb konstrukcí a povrchových úprav.</t>
  </si>
  <si>
    <t>Není-li uvedeno jinak jsou položky uvažovány společně dodávka i montáž. Součástí nacenění budou všechny systémové doplňky, kotevní a upevňovací prostředky, tmelení spár a rohů a jiný pomocný materiál specifikovaný v technických a montážních předpisech vybraného výrobce. Položky označené kódem jsou detailně popsány v tabulce skladeb konstrukcí a povrchových úprav.</t>
  </si>
  <si>
    <t>Zkouška těsnosti potrubí kanalizace vodou do DN 125</t>
  </si>
  <si>
    <t>SOK1-D</t>
  </si>
  <si>
    <t>SOK1-M</t>
  </si>
  <si>
    <t>Následující kompletizované výrobky jsou detailně popsány v technických parametrech výplní otvorů (popř. ve výpisu prvků PSV), dle kterých je nutno provést ocenění. Není-li uvedeno jinak jsou položky uvažovány společně dodávka i montáž. Součástí nacenění budou všechny systémové doplňky, kotevní a upevňovací prostředky a jiný pomocný materiál uvedený v technických parametrech výplní otvorů, souboru stavebních detailů a v technických a montážních předpisech vybraného výrobce.</t>
  </si>
  <si>
    <t>D4-D</t>
  </si>
  <si>
    <t>D1-D</t>
  </si>
  <si>
    <t>Demontáže vnitřních vodovodních rozvodů jsou popsány v kapitole Přípravné, bourací a sanační práce. Není-li uvedeno jinak jsou položky uvažovány společně dodávka i montáž. Součástí nacenění budou všechny systémové doplňky, kotevní, upevňovací prostředky a jiný pomocný materiál specifikovaný v technických a montážních předpisech vybraného výrobce.</t>
  </si>
  <si>
    <t>Těsná zpětná klapka, ref. výrobek RSKW 125</t>
  </si>
  <si>
    <t>Závěrečné omytí schodišť a vstupních prostor</t>
  </si>
  <si>
    <t>Vnitrostaveništní doprava suti a vybouraných hmot</t>
  </si>
  <si>
    <t>Vyvěšení dřevěných dveřních křídel pl. do 2 m2</t>
  </si>
  <si>
    <t>2i</t>
  </si>
  <si>
    <t>2j</t>
  </si>
  <si>
    <t>2k</t>
  </si>
  <si>
    <t>2l</t>
  </si>
  <si>
    <t>2m</t>
  </si>
  <si>
    <t>D+M</t>
  </si>
  <si>
    <t>Uzávěrka zápachová pračková podomítková společná s připojovacím kolenem na vodovod, nerez krytka</t>
  </si>
  <si>
    <t>Materiál + montáž silnoproudých rozvodů celkem</t>
  </si>
  <si>
    <t>Rozvodnice RB celkem</t>
  </si>
  <si>
    <t>Různé</t>
  </si>
  <si>
    <t>Kapitola silnoproudých elektroinstalačních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</si>
  <si>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Kapitola slaboproudých elektroinstalačních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</si>
  <si>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soubor</t>
  </si>
  <si>
    <r>
      <rPr>
        <i/>
        <sz val="10"/>
        <rFont val="Arial CE"/>
        <family val="2"/>
      </rPr>
      <t>Datum/revize:</t>
    </r>
    <r>
      <rPr>
        <sz val="14"/>
        <rFont val="Arial CE"/>
        <family val="2"/>
      </rPr>
      <t xml:space="preserve"> 07/2022/R1</t>
    </r>
  </si>
  <si>
    <t>Demontáže VZT zařízení jsou popsány v kapitole Přípravné, bourací a sanační práce. 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 Položky vzduchotechnických výrobků jsou detailně popsány v projektové dokumentaci.</t>
  </si>
  <si>
    <t>Demontáže zařizovacích předmětů jsou popsány v kapitole Přípravné, bourací a sanační práce. Není-li uvedeno jinak jsou položky uvažovány jako dodávka. Montáž a kompletace jsou uvedeny jako souborné položky. Součástí nacenění budou všechny systémové doplňky, kotevní, upevňovací prostředky, montážní sady a jiný pomocný materiál specifikovaný v technických a montážních předpisech vybraného výrobce. Položky zařizovacích předmětů jsou detailně popsány v projektové dokumentaci.</t>
  </si>
  <si>
    <t>Ventil rohový G 1/2 bez připojovací hadičky</t>
  </si>
  <si>
    <t>Demontáže vnitřních kanalizačních rozvodů jsou popsány v kapitole Přípravné, bourací a sanační práce. 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t>
  </si>
  <si>
    <t>ELEKTROINSTALACE</t>
  </si>
  <si>
    <t>SILNOPROUD</t>
  </si>
  <si>
    <t>Položka</t>
  </si>
  <si>
    <t>Materiál + montáž</t>
  </si>
  <si>
    <t>materiál</t>
  </si>
  <si>
    <t>montáž</t>
  </si>
  <si>
    <t>jen materiál</t>
  </si>
  <si>
    <t>B - svítidlo stropní  LED,16W, IP20</t>
  </si>
  <si>
    <t>R</t>
  </si>
  <si>
    <t>zásuvka 230V</t>
  </si>
  <si>
    <t>zásuvka 230V  s ochranou před přepětím</t>
  </si>
  <si>
    <t>spínač č. 6 - střídavý</t>
  </si>
  <si>
    <t>rámeček 1x - jednoduchý</t>
  </si>
  <si>
    <t>rámeček 2x, dvojrámeček</t>
  </si>
  <si>
    <t>krabice přístrojová KP</t>
  </si>
  <si>
    <t>hmoždinky vč.vrutu, vrtání</t>
  </si>
  <si>
    <t>CYKY 3Cx2,5</t>
  </si>
  <si>
    <t>CYKY 3Cx1,5</t>
  </si>
  <si>
    <t>vodič CY 4 - zel.žl.</t>
  </si>
  <si>
    <t>přezkoušení vedení</t>
  </si>
  <si>
    <t>práce neoceněné položkami ceníku (drobný pomocný materiál)</t>
  </si>
  <si>
    <t>soub</t>
  </si>
  <si>
    <t>hod</t>
  </si>
  <si>
    <t>revize el.zařízení</t>
  </si>
  <si>
    <t xml:space="preserve">Materiál + montáž silnoproud celkem </t>
  </si>
  <si>
    <t>Rozvodnice RB</t>
  </si>
  <si>
    <t>proudový chránič 25/2/0,03</t>
  </si>
  <si>
    <t>svorkovnice KLM</t>
  </si>
  <si>
    <t>pom.materiál</t>
  </si>
  <si>
    <t>zapojení rozvaděče</t>
  </si>
  <si>
    <t xml:space="preserve">Rozvodnice RB celkem </t>
  </si>
  <si>
    <t>SLABOPROUD</t>
  </si>
  <si>
    <t xml:space="preserve">Materiál + montáž slaboproud celkem </t>
  </si>
  <si>
    <t>Dokumentace skutečného provedení (2 vyhotovení)</t>
  </si>
  <si>
    <t xml:space="preserve">Celkem </t>
  </si>
  <si>
    <t>Celkové rozpočtové náklady elektroinstalace bez DPH</t>
  </si>
  <si>
    <t xml:space="preserve">DPH </t>
  </si>
  <si>
    <t>Cena vč. DPH</t>
  </si>
  <si>
    <t>Poznámky pro zhotovitele</t>
  </si>
  <si>
    <t xml:space="preserve">Uvedené technické parametry jsou pro zhotovitele závazné. Zhotovitel je oprávněn zvolit jiné, srovnatelné materiály, jež zabezpečí shodnou anebo vyšší technickou hodnotu díla. Nabízené materiály předloží objednateli ke schválení a dosažení požadovaných parametrů doloží hodnověrnými dokumenty (atesty, výsledky zkoušek, doklad o shodě apod.). Kde zhotovitel nabídne srovnatelný výrobek nebo materiál na místo označeného nebo specifikovaného, který byl přijat k začlenění do díla, pak se má zato, že sazby a ceny ve výkazu výměr zahrnují veškeré povinnosti a náklady spojené se začleněním srovnatelného výrobku do díla.  </t>
  </si>
  <si>
    <t xml:space="preserve"> - náklady na opatření k zajištění bezpečnosti práce</t>
  </si>
  <si>
    <t xml:space="preserve"> -  všechny potřebné pomocné dodávky a práce pro upevnění, zabezpečení funkčnosti a finální pohledové 
úpravy, které jsou běžně součástí dodávaného výrobku nebo systému  nebo jsou předepsány projektem a 
nejsou výslovně uvedeny jako samostatné položky ;</t>
  </si>
  <si>
    <t xml:space="preserve"> - náklady na protihluková a protiprašná zařízení </t>
  </si>
  <si>
    <t xml:space="preserve"> - náklady na požadované záruky, pojištění a ostatní finanční náklady.</t>
  </si>
  <si>
    <t xml:space="preserve"> - náklady na prořez a ztratné zabudovaného materiálu</t>
  </si>
  <si>
    <t>Materiál + montáž slaboproud celkem</t>
  </si>
  <si>
    <t>Stavební úpravy bytové jednotky</t>
  </si>
  <si>
    <t>Izolace návleková  tl. stěny 20 mm vnitřní průměr 25 mm</t>
  </si>
  <si>
    <t>D2-D</t>
  </si>
  <si>
    <t>Řezání dlaždic keramických pro soklíky</t>
  </si>
  <si>
    <t>Izolace návleková  tl. stěny 13 mm vnitřní průměr 25 mm</t>
  </si>
  <si>
    <t>Izolace návleková  tl. stěny 13 mm vnitřní průměr 32 mm</t>
  </si>
  <si>
    <t>SK1-D</t>
  </si>
  <si>
    <t>SOK2-D</t>
  </si>
  <si>
    <t>SOK2-M</t>
  </si>
  <si>
    <t>Svislá doprava suti a vybour. hmot za 2.NP nošením</t>
  </si>
  <si>
    <t>o</t>
  </si>
  <si>
    <t>Opravy</t>
  </si>
  <si>
    <t>Investice</t>
  </si>
  <si>
    <t xml:space="preserve">opravy </t>
  </si>
  <si>
    <t xml:space="preserve">investice </t>
  </si>
  <si>
    <t xml:space="preserve">kontrola </t>
  </si>
  <si>
    <t>i</t>
  </si>
  <si>
    <t>Cena bez DPH</t>
  </si>
  <si>
    <t>m3</t>
  </si>
  <si>
    <t>Keramická dlažba dle specifikace v PD vč. prořezu 10%, včetně lepícího tmelu</t>
  </si>
  <si>
    <t>KD(I)1-M</t>
  </si>
  <si>
    <t>2n</t>
  </si>
  <si>
    <t>Přípravné a bourací práce</t>
  </si>
  <si>
    <t>Keramická dlažba dle specifikace v PD (sokl - proveden pásky 80 mm z řezané dlažby, 2ks z dlaždice)</t>
  </si>
  <si>
    <t xml:space="preserve">Tmelení akrylátovým tmelem </t>
  </si>
  <si>
    <t>Úpravy povrchů vnitřní (stěny, stropy)</t>
  </si>
  <si>
    <t>Hydroizolační koutová těsnící páska vč. rohových tvarovek (vororovné plochy)</t>
  </si>
  <si>
    <t>DU1</t>
  </si>
  <si>
    <t>DU2</t>
  </si>
  <si>
    <t>DU3-M</t>
  </si>
  <si>
    <t>DU3a-D</t>
  </si>
  <si>
    <t>DU3b-D</t>
  </si>
  <si>
    <t>DU3-D</t>
  </si>
  <si>
    <t xml:space="preserve"> </t>
  </si>
  <si>
    <t>V2</t>
  </si>
  <si>
    <t>DU4</t>
  </si>
  <si>
    <t>D3-D</t>
  </si>
  <si>
    <t xml:space="preserve">Montáž dřevěné soklové podlahové lišty </t>
  </si>
  <si>
    <t>Penetrace pro sádrovláknité desky</t>
  </si>
  <si>
    <t>V1</t>
  </si>
  <si>
    <t>SK2</t>
  </si>
  <si>
    <t>Plynovod</t>
  </si>
  <si>
    <t>Demontáže vnitřních plynovodních rozvodů jsou popsány v kapitole Přípravné, bourací a sanační práce. Není-li uvedeno jinak jsou položky uvažovány jako dodávka. Montáž a kompletace jsou uvedeny jako souborné položky. Součástí nacenění montáže budou všechny systémové doplňky, kotevní, upevňovací prostředky a jiný pomocný materiál specifikovaný v technických a montážních předpisech vybraného výrobce a předpisu TPG 70401.</t>
  </si>
  <si>
    <t>Kohout kulový 1/2" plyn</t>
  </si>
  <si>
    <t>Zkouška plynu dle ČSN, zkouška pevnosti a těsnosti</t>
  </si>
  <si>
    <t>Provedení revize plynovodu</t>
  </si>
  <si>
    <t>Nespalná podlaha u plynového topidla, ocelový plech 400/1000mm, tl.2,0mm, nátěr tmavě šedá, zkosené rohy</t>
  </si>
  <si>
    <t xml:space="preserve">Elektroinstalace - silnoproud </t>
  </si>
  <si>
    <t>Elektroinstalace - slaboproud</t>
  </si>
  <si>
    <t>Parotěsná zábrana tl. min. 0,22mm, propustnost páry – difuzní tloušťka Sd 50m</t>
  </si>
  <si>
    <t>autonomní detektor kouře</t>
  </si>
  <si>
    <t>svorka Bernard vč.Cu pásku</t>
  </si>
  <si>
    <t>krabicová rozvodka KR 68</t>
  </si>
  <si>
    <t>ukončení vodiče</t>
  </si>
  <si>
    <t>frézování drážky na stěnách a stropech</t>
  </si>
  <si>
    <t>sekání průrazů</t>
  </si>
  <si>
    <t>sekání (vrtání) otvoru pro krabice</t>
  </si>
  <si>
    <t>demontážní práce</t>
  </si>
  <si>
    <t>proudový chránič 16/1N/0,03</t>
  </si>
  <si>
    <t>Jistič 10/1-B, 10kA</t>
  </si>
  <si>
    <t>Jistič 16/1-B, 10kA</t>
  </si>
  <si>
    <t>televizní zásuvka STA</t>
  </si>
  <si>
    <t>krabice přístrojová</t>
  </si>
  <si>
    <t>trubka PVC 2323</t>
  </si>
  <si>
    <t>Podlahy povlakové</t>
  </si>
  <si>
    <t>Montáž kapotáže sdk pro vzt potrubí u digestoře a plynu</t>
  </si>
  <si>
    <t>DU3</t>
  </si>
  <si>
    <t>Úprava polohy uzavíracích kohoutu  studené vody a příprava pro osazení vodoměru</t>
  </si>
  <si>
    <t>Vestavná el. trouba ref. vyýrobek MORA VT 433 BX</t>
  </si>
  <si>
    <t>Dveře dřevěné vnitřní 1křídlové 70x197 cm dle specifikace v PD</t>
  </si>
  <si>
    <t>Dveře dřevěné vnitřní 1křídlové 80x197 cm dle specifikace v PD</t>
  </si>
  <si>
    <t>D1-4-M</t>
  </si>
  <si>
    <t>W01-D</t>
  </si>
  <si>
    <t>Okno dřevěné 120/70cm, specifikace dle PD</t>
  </si>
  <si>
    <t>PV1</t>
  </si>
  <si>
    <t>KD(I)1-D</t>
  </si>
  <si>
    <t>Obklad soklíků keram.rovných, tmel,výška 80 mm do lepidla + spár, vč. úpravy horní hrany v návaznosti na omítku</t>
  </si>
  <si>
    <t>Podlaha z PVC -dekor dřevo, specifikace dle PD, vč. prořezu 10%</t>
  </si>
  <si>
    <t>Vyrovnávací podsyp z porobetonového granulátu tl.10mm, dle specifikace v PD</t>
  </si>
  <si>
    <t>Stavební úpravy bytové jednotky 8, Lidická 406/41, Praha 5 - Košíře</t>
  </si>
  <si>
    <t>CYKY-J 5x6</t>
  </si>
  <si>
    <t>CYKYLo 3Cx1,5</t>
  </si>
  <si>
    <t>el.žebřík 700W</t>
  </si>
  <si>
    <t>zapojení digestoře, ventilátoru</t>
  </si>
  <si>
    <t>rozvaděč provedení na povrch, IP30,18 modulů</t>
  </si>
  <si>
    <t>krabice s víčkem ( STA)</t>
  </si>
  <si>
    <t>Stavební úpravy bytové jednotky č.8, Lidická 406/41, 150 00 Praha 5</t>
  </si>
  <si>
    <t>RD1</t>
  </si>
  <si>
    <t>DS1</t>
  </si>
  <si>
    <t>Úprava sádrokartonové příčky pro osazení umyvadla</t>
  </si>
  <si>
    <t>416091082R00</t>
  </si>
  <si>
    <t>713111121RT1</t>
  </si>
  <si>
    <t>713111221RK4</t>
  </si>
  <si>
    <t>Montáž parozábrany s přelepením spojů</t>
  </si>
  <si>
    <t>713111271RS2</t>
  </si>
  <si>
    <t>Utěsnění styku s jinou konstr. oboustrannou páskou, vč. dodávky pásky (po obvodu místností)</t>
  </si>
  <si>
    <t xml:space="preserve">Galerka s LED osvětlením, 60x60x14cm,dub platin ref. výrobek AQUALINE - ZOJA/KERAMIA FRESH </t>
  </si>
  <si>
    <t>Vedlejší rozpočtové náklady</t>
  </si>
  <si>
    <t>M.J.</t>
  </si>
  <si>
    <t>Množství</t>
  </si>
  <si>
    <t>Jedn. cena</t>
  </si>
  <si>
    <t>Cena celkem</t>
  </si>
  <si>
    <t>VRN1</t>
  </si>
  <si>
    <t xml:space="preserve">Průzkumné, geodetické a projektové práce </t>
  </si>
  <si>
    <t xml:space="preserve">Vypracování spárořezů a jiné dílenské dokumentace </t>
  </si>
  <si>
    <t>VRN2</t>
  </si>
  <si>
    <t xml:space="preserve">Příprava staveniště </t>
  </si>
  <si>
    <t>Do této položky patří náklady spojené:</t>
  </si>
  <si>
    <t xml:space="preserve"> - s účastí zhotovitele na předání a převzetí staveniště
 - náklady na přezkoumání podkladů o stavu sítí vedených v řešeném objektu
 - náklady na vyhotovení návrhu dočasného dopravního značení a zvláštního užívání komunikace, vč. projednání, odsouhlasení </t>
  </si>
  <si>
    <t>VRN3</t>
  </si>
  <si>
    <t xml:space="preserve">Zařízení staveniště </t>
  </si>
  <si>
    <t>V rámci nákladů na zařízení staveniště ocení zhotovitel veškeré náklady spojené s vybudováním, provozem a odstraněním zařízení staveniště, a to ve fázích:</t>
  </si>
  <si>
    <t xml:space="preserve"> - Vybudování zařízení staveniště - náklady na zřízení přípojek energií, vybudování případných měřících odběrných míst a vlastní vybudování objektů zařízení staveniště vč. soc. zázemí
 - Provoz zařízení staveniště -  náklady na energie spotřebované dodava</t>
  </si>
  <si>
    <t>VRN4</t>
  </si>
  <si>
    <t>Inženýrská činnost</t>
  </si>
  <si>
    <t xml:space="preserve">Náklady spojené s dohledem v prostorách a místech, ve kterých bylo prováděno svařování a řezání - dohled bude prováděn minimálně po dobu 8 hodin od ukončení prací (ČSN 050601) </t>
  </si>
  <si>
    <t>Náklady na předání dokladové části  o vlastnostech materiálů, o provedených zkouškách a měření, o výchozích kontrolách provozuschopnosti,  o zaškolení obsluhy, revizní zprávy s výsledkem-bez závad, doklady o oprávnění k provádění prací, doklady o likvidac</t>
  </si>
  <si>
    <t>Náklady na součinnost při kolaudaci v rámci plánované etapizace výstavby</t>
  </si>
  <si>
    <t>VRN5</t>
  </si>
  <si>
    <t>Finanční náklady</t>
  </si>
  <si>
    <t>Náklady spojené s povinným pojištěním dodavatele dle požadavku objednatele, náklady na požadovanou bankovní záruku za splnění závazku provést dílo-stavbu, je-li tato bankovní záruka pořadována v zadavacích či jiných podmínkách a dokumentech, jež jsou souč</t>
  </si>
  <si>
    <t>VRN6</t>
  </si>
  <si>
    <t>Provozní vlivy</t>
  </si>
  <si>
    <t>Nákladů na ztížené podmínky provádění tam, kde jsou stavební práce zcela nebo zčásti omezovány provozem jiných osob. Jedná se zejména o zvýšené náklady související s omezením provozem v objektu, náklady v důsledku nezbytného respektování stávající dopravy</t>
  </si>
  <si>
    <t>VRN7</t>
  </si>
  <si>
    <t>Ostatní náklady</t>
  </si>
  <si>
    <t>Ostatní materiály, práce, dodávky, služby a výkony jinde neuvedené</t>
  </si>
  <si>
    <t xml:space="preserve">Zabezpečení stávajících zařízení a vybavení   </t>
  </si>
  <si>
    <t xml:space="preserve"> - Zabezpečení stávajících zařízení a vybavení proti mechanickému poškození, prachu,zatečení (při opravách a rekonstrukcích) - položka zahrnuje každodenní zabezpečování objektu (po dobu trvání stavby) proti zatečení zakrýváním úřinným způsobem, pokud vliv</t>
  </si>
  <si>
    <t xml:space="preserve">kód cenové soustavy RTS </t>
  </si>
  <si>
    <t>kód dle PD</t>
  </si>
  <si>
    <t>968061125R00</t>
  </si>
  <si>
    <t>968072455R00</t>
  </si>
  <si>
    <t>Vybourání kovových dveřních zárubní pl. do 2 m2</t>
  </si>
  <si>
    <t>978013111R00_P</t>
  </si>
  <si>
    <t>Odstranění nesoudržných štukových omítek (odhad do 5% z plochy stěn)</t>
  </si>
  <si>
    <t>784403801R00_P</t>
  </si>
  <si>
    <t>Omytí omítek (plíseň) dezinfekcí, (odhad 30% z plochy stěn a stropů)</t>
  </si>
  <si>
    <t>962032231R00</t>
  </si>
  <si>
    <t>Bourání zděných příček z plných cihel tl. 70 mm vč. omítky</t>
  </si>
  <si>
    <t>m.č. 108.1 =(1,17*2,065-0,9*2,02)*0,07</t>
  </si>
  <si>
    <t>971033241R00</t>
  </si>
  <si>
    <t>Vybourání otv. zeď cihel. 0,0225 m2, tl. 30cm, MVC (VZT)</t>
  </si>
  <si>
    <t>979082111R00_P</t>
  </si>
  <si>
    <t>979011211R00</t>
  </si>
  <si>
    <t>979081111RT2</t>
  </si>
  <si>
    <t>Odvoz suti a vybour. hmot na skládku do 1 km kontejnerem 4t</t>
  </si>
  <si>
    <t>979081121RT2</t>
  </si>
  <si>
    <t>Příplatek k odvozu za každý další 1 km (uvažováno 9km, zohledněno v ceně)</t>
  </si>
  <si>
    <t>979990107R00_P</t>
  </si>
  <si>
    <t>Poplatek za skládku suti - směs betonu,cihel</t>
  </si>
  <si>
    <t>979990161R00</t>
  </si>
  <si>
    <t>Poplatek za skládku suti - dřevo</t>
  </si>
  <si>
    <t>979094211R00</t>
  </si>
  <si>
    <t>Nakládání nebo překládání vybourané suti</t>
  </si>
  <si>
    <t>311231114RT2_P</t>
  </si>
  <si>
    <t xml:space="preserve">Dozdívky - zdivo nosné cihelné z CP 29 P15 na MVC 2,5 zdivem, tl.30 cm, vč. vysekání kapes pro zavázání  </t>
  </si>
  <si>
    <t>342012121R00</t>
  </si>
  <si>
    <t>Příčka z SDK s jednoduchým opláštěním (RB), tl. 12,5mm,  tl.75mm, vč. osazení akustické izolace 50mm (15kg/m3), dodávky nosných profilů CW 50, tmelení, dle specifikace v PD</t>
  </si>
  <si>
    <t>342012221R00</t>
  </si>
  <si>
    <t>DS2</t>
  </si>
  <si>
    <t>Příčka z SDK s jednoduchým opláštěním (RB), tl. 12,5mm,  tl.100mm, vč. osazení akustické izolace 50mm (15kg/m3), dodávky nosných profilů CW 75, tmelení, dle specifikace v PD</t>
  </si>
  <si>
    <t>59591060_P</t>
  </si>
  <si>
    <t>Příplatek za desku RBI u DS1, DS2</t>
  </si>
  <si>
    <t>Příplatek za rozteč 417 mm (keramický obklad) u profilů R-CW 50</t>
  </si>
  <si>
    <t>(1,98+0,91)*3,6-0,8*2,05</t>
  </si>
  <si>
    <t>342091142R00</t>
  </si>
  <si>
    <t>Příplatek za rozteč 417 mm (keramický obklad) u profilů R-CW 75</t>
  </si>
  <si>
    <t>(2,54+1,55)*3,6</t>
  </si>
  <si>
    <t>342090211R00</t>
  </si>
  <si>
    <t>Otvor v SDK, pro dveře 1kř do 50 kg, UA 50, 1xopl. , (pro vytvoření stavebního otvoru pro jednokřídlé dveře šířky do 1000 mm)</t>
  </si>
  <si>
    <t>342263310R00</t>
  </si>
  <si>
    <t>(3,38+0,91)*3,2-0,8*2,05</t>
  </si>
  <si>
    <t>(2,44+1,06)*3,25</t>
  </si>
  <si>
    <t>346244313R00_P</t>
  </si>
  <si>
    <t>Podezdívka sprchové vaničky (90/90cm), horní hrana vaničky max. výšky do 150 mm, podezdívka cca v.90mm,  tl. 100 mm vč.provedení revizního otvoru pro obklad na silikon (návaznosti na spádové možnosti kanalizace)</t>
  </si>
  <si>
    <t>342255020RT2</t>
  </si>
  <si>
    <t>Přizdívka z tvárnic porobet. tl. 50 mm hlad. tvárnice 600 x 250 x 50 mm, P2 - 500, vč. spražení se zděnou stěnou (navrtané trny nebo pásovina do každé třetí spáry po cca 1,0 m</t>
  </si>
  <si>
    <t>998011003R00_P</t>
  </si>
  <si>
    <t>416021123R00_P</t>
  </si>
  <si>
    <t>SK1</t>
  </si>
  <si>
    <t xml:space="preserve">Montáž SDK podhledu do vlhkého prostředí jednoduše opláštěného na samonosný rošt, vč dodávky nosných profilů a zatmelení návazností na zděné stěny (akrylátovým tmelem), dle PD </t>
  </si>
  <si>
    <t>416021121R00_P</t>
  </si>
  <si>
    <t>Izolace tepelné stropů rovných, spodem, drátem, 1 vrstva - materiál ve specifikaci</t>
  </si>
  <si>
    <t>346971152R00_P</t>
  </si>
  <si>
    <t>Minerální izolace (21kg/m3) podhledu tl. 40mm</t>
  </si>
  <si>
    <t>SK1-M</t>
  </si>
  <si>
    <t>713111261RK2</t>
  </si>
  <si>
    <t>Utěsnění prostupu parozábranou pevnou páskou vč. dodávky pásky  podél ventilátoru)</t>
  </si>
  <si>
    <t>342264101R00_P</t>
  </si>
  <si>
    <t>Montáž mřížek</t>
  </si>
  <si>
    <t>342264514R00_P</t>
  </si>
  <si>
    <t xml:space="preserve">Dvířka do SDK podhledu 400/400mm, s tlačným zámkem  včetně kotvícího materiálu </t>
  </si>
  <si>
    <t>28651078_P</t>
  </si>
  <si>
    <t xml:space="preserve">Větrací plastová mřížka do SDK podhledu, průměr 100 mm (větrání plynu)  včetně kotvícího materiálu </t>
  </si>
  <si>
    <t>612472181R00</t>
  </si>
  <si>
    <t>612481211RT2</t>
  </si>
  <si>
    <t>611481211RT2</t>
  </si>
  <si>
    <t xml:space="preserve">Montáž výztužné sítě (perlinky) do stěrky - stropy, včetně výztužné sítě, stěrkového tmelu </t>
  </si>
  <si>
    <t>612474410R00</t>
  </si>
  <si>
    <t xml:space="preserve">Omítka stěn vnitřní tenkovrstvá vápenná - jemný štuk, Položka obsahuje nátěr podkladu spojovacím můstkem a štukovou omítku tl. 5 mm. Ruční provedení. </t>
  </si>
  <si>
    <t>781101210RT4</t>
  </si>
  <si>
    <t>Penetrace podkladu pod obklady, položka obsahuje provedení penetračního nátěru včetně dodávky materiálu.</t>
  </si>
  <si>
    <t>Obkládání stěn vnitř.keram. do tmele do 200x400 mm vč. spárování dle PD</t>
  </si>
  <si>
    <t>597813751_P</t>
  </si>
  <si>
    <t>Keramický obklad béžový, dle specifikace v PD, vč. prořezu 10%</t>
  </si>
  <si>
    <t>781497121R00_P</t>
  </si>
  <si>
    <t>Ukončovací lišta hliníková elox, profilu L10mm, L=2,5m (rohy,přizdívky,výklenek, ukončení obkladu)</t>
  </si>
  <si>
    <t>763761201R00</t>
  </si>
  <si>
    <t>28349012_P</t>
  </si>
  <si>
    <t>Revizní dvířka nerezové s tlačným zámkem 200/300mm (u uzávěru vody a vodměru), včetně kotvícího materiálu</t>
  </si>
  <si>
    <t>781101141R00</t>
  </si>
  <si>
    <t>585811012_P</t>
  </si>
  <si>
    <t>771101147R00</t>
  </si>
  <si>
    <t>Bandáž koutů - provedení</t>
  </si>
  <si>
    <t>Hydroizolační koutová těsnící páska vč. rohových tvarovek (svislé stěny), dle specifikace v PD</t>
  </si>
  <si>
    <t>784011221R00_P</t>
  </si>
  <si>
    <t>Zakrytí předmětů včetně dodávky fólie tl.0,04mm (dveře, rozvaděče, prvky elektroinstalce)</t>
  </si>
  <si>
    <t>784111101R00</t>
  </si>
  <si>
    <t xml:space="preserve">Penetrace podkladu nátěrem </t>
  </si>
  <si>
    <t>784115212R00</t>
  </si>
  <si>
    <t xml:space="preserve">Malba standard, bílá, bez penetr.,min. 2x stěny a stropy </t>
  </si>
  <si>
    <t>Malba stěny, ostění</t>
  </si>
  <si>
    <t>Malba nadpraží a stropu</t>
  </si>
  <si>
    <t>23152419_P</t>
  </si>
  <si>
    <t>podesta = 1,66*2,65-1*2,07</t>
  </si>
  <si>
    <t>725119305R00</t>
  </si>
  <si>
    <t>Montáž klozetových mís kombinovaných</t>
  </si>
  <si>
    <t>725013163R00_P</t>
  </si>
  <si>
    <t>725219401R00</t>
  </si>
  <si>
    <t>Montáž umyvadel na šrouby do zdiva</t>
  </si>
  <si>
    <t>64214361_P1</t>
  </si>
  <si>
    <t>Umyvadlo keramické 600/490/195 mm připevněné na stěnu šrouby vč. pilety clickclack- specifikace dle PD (ref. výrobek Lyra Plus)</t>
  </si>
  <si>
    <t>725539103R00</t>
  </si>
  <si>
    <t>Montáž elektr.ohřívačů, zásovníkových do 125 l</t>
  </si>
  <si>
    <t>48438695_P</t>
  </si>
  <si>
    <t>725869101R00</t>
  </si>
  <si>
    <t>Montáž uzávěrek zápach. umyvadlových D32</t>
  </si>
  <si>
    <t>551620220_P</t>
  </si>
  <si>
    <t xml:space="preserve">Umyvadlový sifon s vtokem vč. napojovací manžety, chrom </t>
  </si>
  <si>
    <t>725869204R00</t>
  </si>
  <si>
    <t>Montáž uzávěrek zápach.dřez.jednoduchý D 40</t>
  </si>
  <si>
    <t>551620240_P</t>
  </si>
  <si>
    <t>Dřezový sifon plastový</t>
  </si>
  <si>
    <t>725829301R00</t>
  </si>
  <si>
    <t>Montáž baterie umyv.a dřezové stojánkové</t>
  </si>
  <si>
    <t>55145001_P</t>
  </si>
  <si>
    <t>55145015_P</t>
  </si>
  <si>
    <t>725249103R00</t>
  </si>
  <si>
    <t>Montáž sprchových koutů (vanička vč. napojení na sifon, zástěna)</t>
  </si>
  <si>
    <t>Vanička sprchová obdelníková 900x900/30 mm litý mramor - specifikace dle PD</t>
  </si>
  <si>
    <t>Vaničkový sifon, průměr otvoru 90 mm, DN50, krytka leštěná nerez průměr 120 mm, otvor sifonu 90 mm, průměr odpadu 50 mm, průtok 39 l/min, shora čistitelný odpadní systém</t>
  </si>
  <si>
    <t>55484451.A_P</t>
  </si>
  <si>
    <t>725849201R00</t>
  </si>
  <si>
    <t>Montáž baterií sprchových, pevná výška</t>
  </si>
  <si>
    <t>725849200R00</t>
  </si>
  <si>
    <t>Montáž držáku sprchy a hlavice</t>
  </si>
  <si>
    <t>55145009_P1</t>
  </si>
  <si>
    <t>Baterie sprchová nástěnná páková včetně sprchového setu (kulatá ruční sprcha) a příslušenství - specifikace dle PD</t>
  </si>
  <si>
    <t>725319101R00</t>
  </si>
  <si>
    <t>Montáž dřezů jednoduchých</t>
  </si>
  <si>
    <t>55231355_P</t>
  </si>
  <si>
    <t>725869203R00_P</t>
  </si>
  <si>
    <t xml:space="preserve">Montáž uzávěrek zápach. </t>
  </si>
  <si>
    <t>725860184RT1_P</t>
  </si>
  <si>
    <t>725810402R00</t>
  </si>
  <si>
    <t>Baterie umyvadlová stoján. Ruční páková, bez otvír.odpadu standard vč.flexo hadiček, výška min. 14cm (ref. výrobek Rav Slezák COLORADO)</t>
  </si>
  <si>
    <t>Baterie dřezová stojánková páková směšovací, kov, nerez,  vč.flexo hadiček - specifikace dle PD  (ref. výrobek Ikea Yttran)</t>
  </si>
  <si>
    <t>64293836_P</t>
  </si>
  <si>
    <t>551620213_P</t>
  </si>
  <si>
    <t>Dřez jednoduchý 530x560mm, nerez, v dřeze otvor pro baterii, se zápachovou uzávěrkou, specifikace dle PD (ref. výrobek Ikea Langudden)</t>
  </si>
  <si>
    <t>Sprchové dveře posuvné, skládané, v lesklém chromu a výplní z čirého bezpečnostního skla tl. 6,0mm, rozměr 890-920x1950, (ref. vyrobek Siko Sat SK)</t>
  </si>
  <si>
    <t>974031167R00_P</t>
  </si>
  <si>
    <t>Vybourání drážky pro VZT - prodloužení komínového průduchu, 15/30cm</t>
  </si>
  <si>
    <t>Zazdívka rýh průřezu 150x300 mm a vytvoření průduchu 150x150 s vnitřní omítkou</t>
  </si>
  <si>
    <t>346234311R00</t>
  </si>
  <si>
    <t>Úhelník rovnoramenný L jakost S235   50x 50x 4 mm</t>
  </si>
  <si>
    <t>Rozdělení podle investic a oprav (bez VRN a DPH)</t>
  </si>
  <si>
    <t>Rozdělení VRN podle investic a oprav</t>
  </si>
  <si>
    <t>Rozdělení podle investic a oprav vč. VRN bez DPH</t>
  </si>
  <si>
    <t>Vedlejší rozpočtové náklady (VRN)</t>
  </si>
  <si>
    <t>204.1 = ((1,17*2,55)-(2,07*1))*0,3*1,1</t>
  </si>
  <si>
    <t>311231114RT3_P</t>
  </si>
  <si>
    <t>Dozdívky - zdivo nosné cihelné z CP 29 P15 na MVC 2,5 zdivem, tl.45 cm, vč. vysekání kapes pro zavázání  (prostupy)</t>
  </si>
  <si>
    <t>342091141R00</t>
  </si>
  <si>
    <t>Příplatek k podhledu sádrokart. za plochu do 5 m2</t>
  </si>
  <si>
    <t>Příplatek k podhledu sádrokart. za plochu do 10m2</t>
  </si>
  <si>
    <t>784496500R00</t>
  </si>
  <si>
    <t>Penetrace podkladu (před vystěrkováním)</t>
  </si>
  <si>
    <t>Vápenocementová omítka, u nových vyzdívek z PC vč. společ. prostor, vysprávky vnitřních omítek stěn a stropů (zapravení stávajících poruch)  odhad 5% z celkové plochy omítek. Úprava drážek š.150mm pro instalace.</t>
  </si>
  <si>
    <t>108.3 =  20,78*3,7-2*1,35*2,3-0,8*2,05-0,6*(1,95+1,9)+24,1</t>
  </si>
  <si>
    <t>108.1 =  17,88*3,7-0,9*2,05-1,335*2,32-0,9*2,05</t>
  </si>
  <si>
    <t>Montáž výztužné sítě (perlinky) do stěrky - vnit.stěny, ostění, včetně výztužné sítě, stěrkového tmelu</t>
  </si>
  <si>
    <t>108.1 =  1,17*2,55-1*2,07</t>
  </si>
  <si>
    <t>opravy odhad 6%</t>
  </si>
  <si>
    <t>601011132R00_P</t>
  </si>
  <si>
    <t xml:space="preserve">Omítka stropů, napraží vnitřní tenkovrstvá vápenná - štuk, ruční provedení, položka obsahuje nátěr podkladu spojovacím můstkem, </t>
  </si>
  <si>
    <t>612473186R00</t>
  </si>
  <si>
    <t>Příplatek za zabudované rohovníky, stěny</t>
  </si>
  <si>
    <t>781475116RU1_P</t>
  </si>
  <si>
    <t>108.2 = 2,4*(1,21+1,885+0,91+0,98+0,1+0,3)</t>
  </si>
  <si>
    <t>108.3 = 0,6*(1,9+1,95)+0,05*1,9+0,1</t>
  </si>
  <si>
    <t>108.2 = 2,4*(2,44+3,45)</t>
  </si>
  <si>
    <t>108.2 délka = 2*2,4+1,7+1,2</t>
  </si>
  <si>
    <t>108.4 délka = 2*0,6+1,9</t>
  </si>
  <si>
    <t>Potrubí HT připojovací D 50 x 1,8 mm, vč. nezbytných kolen, odboček, redukcí a montáže</t>
  </si>
  <si>
    <t>721176103R00_P</t>
  </si>
  <si>
    <t>721176105R00_P</t>
  </si>
  <si>
    <t>Potrubí HT připojovací D 110 x 2,7 mm, vč. nezbytných kolen, odboček, redukcí a montáže</t>
  </si>
  <si>
    <t>721194109R00_P</t>
  </si>
  <si>
    <t>721194103R00</t>
  </si>
  <si>
    <t>Vyvedení odpadních výpustek D 32 x 1,8 (pro umyvadlo, pračku)</t>
  </si>
  <si>
    <t>721194104R00</t>
  </si>
  <si>
    <t>Vyvedení odpadních výpustek D 40 x 1,8 (pro dřez)</t>
  </si>
  <si>
    <t>721194105R00</t>
  </si>
  <si>
    <t>Vyvedení odpadních výpustek D 50 x 1,8 (sprcha)</t>
  </si>
  <si>
    <t>721194109R00</t>
  </si>
  <si>
    <t>Vyvedení odpadních výpustek D 110 x 2,7 (wc)</t>
  </si>
  <si>
    <t>725850145R00_P</t>
  </si>
  <si>
    <t>28650014_P</t>
  </si>
  <si>
    <t>721290111R00_P</t>
  </si>
  <si>
    <t>722172332R00</t>
  </si>
  <si>
    <t>Potrubí z PPR, D 25x4,2 mm, PN 20, vč. zed. výpom.</t>
  </si>
  <si>
    <t>722172333R00</t>
  </si>
  <si>
    <t>Potrubí z PPR, D 32x5,4 mm, PN 20, vč. zed. výpom.</t>
  </si>
  <si>
    <t>722181213RT8_P</t>
  </si>
  <si>
    <t>722181213RU1_P</t>
  </si>
  <si>
    <t>722181214RT8_P</t>
  </si>
  <si>
    <t>722190401R00</t>
  </si>
  <si>
    <t>Vyvedení a upevnění výpustek DN 15</t>
  </si>
  <si>
    <t>722202221R00_P</t>
  </si>
  <si>
    <t>Nástěnný komplet (Nástěnka dvojitá závitová plastová) PPR PN 20, 25x4.2, 1/2</t>
  </si>
  <si>
    <t>722202213R00_P</t>
  </si>
  <si>
    <t>Nástěnka závitová plastová PPR PN 20, 25x4.2, 1/2</t>
  </si>
  <si>
    <t>230040004R00</t>
  </si>
  <si>
    <t>Montáž závitových dílů DN 1/2"</t>
  </si>
  <si>
    <t>722202413R00_P</t>
  </si>
  <si>
    <t>Kulový kohout s vypouštěním, chromovaný 1/2" (přívod SV k boileru)</t>
  </si>
  <si>
    <t>722202414R00_P</t>
  </si>
  <si>
    <t>Kulový kohout, chromovaný 1/2" (přívod TV k boileru)</t>
  </si>
  <si>
    <t>722280106R00</t>
  </si>
  <si>
    <t>Tlaková zkouška vodovodního potrubí DN32</t>
  </si>
  <si>
    <t>722290234R00</t>
  </si>
  <si>
    <t xml:space="preserve">Proplach a dezinfekce vodovod.potrubí </t>
  </si>
  <si>
    <t>722260902R00_P</t>
  </si>
  <si>
    <t>Potrubí z měděných plyn.trubek D 18 x 1,0 mm (DN 15), dle ČSN EN 1057, montáž pájením</t>
  </si>
  <si>
    <t>Potrubí z měděných plyn.trubek D 22 x 1,0 mm (DN 20), dle ČSN EN 1057,  montáž pájením</t>
  </si>
  <si>
    <t>230330051R00</t>
  </si>
  <si>
    <t>Přechodový prvek mezikus (ocel/mědˇ)</t>
  </si>
  <si>
    <t>230330073R00_P</t>
  </si>
  <si>
    <t>Chránička potrubí Fe, délka 0,5 m, 31,8 x 2,6  vč. úpravy rozměru dle tl. stěny</t>
  </si>
  <si>
    <t>767885001R00_P</t>
  </si>
  <si>
    <t>Žlab podpůrný pro potrubí D 20 (chránička plynového rozvodu vedeného ve zdivu)</t>
  </si>
  <si>
    <t>723190251R00</t>
  </si>
  <si>
    <t>Vyvedení a upevnění plynovodních výpustek DN 15</t>
  </si>
  <si>
    <t>713552111R00_P</t>
  </si>
  <si>
    <t>723160204R00</t>
  </si>
  <si>
    <t>Úprava přípojovacího potrubí k plynoměru</t>
  </si>
  <si>
    <t>723160334R00</t>
  </si>
  <si>
    <t>Rozpěrka přípojky plynoměru G 1</t>
  </si>
  <si>
    <t>5513101491_P</t>
  </si>
  <si>
    <t>Flexibilní hadice dvouplášťová (hadice nerezová s ocelovým opletením a PVC plášťěm) pro bajonetové připojení (plyn) 1000 mm. ref. výrobek Ivar.RT-E</t>
  </si>
  <si>
    <t>723235511R00</t>
  </si>
  <si>
    <t>Uzávěr plynu 1/2" s bajonetovým připojením (kuchyně), ref. výrobek Ivar.R4-T</t>
  </si>
  <si>
    <t>723235111R00</t>
  </si>
  <si>
    <t>Hadice flexi plyn 1000 mm, nerezová hadice s nerezovými převlečnými maticemi 1/2" na obou stranách s plochým těsněním NBR.</t>
  </si>
  <si>
    <t>484566217_P1</t>
  </si>
  <si>
    <t>Plynové topidlo 4,7kW, specifikace dle PD</t>
  </si>
  <si>
    <t>484566217_P2</t>
  </si>
  <si>
    <t>Plynové topidlo 2,5kW, specifikace dle PD</t>
  </si>
  <si>
    <t>725659102R00</t>
  </si>
  <si>
    <t>Montáž těles otopných plyn., odtah.stěna, 1 otvor</t>
  </si>
  <si>
    <t>13640710_P</t>
  </si>
  <si>
    <t>220261662R00_P</t>
  </si>
  <si>
    <t>Stavební přípomoce (potrubí v přizdívce-drážky vymazány maltou, prostupy-osazení chráničky)</t>
  </si>
  <si>
    <t>723190909R00_P</t>
  </si>
  <si>
    <t>přirážka za podružný materiál</t>
  </si>
  <si>
    <t>podíl přidružených výkonů</t>
  </si>
  <si>
    <t>Různe</t>
  </si>
  <si>
    <t>svítidlo  pod linku bez vypínače LED 10W (LED pásek)</t>
  </si>
  <si>
    <t>A – vývod pro svítidlo  v koupelně</t>
  </si>
  <si>
    <t>poplatek za jistič 25/3-B před elektroměrem</t>
  </si>
  <si>
    <t>úprava rozv.RE vč. dodávky jističe 25/3-B</t>
  </si>
  <si>
    <t>rezerva</t>
  </si>
  <si>
    <t>728114112R00</t>
  </si>
  <si>
    <t>Montáž potrubí plastového kruhového do d 200 mm</t>
  </si>
  <si>
    <t>429851122_P</t>
  </si>
  <si>
    <t>VZT PVC potrubí plastové kruhové hladké potrubí 125mm vč. spojek a závěsů</t>
  </si>
  <si>
    <t>429853211_P</t>
  </si>
  <si>
    <t>PVC oblouk 125/90°</t>
  </si>
  <si>
    <t>429853232_P</t>
  </si>
  <si>
    <t>Redukce 125/120mm</t>
  </si>
  <si>
    <t>429853221_P</t>
  </si>
  <si>
    <t>PVC odbočka T kus 125/125mm</t>
  </si>
  <si>
    <t>429853216_P</t>
  </si>
  <si>
    <t>PVC oblouk 125/45°</t>
  </si>
  <si>
    <t>429853251_P</t>
  </si>
  <si>
    <t>Zpětná klapka 125mm</t>
  </si>
  <si>
    <t>55348430.A_P</t>
  </si>
  <si>
    <t>Nerezový T kus vč. víčka - úprava na sběr kondenzátu  Ø 125mm (digestoř, VZT WC)</t>
  </si>
  <si>
    <t>728611113R00</t>
  </si>
  <si>
    <t>429148043_P</t>
  </si>
  <si>
    <t>Tichý potrubní ventilátor do koupelny do potrubí prům. 125mm, s doběhovým relé, vč. zpětné klapky</t>
  </si>
  <si>
    <t>Rezerva</t>
  </si>
  <si>
    <t>Bojler,vodorovná montáž, levé provedení, elektrický ohřívač vody s keramickým topným tělesem, závěsný,vodorovný, 100l, délka do 1,0m, průměr - výška do 530mm.vč. příslušenství (závěsů, kotvení, aj)</t>
  </si>
  <si>
    <t>713381411R00_P1</t>
  </si>
  <si>
    <t>Návleková izolace potrubí VZT prům. 125mm, minerální tl.40mm</t>
  </si>
  <si>
    <t>728413522R00</t>
  </si>
  <si>
    <t>42972150_P</t>
  </si>
  <si>
    <t>953802114T00_P</t>
  </si>
  <si>
    <t>Montáž komínové vložky ohebné vnitřního průměru 130 mm, výšky do 20 m</t>
  </si>
  <si>
    <t>5534315502_P</t>
  </si>
  <si>
    <t>Nerezová hadice FLEX 2x0,12mm, s vnitřní hladkou stěnou, vhodná do komínvého průduchu, DN120 (VZT koupelna)</t>
  </si>
  <si>
    <t>Nerezová hadice FLEX 2x0,12mm, s vnitřní hladkou stěnou, vhodná do komínvého průduchu, DN120 (digestoř)</t>
  </si>
  <si>
    <t>728212712R00</t>
  </si>
  <si>
    <t>N</t>
  </si>
  <si>
    <t>Montáž střišky nebo hlavice plech.kruh.do d 200 mm</t>
  </si>
  <si>
    <t>42972302_P</t>
  </si>
  <si>
    <t>Prověření polohy příslušného komínového průduchu pro digestoř, VZT</t>
  </si>
  <si>
    <t>P</t>
  </si>
  <si>
    <t xml:space="preserve">Drobný pomocný materiál </t>
  </si>
  <si>
    <t>766664121R00</t>
  </si>
  <si>
    <t>Montáž dveří, oc. zárubeň, kyvné 1kř. š. do 1 m</t>
  </si>
  <si>
    <t>DVEŘE QUATRO PLNÉ, DTD</t>
  </si>
  <si>
    <t xml:space="preserve">wc zámek </t>
  </si>
  <si>
    <t>RAL 9010</t>
  </si>
  <si>
    <t>podrezáni</t>
  </si>
  <si>
    <t>kování</t>
  </si>
  <si>
    <t>611601212_P</t>
  </si>
  <si>
    <t>611601213_P</t>
  </si>
  <si>
    <t>549146430_P</t>
  </si>
  <si>
    <t>Bezpečnostní kování a zámek+klíče, dle specifikace v PD</t>
  </si>
  <si>
    <t>61181321.M_P</t>
  </si>
  <si>
    <t>Dřevěna masivní rámová zárubeň, profil 80/100mm, pro dveře 800/1970mm, vč. Povrchové úpravy a těsnění</t>
  </si>
  <si>
    <t>61165634_P</t>
  </si>
  <si>
    <t>Dveře hladké, exteriérové, s požární, tepelnou a akustickou odolností, 1kř. 80x197cm, včetně zárubně, včetně příslušenství (kukátko, prah..) dle specifikace v PD</t>
  </si>
  <si>
    <t>766621262R00_P</t>
  </si>
  <si>
    <t>W01-M</t>
  </si>
  <si>
    <t>Okna komplet. jednoduchá do rámů pl. do 0,81 m2</t>
  </si>
  <si>
    <t>61110306_P</t>
  </si>
  <si>
    <t>766950010RA0_P</t>
  </si>
  <si>
    <t>Repase vnitřních povrchů špaletových oken dle specifikace v PD, vč. seřízení a vyčištění kování (ve výkazu uvedena plocha okna, v jednotkové ceně za m2 bude kalkulována úprava vnitřního okna s obou stran a vnějšího křídla z vnitřní strany vč. repase parap</t>
  </si>
  <si>
    <t>766812114R00_P</t>
  </si>
  <si>
    <t>Montáž kuchyňské linké linky, vč. úpravy pracovní desky a montáže spotřebičů</t>
  </si>
  <si>
    <t>61581624.A_P</t>
  </si>
  <si>
    <t>54112115_P</t>
  </si>
  <si>
    <t>Deska varná vestavná černá, plynová dle specifikace v PD (např. MORA VDP 645 GB3)</t>
  </si>
  <si>
    <t>53821107_P</t>
  </si>
  <si>
    <t>728414611R00_P</t>
  </si>
  <si>
    <t>615290744_P</t>
  </si>
  <si>
    <t>317941121R00_P</t>
  </si>
  <si>
    <t>Osazení ocelových válcovaných nosníků do č.12</t>
  </si>
  <si>
    <t>13330310_P</t>
  </si>
  <si>
    <t>Z01-D</t>
  </si>
  <si>
    <t>642944121R00_P</t>
  </si>
  <si>
    <t xml:space="preserve">Osazení ocelové zárubně dodatečně do 2,5m2, včetně kotvících prvků, </t>
  </si>
  <si>
    <t>553310372_P</t>
  </si>
  <si>
    <t>Zárubeň ocelová 800/1970mm do hotového otvoru, ústí do 200mm (bez omítek), dle specifikace v PD, včetně těsnění a povrchové úpravy (pro dveře D2)</t>
  </si>
  <si>
    <t>553310371_P</t>
  </si>
  <si>
    <t>Zárubeň ocelová 700/1970mm do hotového otvoru, ústí do 200mm (bez omítek) dle specifikace v PD, včetně těsnění a povrchové úpravy (pro dveře D3)</t>
  </si>
  <si>
    <t>553310301_P</t>
  </si>
  <si>
    <t>Zárubeň ocelová 700/1970mm do hotového otvoru, ústí do 75mm (bez omítek) dle specifikace v PD, včetně těsnění a povrchové úpravy (pro dveře D1)</t>
  </si>
  <si>
    <t>783122710R00</t>
  </si>
  <si>
    <t>Základní nátěr ocelových nosníků</t>
  </si>
  <si>
    <t>3,1*0,208</t>
  </si>
  <si>
    <t>711212201R00</t>
  </si>
  <si>
    <t>771101142R00</t>
  </si>
  <si>
    <t>Provedení hydroizol. stěrky pod dlažby, dvouvrstvé vč. osazení systémových prvků</t>
  </si>
  <si>
    <t>771575109R00</t>
  </si>
  <si>
    <t>Montáž podlah keram., hladké, včetně lepícího tmelu, 30/30cm</t>
  </si>
  <si>
    <t>59764210_P1</t>
  </si>
  <si>
    <t>771579791R00</t>
  </si>
  <si>
    <t>Příplatek za plochu podlah keram. do 5m2 jednotl.</t>
  </si>
  <si>
    <t>771475014RU7</t>
  </si>
  <si>
    <t>771479001R00</t>
  </si>
  <si>
    <t>59764210_P</t>
  </si>
  <si>
    <t>23152401_P</t>
  </si>
  <si>
    <t xml:space="preserve">Tmelení spár silikonem, obklad, sokl - dlažba, obklad vnitřní rohy , tmelení návazností na zárubně, zařizovací předměty </t>
  </si>
  <si>
    <t>776521200RT1</t>
  </si>
  <si>
    <t>Lepení podlahové PVC</t>
  </si>
  <si>
    <t>28410102_P</t>
  </si>
  <si>
    <t>775413040R00</t>
  </si>
  <si>
    <t>61413711_P</t>
  </si>
  <si>
    <t>Podlahová lišta dle specifikace PD, vč. prořezu</t>
  </si>
  <si>
    <t>771111122R00</t>
  </si>
  <si>
    <t>V3 -M</t>
  </si>
  <si>
    <t>Montáž podlahových lišt přechodových</t>
  </si>
  <si>
    <t>5537000213_P</t>
  </si>
  <si>
    <t>V3- D</t>
  </si>
  <si>
    <t>Lišta hliníková přechodová, Podrobně viz tabulka prvků PSV</t>
  </si>
  <si>
    <t>632473104R00</t>
  </si>
  <si>
    <t>Samonivelační stěrka vhodná na sádrovláknité desky, tl.4mm</t>
  </si>
  <si>
    <t>635111022R00_P</t>
  </si>
  <si>
    <t>Úprava výškové polohy odbočky stoupačky DN110, vč. materiálu</t>
  </si>
  <si>
    <t>Vyřezání horní podlahové desky š. 220mm ze sádrovláknitých desek  tl.12,5mm  pro potrubí DN50 od sprchy, drážka v trase potrubí, od osy potrubí 110mm na každou stranu</t>
  </si>
  <si>
    <t>Vyřezání drážky š. 70mm v podlaze 1*12,5mm+polystyrén tl. 90-180mm, pro potrubí DN50 od sprchy, drážka v trase potrubí, od osy potrubí 35mm na každou stranu</t>
  </si>
  <si>
    <t>Vyřezání horní podlahové desky š. 270mm ze sádrovláknitých desek  tl.12,5mm  pro potrubí DN100 od WC, drážka v trase potrubí, od osy potrubí 135mm na každou stranu</t>
  </si>
  <si>
    <t>Vyřezání drážky š. 130mm v podlaze 1*12,5mm+polystyrén tl. 160-180mm, pro potrubí DN100 od WC, drážka v trase potrubí, od osy potrubí 65mm na každou stranu</t>
  </si>
  <si>
    <t>d</t>
  </si>
  <si>
    <t>Polystyrenová deska EPS DEO (200 kPa), tl.40mm</t>
  </si>
  <si>
    <t>Dodávka a montáž podlahy z desek sádrovláknitých tl 2x12,5 mm (např.2E22),  Cena obsahuje slepení spojů, přišroubování k podkladu 15 ks/m2 a přetmelení spár, vč. prořezu 10%, dle specifikace v PD</t>
  </si>
  <si>
    <t>631591211R00</t>
  </si>
  <si>
    <t>28375706_P</t>
  </si>
  <si>
    <t>713121111RT1</t>
  </si>
  <si>
    <t>Izolace tepelná podlah na sucho, jednovrstvá</t>
  </si>
  <si>
    <t>963065512R00_P</t>
  </si>
  <si>
    <t>108.3 =  10,5*3,2</t>
  </si>
  <si>
    <t>108.2 =  11,3*(3,2-2,4)</t>
  </si>
  <si>
    <t>108.1 =  9,39*3,25-1,285*2,32</t>
  </si>
  <si>
    <t>108.4 =  20,77*3,6-2*1,35*2,3-0,6*(1,95+1,9)</t>
  </si>
  <si>
    <t>108.4 =  25,3*5%</t>
  </si>
  <si>
    <t>723163103R00_P</t>
  </si>
  <si>
    <t>723163104R00_P</t>
  </si>
  <si>
    <r>
      <rPr>
        <i/>
        <sz val="10"/>
        <rFont val="Arial CE"/>
        <family val="2"/>
      </rPr>
      <t>Investor:</t>
    </r>
    <r>
      <rPr>
        <sz val="14"/>
        <rFont val="Arial CE"/>
        <family val="2"/>
      </rPr>
      <t xml:space="preserve"> Městská část Praha 5 zastoupená firmou Centra a.s.</t>
    </r>
  </si>
  <si>
    <r>
      <rPr>
        <i/>
        <sz val="10"/>
        <rFont val="Arial CE"/>
        <family val="2"/>
      </rPr>
      <t>Zpracovatel:</t>
    </r>
    <r>
      <rPr>
        <sz val="14"/>
        <rFont val="Arial CE"/>
        <family val="2"/>
      </rPr>
      <t xml:space="preserve"> Atelier PHA spol. s r.o.</t>
    </r>
  </si>
  <si>
    <t>Vestavná nerezová digestoř, min. výkon při nulových ztrátách 700m3/h, ref. výrobek.Electrolux LFG716W, vč. montáže (technické parametry dle PD) BJ č.3</t>
  </si>
  <si>
    <t>Talířový ventil, kovový lakovaný bílý, kruhový do 125 mm</t>
  </si>
  <si>
    <t>3,2*3,6+1,9*1,52</t>
  </si>
  <si>
    <t>o/i</t>
  </si>
  <si>
    <t>Montáž SDK podhledu jednoduše opláštěného na samonosný rošt, vč dodávky nosných profilů a zatmelení návazností na zděné stěny (akrylátovým tmelem) dle PD, v místnosti šatny bude sdk podhled snížen na 2,95m</t>
  </si>
  <si>
    <t>Vyspravení podhledu bytu (vazba na úpravu bytu v 3NP), doplnění dřevěných prken stejné tloušťky jako stávající, doplnění omítky tl. dle stávající včetně rabicového pletiva. Napojovací spára nebude příma,(prkna různé délky dle možnosti kotvení do rákosníků) spára překryta armovací tkaninou a sádrovou stěrkou (s požárního hlediska je uvažováno s ponecháním popř. doplněním omítek na stropní konstrukci)</t>
  </si>
  <si>
    <t>Rezerva na případné dobetonování popř. požární utěsnění prostupů stoupaček vody, kanalizace, bude účtováno dle skutečnosti, oceněna jen jedn. cena</t>
  </si>
  <si>
    <t xml:space="preserve">Protipož. trubní ucpávka EI 60, do D 25 mm, stěna u vstupu do b.j. </t>
  </si>
  <si>
    <t>713552111T00_P</t>
  </si>
  <si>
    <t>Montáž protipožární trubní ucpávky EI 60, do D 25 mm, stěna</t>
  </si>
  <si>
    <t>Kombi klozet s hlubokým splachováním spodní odpad s bočním napouštěním a s hlubokým splachováním, vč. nádrže s armaturou Dual Flush, splachovanou na 3 nebo 6 litrů, sedátka a připojovací tlakové hadice - specifikace dle PD, ref. výr. Lyra Plus</t>
  </si>
  <si>
    <t>Mtž ventilátoru radiál.nízkotl.potrub. do 0,07 m2 (kotveno přes pryžové podložky)</t>
  </si>
  <si>
    <t xml:space="preserve">Montáž talířového ventilu kruhového do d 200 mm (šatna 1x do sdk podhledu + koupelna 1x do stěny) </t>
  </si>
  <si>
    <t>lámací svorka, objímka se žárovkou</t>
  </si>
  <si>
    <t>Ukončovací protidešťová stříška včetně propojovacích prvků vč. krycí manžety</t>
  </si>
  <si>
    <t>doložit akustické a tepelné vlastnosti</t>
  </si>
  <si>
    <t>MP</t>
  </si>
  <si>
    <t xml:space="preserve">98 a </t>
  </si>
  <si>
    <t>99 a</t>
  </si>
  <si>
    <t>NOVÁ</t>
  </si>
  <si>
    <t>VP/MP</t>
  </si>
  <si>
    <t>VP</t>
  </si>
  <si>
    <t>220 a</t>
  </si>
  <si>
    <t xml:space="preserve">221 a </t>
  </si>
  <si>
    <t>ZMĚNA NA DŘEVĚNOU PODLAHU</t>
  </si>
  <si>
    <t>ZMĚNA NA POKLÁDKU DŘEVĚNÉ PODLAHY</t>
  </si>
  <si>
    <t>138 a</t>
  </si>
  <si>
    <t>Páková sprchová baterie / sprchový set s ruční kulatou sprchou</t>
  </si>
  <si>
    <t>Sifon pračkový Alca podomítkový DN40</t>
  </si>
  <si>
    <t>142 a</t>
  </si>
  <si>
    <r>
      <t xml:space="preserve">Potrubí z měděných plyn.trubek D 18 x 1,0 mm (DN 15), dle  ČSN EN 1775 TPG 704 01, montáž </t>
    </r>
    <r>
      <rPr>
        <b/>
        <sz val="10"/>
        <color indexed="8"/>
        <rFont val="Arial CE"/>
        <family val="0"/>
      </rPr>
      <t>LISOVÁNÍM</t>
    </r>
  </si>
  <si>
    <r>
      <t xml:space="preserve">Potrubí z měděných plyn.trubek D 22 x 1,0 mm (DN 15), dle ČSN EN 1775  TPG 704 01, montáž </t>
    </r>
    <r>
      <rPr>
        <b/>
        <sz val="10"/>
        <color indexed="8"/>
        <rFont val="Arial CE"/>
        <family val="0"/>
      </rPr>
      <t>LISOVÁNÍM</t>
    </r>
  </si>
  <si>
    <t>ÚČTOVÁNO ČERVEN</t>
  </si>
  <si>
    <t>ZBÝVÁ</t>
  </si>
  <si>
    <t>ok MP</t>
  </si>
  <si>
    <t>ok nevyjasněno</t>
  </si>
  <si>
    <t xml:space="preserve">nelze </t>
  </si>
  <si>
    <t>ÚČTOVÁNO PROSINEC</t>
  </si>
  <si>
    <t>38a</t>
  </si>
  <si>
    <t>nová</t>
  </si>
  <si>
    <t>úprava rozv.RE vč. dodávky jističe 25/1-B  Změna z třífazového jističe na jistič jednofázový. Dúvode změny je jednofázová rozvodnice v bytové jednotce dle PD.</t>
  </si>
  <si>
    <t>převzato z bytu 4</t>
  </si>
  <si>
    <t xml:space="preserve">měl by být větší rozdíl v ceně, žádná úprava se neprováděla jen se vyměnil jistič </t>
  </si>
  <si>
    <t>dle revize 4x</t>
  </si>
  <si>
    <t>dle revize 5x</t>
  </si>
  <si>
    <t>neosazen - odpočet</t>
  </si>
  <si>
    <t xml:space="preserve">chybí odpočty </t>
  </si>
  <si>
    <t xml:space="preserve">3 fázový 533,-Kč, 1 fázový 169,-Kč </t>
  </si>
  <si>
    <t>ok</t>
  </si>
  <si>
    <t>zde bych navýšil odpočet na min. -150</t>
  </si>
  <si>
    <t>Poznámka AD</t>
  </si>
  <si>
    <t>mělo by být -25 (krabice v sdk 8 ks)</t>
  </si>
  <si>
    <t>je osazen?, z PD skutečného provedení není patrné</t>
  </si>
  <si>
    <t>zde bych navýšil odpočet na -40</t>
  </si>
  <si>
    <t>navýšení hodnoty jističe neprovedeno - odpočet</t>
  </si>
  <si>
    <t xml:space="preserve">dle revizní zprávy neosazeno - odpočet, nesouhlasí revizní zpráva se skutečným provedením </t>
  </si>
  <si>
    <t>jak byl dořešen zvonek?</t>
  </si>
  <si>
    <t xml:space="preserve">chybí odpočet, tyto práce byly již provedeny předchozím zhotovitelem </t>
  </si>
  <si>
    <t>viz samostatný list</t>
  </si>
  <si>
    <t>bylo osazeno, doložit foto?</t>
  </si>
  <si>
    <t>změny oproti PD viz mail 16.3.2023
vypuštěna prosklená dvířka 3x + prosklené police, neosazeny nerez úchyty - snížení ceny min. o 5%</t>
  </si>
  <si>
    <t xml:space="preserve">stejný výrobek u bytu č. 4 naceněn s odlišnou cenou </t>
  </si>
  <si>
    <t>aktualizace změny souvrství podlah</t>
  </si>
  <si>
    <t>změna na 2 ks /    byly použity již osazené</t>
  </si>
  <si>
    <t>změna na 0 ks /  použit kabel již dodaný předchozí firmou</t>
  </si>
  <si>
    <t>změna na 20 ks / použita již instalovaná nová kabeláž</t>
  </si>
  <si>
    <t>změna na 0 ks / použita již instalovaná nová kabeláž</t>
  </si>
  <si>
    <t>změna na 5 ks  použita již instalovaná nová kabeláž</t>
  </si>
  <si>
    <t>změna na 3ks / bylo již vyfrézováno a osazono kabeláží</t>
  </si>
  <si>
    <t>změna na 2ks / průrazy provedeny předchozí firmou</t>
  </si>
  <si>
    <t>změna na 12 ks / otvory pro krabice již byli zhotoveny předchozí firmou</t>
  </si>
  <si>
    <t>neosazeno</t>
  </si>
  <si>
    <t>opraveno</t>
  </si>
  <si>
    <t>změna na 8 ks /  byly použity již osazené</t>
  </si>
  <si>
    <t>změna na 30 ks / použita již instalovaná nová kabeláž</t>
  </si>
  <si>
    <t>změna na 10 ks / bylo již vyfrézováno a osazono kabeláží</t>
  </si>
  <si>
    <t xml:space="preserve">MP </t>
  </si>
  <si>
    <t>zvonek dodán a osazen zdarma</t>
  </si>
  <si>
    <t>není osazen / nebyl natažen kabel HDO / tento jistič se umístuje v rozvděči</t>
  </si>
  <si>
    <t>upraveno</t>
  </si>
  <si>
    <t>není osazen / není HDO / revizní zpráva  v souladu se skutečním provedením</t>
  </si>
  <si>
    <t xml:space="preserve">bylo osazeno, doložit foto? </t>
  </si>
  <si>
    <t>CO ZBYLO</t>
  </si>
  <si>
    <t>Kuchyňská linka vč. pracovní desky, bez spotřebičů dle specifikace v PD SNÍŽENÍ CENY Z DŮVODU ZMĚN DODANÝCH KOMPONENTŮ - sleva</t>
  </si>
  <si>
    <t>CELKEM ZMĚNA</t>
  </si>
  <si>
    <t>NOVÁ CENA</t>
  </si>
  <si>
    <t>FAKTUROVÁNO</t>
  </si>
</sst>
</file>

<file path=xl/styles.xml><?xml version="1.0" encoding="utf-8"?>
<styleSheet xmlns="http://schemas.openxmlformats.org/spreadsheetml/2006/main">
  <numFmts count="3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
    <numFmt numFmtId="168" formatCode="#,##0.0"/>
    <numFmt numFmtId="169" formatCode="0.0000"/>
    <numFmt numFmtId="170" formatCode="0.000"/>
    <numFmt numFmtId="171" formatCode="0.00000"/>
    <numFmt numFmtId="172" formatCode="&quot;Yes&quot;;&quot;Yes&quot;;&quot;No&quot;"/>
    <numFmt numFmtId="173" formatCode="&quot;True&quot;;&quot;True&quot;;&quot;False&quot;"/>
    <numFmt numFmtId="174" formatCode="&quot;On&quot;;&quot;On&quot;;&quot;Off&quot;"/>
    <numFmt numFmtId="175" formatCode="[$€-2]\ #\ ##,000_);[Red]\([$€-2]\ #\ ##,000\)"/>
    <numFmt numFmtId="176" formatCode="#,##0\ &quot;Kč&quot;"/>
    <numFmt numFmtId="177" formatCode="#,##0.0\ &quot;Kč&quot;"/>
    <numFmt numFmtId="178" formatCode="[$¥€-2]\ #\ ##,000_);[Red]\([$€-2]\ #\ ##,000\)"/>
    <numFmt numFmtId="179" formatCode="#,##0\ _K_č"/>
    <numFmt numFmtId="180" formatCode="#,##0.00\ &quot;Kč&quot;"/>
    <numFmt numFmtId="181" formatCode="[$€-2]\ #,##0.00_);[Red]\([$€-2]\ #,##0.00\)"/>
    <numFmt numFmtId="182" formatCode="_(#,##0_);[Red]\-\ #,##0_);&quot;–&quot;??;_(@_)"/>
    <numFmt numFmtId="183" formatCode="_-* #,##0\ &quot;Kč&quot;_-;\-* #,##0\ &quot;Kč&quot;_-;_-* &quot;-&quot;??\ &quot;Kč&quot;_-;_-@_-"/>
    <numFmt numFmtId="184" formatCode="_-* #,##0.00\ [$Kč-405]_-;\-* #,##0.00\ [$Kč-405]_-;_-* &quot;-&quot;??\ [$Kč-405]_-;_-@_-"/>
    <numFmt numFmtId="185" formatCode="#,##0.000\ &quot;Kč&quot;"/>
    <numFmt numFmtId="186" formatCode="#,##0.000"/>
    <numFmt numFmtId="187" formatCode="[$-405]General"/>
    <numFmt numFmtId="188" formatCode="_-* #,##0.000\ _K_č_-;\-* #,##0.000\ _K_č_-;_-* &quot;-&quot;???\ _K_č_-;_-@_-"/>
    <numFmt numFmtId="189" formatCode="#,##0.000\ _K_č"/>
    <numFmt numFmtId="190" formatCode="#,##0.000_ ;\-#,##0.000\ "/>
    <numFmt numFmtId="191" formatCode="[$-405]dddd\ d\.\ mmmm\ yyyy"/>
    <numFmt numFmtId="192" formatCode="_-* #,##0.0\ &quot;Kč&quot;_-;\-* #,##0.0\ &quot;Kč&quot;_-;_-* &quot;-&quot;?\ &quot;Kč&quot;_-;_-@_-"/>
    <numFmt numFmtId="193" formatCode="_-* #,##0.000\ &quot;Kč&quot;_-;\-* #,##0.000\ &quot;Kč&quot;_-;_-* &quot;-&quot;???\ &quot;Kč&quot;_-;_-@_-"/>
  </numFmts>
  <fonts count="81">
    <font>
      <sz val="10"/>
      <name val="Arial CE"/>
      <family val="2"/>
    </font>
    <font>
      <sz val="10"/>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CE"/>
      <family val="2"/>
    </font>
    <font>
      <b/>
      <sz val="10"/>
      <name val="Arial CE"/>
      <family val="2"/>
    </font>
    <font>
      <i/>
      <sz val="10"/>
      <name val="Arial CE"/>
      <family val="2"/>
    </font>
    <font>
      <sz val="14"/>
      <name val="Arial CE"/>
      <family val="2"/>
    </font>
    <font>
      <sz val="18"/>
      <name val="Arial CE"/>
      <family val="2"/>
    </font>
    <font>
      <b/>
      <sz val="16"/>
      <name val="Arial CE"/>
      <family val="2"/>
    </font>
    <font>
      <u val="single"/>
      <sz val="13"/>
      <color indexed="12"/>
      <name val="Arial CE"/>
      <family val="2"/>
    </font>
    <font>
      <b/>
      <sz val="11"/>
      <name val="Arial CE"/>
      <family val="2"/>
    </font>
    <font>
      <b/>
      <sz val="12"/>
      <name val="Arial CE"/>
      <family val="2"/>
    </font>
    <font>
      <b/>
      <sz val="14"/>
      <name val="Arial CE"/>
      <family val="2"/>
    </font>
    <font>
      <sz val="7"/>
      <name val="Arial CE"/>
      <family val="2"/>
    </font>
    <font>
      <sz val="11"/>
      <name val="Arial CE"/>
      <family val="2"/>
    </font>
    <font>
      <b/>
      <sz val="10"/>
      <name val="Arial"/>
      <family val="2"/>
    </font>
    <font>
      <u val="single"/>
      <sz val="10"/>
      <color indexed="20"/>
      <name val="Arial CE"/>
      <family val="2"/>
    </font>
    <font>
      <i/>
      <sz val="10"/>
      <name val="Arial"/>
      <family val="2"/>
    </font>
    <font>
      <b/>
      <sz val="12"/>
      <name val="Arial"/>
      <family val="2"/>
    </font>
    <font>
      <sz val="8"/>
      <name val="Arial"/>
      <family val="2"/>
    </font>
    <font>
      <b/>
      <sz val="8"/>
      <name val="Arial"/>
      <family val="2"/>
    </font>
    <font>
      <i/>
      <sz val="10"/>
      <color indexed="49"/>
      <name val="Arial"/>
      <family val="2"/>
    </font>
    <font>
      <b/>
      <sz val="11"/>
      <color indexed="8"/>
      <name val="Arial"/>
      <family val="2"/>
    </font>
    <font>
      <b/>
      <sz val="10"/>
      <color indexed="8"/>
      <name val="Arial"/>
      <family val="2"/>
    </font>
    <font>
      <sz val="10"/>
      <color indexed="8"/>
      <name val="Arial CE"/>
      <family val="2"/>
    </font>
    <font>
      <sz val="10"/>
      <color indexed="10"/>
      <name val="Arial CE"/>
      <family val="2"/>
    </font>
    <font>
      <i/>
      <sz val="10"/>
      <color indexed="30"/>
      <name val="Arial"/>
      <family val="2"/>
    </font>
    <font>
      <sz val="10"/>
      <color indexed="10"/>
      <name val="Arial"/>
      <family val="2"/>
    </font>
    <font>
      <b/>
      <sz val="8"/>
      <color indexed="10"/>
      <name val="Arial CE"/>
      <family val="0"/>
    </font>
    <font>
      <b/>
      <sz val="8"/>
      <name val="Arial CE"/>
      <family val="0"/>
    </font>
    <font>
      <sz val="10"/>
      <color indexed="40"/>
      <name val="Arial"/>
      <family val="2"/>
    </font>
    <font>
      <i/>
      <sz val="10"/>
      <color indexed="12"/>
      <name val="Arial"/>
      <family val="2"/>
    </font>
    <font>
      <sz val="8"/>
      <color indexed="10"/>
      <name val="Arial"/>
      <family val="2"/>
    </font>
    <font>
      <b/>
      <sz val="10"/>
      <color indexed="8"/>
      <name val="Arial CE"/>
      <family val="2"/>
    </font>
    <font>
      <sz val="7"/>
      <color indexed="8"/>
      <name val="Arial CE"/>
      <family val="2"/>
    </font>
    <font>
      <sz val="11"/>
      <color indexed="8"/>
      <name val="Arial CE"/>
      <family val="2"/>
    </font>
    <font>
      <b/>
      <sz val="8"/>
      <color indexed="10"/>
      <name val="Arial"/>
      <family val="2"/>
    </font>
    <font>
      <i/>
      <sz val="10"/>
      <color indexed="10"/>
      <name val="Arial"/>
      <family val="2"/>
    </font>
    <font>
      <sz val="10"/>
      <color indexed="8"/>
      <name val="Arial"/>
      <family val="2"/>
    </font>
    <font>
      <b/>
      <sz val="10"/>
      <color indexed="10"/>
      <name val="Arial"/>
      <family val="2"/>
    </font>
    <font>
      <b/>
      <sz val="7"/>
      <name val="Arial CE"/>
      <family val="2"/>
    </font>
    <font>
      <sz val="8"/>
      <color indexed="8"/>
      <name val="Arial"/>
      <family val="2"/>
    </font>
    <font>
      <b/>
      <sz val="8"/>
      <color indexed="8"/>
      <name val="Arial CE"/>
      <family val="0"/>
    </font>
    <font>
      <sz val="8"/>
      <color indexed="40"/>
      <name val="Arial"/>
      <family val="2"/>
    </font>
    <font>
      <b/>
      <sz val="8"/>
      <color indexed="40"/>
      <name val="Arial"/>
      <family val="2"/>
    </font>
    <font>
      <b/>
      <sz val="10"/>
      <color indexed="40"/>
      <name val="Arial CE"/>
      <family val="2"/>
    </font>
    <font>
      <sz val="8"/>
      <color indexed="8"/>
      <name val="Arial CE"/>
      <family val="2"/>
    </font>
    <font>
      <sz val="8"/>
      <color indexed="10"/>
      <name val="Arial CE"/>
      <family val="2"/>
    </font>
    <font>
      <b/>
      <sz val="10"/>
      <color indexed="10"/>
      <name val="Arial CE"/>
      <family val="2"/>
    </font>
    <font>
      <sz val="7"/>
      <color indexed="10"/>
      <name val="Arial CE"/>
      <family val="2"/>
    </font>
    <font>
      <sz val="8"/>
      <name val="Segoe UI"/>
      <family val="2"/>
    </font>
    <font>
      <sz val="8"/>
      <color theme="1"/>
      <name val="Arial"/>
      <family val="2"/>
    </font>
    <font>
      <sz val="10"/>
      <color rgb="FFFF0000"/>
      <name val="Arial CE"/>
      <family val="2"/>
    </font>
    <font>
      <b/>
      <sz val="8"/>
      <color theme="1"/>
      <name val="Arial CE"/>
      <family val="0"/>
    </font>
    <font>
      <sz val="8"/>
      <color rgb="FFFF0000"/>
      <name val="Arial"/>
      <family val="2"/>
    </font>
    <font>
      <sz val="10"/>
      <color theme="1"/>
      <name val="Arial CE"/>
      <family val="2"/>
    </font>
    <font>
      <b/>
      <sz val="8"/>
      <color rgb="FFFF0000"/>
      <name val="Arial"/>
      <family val="2"/>
    </font>
    <font>
      <sz val="8"/>
      <color rgb="FF00B0F0"/>
      <name val="Arial"/>
      <family val="2"/>
    </font>
    <font>
      <b/>
      <sz val="8"/>
      <color rgb="FF00B0F0"/>
      <name val="Arial"/>
      <family val="2"/>
    </font>
    <font>
      <b/>
      <sz val="10"/>
      <color rgb="FF00B0F0"/>
      <name val="Arial CE"/>
      <family val="2"/>
    </font>
    <font>
      <sz val="8"/>
      <color theme="1"/>
      <name val="Arial CE"/>
      <family val="2"/>
    </font>
    <font>
      <b/>
      <sz val="10"/>
      <color theme="1"/>
      <name val="Arial CE"/>
      <family val="2"/>
    </font>
    <font>
      <sz val="8"/>
      <color rgb="FFFF0000"/>
      <name val="Arial CE"/>
      <family val="2"/>
    </font>
    <font>
      <b/>
      <sz val="10"/>
      <color rgb="FFFF0000"/>
      <name val="Arial CE"/>
      <family val="2"/>
    </font>
    <font>
      <sz val="7"/>
      <color rgb="FFFF0000"/>
      <name val="Arial CE"/>
      <family val="2"/>
    </font>
  </fonts>
  <fills count="2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7"/>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26"/>
        <bgColor indexed="64"/>
      </patternFill>
    </fill>
    <fill>
      <patternFill patternType="solid">
        <fgColor rgb="FFFFFF00"/>
        <bgColor indexed="64"/>
      </patternFill>
    </fill>
    <fill>
      <patternFill patternType="solid">
        <fgColor rgb="FFFFC000"/>
        <bgColor indexed="64"/>
      </patternFill>
    </fill>
    <fill>
      <patternFill patternType="solid">
        <fgColor rgb="FFFFFF99"/>
        <bgColor indexed="64"/>
      </patternFill>
    </fill>
    <fill>
      <patternFill patternType="solid">
        <fgColor indexed="44"/>
        <bgColor indexed="64"/>
      </patternFill>
    </fill>
  </fills>
  <borders count="49">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hair">
        <color indexed="8"/>
      </left>
      <right style="hair">
        <color indexed="8"/>
      </right>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color indexed="63"/>
      </top>
      <bottom style="hair">
        <color indexed="8"/>
      </bottom>
    </border>
    <border>
      <left>
        <color indexed="63"/>
      </left>
      <right>
        <color indexed="63"/>
      </right>
      <top>
        <color indexed="63"/>
      </top>
      <bottom style="thin"/>
    </border>
    <border>
      <left style="hair"/>
      <right style="hair"/>
      <top style="hair"/>
      <bottom style="hair"/>
    </border>
    <border>
      <left>
        <color indexed="63"/>
      </left>
      <right>
        <color indexed="63"/>
      </right>
      <top style="thin"/>
      <bottom>
        <color indexed="63"/>
      </bottom>
    </border>
    <border>
      <left style="hair">
        <color indexed="8"/>
      </left>
      <right style="hair">
        <color indexed="8"/>
      </right>
      <top style="hair">
        <color indexed="8"/>
      </top>
      <bottom style="hair">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tted"/>
      <right style="dotted"/>
      <top style="dotted"/>
      <bottom style="dotted"/>
    </border>
    <border>
      <left style="dashed"/>
      <right>
        <color indexed="63"/>
      </right>
      <top style="dashed"/>
      <bottom style="dashed"/>
    </border>
    <border>
      <left>
        <color indexed="63"/>
      </left>
      <right>
        <color indexed="63"/>
      </right>
      <top style="dashed"/>
      <bottom style="dashed"/>
    </border>
    <border>
      <left style="dashed"/>
      <right>
        <color indexed="63"/>
      </right>
      <top style="dashed"/>
      <bottom>
        <color indexed="63"/>
      </bottom>
    </border>
    <border>
      <left>
        <color indexed="63"/>
      </left>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style="dashed"/>
      <bottom style="dashed"/>
    </border>
    <border>
      <left>
        <color indexed="63"/>
      </left>
      <right style="dashed"/>
      <top style="dashed"/>
      <bottom>
        <color indexed="63"/>
      </bottom>
    </border>
    <border>
      <left>
        <color indexed="63"/>
      </left>
      <right style="dashed"/>
      <top>
        <color indexed="63"/>
      </top>
      <bottom>
        <color indexed="63"/>
      </bottom>
    </border>
    <border>
      <left>
        <color indexed="63"/>
      </left>
      <right style="dashed"/>
      <top>
        <color indexed="63"/>
      </top>
      <bottom style="dashed"/>
    </border>
    <border>
      <left style="hair">
        <color indexed="8"/>
      </left>
      <right>
        <color indexed="63"/>
      </right>
      <top style="hair">
        <color indexed="8"/>
      </top>
      <bottom style="hair">
        <color indexed="8"/>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right/>
      <top style="hair"/>
      <bottom style="medium"/>
    </border>
    <border>
      <left>
        <color indexed="63"/>
      </left>
      <right>
        <color indexed="63"/>
      </right>
      <top style="medium"/>
      <bottom style="hair"/>
    </border>
  </borders>
  <cellStyleXfs count="9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4" fillId="0" borderId="1" applyNumberFormat="0" applyFill="0" applyAlignment="0" applyProtection="0"/>
    <xf numFmtId="165" fontId="1" fillId="0" borderId="0" applyFill="0" applyBorder="0" applyAlignment="0" applyProtection="0"/>
    <xf numFmtId="164" fontId="1" fillId="0" borderId="0" applyFill="0" applyBorder="0" applyAlignment="0" applyProtection="0"/>
    <xf numFmtId="187" fontId="54" fillId="0" borderId="0">
      <alignment/>
      <protection/>
    </xf>
    <xf numFmtId="0" fontId="25" fillId="0" borderId="0" applyNumberFormat="0" applyFill="0" applyBorder="0" applyAlignment="0" applyProtection="0"/>
    <xf numFmtId="0" fontId="5" fillId="10" borderId="0" applyNumberFormat="0" applyBorder="0" applyAlignment="0" applyProtection="0"/>
    <xf numFmtId="0" fontId="6" fillId="9" borderId="2"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6"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32" fillId="0" borderId="0" applyNumberFormat="0" applyFill="0" applyBorder="0" applyAlignment="0" applyProtection="0"/>
    <xf numFmtId="0" fontId="0" fillId="4" borderId="5" applyNumberFormat="0" applyAlignment="0" applyProtection="0"/>
    <xf numFmtId="9" fontId="1"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0" fontId="12" fillId="0" borderId="6" applyNumberFormat="0" applyFill="0" applyAlignment="0" applyProtection="0"/>
    <xf numFmtId="0" fontId="13" fillId="11" borderId="0" applyNumberFormat="0" applyBorder="0" applyAlignment="0" applyProtection="0"/>
    <xf numFmtId="0" fontId="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xf numFmtId="0" fontId="10" fillId="0" borderId="0" applyNumberFormat="0" applyFill="0" applyBorder="0" applyAlignment="0" applyProtection="0"/>
    <xf numFmtId="0" fontId="4" fillId="0" borderId="1" applyNumberFormat="0" applyFill="0" applyAlignment="0" applyProtection="0"/>
    <xf numFmtId="0" fontId="15" fillId="3" borderId="7" applyNumberFormat="0" applyAlignment="0" applyProtection="0"/>
    <xf numFmtId="0" fontId="16" fillId="2" borderId="7" applyNumberFormat="0" applyAlignment="0" applyProtection="0"/>
    <xf numFmtId="0" fontId="17" fillId="2" borderId="8" applyNumberFormat="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8" borderId="0" applyNumberFormat="0" applyBorder="0" applyAlignment="0" applyProtection="0"/>
    <xf numFmtId="0" fontId="3" fillId="15" borderId="0" applyNumberFormat="0" applyBorder="0" applyAlignment="0" applyProtection="0"/>
  </cellStyleXfs>
  <cellXfs count="509">
    <xf numFmtId="0" fontId="0" fillId="0" borderId="0" xfId="0" applyAlignment="1">
      <alignment/>
    </xf>
    <xf numFmtId="0" fontId="0" fillId="0" borderId="0" xfId="0" applyFont="1" applyAlignment="1">
      <alignment/>
    </xf>
    <xf numFmtId="0" fontId="20" fillId="0" borderId="0" xfId="0" applyFont="1" applyAlignment="1">
      <alignment/>
    </xf>
    <xf numFmtId="0" fontId="0" fillId="0" borderId="0" xfId="0" applyFont="1" applyFill="1" applyAlignment="1">
      <alignment/>
    </xf>
    <xf numFmtId="0" fontId="29" fillId="0" borderId="0" xfId="0" applyFont="1" applyAlignment="1">
      <alignment/>
    </xf>
    <xf numFmtId="0" fontId="30" fillId="0" borderId="0" xfId="0" applyFont="1" applyAlignment="1">
      <alignment/>
    </xf>
    <xf numFmtId="167" fontId="0" fillId="0" borderId="0" xfId="0" applyNumberFormat="1" applyFont="1" applyFill="1" applyBorder="1" applyAlignment="1">
      <alignment/>
    </xf>
    <xf numFmtId="167" fontId="1" fillId="0" borderId="0" xfId="0" applyNumberFormat="1" applyFont="1" applyFill="1" applyBorder="1" applyAlignment="1">
      <alignment horizontal="right" vertical="center"/>
    </xf>
    <xf numFmtId="0" fontId="0" fillId="0" borderId="0" xfId="0" applyFill="1" applyAlignment="1">
      <alignment/>
    </xf>
    <xf numFmtId="0" fontId="30" fillId="0" borderId="0" xfId="0" applyFont="1" applyFill="1" applyAlignment="1">
      <alignment/>
    </xf>
    <xf numFmtId="170" fontId="0" fillId="0" borderId="0" xfId="0" applyNumberFormat="1" applyFont="1" applyAlignment="1">
      <alignment/>
    </xf>
    <xf numFmtId="170" fontId="0" fillId="0" borderId="0" xfId="0" applyNumberFormat="1" applyAlignment="1">
      <alignment/>
    </xf>
    <xf numFmtId="0" fontId="20" fillId="0" borderId="0" xfId="0" applyFont="1" applyAlignment="1">
      <alignment/>
    </xf>
    <xf numFmtId="0" fontId="20" fillId="0" borderId="0" xfId="0" applyFont="1" applyFill="1" applyAlignment="1">
      <alignment/>
    </xf>
    <xf numFmtId="0" fontId="29" fillId="0" borderId="0" xfId="0" applyFont="1" applyFill="1" applyAlignment="1">
      <alignment/>
    </xf>
    <xf numFmtId="0" fontId="35" fillId="0" borderId="0" xfId="0" applyFont="1" applyAlignment="1">
      <alignment/>
    </xf>
    <xf numFmtId="4" fontId="36" fillId="0" borderId="0" xfId="0" applyNumberFormat="1" applyFont="1" applyAlignment="1">
      <alignment/>
    </xf>
    <xf numFmtId="0" fontId="48" fillId="0" borderId="0" xfId="0" applyFont="1" applyAlignment="1">
      <alignment/>
    </xf>
    <xf numFmtId="9" fontId="0" fillId="0" borderId="9" xfId="73" applyFill="1" applyBorder="1" applyAlignment="1" applyProtection="1">
      <alignment/>
      <protection/>
    </xf>
    <xf numFmtId="0" fontId="19" fillId="0" borderId="10" xfId="0" applyFont="1" applyFill="1" applyBorder="1" applyAlignment="1">
      <alignment horizontal="right"/>
    </xf>
    <xf numFmtId="0" fontId="0" fillId="0" borderId="0" xfId="0" applyFont="1" applyAlignment="1">
      <alignment/>
    </xf>
    <xf numFmtId="183" fontId="1" fillId="0" borderId="0" xfId="58" applyNumberFormat="1" applyAlignment="1">
      <alignment/>
    </xf>
    <xf numFmtId="183" fontId="0" fillId="0" borderId="0" xfId="0" applyNumberFormat="1" applyFont="1" applyAlignment="1">
      <alignment/>
    </xf>
    <xf numFmtId="183" fontId="0" fillId="0" borderId="0" xfId="0" applyNumberFormat="1" applyFont="1" applyAlignment="1">
      <alignment/>
    </xf>
    <xf numFmtId="0" fontId="41" fillId="0" borderId="0" xfId="0" applyFont="1" applyAlignment="1">
      <alignment/>
    </xf>
    <xf numFmtId="167" fontId="41" fillId="0" borderId="0" xfId="0" applyNumberFormat="1" applyFont="1" applyAlignment="1">
      <alignment/>
    </xf>
    <xf numFmtId="0" fontId="25" fillId="0" borderId="0" xfId="55" applyAlignment="1">
      <alignment/>
    </xf>
    <xf numFmtId="49" fontId="25" fillId="0" borderId="0" xfId="55" applyNumberFormat="1" applyAlignment="1">
      <alignment horizontal="justify" vertical="center"/>
    </xf>
    <xf numFmtId="0" fontId="25" fillId="0" borderId="0" xfId="55" applyFill="1" applyAlignment="1">
      <alignment/>
    </xf>
    <xf numFmtId="177" fontId="1" fillId="16" borderId="11" xfId="0" applyNumberFormat="1" applyFont="1" applyFill="1" applyBorder="1" applyAlignment="1" applyProtection="1">
      <alignment vertical="center"/>
      <protection locked="0"/>
    </xf>
    <xf numFmtId="177" fontId="37" fillId="16" borderId="11" xfId="0" applyNumberFormat="1" applyFont="1" applyFill="1" applyBorder="1" applyAlignment="1" applyProtection="1">
      <alignment vertical="center"/>
      <protection locked="0"/>
    </xf>
    <xf numFmtId="166" fontId="1" fillId="16" borderId="0" xfId="0" applyNumberFormat="1" applyFont="1" applyFill="1" applyBorder="1" applyAlignment="1" applyProtection="1">
      <alignment vertical="center"/>
      <protection locked="0"/>
    </xf>
    <xf numFmtId="166" fontId="1" fillId="16" borderId="11" xfId="0" applyNumberFormat="1" applyFont="1" applyFill="1" applyBorder="1" applyAlignment="1" applyProtection="1">
      <alignment vertical="center"/>
      <protection locked="0"/>
    </xf>
    <xf numFmtId="4" fontId="35" fillId="17" borderId="0" xfId="0" applyNumberFormat="1" applyFont="1" applyFill="1" applyAlignment="1" applyProtection="1">
      <alignment/>
      <protection locked="0"/>
    </xf>
    <xf numFmtId="3" fontId="1" fillId="0" borderId="0" xfId="0" applyNumberFormat="1" applyFont="1" applyAlignment="1" applyProtection="1">
      <alignment horizontal="center" vertical="center"/>
      <protection hidden="1"/>
    </xf>
    <xf numFmtId="3" fontId="1" fillId="0" borderId="11" xfId="0" applyNumberFormat="1" applyFont="1" applyBorder="1" applyAlignment="1" applyProtection="1">
      <alignment horizontal="left" vertical="center"/>
      <protection hidden="1"/>
    </xf>
    <xf numFmtId="0" fontId="0" fillId="0" borderId="0" xfId="0" applyAlignment="1" applyProtection="1">
      <alignment/>
      <protection locked="0"/>
    </xf>
    <xf numFmtId="0" fontId="25" fillId="18" borderId="12" xfId="55" applyNumberFormat="1" applyFill="1" applyBorder="1" applyAlignment="1" applyProtection="1">
      <alignment vertical="center"/>
      <protection/>
    </xf>
    <xf numFmtId="0" fontId="25" fillId="18" borderId="0" xfId="55" applyNumberFormat="1" applyFill="1" applyBorder="1" applyAlignment="1" applyProtection="1">
      <alignment vertical="center"/>
      <protection/>
    </xf>
    <xf numFmtId="0" fontId="40" fillId="0" borderId="0" xfId="0" applyFont="1" applyAlignment="1" applyProtection="1">
      <alignment horizontal="center" vertical="center"/>
      <protection locked="0"/>
    </xf>
    <xf numFmtId="0" fontId="41" fillId="0" borderId="0" xfId="0" applyFont="1" applyAlignment="1" applyProtection="1">
      <alignment/>
      <protection locked="0"/>
    </xf>
    <xf numFmtId="3" fontId="1" fillId="0" borderId="11" xfId="0" applyNumberFormat="1" applyFont="1" applyBorder="1" applyAlignment="1" applyProtection="1">
      <alignment horizontal="left" vertical="center" wrapText="1"/>
      <protection hidden="1"/>
    </xf>
    <xf numFmtId="0" fontId="43" fillId="0" borderId="0" xfId="67" applyFont="1" applyAlignment="1" applyProtection="1">
      <alignment horizontal="left" vertical="center"/>
      <protection hidden="1"/>
    </xf>
    <xf numFmtId="0" fontId="43" fillId="0" borderId="0" xfId="67" applyFont="1" applyAlignment="1" applyProtection="1">
      <alignment vertical="center"/>
      <protection hidden="1"/>
    </xf>
    <xf numFmtId="170" fontId="1" fillId="0" borderId="11" xfId="0" applyNumberFormat="1" applyFont="1" applyBorder="1" applyAlignment="1" applyProtection="1">
      <alignment horizontal="right" vertical="center"/>
      <protection hidden="1"/>
    </xf>
    <xf numFmtId="0" fontId="25" fillId="0" borderId="0" xfId="55" applyAlignment="1" applyProtection="1">
      <alignment/>
      <protection hidden="1"/>
    </xf>
    <xf numFmtId="3" fontId="37" fillId="0" borderId="0" xfId="0" applyNumberFormat="1" applyFont="1" applyAlignment="1" applyProtection="1">
      <alignment horizontal="center" vertical="center"/>
      <protection hidden="1"/>
    </xf>
    <xf numFmtId="3" fontId="37" fillId="0" borderId="11" xfId="0" applyNumberFormat="1" applyFont="1" applyBorder="1" applyAlignment="1" applyProtection="1">
      <alignment horizontal="left" vertical="center" wrapText="1"/>
      <protection hidden="1"/>
    </xf>
    <xf numFmtId="3" fontId="37" fillId="0" borderId="11" xfId="0" applyNumberFormat="1" applyFont="1" applyBorder="1" applyAlignment="1" applyProtection="1">
      <alignment horizontal="left" vertical="center"/>
      <protection hidden="1"/>
    </xf>
    <xf numFmtId="170" fontId="37" fillId="0" borderId="11" xfId="0" applyNumberFormat="1" applyFont="1" applyBorder="1" applyAlignment="1" applyProtection="1">
      <alignment horizontal="right" vertical="center"/>
      <protection hidden="1"/>
    </xf>
    <xf numFmtId="0" fontId="40" fillId="19" borderId="0" xfId="0" applyFont="1" applyFill="1" applyAlignment="1" applyProtection="1">
      <alignment horizontal="center" vertical="center"/>
      <protection locked="0"/>
    </xf>
    <xf numFmtId="0" fontId="25" fillId="0" borderId="0" xfId="55" applyAlignment="1" applyProtection="1">
      <alignment/>
      <protection/>
    </xf>
    <xf numFmtId="3" fontId="1" fillId="0" borderId="0" xfId="0" applyNumberFormat="1" applyFont="1" applyFill="1" applyAlignment="1" applyProtection="1">
      <alignment horizontal="center" vertical="center"/>
      <protection hidden="1"/>
    </xf>
    <xf numFmtId="0" fontId="25" fillId="20" borderId="9" xfId="55" applyNumberFormat="1" applyFill="1" applyBorder="1" applyAlignment="1" applyProtection="1">
      <alignment horizontal="left" vertical="center"/>
      <protection/>
    </xf>
    <xf numFmtId="183" fontId="20" fillId="0" borderId="0" xfId="0" applyNumberFormat="1" applyFont="1" applyAlignment="1">
      <alignment/>
    </xf>
    <xf numFmtId="176" fontId="20" fillId="0" borderId="0" xfId="0" applyNumberFormat="1" applyFont="1" applyAlignment="1">
      <alignment/>
    </xf>
    <xf numFmtId="0" fontId="0" fillId="0" borderId="13" xfId="67" applyBorder="1" applyAlignment="1" applyProtection="1">
      <alignment vertical="center" wrapText="1"/>
      <protection hidden="1"/>
    </xf>
    <xf numFmtId="0" fontId="41" fillId="0" borderId="0" xfId="0" applyFont="1" applyAlignment="1" applyProtection="1">
      <alignment horizontal="left" vertical="center"/>
      <protection hidden="1"/>
    </xf>
    <xf numFmtId="3" fontId="1" fillId="19" borderId="0" xfId="0" applyNumberFormat="1" applyFont="1" applyFill="1" applyAlignment="1" applyProtection="1">
      <alignment horizontal="center" vertical="center"/>
      <protection hidden="1"/>
    </xf>
    <xf numFmtId="3" fontId="37" fillId="19" borderId="0" xfId="0" applyNumberFormat="1" applyFont="1" applyFill="1" applyAlignment="1" applyProtection="1">
      <alignment horizontal="center" vertical="center"/>
      <protection hidden="1"/>
    </xf>
    <xf numFmtId="0" fontId="0" fillId="0" borderId="0" xfId="0" applyAlignment="1" applyProtection="1">
      <alignment/>
      <protection hidden="1"/>
    </xf>
    <xf numFmtId="9" fontId="35" fillId="0" borderId="0" xfId="72" applyFont="1" applyAlignment="1" applyProtection="1">
      <alignment/>
      <protection/>
    </xf>
    <xf numFmtId="3" fontId="1" fillId="17" borderId="11" xfId="0" applyNumberFormat="1" applyFont="1" applyFill="1" applyBorder="1" applyAlignment="1" applyProtection="1">
      <alignment horizontal="left" vertical="center" wrapText="1"/>
      <protection hidden="1"/>
    </xf>
    <xf numFmtId="3" fontId="0" fillId="0" borderId="0" xfId="0" applyNumberFormat="1" applyAlignment="1">
      <alignment/>
    </xf>
    <xf numFmtId="1" fontId="43" fillId="0" borderId="0" xfId="67" applyNumberFormat="1" applyFont="1" applyAlignment="1" applyProtection="1">
      <alignment horizontal="left" vertical="center"/>
      <protection hidden="1"/>
    </xf>
    <xf numFmtId="177" fontId="46" fillId="16" borderId="11" xfId="0" applyNumberFormat="1" applyFont="1" applyFill="1" applyBorder="1" applyAlignment="1" applyProtection="1">
      <alignment vertical="center"/>
      <protection locked="0"/>
    </xf>
    <xf numFmtId="0" fontId="0" fillId="0" borderId="13" xfId="67" applyFill="1" applyBorder="1" applyAlignment="1" applyProtection="1">
      <alignment vertical="center" wrapText="1"/>
      <protection hidden="1"/>
    </xf>
    <xf numFmtId="170" fontId="0" fillId="0" borderId="0" xfId="0" applyNumberFormat="1" applyFont="1" applyFill="1" applyAlignment="1">
      <alignment/>
    </xf>
    <xf numFmtId="177" fontId="1" fillId="0" borderId="11" xfId="0" applyNumberFormat="1" applyFont="1" applyBorder="1" applyAlignment="1" applyProtection="1">
      <alignment vertical="center"/>
      <protection hidden="1"/>
    </xf>
    <xf numFmtId="0" fontId="40" fillId="19" borderId="0" xfId="0" applyFont="1" applyFill="1" applyAlignment="1" applyProtection="1">
      <alignment horizontal="center" vertical="center"/>
      <protection hidden="1" locked="0"/>
    </xf>
    <xf numFmtId="170" fontId="37" fillId="0" borderId="11" xfId="0" applyNumberFormat="1" applyFont="1" applyFill="1" applyBorder="1" applyAlignment="1" applyProtection="1">
      <alignment horizontal="right" vertical="center"/>
      <protection hidden="1"/>
    </xf>
    <xf numFmtId="4" fontId="35" fillId="21" borderId="0" xfId="68" applyNumberFormat="1" applyFont="1" applyFill="1" applyProtection="1">
      <alignment/>
      <protection locked="0"/>
    </xf>
    <xf numFmtId="187" fontId="35" fillId="0" borderId="0" xfId="0" applyNumberFormat="1" applyFont="1" applyAlignment="1">
      <alignment/>
    </xf>
    <xf numFmtId="0" fontId="0" fillId="0" borderId="0" xfId="0" applyAlignment="1">
      <alignment/>
    </xf>
    <xf numFmtId="0" fontId="43" fillId="22" borderId="0" xfId="67" applyFont="1" applyFill="1" applyAlignment="1" applyProtection="1">
      <alignment horizontal="left" vertical="center"/>
      <protection hidden="1"/>
    </xf>
    <xf numFmtId="3" fontId="37" fillId="22" borderId="0" xfId="0" applyNumberFormat="1" applyFont="1" applyFill="1" applyAlignment="1" applyProtection="1">
      <alignment horizontal="center" vertical="center"/>
      <protection hidden="1"/>
    </xf>
    <xf numFmtId="3" fontId="37" fillId="22" borderId="11" xfId="0" applyNumberFormat="1" applyFont="1" applyFill="1" applyBorder="1" applyAlignment="1" applyProtection="1">
      <alignment horizontal="left" vertical="center" wrapText="1"/>
      <protection hidden="1"/>
    </xf>
    <xf numFmtId="3" fontId="37" fillId="22" borderId="11" xfId="0" applyNumberFormat="1" applyFont="1" applyFill="1" applyBorder="1" applyAlignment="1" applyProtection="1">
      <alignment horizontal="left" vertical="center"/>
      <protection hidden="1"/>
    </xf>
    <xf numFmtId="170" fontId="37" fillId="22" borderId="11" xfId="0" applyNumberFormat="1" applyFont="1" applyFill="1" applyBorder="1" applyAlignment="1" applyProtection="1">
      <alignment horizontal="right" vertical="center"/>
      <protection hidden="1"/>
    </xf>
    <xf numFmtId="3" fontId="1" fillId="22" borderId="0" xfId="0" applyNumberFormat="1" applyFont="1" applyFill="1" applyAlignment="1" applyProtection="1">
      <alignment horizontal="center" vertical="center"/>
      <protection hidden="1"/>
    </xf>
    <xf numFmtId="3" fontId="1" fillId="22" borderId="11" xfId="0" applyNumberFormat="1" applyFont="1" applyFill="1" applyBorder="1" applyAlignment="1" applyProtection="1">
      <alignment horizontal="left" vertical="center"/>
      <protection hidden="1"/>
    </xf>
    <xf numFmtId="170" fontId="1" fillId="22" borderId="11" xfId="0" applyNumberFormat="1" applyFont="1" applyFill="1" applyBorder="1" applyAlignment="1" applyProtection="1">
      <alignment horizontal="right" vertical="center"/>
      <protection hidden="1"/>
    </xf>
    <xf numFmtId="0" fontId="34" fillId="0" borderId="0" xfId="0" applyFont="1" applyAlignment="1" applyProtection="1">
      <alignment/>
      <protection/>
    </xf>
    <xf numFmtId="0" fontId="34" fillId="0" borderId="0" xfId="0" applyFont="1" applyAlignment="1" applyProtection="1">
      <alignment/>
      <protection/>
    </xf>
    <xf numFmtId="0" fontId="0" fillId="0" borderId="0" xfId="0" applyAlignment="1" applyProtection="1">
      <alignment/>
      <protection/>
    </xf>
    <xf numFmtId="0" fontId="35" fillId="0" borderId="0" xfId="0" applyFont="1" applyAlignment="1" applyProtection="1">
      <alignment horizontal="center"/>
      <protection/>
    </xf>
    <xf numFmtId="0" fontId="35" fillId="0" borderId="0" xfId="0" applyFont="1" applyAlignment="1" applyProtection="1">
      <alignment/>
      <protection/>
    </xf>
    <xf numFmtId="0" fontId="34" fillId="0" borderId="14" xfId="0" applyFont="1" applyBorder="1" applyAlignment="1" applyProtection="1">
      <alignment/>
      <protection/>
    </xf>
    <xf numFmtId="0" fontId="36" fillId="0" borderId="0" xfId="0" applyFont="1" applyAlignment="1" applyProtection="1">
      <alignment/>
      <protection/>
    </xf>
    <xf numFmtId="0" fontId="35" fillId="0" borderId="0" xfId="68" applyFont="1" applyAlignment="1" applyProtection="1">
      <alignment horizontal="center"/>
      <protection/>
    </xf>
    <xf numFmtId="4" fontId="35" fillId="0" borderId="0" xfId="0" applyNumberFormat="1" applyFont="1" applyAlignment="1" applyProtection="1">
      <alignment/>
      <protection/>
    </xf>
    <xf numFmtId="0" fontId="35" fillId="0" borderId="0" xfId="66" applyFont="1" applyAlignment="1" applyProtection="1">
      <alignment horizontal="center"/>
      <protection/>
    </xf>
    <xf numFmtId="187" fontId="67" fillId="0" borderId="15" xfId="54" applyFont="1" applyBorder="1" applyAlignment="1" applyProtection="1">
      <alignment horizontal="center"/>
      <protection/>
    </xf>
    <xf numFmtId="187" fontId="67" fillId="0" borderId="15" xfId="54" applyFont="1" applyBorder="1" applyProtection="1">
      <alignment/>
      <protection/>
    </xf>
    <xf numFmtId="0" fontId="35" fillId="0" borderId="0" xfId="68" applyFont="1" applyProtection="1">
      <alignment/>
      <protection/>
    </xf>
    <xf numFmtId="0" fontId="35" fillId="0" borderId="0" xfId="69" applyFont="1" applyAlignment="1" applyProtection="1">
      <alignment horizontal="center"/>
      <protection/>
    </xf>
    <xf numFmtId="0" fontId="35" fillId="0" borderId="0" xfId="66" applyFont="1" applyProtection="1">
      <alignment/>
      <protection/>
    </xf>
    <xf numFmtId="0" fontId="19" fillId="0" borderId="0" xfId="0" applyFont="1" applyAlignment="1" applyProtection="1">
      <alignment/>
      <protection/>
    </xf>
    <xf numFmtId="0" fontId="35" fillId="0" borderId="0" xfId="68" applyFont="1" applyFill="1" applyProtection="1">
      <alignment/>
      <protection/>
    </xf>
    <xf numFmtId="4" fontId="35" fillId="0" borderId="0" xfId="68" applyNumberFormat="1" applyFont="1" applyProtection="1">
      <alignment/>
      <protection/>
    </xf>
    <xf numFmtId="4" fontId="36" fillId="0" borderId="16" xfId="0" applyNumberFormat="1" applyFont="1" applyBorder="1" applyAlignment="1" applyProtection="1">
      <alignment/>
      <protection/>
    </xf>
    <xf numFmtId="4" fontId="36" fillId="0" borderId="0" xfId="0" applyNumberFormat="1" applyFont="1" applyAlignment="1" applyProtection="1">
      <alignment/>
      <protection/>
    </xf>
    <xf numFmtId="0" fontId="36" fillId="0" borderId="0" xfId="68" applyFont="1" applyProtection="1">
      <alignment/>
      <protection/>
    </xf>
    <xf numFmtId="0" fontId="35" fillId="0" borderId="0" xfId="68" applyFont="1" applyAlignment="1" applyProtection="1">
      <alignment wrapText="1"/>
      <protection/>
    </xf>
    <xf numFmtId="4" fontId="36" fillId="0" borderId="16" xfId="68" applyNumberFormat="1" applyFont="1" applyBorder="1" applyProtection="1">
      <alignment/>
      <protection/>
    </xf>
    <xf numFmtId="0" fontId="48" fillId="0" borderId="0" xfId="0" applyFont="1" applyAlignment="1" applyProtection="1">
      <alignment horizontal="center"/>
      <protection/>
    </xf>
    <xf numFmtId="0" fontId="52" fillId="0" borderId="0" xfId="0" applyFont="1" applyAlignment="1" applyProtection="1">
      <alignment/>
      <protection/>
    </xf>
    <xf numFmtId="4" fontId="52" fillId="0" borderId="0" xfId="0" applyNumberFormat="1" applyFont="1" applyAlignment="1" applyProtection="1">
      <alignment/>
      <protection/>
    </xf>
    <xf numFmtId="9" fontId="35" fillId="0" borderId="0" xfId="74" applyFont="1" applyAlignment="1" applyProtection="1">
      <alignment/>
      <protection/>
    </xf>
    <xf numFmtId="0" fontId="36" fillId="0" borderId="14" xfId="0" applyFont="1" applyBorder="1" applyAlignment="1" applyProtection="1">
      <alignment/>
      <protection/>
    </xf>
    <xf numFmtId="0" fontId="35" fillId="0" borderId="14" xfId="0" applyFont="1" applyBorder="1" applyAlignment="1" applyProtection="1">
      <alignment/>
      <protection/>
    </xf>
    <xf numFmtId="4" fontId="36" fillId="0" borderId="14" xfId="0" applyNumberFormat="1" applyFont="1" applyBorder="1" applyAlignment="1" applyProtection="1">
      <alignment/>
      <protection/>
    </xf>
    <xf numFmtId="3" fontId="0" fillId="0" borderId="0" xfId="0" applyNumberFormat="1" applyAlignment="1" applyProtection="1">
      <alignment horizontal="left" vertical="center"/>
      <protection/>
    </xf>
    <xf numFmtId="0" fontId="0" fillId="0" borderId="0" xfId="0" applyAlignment="1" applyProtection="1">
      <alignment horizontal="center"/>
      <protection/>
    </xf>
    <xf numFmtId="0" fontId="0" fillId="0" borderId="0" xfId="0" applyAlignment="1" applyProtection="1">
      <alignment/>
      <protection/>
    </xf>
    <xf numFmtId="166" fontId="19" fillId="17" borderId="0" xfId="73" applyNumberFormat="1" applyFont="1" applyFill="1" applyAlignment="1" applyProtection="1">
      <alignment/>
      <protection locked="0"/>
    </xf>
    <xf numFmtId="0" fontId="0" fillId="0" borderId="0" xfId="0" applyFont="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Alignment="1" applyProtection="1">
      <alignment vertical="center"/>
      <protection/>
    </xf>
    <xf numFmtId="0" fontId="0" fillId="0" borderId="0" xfId="0" applyFont="1" applyAlignment="1" applyProtection="1">
      <alignment/>
      <protection/>
    </xf>
    <xf numFmtId="167" fontId="19" fillId="0" borderId="17" xfId="0" applyNumberFormat="1" applyFont="1" applyBorder="1" applyAlignment="1" applyProtection="1">
      <alignment horizontal="right"/>
      <protection/>
    </xf>
    <xf numFmtId="0" fontId="19" fillId="0" borderId="17" xfId="0" applyFont="1" applyBorder="1" applyAlignment="1" applyProtection="1">
      <alignment horizontal="right"/>
      <protection/>
    </xf>
    <xf numFmtId="167" fontId="0" fillId="0" borderId="0" xfId="0" applyNumberFormat="1" applyFont="1" applyAlignment="1" applyProtection="1">
      <alignment/>
      <protection/>
    </xf>
    <xf numFmtId="0" fontId="0" fillId="0" borderId="0" xfId="0" applyFont="1" applyAlignment="1" applyProtection="1">
      <alignment vertical="center"/>
      <protection/>
    </xf>
    <xf numFmtId="0" fontId="21" fillId="0" borderId="18" xfId="0" applyFont="1" applyBorder="1" applyAlignment="1" applyProtection="1">
      <alignment vertical="center"/>
      <protection/>
    </xf>
    <xf numFmtId="0" fontId="0" fillId="0" borderId="19" xfId="0" applyFont="1" applyBorder="1" applyAlignment="1" applyProtection="1">
      <alignment/>
      <protection/>
    </xf>
    <xf numFmtId="167" fontId="0" fillId="0" borderId="19" xfId="0" applyNumberFormat="1" applyFont="1" applyBorder="1" applyAlignment="1" applyProtection="1">
      <alignment/>
      <protection/>
    </xf>
    <xf numFmtId="0" fontId="21" fillId="0" borderId="20" xfId="0" applyFont="1" applyBorder="1" applyAlignment="1" applyProtection="1">
      <alignment horizontal="right"/>
      <protection/>
    </xf>
    <xf numFmtId="0" fontId="23" fillId="0" borderId="21" xfId="0" applyFont="1" applyBorder="1" applyAlignment="1" applyProtection="1">
      <alignment vertical="center"/>
      <protection/>
    </xf>
    <xf numFmtId="0" fontId="0" fillId="0" borderId="22" xfId="0" applyFont="1" applyBorder="1" applyAlignment="1" applyProtection="1">
      <alignment/>
      <protection/>
    </xf>
    <xf numFmtId="167" fontId="0" fillId="0" borderId="22" xfId="0" applyNumberFormat="1" applyFont="1" applyBorder="1" applyAlignment="1" applyProtection="1">
      <alignment/>
      <protection/>
    </xf>
    <xf numFmtId="0" fontId="24" fillId="0" borderId="23" xfId="0" applyFont="1" applyBorder="1" applyAlignment="1" applyProtection="1">
      <alignment horizontal="right"/>
      <protection/>
    </xf>
    <xf numFmtId="0" fontId="20" fillId="0" borderId="0" xfId="0" applyFont="1" applyBorder="1" applyAlignment="1" applyProtection="1">
      <alignment/>
      <protection/>
    </xf>
    <xf numFmtId="0" fontId="0" fillId="0" borderId="0" xfId="67" applyNumberFormat="1" applyFont="1" applyFill="1" applyBorder="1" applyAlignment="1" applyProtection="1">
      <alignment horizontal="left" vertical="center"/>
      <protection/>
    </xf>
    <xf numFmtId="0" fontId="25" fillId="20" borderId="11" xfId="55" applyNumberFormat="1" applyFill="1" applyBorder="1" applyAlignment="1" applyProtection="1">
      <alignment horizontal="left" vertical="center"/>
      <protection/>
    </xf>
    <xf numFmtId="0" fontId="20" fillId="20" borderId="11" xfId="0" applyFont="1" applyFill="1" applyBorder="1" applyAlignment="1" applyProtection="1">
      <alignment/>
      <protection/>
    </xf>
    <xf numFmtId="167" fontId="20" fillId="0" borderId="11" xfId="0" applyNumberFormat="1" applyFont="1" applyBorder="1" applyAlignment="1" applyProtection="1">
      <alignment/>
      <protection/>
    </xf>
    <xf numFmtId="176" fontId="20" fillId="0" borderId="11" xfId="0" applyNumberFormat="1" applyFont="1" applyBorder="1" applyAlignment="1" applyProtection="1">
      <alignment/>
      <protection/>
    </xf>
    <xf numFmtId="0" fontId="0" fillId="0" borderId="0" xfId="67" applyNumberFormat="1" applyFont="1" applyFill="1" applyBorder="1" applyAlignment="1" applyProtection="1">
      <alignment horizontal="left" vertical="center" indent="1"/>
      <protection/>
    </xf>
    <xf numFmtId="0" fontId="0" fillId="0" borderId="0" xfId="67" applyNumberFormat="1" applyFont="1" applyFill="1" applyBorder="1" applyAlignment="1" applyProtection="1">
      <alignment horizontal="left" vertical="center" indent="1"/>
      <protection/>
    </xf>
    <xf numFmtId="0" fontId="0" fillId="0" borderId="0" xfId="0" applyFont="1" applyBorder="1" applyAlignment="1" applyProtection="1">
      <alignment vertical="center"/>
      <protection/>
    </xf>
    <xf numFmtId="167" fontId="0" fillId="0" borderId="0" xfId="0" applyNumberFormat="1" applyFont="1" applyBorder="1" applyAlignment="1" applyProtection="1">
      <alignment/>
      <protection/>
    </xf>
    <xf numFmtId="176" fontId="0" fillId="0" borderId="0" xfId="0" applyNumberFormat="1" applyFont="1" applyBorder="1" applyAlignment="1" applyProtection="1">
      <alignment/>
      <protection/>
    </xf>
    <xf numFmtId="0" fontId="26" fillId="0" borderId="9" xfId="0" applyFont="1" applyBorder="1" applyAlignment="1" applyProtection="1">
      <alignment vertical="center"/>
      <protection/>
    </xf>
    <xf numFmtId="0" fontId="0" fillId="0" borderId="9" xfId="0" applyFont="1" applyBorder="1" applyAlignment="1" applyProtection="1">
      <alignment/>
      <protection/>
    </xf>
    <xf numFmtId="176" fontId="27" fillId="0" borderId="9" xfId="0" applyNumberFormat="1" applyFont="1" applyBorder="1" applyAlignment="1" applyProtection="1">
      <alignment/>
      <protection/>
    </xf>
    <xf numFmtId="0" fontId="0" fillId="0" borderId="9" xfId="0" applyFont="1" applyBorder="1" applyAlignment="1" applyProtection="1">
      <alignment vertical="center"/>
      <protection/>
    </xf>
    <xf numFmtId="167" fontId="0" fillId="0" borderId="9" xfId="0" applyNumberFormat="1" applyFont="1" applyBorder="1" applyAlignment="1" applyProtection="1">
      <alignment/>
      <protection/>
    </xf>
    <xf numFmtId="3" fontId="20" fillId="0" borderId="9" xfId="0" applyNumberFormat="1" applyFont="1" applyBorder="1" applyAlignment="1" applyProtection="1">
      <alignment/>
      <protection/>
    </xf>
    <xf numFmtId="0" fontId="0" fillId="0" borderId="9" xfId="0" applyBorder="1" applyAlignment="1" applyProtection="1">
      <alignment/>
      <protection/>
    </xf>
    <xf numFmtId="170" fontId="0" fillId="0" borderId="9" xfId="0" applyNumberFormat="1" applyBorder="1" applyAlignment="1" applyProtection="1">
      <alignment/>
      <protection/>
    </xf>
    <xf numFmtId="3" fontId="0" fillId="0" borderId="9" xfId="0" applyNumberFormat="1" applyFont="1" applyBorder="1" applyAlignment="1" applyProtection="1">
      <alignment horizontal="right"/>
      <protection/>
    </xf>
    <xf numFmtId="176" fontId="20" fillId="0" borderId="9" xfId="0" applyNumberFormat="1" applyFont="1" applyBorder="1" applyAlignment="1" applyProtection="1">
      <alignment/>
      <protection/>
    </xf>
    <xf numFmtId="0" fontId="0" fillId="0" borderId="9" xfId="0" applyFont="1" applyFill="1" applyBorder="1" applyAlignment="1" applyProtection="1">
      <alignment vertical="center"/>
      <protection/>
    </xf>
    <xf numFmtId="0" fontId="0" fillId="0" borderId="9" xfId="0" applyFont="1" applyFill="1" applyBorder="1" applyAlignment="1" applyProtection="1">
      <alignment/>
      <protection/>
    </xf>
    <xf numFmtId="167" fontId="0" fillId="0" borderId="9" xfId="0" applyNumberFormat="1" applyFont="1" applyFill="1" applyBorder="1" applyAlignment="1" applyProtection="1">
      <alignment/>
      <protection/>
    </xf>
    <xf numFmtId="10" fontId="0" fillId="0" borderId="9" xfId="73" applyNumberFormat="1" applyFill="1" applyBorder="1" applyAlignment="1" applyProtection="1">
      <alignment vertical="center"/>
      <protection/>
    </xf>
    <xf numFmtId="176" fontId="0" fillId="0" borderId="9" xfId="0" applyNumberFormat="1" applyFont="1" applyFill="1" applyBorder="1" applyAlignment="1" applyProtection="1">
      <alignment/>
      <protection/>
    </xf>
    <xf numFmtId="176" fontId="20" fillId="0" borderId="9" xfId="0" applyNumberFormat="1" applyFont="1" applyBorder="1" applyAlignment="1" applyProtection="1">
      <alignment/>
      <protection/>
    </xf>
    <xf numFmtId="176" fontId="0" fillId="0" borderId="9" xfId="0" applyNumberFormat="1" applyFont="1" applyBorder="1" applyAlignment="1" applyProtection="1">
      <alignment/>
      <protection/>
    </xf>
    <xf numFmtId="0" fontId="0" fillId="0" borderId="24" xfId="0" applyFont="1" applyBorder="1" applyAlignment="1" applyProtection="1">
      <alignment vertical="center"/>
      <protection/>
    </xf>
    <xf numFmtId="0" fontId="0" fillId="0" borderId="24" xfId="0" applyFont="1" applyBorder="1" applyAlignment="1" applyProtection="1">
      <alignment/>
      <protection/>
    </xf>
    <xf numFmtId="167" fontId="0" fillId="0" borderId="24" xfId="0" applyNumberFormat="1" applyFont="1" applyBorder="1" applyAlignment="1" applyProtection="1">
      <alignment/>
      <protection/>
    </xf>
    <xf numFmtId="0" fontId="27" fillId="0" borderId="24" xfId="0" applyFont="1" applyBorder="1" applyAlignment="1" applyProtection="1">
      <alignment vertical="center"/>
      <protection/>
    </xf>
    <xf numFmtId="0" fontId="38" fillId="0" borderId="0" xfId="0" applyFont="1" applyAlignment="1" applyProtection="1">
      <alignment horizontal="left"/>
      <protection/>
    </xf>
    <xf numFmtId="0" fontId="39" fillId="0" borderId="0" xfId="0" applyFont="1" applyFill="1" applyBorder="1" applyAlignment="1" applyProtection="1">
      <alignment horizontal="left"/>
      <protection/>
    </xf>
    <xf numFmtId="182" fontId="39" fillId="0" borderId="0" xfId="0" applyNumberFormat="1" applyFont="1" applyAlignment="1" applyProtection="1">
      <alignment/>
      <protection/>
    </xf>
    <xf numFmtId="183" fontId="20" fillId="0" borderId="0" xfId="0" applyNumberFormat="1" applyFont="1" applyAlignment="1" applyProtection="1">
      <alignment/>
      <protection/>
    </xf>
    <xf numFmtId="0" fontId="20" fillId="0" borderId="0" xfId="0" applyFont="1" applyAlignment="1" applyProtection="1">
      <alignment/>
      <protection/>
    </xf>
    <xf numFmtId="176" fontId="20" fillId="0" borderId="0" xfId="0" applyNumberFormat="1" applyFont="1" applyAlignment="1" applyProtection="1">
      <alignment/>
      <protection/>
    </xf>
    <xf numFmtId="0" fontId="28" fillId="0" borderId="0" xfId="0" applyFont="1" applyFill="1" applyBorder="1" applyAlignment="1" applyProtection="1">
      <alignment vertical="center"/>
      <protection/>
    </xf>
    <xf numFmtId="0" fontId="20" fillId="0" borderId="0" xfId="0" applyFont="1" applyAlignment="1" applyProtection="1">
      <alignment vertical="center"/>
      <protection/>
    </xf>
    <xf numFmtId="3" fontId="0" fillId="2" borderId="0" xfId="0" applyNumberFormat="1" applyFont="1" applyFill="1" applyBorder="1" applyAlignment="1" applyProtection="1">
      <alignment vertical="center"/>
      <protection/>
    </xf>
    <xf numFmtId="4" fontId="0" fillId="0" borderId="0" xfId="67" applyNumberFormat="1" applyFont="1" applyFill="1" applyBorder="1" applyProtection="1">
      <alignment/>
      <protection/>
    </xf>
    <xf numFmtId="167" fontId="0" fillId="0" borderId="0" xfId="67" applyNumberFormat="1" applyFont="1" applyFill="1" applyBorder="1" applyProtection="1">
      <alignment/>
      <protection/>
    </xf>
    <xf numFmtId="3" fontId="0" fillId="2" borderId="0" xfId="0" applyNumberFormat="1" applyFont="1" applyFill="1" applyBorder="1" applyAlignment="1" applyProtection="1">
      <alignment horizontal="left" vertical="center" wrapText="1"/>
      <protection/>
    </xf>
    <xf numFmtId="0" fontId="29" fillId="0" borderId="0" xfId="0" applyFont="1" applyBorder="1" applyAlignment="1" applyProtection="1">
      <alignment/>
      <protection/>
    </xf>
    <xf numFmtId="0" fontId="29" fillId="0" borderId="0" xfId="0" applyFont="1" applyFill="1" applyBorder="1" applyAlignment="1" applyProtection="1">
      <alignment horizontal="center"/>
      <protection/>
    </xf>
    <xf numFmtId="0" fontId="29" fillId="0" borderId="0" xfId="0" applyFont="1" applyAlignment="1" applyProtection="1">
      <alignment vertical="center"/>
      <protection/>
    </xf>
    <xf numFmtId="0" fontId="29" fillId="0" borderId="0" xfId="0" applyFont="1" applyAlignment="1" applyProtection="1">
      <alignment/>
      <protection/>
    </xf>
    <xf numFmtId="167" fontId="29" fillId="0" borderId="0" xfId="0" applyNumberFormat="1" applyFont="1" applyAlignment="1" applyProtection="1">
      <alignment/>
      <protection/>
    </xf>
    <xf numFmtId="167" fontId="0" fillId="0" borderId="0" xfId="0" applyNumberFormat="1" applyFont="1" applyFill="1" applyBorder="1" applyAlignment="1" applyProtection="1">
      <alignment horizontal="left" vertical="top" wrapText="1"/>
      <protection/>
    </xf>
    <xf numFmtId="0" fontId="0" fillId="0" borderId="0" xfId="0" applyFont="1" applyFill="1" applyBorder="1" applyAlignment="1" applyProtection="1">
      <alignment/>
      <protection/>
    </xf>
    <xf numFmtId="167" fontId="0" fillId="0" borderId="0" xfId="0" applyNumberFormat="1" applyFont="1" applyFill="1" applyBorder="1" applyAlignment="1" applyProtection="1">
      <alignment/>
      <protection/>
    </xf>
    <xf numFmtId="4" fontId="0" fillId="0" borderId="0" xfId="0" applyNumberFormat="1" applyFont="1" applyFill="1" applyBorder="1" applyAlignment="1" applyProtection="1">
      <alignment/>
      <protection/>
    </xf>
    <xf numFmtId="0" fontId="0" fillId="0" borderId="0" xfId="67" applyFont="1" applyFill="1" applyBorder="1" applyAlignment="1" applyProtection="1">
      <alignment vertical="center"/>
      <protection/>
    </xf>
    <xf numFmtId="49" fontId="30" fillId="0" borderId="0" xfId="0" applyNumberFormat="1" applyFont="1" applyFill="1" applyBorder="1" applyAlignment="1" applyProtection="1">
      <alignment horizontal="center" vertical="center"/>
      <protection/>
    </xf>
    <xf numFmtId="3" fontId="33" fillId="0" borderId="0" xfId="0" applyNumberFormat="1" applyFont="1" applyFill="1" applyBorder="1" applyAlignment="1" applyProtection="1">
      <alignment horizontal="left" vertical="center" wrapText="1"/>
      <protection/>
    </xf>
    <xf numFmtId="3" fontId="1" fillId="0" borderId="0" xfId="0" applyNumberFormat="1" applyFont="1" applyFill="1" applyBorder="1" applyAlignment="1" applyProtection="1">
      <alignment horizontal="left" vertical="center" wrapText="1"/>
      <protection/>
    </xf>
    <xf numFmtId="3" fontId="1" fillId="0" borderId="12" xfId="0" applyNumberFormat="1" applyFont="1" applyFill="1" applyBorder="1" applyAlignment="1" applyProtection="1">
      <alignment horizontal="left" vertical="center" wrapText="1"/>
      <protection/>
    </xf>
    <xf numFmtId="0" fontId="0" fillId="0" borderId="0" xfId="67" applyAlignment="1" applyProtection="1">
      <alignment horizontal="right" vertical="center"/>
      <protection/>
    </xf>
    <xf numFmtId="0" fontId="0" fillId="0" borderId="0" xfId="0" applyAlignment="1" applyProtection="1">
      <alignment horizontal="left"/>
      <protection/>
    </xf>
    <xf numFmtId="0" fontId="23" fillId="0" borderId="0" xfId="0" applyFont="1" applyAlignment="1" applyProtection="1">
      <alignment vertical="center"/>
      <protection/>
    </xf>
    <xf numFmtId="2" fontId="0" fillId="0" borderId="0" xfId="0" applyNumberFormat="1" applyAlignment="1" applyProtection="1">
      <alignment/>
      <protection/>
    </xf>
    <xf numFmtId="167" fontId="0" fillId="0" borderId="0" xfId="0" applyNumberFormat="1" applyAlignment="1" applyProtection="1">
      <alignment/>
      <protection/>
    </xf>
    <xf numFmtId="0" fontId="24" fillId="0" borderId="0" xfId="0" applyFont="1" applyAlignment="1" applyProtection="1">
      <alignment horizontal="right"/>
      <protection/>
    </xf>
    <xf numFmtId="0" fontId="26" fillId="0" borderId="0" xfId="0" applyFont="1" applyAlignment="1" applyProtection="1">
      <alignment horizontal="center" vertical="center"/>
      <protection/>
    </xf>
    <xf numFmtId="0" fontId="20" fillId="17" borderId="12" xfId="0" applyFont="1" applyFill="1" applyBorder="1" applyAlignment="1" applyProtection="1">
      <alignment horizontal="left"/>
      <protection/>
    </xf>
    <xf numFmtId="2" fontId="20" fillId="17" borderId="12" xfId="0" applyNumberFormat="1" applyFont="1" applyFill="1" applyBorder="1" applyAlignment="1" applyProtection="1">
      <alignment horizontal="right"/>
      <protection/>
    </xf>
    <xf numFmtId="0" fontId="20" fillId="17" borderId="12" xfId="0" applyFont="1" applyFill="1" applyBorder="1" applyAlignment="1" applyProtection="1">
      <alignment horizontal="right"/>
      <protection/>
    </xf>
    <xf numFmtId="0" fontId="20" fillId="17" borderId="0" xfId="0" applyFont="1" applyFill="1" applyAlignment="1" applyProtection="1">
      <alignment horizontal="left"/>
      <protection/>
    </xf>
    <xf numFmtId="2" fontId="20" fillId="17" borderId="0" xfId="0" applyNumberFormat="1" applyFont="1" applyFill="1" applyAlignment="1" applyProtection="1">
      <alignment horizontal="right"/>
      <protection/>
    </xf>
    <xf numFmtId="0" fontId="20" fillId="17" borderId="0" xfId="0" applyFont="1" applyFill="1" applyAlignment="1" applyProtection="1">
      <alignment horizontal="right"/>
      <protection/>
    </xf>
    <xf numFmtId="0" fontId="1" fillId="0" borderId="0" xfId="67" applyFont="1" applyAlignment="1" applyProtection="1">
      <alignment horizontal="right" vertical="center"/>
      <protection/>
    </xf>
    <xf numFmtId="0" fontId="41" fillId="0" borderId="0" xfId="0" applyFont="1" applyAlignment="1" applyProtection="1">
      <alignment/>
      <protection/>
    </xf>
    <xf numFmtId="3" fontId="1" fillId="0" borderId="0" xfId="0" applyNumberFormat="1" applyFont="1" applyAlignment="1" applyProtection="1">
      <alignment horizontal="center" vertical="center"/>
      <protection/>
    </xf>
    <xf numFmtId="3" fontId="1" fillId="0" borderId="11" xfId="0" applyNumberFormat="1" applyFont="1" applyBorder="1" applyAlignment="1" applyProtection="1">
      <alignment horizontal="left" vertical="center" wrapText="1"/>
      <protection/>
    </xf>
    <xf numFmtId="3" fontId="1" fillId="0" borderId="11" xfId="0" applyNumberFormat="1" applyFont="1" applyBorder="1" applyAlignment="1" applyProtection="1">
      <alignment horizontal="left" vertical="center"/>
      <protection/>
    </xf>
    <xf numFmtId="2" fontId="1" fillId="0" borderId="11" xfId="0" applyNumberFormat="1" applyFont="1" applyBorder="1" applyAlignment="1" applyProtection="1">
      <alignment horizontal="right" vertical="center"/>
      <protection/>
    </xf>
    <xf numFmtId="177" fontId="1" fillId="0" borderId="11" xfId="0" applyNumberFormat="1" applyFont="1" applyBorder="1" applyAlignment="1" applyProtection="1">
      <alignment vertical="center"/>
      <protection/>
    </xf>
    <xf numFmtId="3" fontId="1" fillId="0" borderId="0" xfId="0" applyNumberFormat="1" applyFont="1" applyAlignment="1" applyProtection="1">
      <alignment horizontal="left" vertical="center" wrapText="1"/>
      <protection/>
    </xf>
    <xf numFmtId="3" fontId="1" fillId="0" borderId="0" xfId="0" applyNumberFormat="1" applyFont="1" applyAlignment="1" applyProtection="1">
      <alignment horizontal="left" vertical="center"/>
      <protection/>
    </xf>
    <xf numFmtId="2" fontId="1" fillId="0" borderId="0" xfId="0" applyNumberFormat="1" applyFont="1" applyAlignment="1" applyProtection="1">
      <alignment horizontal="right" vertical="center"/>
      <protection/>
    </xf>
    <xf numFmtId="0" fontId="0" fillId="0" borderId="0" xfId="0" applyAlignment="1" applyProtection="1">
      <alignment horizontal="right"/>
      <protection/>
    </xf>
    <xf numFmtId="180" fontId="1" fillId="23" borderId="11" xfId="0" applyNumberFormat="1" applyFont="1" applyFill="1" applyBorder="1" applyAlignment="1" applyProtection="1">
      <alignment vertical="center"/>
      <protection/>
    </xf>
    <xf numFmtId="0" fontId="20" fillId="6" borderId="25" xfId="67" applyFont="1" applyFill="1" applyBorder="1" applyAlignment="1" applyProtection="1">
      <alignment vertical="center" wrapText="1"/>
      <protection/>
    </xf>
    <xf numFmtId="0" fontId="0" fillId="6" borderId="26" xfId="67" applyFill="1" applyBorder="1" applyProtection="1">
      <alignment/>
      <protection/>
    </xf>
    <xf numFmtId="2" fontId="0" fillId="6" borderId="26" xfId="0" applyNumberFormat="1" applyFill="1" applyBorder="1" applyAlignment="1" applyProtection="1">
      <alignment/>
      <protection/>
    </xf>
    <xf numFmtId="167" fontId="0" fillId="6" borderId="26" xfId="0" applyNumberFormat="1" applyFill="1" applyBorder="1" applyAlignment="1" applyProtection="1">
      <alignment/>
      <protection/>
    </xf>
    <xf numFmtId="176" fontId="1" fillId="6" borderId="27" xfId="0" applyNumberFormat="1" applyFont="1" applyFill="1" applyBorder="1" applyAlignment="1" applyProtection="1">
      <alignment/>
      <protection/>
    </xf>
    <xf numFmtId="170" fontId="44" fillId="0" borderId="17" xfId="0" applyNumberFormat="1" applyFont="1" applyBorder="1" applyAlignment="1" applyProtection="1">
      <alignment horizontal="left" wrapText="1"/>
      <protection/>
    </xf>
    <xf numFmtId="3" fontId="45" fillId="0" borderId="0" xfId="0" applyNumberFormat="1" applyFont="1" applyAlignment="1" applyProtection="1">
      <alignment horizontal="center" vertical="center"/>
      <protection/>
    </xf>
    <xf numFmtId="4" fontId="0" fillId="0" borderId="0" xfId="0" applyNumberFormat="1" applyFont="1" applyBorder="1" applyAlignment="1" applyProtection="1">
      <alignment/>
      <protection/>
    </xf>
    <xf numFmtId="0" fontId="0" fillId="0" borderId="12" xfId="0" applyFont="1" applyBorder="1" applyAlignment="1" applyProtection="1">
      <alignment/>
      <protection/>
    </xf>
    <xf numFmtId="0" fontId="30" fillId="0" borderId="0" xfId="67"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1" fillId="0" borderId="0" xfId="67" applyFont="1" applyFill="1" applyBorder="1" applyAlignment="1" applyProtection="1">
      <alignment vertical="center"/>
      <protection/>
    </xf>
    <xf numFmtId="0" fontId="43" fillId="0" borderId="0" xfId="67" applyFont="1" applyAlignment="1" applyProtection="1">
      <alignment horizontal="left" vertical="center"/>
      <protection/>
    </xf>
    <xf numFmtId="170" fontId="1" fillId="0" borderId="11" xfId="0" applyNumberFormat="1" applyFont="1" applyBorder="1" applyAlignment="1" applyProtection="1">
      <alignment horizontal="right" vertical="center"/>
      <protection/>
    </xf>
    <xf numFmtId="177" fontId="1" fillId="0" borderId="11" xfId="0" applyNumberFormat="1" applyFont="1" applyFill="1" applyBorder="1" applyAlignment="1" applyProtection="1">
      <alignment vertical="center"/>
      <protection/>
    </xf>
    <xf numFmtId="170" fontId="1" fillId="0" borderId="11" xfId="0" applyNumberFormat="1" applyFont="1" applyFill="1" applyBorder="1" applyAlignment="1" applyProtection="1">
      <alignment horizontal="right" vertical="center"/>
      <protection/>
    </xf>
    <xf numFmtId="167" fontId="42" fillId="0" borderId="11" xfId="0" applyNumberFormat="1" applyFont="1" applyBorder="1" applyAlignment="1" applyProtection="1">
      <alignment horizontal="left" vertical="center"/>
      <protection/>
    </xf>
    <xf numFmtId="170" fontId="42" fillId="0" borderId="11" xfId="0" applyNumberFormat="1" applyFont="1" applyBorder="1" applyAlignment="1" applyProtection="1">
      <alignment horizontal="left" vertical="center"/>
      <protection/>
    </xf>
    <xf numFmtId="167" fontId="1" fillId="0" borderId="11" xfId="0" applyNumberFormat="1" applyFont="1" applyBorder="1" applyAlignment="1" applyProtection="1">
      <alignment horizontal="right" vertical="center"/>
      <protection/>
    </xf>
    <xf numFmtId="177" fontId="1" fillId="22" borderId="11" xfId="0" applyNumberFormat="1" applyFont="1" applyFill="1" applyBorder="1" applyAlignment="1" applyProtection="1">
      <alignment vertical="center"/>
      <protection/>
    </xf>
    <xf numFmtId="3" fontId="1" fillId="19" borderId="0" xfId="0" applyNumberFormat="1" applyFont="1" applyFill="1" applyAlignment="1" applyProtection="1">
      <alignment horizontal="center" vertical="center"/>
      <protection/>
    </xf>
    <xf numFmtId="167" fontId="42" fillId="0" borderId="11" xfId="0" applyNumberFormat="1" applyFont="1" applyBorder="1" applyAlignment="1" applyProtection="1">
      <alignment horizontal="left" vertical="center"/>
      <protection/>
    </xf>
    <xf numFmtId="0" fontId="43" fillId="0" borderId="0" xfId="67" applyFont="1" applyAlignment="1" applyProtection="1">
      <alignment vertical="center"/>
      <protection/>
    </xf>
    <xf numFmtId="0" fontId="41" fillId="0" borderId="0" xfId="0" applyFont="1" applyAlignment="1" applyProtection="1">
      <alignment horizontal="left" vertical="center"/>
      <protection/>
    </xf>
    <xf numFmtId="0" fontId="41" fillId="0" borderId="0" xfId="0" applyFont="1" applyAlignment="1" applyProtection="1">
      <alignment horizontal="left"/>
      <protection/>
    </xf>
    <xf numFmtId="0" fontId="43" fillId="19" borderId="0" xfId="67" applyFont="1" applyFill="1" applyAlignment="1" applyProtection="1">
      <alignment horizontal="left" vertical="center"/>
      <protection/>
    </xf>
    <xf numFmtId="3" fontId="1" fillId="0" borderId="0" xfId="0" applyNumberFormat="1" applyFont="1" applyFill="1" applyBorder="1" applyAlignment="1" applyProtection="1">
      <alignment horizontal="center" vertical="center"/>
      <protection/>
    </xf>
    <xf numFmtId="0" fontId="31" fillId="6" borderId="25" xfId="67" applyFont="1" applyFill="1" applyBorder="1" applyAlignment="1" applyProtection="1">
      <alignment vertical="center" wrapText="1"/>
      <protection/>
    </xf>
    <xf numFmtId="0" fontId="1" fillId="6" borderId="26" xfId="67" applyFont="1" applyFill="1" applyBorder="1" applyProtection="1">
      <alignment/>
      <protection/>
    </xf>
    <xf numFmtId="167" fontId="1" fillId="6" borderId="26" xfId="0" applyNumberFormat="1" applyFont="1" applyFill="1" applyBorder="1" applyAlignment="1" applyProtection="1">
      <alignment/>
      <protection/>
    </xf>
    <xf numFmtId="177" fontId="1" fillId="6" borderId="26" xfId="0" applyNumberFormat="1" applyFont="1" applyFill="1" applyBorder="1" applyAlignment="1" applyProtection="1">
      <alignment/>
      <protection/>
    </xf>
    <xf numFmtId="177" fontId="1" fillId="6" borderId="27" xfId="0" applyNumberFormat="1" applyFont="1" applyFill="1" applyBorder="1" applyAlignment="1" applyProtection="1">
      <alignment/>
      <protection/>
    </xf>
    <xf numFmtId="0" fontId="0" fillId="0" borderId="0" xfId="67" applyFont="1" applyFill="1" applyBorder="1" applyAlignment="1" applyProtection="1">
      <alignment vertical="center" wrapText="1"/>
      <protection/>
    </xf>
    <xf numFmtId="0" fontId="0" fillId="0" borderId="0" xfId="67" applyFont="1" applyFill="1" applyBorder="1" applyProtection="1">
      <alignment/>
      <protection/>
    </xf>
    <xf numFmtId="3" fontId="0" fillId="0" borderId="0" xfId="0" applyNumberFormat="1" applyFont="1" applyBorder="1" applyAlignment="1" applyProtection="1">
      <alignment/>
      <protection/>
    </xf>
    <xf numFmtId="0" fontId="26" fillId="0" borderId="0" xfId="0" applyNumberFormat="1" applyFont="1" applyFill="1" applyBorder="1" applyAlignment="1" applyProtection="1">
      <alignment horizontal="center" vertical="center"/>
      <protection/>
    </xf>
    <xf numFmtId="167" fontId="42" fillId="0" borderId="11" xfId="0" applyNumberFormat="1" applyFont="1" applyFill="1" applyBorder="1" applyAlignment="1" applyProtection="1">
      <alignment horizontal="left" vertical="center"/>
      <protection/>
    </xf>
    <xf numFmtId="3" fontId="37" fillId="0" borderId="0" xfId="0" applyNumberFormat="1" applyFont="1" applyAlignment="1" applyProtection="1">
      <alignment horizontal="center" vertical="center"/>
      <protection/>
    </xf>
    <xf numFmtId="3" fontId="37" fillId="0" borderId="11" xfId="0" applyNumberFormat="1" applyFont="1" applyBorder="1" applyAlignment="1" applyProtection="1">
      <alignment horizontal="left" vertical="center"/>
      <protection/>
    </xf>
    <xf numFmtId="167" fontId="37" fillId="0" borderId="11" xfId="0" applyNumberFormat="1" applyFont="1" applyBorder="1" applyAlignment="1" applyProtection="1">
      <alignment horizontal="right" vertical="center"/>
      <protection/>
    </xf>
    <xf numFmtId="177" fontId="37" fillId="22" borderId="11" xfId="0" applyNumberFormat="1" applyFont="1" applyFill="1" applyBorder="1" applyAlignment="1" applyProtection="1">
      <alignment vertical="center"/>
      <protection/>
    </xf>
    <xf numFmtId="177" fontId="37" fillId="0" borderId="11" xfId="0" applyNumberFormat="1" applyFont="1" applyBorder="1" applyAlignment="1" applyProtection="1">
      <alignment vertical="center"/>
      <protection/>
    </xf>
    <xf numFmtId="0" fontId="0" fillId="0" borderId="13" xfId="67" applyFont="1" applyFill="1" applyBorder="1" applyAlignment="1" applyProtection="1">
      <alignment vertical="center" wrapText="1"/>
      <protection/>
    </xf>
    <xf numFmtId="3" fontId="1" fillId="0" borderId="11" xfId="0" applyNumberFormat="1" applyFont="1" applyFill="1" applyBorder="1" applyAlignment="1" applyProtection="1">
      <alignment horizontal="left" vertical="center"/>
      <protection/>
    </xf>
    <xf numFmtId="167" fontId="1" fillId="0" borderId="11" xfId="0" applyNumberFormat="1" applyFont="1" applyFill="1" applyBorder="1" applyAlignment="1" applyProtection="1">
      <alignment horizontal="right" vertical="center"/>
      <protection/>
    </xf>
    <xf numFmtId="0" fontId="0" fillId="6" borderId="26" xfId="67" applyFont="1" applyFill="1" applyBorder="1" applyProtection="1">
      <alignment/>
      <protection/>
    </xf>
    <xf numFmtId="167" fontId="0" fillId="6" borderId="26" xfId="0" applyNumberFormat="1" applyFont="1" applyFill="1" applyBorder="1" applyAlignment="1" applyProtection="1">
      <alignment/>
      <protection/>
    </xf>
    <xf numFmtId="3" fontId="37" fillId="0" borderId="11" xfId="0" applyNumberFormat="1" applyFont="1" applyBorder="1" applyAlignment="1" applyProtection="1">
      <alignment horizontal="left" vertical="center" wrapText="1"/>
      <protection/>
    </xf>
    <xf numFmtId="170" fontId="37" fillId="0" borderId="11" xfId="0" applyNumberFormat="1" applyFont="1" applyBorder="1" applyAlignment="1" applyProtection="1">
      <alignment horizontal="right" vertical="center"/>
      <protection/>
    </xf>
    <xf numFmtId="177" fontId="1" fillId="0" borderId="12" xfId="0" applyNumberFormat="1" applyFont="1" applyFill="1" applyBorder="1" applyAlignment="1" applyProtection="1">
      <alignment vertical="center"/>
      <protection/>
    </xf>
    <xf numFmtId="3" fontId="1" fillId="0" borderId="11" xfId="0" applyNumberFormat="1" applyFont="1" applyFill="1" applyBorder="1" applyAlignment="1" applyProtection="1">
      <alignment horizontal="left" vertical="center" wrapText="1"/>
      <protection/>
    </xf>
    <xf numFmtId="3" fontId="1" fillId="0" borderId="0" xfId="0" applyNumberFormat="1" applyFont="1" applyFill="1" applyBorder="1" applyAlignment="1" applyProtection="1">
      <alignment horizontal="left" vertical="center"/>
      <protection/>
    </xf>
    <xf numFmtId="177" fontId="1" fillId="0" borderId="0" xfId="0" applyNumberFormat="1" applyFont="1" applyFill="1" applyBorder="1" applyAlignment="1" applyProtection="1">
      <alignment vertical="center"/>
      <protection/>
    </xf>
    <xf numFmtId="3" fontId="1" fillId="0" borderId="0" xfId="0" applyNumberFormat="1" applyFont="1" applyFill="1" applyAlignment="1" applyProtection="1">
      <alignment horizontal="center" vertical="center"/>
      <protection/>
    </xf>
    <xf numFmtId="2" fontId="42" fillId="0" borderId="11" xfId="0" applyNumberFormat="1" applyFont="1" applyBorder="1" applyAlignment="1" applyProtection="1">
      <alignment horizontal="left" vertical="center"/>
      <protection/>
    </xf>
    <xf numFmtId="167" fontId="42" fillId="19" borderId="11" xfId="0" applyNumberFormat="1" applyFont="1" applyFill="1" applyBorder="1" applyAlignment="1" applyProtection="1">
      <alignment horizontal="left" vertical="center" wrapText="1"/>
      <protection/>
    </xf>
    <xf numFmtId="3" fontId="37" fillId="19" borderId="0" xfId="0" applyNumberFormat="1" applyFont="1" applyFill="1" applyAlignment="1" applyProtection="1">
      <alignment horizontal="center" vertical="center"/>
      <protection/>
    </xf>
    <xf numFmtId="3" fontId="1" fillId="19" borderId="11" xfId="0" applyNumberFormat="1" applyFont="1" applyFill="1" applyBorder="1" applyAlignment="1" applyProtection="1">
      <alignment horizontal="left" vertical="center" wrapText="1"/>
      <protection/>
    </xf>
    <xf numFmtId="2" fontId="42" fillId="0" borderId="11" xfId="0" applyNumberFormat="1" applyFont="1" applyFill="1" applyBorder="1" applyAlignment="1" applyProtection="1">
      <alignment horizontal="left" vertical="center"/>
      <protection/>
    </xf>
    <xf numFmtId="0" fontId="0" fillId="0" borderId="13" xfId="67" applyFont="1" applyFill="1" applyBorder="1" applyAlignment="1" applyProtection="1">
      <alignment vertical="center" wrapText="1"/>
      <protection/>
    </xf>
    <xf numFmtId="0" fontId="0" fillId="0" borderId="13" xfId="67" applyBorder="1" applyAlignment="1" applyProtection="1">
      <alignment vertical="center" wrapText="1"/>
      <protection/>
    </xf>
    <xf numFmtId="0" fontId="0" fillId="0" borderId="13" xfId="67" applyFont="1" applyBorder="1" applyAlignment="1" applyProtection="1">
      <alignment vertical="center" wrapText="1"/>
      <protection/>
    </xf>
    <xf numFmtId="0" fontId="1" fillId="0" borderId="0" xfId="67" applyFont="1" applyAlignment="1" applyProtection="1">
      <alignment vertical="center"/>
      <protection/>
    </xf>
    <xf numFmtId="0" fontId="26" fillId="0" borderId="0" xfId="0" applyFont="1" applyAlignment="1" applyProtection="1">
      <alignment horizontal="center" vertical="center"/>
      <protection/>
    </xf>
    <xf numFmtId="0" fontId="0" fillId="19" borderId="13" xfId="67" applyFill="1" applyBorder="1" applyAlignment="1" applyProtection="1">
      <alignment vertical="center" wrapText="1"/>
      <protection/>
    </xf>
    <xf numFmtId="0" fontId="0" fillId="0" borderId="13" xfId="67" applyFont="1" applyBorder="1" applyAlignment="1" applyProtection="1">
      <alignment vertical="center" wrapText="1"/>
      <protection/>
    </xf>
    <xf numFmtId="177" fontId="1" fillId="0" borderId="0" xfId="0" applyNumberFormat="1" applyFont="1" applyAlignment="1" applyProtection="1">
      <alignment vertical="center"/>
      <protection/>
    </xf>
    <xf numFmtId="0" fontId="43" fillId="0" borderId="0" xfId="67" applyFont="1" applyFill="1" applyAlignment="1" applyProtection="1">
      <alignment horizontal="left" vertical="center"/>
      <protection/>
    </xf>
    <xf numFmtId="3" fontId="1" fillId="17" borderId="11" xfId="0" applyNumberFormat="1" applyFont="1" applyFill="1" applyBorder="1" applyAlignment="1" applyProtection="1">
      <alignment horizontal="left" vertical="center"/>
      <protection/>
    </xf>
    <xf numFmtId="3" fontId="47" fillId="0" borderId="11" xfId="0" applyNumberFormat="1" applyFont="1" applyBorder="1" applyAlignment="1" applyProtection="1">
      <alignment horizontal="left" vertical="center" wrapText="1"/>
      <protection/>
    </xf>
    <xf numFmtId="186" fontId="47" fillId="0" borderId="11" xfId="0" applyNumberFormat="1" applyFont="1" applyBorder="1" applyAlignment="1" applyProtection="1">
      <alignment horizontal="left" vertical="center"/>
      <protection/>
    </xf>
    <xf numFmtId="3" fontId="43" fillId="0" borderId="0" xfId="0" applyNumberFormat="1" applyFont="1" applyAlignment="1" applyProtection="1">
      <alignment horizontal="center" vertical="center"/>
      <protection/>
    </xf>
    <xf numFmtId="3" fontId="37" fillId="19" borderId="11" xfId="0" applyNumberFormat="1" applyFont="1" applyFill="1" applyBorder="1" applyAlignment="1" applyProtection="1">
      <alignment horizontal="left" vertical="center" wrapText="1"/>
      <protection/>
    </xf>
    <xf numFmtId="3" fontId="37" fillId="0" borderId="0" xfId="0" applyNumberFormat="1" applyFont="1" applyFill="1" applyBorder="1" applyAlignment="1" applyProtection="1">
      <alignment horizontal="center" vertical="center"/>
      <protection/>
    </xf>
    <xf numFmtId="3" fontId="37" fillId="0" borderId="11" xfId="0" applyNumberFormat="1" applyFont="1" applyFill="1" applyBorder="1" applyAlignment="1" applyProtection="1">
      <alignment horizontal="left" vertical="center" wrapText="1"/>
      <protection/>
    </xf>
    <xf numFmtId="3" fontId="37" fillId="0" borderId="11" xfId="0" applyNumberFormat="1" applyFont="1" applyFill="1" applyBorder="1" applyAlignment="1" applyProtection="1">
      <alignment horizontal="left" vertical="center"/>
      <protection/>
    </xf>
    <xf numFmtId="167" fontId="37" fillId="0" borderId="11" xfId="0" applyNumberFormat="1" applyFont="1" applyFill="1" applyBorder="1" applyAlignment="1" applyProtection="1">
      <alignment horizontal="right" vertical="center"/>
      <protection/>
    </xf>
    <xf numFmtId="177" fontId="37" fillId="0" borderId="11" xfId="0" applyNumberFormat="1" applyFont="1" applyFill="1" applyBorder="1" applyAlignment="1" applyProtection="1">
      <alignment vertical="center"/>
      <protection/>
    </xf>
    <xf numFmtId="3" fontId="53" fillId="0" borderId="0" xfId="0" applyNumberFormat="1" applyFont="1" applyFill="1" applyBorder="1" applyAlignment="1" applyProtection="1">
      <alignment horizontal="center" vertical="center"/>
      <protection/>
    </xf>
    <xf numFmtId="0" fontId="43" fillId="19" borderId="0" xfId="67" applyFont="1" applyFill="1" applyAlignment="1" applyProtection="1">
      <alignment horizontal="left" vertical="center"/>
      <protection/>
    </xf>
    <xf numFmtId="0" fontId="43" fillId="0" borderId="0" xfId="67" applyFont="1" applyAlignment="1" applyProtection="1">
      <alignment horizontal="left" vertical="center"/>
      <protection/>
    </xf>
    <xf numFmtId="167" fontId="1" fillId="0" borderId="0" xfId="0" applyNumberFormat="1" applyFont="1" applyFill="1" applyBorder="1" applyAlignment="1" applyProtection="1">
      <alignment horizontal="right" vertical="center"/>
      <protection/>
    </xf>
    <xf numFmtId="3" fontId="0" fillId="6" borderId="27" xfId="0" applyNumberFormat="1" applyFont="1" applyFill="1" applyBorder="1" applyAlignment="1" applyProtection="1">
      <alignment/>
      <protection/>
    </xf>
    <xf numFmtId="0" fontId="19" fillId="0" borderId="17" xfId="0" applyFont="1" applyBorder="1" applyAlignment="1" applyProtection="1">
      <alignment horizontal="right"/>
      <protection locked="0"/>
    </xf>
    <xf numFmtId="0" fontId="40" fillId="0" borderId="0" xfId="0" applyFont="1" applyAlignment="1" applyProtection="1">
      <alignment horizontal="center" vertical="center"/>
      <protection locked="0"/>
    </xf>
    <xf numFmtId="0" fontId="49" fillId="0" borderId="0" xfId="0" applyFont="1" applyAlignment="1" applyProtection="1">
      <alignment horizontal="center" vertical="center"/>
      <protection locked="0"/>
    </xf>
    <xf numFmtId="166" fontId="0" fillId="0" borderId="0" xfId="73" applyNumberFormat="1" applyAlignment="1" applyProtection="1">
      <alignment horizontal="center" vertical="center"/>
      <protection locked="0"/>
    </xf>
    <xf numFmtId="0" fontId="40" fillId="0" borderId="0" xfId="0" applyFont="1" applyFill="1" applyAlignment="1" applyProtection="1">
      <alignment horizontal="center" vertical="center"/>
      <protection locked="0"/>
    </xf>
    <xf numFmtId="9" fontId="40" fillId="0" borderId="0" xfId="0" applyNumberFormat="1" applyFont="1" applyAlignment="1" applyProtection="1">
      <alignment horizontal="center" vertical="center"/>
      <protection locked="0"/>
    </xf>
    <xf numFmtId="0" fontId="50" fillId="0" borderId="0" xfId="0" applyFont="1" applyAlignment="1" applyProtection="1">
      <alignment horizontal="center" vertical="center"/>
      <protection locked="0"/>
    </xf>
    <xf numFmtId="0" fontId="51" fillId="0" borderId="0" xfId="0" applyFont="1" applyFill="1" applyAlignment="1" applyProtection="1">
      <alignment horizontal="center" vertical="center"/>
      <protection locked="0"/>
    </xf>
    <xf numFmtId="0" fontId="0" fillId="0" borderId="0" xfId="0" applyFont="1" applyAlignment="1" applyProtection="1">
      <alignment horizontal="center"/>
      <protection locked="0"/>
    </xf>
    <xf numFmtId="167" fontId="40" fillId="0" borderId="0" xfId="0" applyNumberFormat="1" applyFont="1" applyAlignment="1" applyProtection="1">
      <alignment horizontal="center" vertical="center"/>
      <protection locked="0"/>
    </xf>
    <xf numFmtId="167" fontId="40" fillId="0" borderId="0" xfId="0" applyNumberFormat="1" applyFont="1" applyFill="1" applyBorder="1" applyAlignment="1" applyProtection="1">
      <alignment horizontal="center" vertical="center"/>
      <protection locked="0"/>
    </xf>
    <xf numFmtId="0" fontId="40" fillId="0" borderId="0" xfId="0" applyFont="1" applyAlignment="1" applyProtection="1">
      <alignment horizontal="center" vertical="center"/>
      <protection hidden="1" locked="0"/>
    </xf>
    <xf numFmtId="0" fontId="68" fillId="0" borderId="0" xfId="0" applyFont="1" applyAlignment="1" applyProtection="1">
      <alignment horizontal="left" vertical="center" wrapText="1"/>
      <protection locked="0"/>
    </xf>
    <xf numFmtId="0" fontId="0" fillId="0" borderId="13" xfId="67" applyFont="1" applyBorder="1" applyAlignment="1" applyProtection="1">
      <alignment vertical="center" wrapText="1"/>
      <protection hidden="1"/>
    </xf>
    <xf numFmtId="0" fontId="40" fillId="0" borderId="0" xfId="0" applyFont="1" applyFill="1" applyAlignment="1" applyProtection="1">
      <alignment horizontal="center" vertical="center"/>
      <protection locked="0"/>
    </xf>
    <xf numFmtId="177" fontId="1" fillId="0" borderId="11" xfId="0" applyNumberFormat="1" applyFont="1" applyFill="1" applyBorder="1" applyAlignment="1" applyProtection="1">
      <alignment vertical="center"/>
      <protection locked="0"/>
    </xf>
    <xf numFmtId="0" fontId="55" fillId="0" borderId="0" xfId="67" applyFont="1" applyAlignment="1" applyProtection="1">
      <alignment horizontal="left" vertical="center"/>
      <protection/>
    </xf>
    <xf numFmtId="4" fontId="0" fillId="0" borderId="0" xfId="0" applyNumberFormat="1" applyFont="1" applyAlignment="1">
      <alignment horizontal="right" vertical="center"/>
    </xf>
    <xf numFmtId="4" fontId="0" fillId="0" borderId="9" xfId="0" applyNumberFormat="1" applyBorder="1" applyAlignment="1">
      <alignment horizontal="right" vertical="center"/>
    </xf>
    <xf numFmtId="4" fontId="0" fillId="0" borderId="9" xfId="0" applyNumberFormat="1" applyFont="1" applyBorder="1" applyAlignment="1">
      <alignment horizontal="right" vertical="center"/>
    </xf>
    <xf numFmtId="4" fontId="30" fillId="0" borderId="9" xfId="0" applyNumberFormat="1" applyFont="1" applyBorder="1" applyAlignment="1">
      <alignment horizontal="right" vertical="center"/>
    </xf>
    <xf numFmtId="4" fontId="45" fillId="0" borderId="9" xfId="0" applyNumberFormat="1" applyFont="1" applyBorder="1" applyAlignment="1">
      <alignment horizontal="center" vertical="center"/>
    </xf>
    <xf numFmtId="4" fontId="0" fillId="0" borderId="0" xfId="0" applyNumberFormat="1" applyFont="1" applyAlignment="1">
      <alignment/>
    </xf>
    <xf numFmtId="4" fontId="0" fillId="24" borderId="9" xfId="0" applyNumberFormat="1" applyFont="1" applyFill="1" applyBorder="1" applyAlignment="1">
      <alignment horizontal="right" vertical="center"/>
    </xf>
    <xf numFmtId="4" fontId="20" fillId="0" borderId="0" xfId="0" applyNumberFormat="1" applyFont="1" applyAlignment="1">
      <alignment/>
    </xf>
    <xf numFmtId="168" fontId="45" fillId="0" borderId="9" xfId="0" applyNumberFormat="1" applyFont="1" applyBorder="1" applyAlignment="1">
      <alignment horizontal="right" vertical="center"/>
    </xf>
    <xf numFmtId="168" fontId="0" fillId="0" borderId="9" xfId="0" applyNumberFormat="1" applyFont="1" applyBorder="1" applyAlignment="1">
      <alignment horizontal="right" vertical="center"/>
    </xf>
    <xf numFmtId="168" fontId="0" fillId="0" borderId="9" xfId="0" applyNumberFormat="1" applyBorder="1" applyAlignment="1">
      <alignment horizontal="right" vertical="center"/>
    </xf>
    <xf numFmtId="168" fontId="30" fillId="0" borderId="9" xfId="0" applyNumberFormat="1" applyFont="1" applyBorder="1" applyAlignment="1">
      <alignment horizontal="right" vertical="center"/>
    </xf>
    <xf numFmtId="168" fontId="0" fillId="0" borderId="0" xfId="0" applyNumberFormat="1" applyFont="1" applyAlignment="1">
      <alignment horizontal="right" vertical="center"/>
    </xf>
    <xf numFmtId="4" fontId="0" fillId="24" borderId="0" xfId="0" applyNumberFormat="1" applyFont="1" applyFill="1" applyAlignment="1">
      <alignment/>
    </xf>
    <xf numFmtId="4" fontId="0" fillId="0" borderId="9" xfId="0" applyNumberFormat="1" applyFont="1" applyFill="1" applyBorder="1" applyAlignment="1">
      <alignment horizontal="right" vertical="center"/>
    </xf>
    <xf numFmtId="168" fontId="0" fillId="0" borderId="9" xfId="0" applyNumberFormat="1" applyFont="1" applyFill="1" applyBorder="1" applyAlignment="1">
      <alignment horizontal="right" vertical="center"/>
    </xf>
    <xf numFmtId="0" fontId="0" fillId="24" borderId="0" xfId="0" applyFont="1" applyFill="1" applyAlignment="1">
      <alignment/>
    </xf>
    <xf numFmtId="4" fontId="45" fillId="0" borderId="0" xfId="0" applyNumberFormat="1" applyFont="1" applyBorder="1" applyAlignment="1">
      <alignment horizontal="center" vertical="center"/>
    </xf>
    <xf numFmtId="168" fontId="45" fillId="0" borderId="0" xfId="0" applyNumberFormat="1" applyFont="1" applyBorder="1" applyAlignment="1">
      <alignment horizontal="right" vertical="center"/>
    </xf>
    <xf numFmtId="4" fontId="0" fillId="0" borderId="0" xfId="0" applyNumberFormat="1" applyFont="1" applyBorder="1" applyAlignment="1">
      <alignment horizontal="right" vertical="center"/>
    </xf>
    <xf numFmtId="168" fontId="0" fillId="0" borderId="0" xfId="0" applyNumberFormat="1" applyFont="1" applyBorder="1" applyAlignment="1">
      <alignment horizontal="right" vertical="center"/>
    </xf>
    <xf numFmtId="4" fontId="20" fillId="0" borderId="0" xfId="0" applyNumberFormat="1" applyFont="1" applyBorder="1" applyAlignment="1">
      <alignment horizontal="right" vertical="center"/>
    </xf>
    <xf numFmtId="4" fontId="20" fillId="0" borderId="0" xfId="0" applyNumberFormat="1" applyFont="1" applyBorder="1" applyAlignment="1">
      <alignment horizontal="right" vertical="center"/>
    </xf>
    <xf numFmtId="168" fontId="20" fillId="0" borderId="0" xfId="0" applyNumberFormat="1" applyFont="1" applyBorder="1" applyAlignment="1">
      <alignment horizontal="right" vertical="center"/>
    </xf>
    <xf numFmtId="168" fontId="20" fillId="0" borderId="0" xfId="0" applyNumberFormat="1" applyFont="1" applyBorder="1" applyAlignment="1">
      <alignment horizontal="right" vertical="center"/>
    </xf>
    <xf numFmtId="4" fontId="0" fillId="0" borderId="14" xfId="0" applyNumberFormat="1" applyFont="1" applyBorder="1" applyAlignment="1">
      <alignment horizontal="right" vertical="center"/>
    </xf>
    <xf numFmtId="168" fontId="0" fillId="0" borderId="14" xfId="0" applyNumberFormat="1" applyFont="1" applyBorder="1" applyAlignment="1">
      <alignment horizontal="right" vertical="center"/>
    </xf>
    <xf numFmtId="180" fontId="0" fillId="0" borderId="0" xfId="0" applyNumberFormat="1" applyAlignment="1">
      <alignment/>
    </xf>
    <xf numFmtId="4" fontId="0" fillId="0" borderId="16" xfId="0" applyNumberFormat="1" applyFont="1" applyBorder="1" applyAlignment="1">
      <alignment horizontal="right" vertical="center"/>
    </xf>
    <xf numFmtId="168" fontId="0" fillId="0" borderId="16" xfId="0" applyNumberFormat="1" applyFont="1" applyBorder="1" applyAlignment="1">
      <alignment horizontal="right" vertical="center"/>
    </xf>
    <xf numFmtId="4" fontId="29" fillId="0" borderId="0" xfId="0" applyNumberFormat="1" applyFont="1" applyBorder="1" applyAlignment="1">
      <alignment horizontal="right" vertical="center"/>
    </xf>
    <xf numFmtId="168" fontId="29" fillId="0" borderId="0" xfId="0" applyNumberFormat="1" applyFont="1" applyBorder="1" applyAlignment="1">
      <alignment horizontal="right" vertical="center"/>
    </xf>
    <xf numFmtId="4" fontId="0" fillId="0" borderId="14" xfId="0" applyNumberFormat="1" applyBorder="1" applyAlignment="1">
      <alignment horizontal="right" vertical="center"/>
    </xf>
    <xf numFmtId="168" fontId="0" fillId="0" borderId="14" xfId="0" applyNumberFormat="1" applyBorder="1" applyAlignment="1">
      <alignment horizontal="right" vertical="center"/>
    </xf>
    <xf numFmtId="0" fontId="0" fillId="0" borderId="13" xfId="67" applyFont="1" applyFill="1" applyBorder="1" applyAlignment="1" applyProtection="1">
      <alignment vertical="center" wrapText="1"/>
      <protection/>
    </xf>
    <xf numFmtId="3" fontId="37" fillId="0" borderId="11" xfId="0" applyNumberFormat="1" applyFont="1" applyFill="1" applyBorder="1" applyAlignment="1" applyProtection="1">
      <alignment horizontal="left" vertical="center" wrapText="1"/>
      <protection hidden="1"/>
    </xf>
    <xf numFmtId="3" fontId="1" fillId="0" borderId="11" xfId="0" applyNumberFormat="1" applyFont="1" applyFill="1" applyBorder="1" applyAlignment="1" applyProtection="1">
      <alignment horizontal="left" vertical="center" wrapText="1"/>
      <protection hidden="1"/>
    </xf>
    <xf numFmtId="166" fontId="1" fillId="0" borderId="0" xfId="0" applyNumberFormat="1" applyFont="1" applyFill="1" applyAlignment="1" applyProtection="1">
      <alignment vertical="center"/>
      <protection locked="0"/>
    </xf>
    <xf numFmtId="166" fontId="1" fillId="0" borderId="11" xfId="0" applyNumberFormat="1" applyFont="1" applyFill="1" applyBorder="1" applyAlignment="1" applyProtection="1">
      <alignment vertical="center"/>
      <protection locked="0"/>
    </xf>
    <xf numFmtId="4" fontId="35" fillId="0" borderId="9" xfId="0" applyNumberFormat="1" applyFont="1" applyBorder="1" applyAlignment="1">
      <alignment/>
    </xf>
    <xf numFmtId="4" fontId="19" fillId="0" borderId="9" xfId="0" applyNumberFormat="1" applyFont="1" applyBorder="1" applyAlignment="1">
      <alignment/>
    </xf>
    <xf numFmtId="177" fontId="31" fillId="24" borderId="0" xfId="0" applyNumberFormat="1" applyFont="1" applyFill="1" applyBorder="1" applyAlignment="1" applyProtection="1">
      <alignment horizontal="left"/>
      <protection/>
    </xf>
    <xf numFmtId="186" fontId="69" fillId="24" borderId="10" xfId="0" applyNumberFormat="1" applyFont="1" applyFill="1" applyBorder="1" applyAlignment="1" applyProtection="1">
      <alignment horizontal="center"/>
      <protection/>
    </xf>
    <xf numFmtId="0" fontId="35" fillId="0" borderId="0" xfId="68" applyFont="1" applyFill="1" applyAlignment="1" applyProtection="1">
      <alignment wrapText="1"/>
      <protection/>
    </xf>
    <xf numFmtId="0" fontId="35" fillId="0" borderId="28" xfId="0" applyFont="1" applyBorder="1" applyAlignment="1">
      <alignment/>
    </xf>
    <xf numFmtId="0" fontId="36" fillId="0" borderId="28" xfId="0" applyFont="1" applyBorder="1" applyAlignment="1">
      <alignment/>
    </xf>
    <xf numFmtId="4" fontId="35" fillId="0" borderId="28" xfId="0" applyNumberFormat="1" applyFont="1" applyBorder="1" applyAlignment="1">
      <alignment/>
    </xf>
    <xf numFmtId="0" fontId="36" fillId="0" borderId="0" xfId="0" applyFont="1" applyAlignment="1" applyProtection="1">
      <alignment horizontal="center"/>
      <protection/>
    </xf>
    <xf numFmtId="0" fontId="36" fillId="0" borderId="0" xfId="68" applyFont="1" applyAlignment="1" applyProtection="1">
      <alignment horizontal="center"/>
      <protection/>
    </xf>
    <xf numFmtId="4" fontId="36" fillId="0" borderId="28" xfId="0" applyNumberFormat="1" applyFont="1" applyBorder="1" applyAlignment="1">
      <alignment/>
    </xf>
    <xf numFmtId="4" fontId="70" fillId="0" borderId="0" xfId="0" applyNumberFormat="1" applyFont="1" applyAlignment="1" applyProtection="1">
      <alignment/>
      <protection locked="0"/>
    </xf>
    <xf numFmtId="0" fontId="70" fillId="0" borderId="28" xfId="0" applyFont="1" applyBorder="1" applyAlignment="1">
      <alignment/>
    </xf>
    <xf numFmtId="0" fontId="67" fillId="0" borderId="0" xfId="0" applyFont="1" applyAlignment="1">
      <alignment/>
    </xf>
    <xf numFmtId="0" fontId="67" fillId="0" borderId="28" xfId="0" applyFont="1" applyBorder="1" applyAlignment="1">
      <alignment/>
    </xf>
    <xf numFmtId="0" fontId="71" fillId="0" borderId="0" xfId="0" applyFont="1" applyAlignment="1">
      <alignment/>
    </xf>
    <xf numFmtId="4" fontId="70" fillId="0" borderId="0" xfId="0" applyNumberFormat="1" applyFont="1" applyAlignment="1" applyProtection="1">
      <alignment wrapText="1"/>
      <protection locked="0"/>
    </xf>
    <xf numFmtId="0" fontId="35" fillId="25" borderId="0" xfId="68" applyFont="1" applyFill="1" applyAlignment="1" applyProtection="1">
      <alignment horizontal="center"/>
      <protection/>
    </xf>
    <xf numFmtId="4" fontId="72" fillId="0" borderId="0" xfId="0" applyNumberFormat="1" applyFont="1" applyAlignment="1" applyProtection="1">
      <alignment/>
      <protection locked="0"/>
    </xf>
    <xf numFmtId="0" fontId="68" fillId="0" borderId="0" xfId="0" applyFont="1" applyAlignment="1" applyProtection="1">
      <alignment/>
      <protection locked="0"/>
    </xf>
    <xf numFmtId="0" fontId="70" fillId="0" borderId="0" xfId="0" applyFont="1" applyAlignment="1" applyProtection="1">
      <alignment/>
      <protection locked="0"/>
    </xf>
    <xf numFmtId="0" fontId="70" fillId="0" borderId="0" xfId="0" applyFont="1" applyAlignment="1" applyProtection="1">
      <alignment horizontal="center"/>
      <protection locked="0"/>
    </xf>
    <xf numFmtId="0" fontId="68" fillId="0" borderId="0" xfId="0" applyFont="1" applyAlignment="1" applyProtection="1">
      <alignment/>
      <protection locked="0"/>
    </xf>
    <xf numFmtId="0" fontId="67" fillId="22" borderId="28" xfId="0" applyFont="1" applyFill="1" applyBorder="1" applyAlignment="1">
      <alignment/>
    </xf>
    <xf numFmtId="0" fontId="36" fillId="0" borderId="0" xfId="0" applyFont="1" applyAlignment="1">
      <alignment/>
    </xf>
    <xf numFmtId="0" fontId="35" fillId="0" borderId="0" xfId="0" applyFont="1" applyAlignment="1">
      <alignment horizontal="left"/>
    </xf>
    <xf numFmtId="0" fontId="73" fillId="0" borderId="0" xfId="0" applyFont="1" applyAlignment="1">
      <alignment horizontal="left"/>
    </xf>
    <xf numFmtId="0" fontId="0" fillId="0" borderId="0" xfId="0" applyAlignment="1">
      <alignment horizontal="left"/>
    </xf>
    <xf numFmtId="0" fontId="74" fillId="0" borderId="0" xfId="0" applyFont="1" applyAlignment="1">
      <alignment/>
    </xf>
    <xf numFmtId="0" fontId="75" fillId="0" borderId="0" xfId="0" applyFont="1" applyAlignment="1">
      <alignment/>
    </xf>
    <xf numFmtId="4" fontId="35" fillId="0" borderId="0" xfId="0" applyNumberFormat="1" applyFont="1" applyAlignment="1">
      <alignment/>
    </xf>
    <xf numFmtId="4" fontId="69" fillId="24" borderId="10" xfId="0" applyNumberFormat="1" applyFont="1" applyFill="1" applyBorder="1" applyAlignment="1" applyProtection="1">
      <alignment horizontal="center"/>
      <protection/>
    </xf>
    <xf numFmtId="4" fontId="0" fillId="0" borderId="0" xfId="0" applyNumberFormat="1" applyAlignment="1">
      <alignment/>
    </xf>
    <xf numFmtId="4" fontId="70" fillId="24" borderId="0" xfId="0" applyNumberFormat="1" applyFont="1" applyFill="1" applyAlignment="1" applyProtection="1">
      <alignment wrapText="1"/>
      <protection locked="0"/>
    </xf>
    <xf numFmtId="0" fontId="35" fillId="24" borderId="0" xfId="0" applyFont="1" applyFill="1" applyAlignment="1">
      <alignment horizontal="left" wrapText="1"/>
    </xf>
    <xf numFmtId="0" fontId="35" fillId="24" borderId="0" xfId="0" applyFont="1" applyFill="1" applyAlignment="1">
      <alignment horizontal="left"/>
    </xf>
    <xf numFmtId="193" fontId="0" fillId="0" borderId="0" xfId="0" applyNumberFormat="1" applyFont="1" applyAlignment="1">
      <alignment/>
    </xf>
    <xf numFmtId="0" fontId="20" fillId="0" borderId="29" xfId="0" applyFont="1" applyBorder="1" applyAlignment="1">
      <alignment/>
    </xf>
    <xf numFmtId="4" fontId="20" fillId="0" borderId="30" xfId="0" applyNumberFormat="1" applyFont="1" applyBorder="1" applyAlignment="1">
      <alignment horizontal="center"/>
    </xf>
    <xf numFmtId="4" fontId="20" fillId="24" borderId="30" xfId="0" applyNumberFormat="1" applyFont="1" applyFill="1" applyBorder="1" applyAlignment="1">
      <alignment horizontal="center"/>
    </xf>
    <xf numFmtId="177" fontId="20" fillId="0" borderId="31" xfId="0" applyNumberFormat="1" applyFont="1" applyBorder="1" applyAlignment="1">
      <alignment/>
    </xf>
    <xf numFmtId="4" fontId="0" fillId="0" borderId="32" xfId="0" applyNumberFormat="1" applyBorder="1" applyAlignment="1">
      <alignment/>
    </xf>
    <xf numFmtId="4" fontId="0" fillId="24" borderId="32" xfId="0" applyNumberFormat="1" applyFill="1" applyBorder="1" applyAlignment="1">
      <alignment/>
    </xf>
    <xf numFmtId="0" fontId="20" fillId="0" borderId="33" xfId="0" applyFont="1" applyBorder="1" applyAlignment="1">
      <alignment/>
    </xf>
    <xf numFmtId="4" fontId="0" fillId="24" borderId="0" xfId="0" applyNumberFormat="1" applyFill="1" applyAlignment="1">
      <alignment/>
    </xf>
    <xf numFmtId="0" fontId="20" fillId="0" borderId="34" xfId="0" applyFont="1" applyBorder="1" applyAlignment="1">
      <alignment/>
    </xf>
    <xf numFmtId="4" fontId="0" fillId="0" borderId="35" xfId="0" applyNumberFormat="1" applyBorder="1" applyAlignment="1">
      <alignment/>
    </xf>
    <xf numFmtId="4" fontId="20" fillId="24" borderId="35" xfId="0" applyNumberFormat="1" applyFont="1" applyFill="1" applyBorder="1" applyAlignment="1">
      <alignment/>
    </xf>
    <xf numFmtId="4" fontId="20" fillId="0" borderId="0" xfId="0" applyNumberFormat="1" applyFont="1" applyBorder="1" applyAlignment="1">
      <alignment horizontal="center"/>
    </xf>
    <xf numFmtId="4" fontId="0" fillId="0" borderId="0" xfId="0" applyNumberFormat="1" applyBorder="1" applyAlignment="1">
      <alignment/>
    </xf>
    <xf numFmtId="0" fontId="20" fillId="0" borderId="31" xfId="0" applyFont="1" applyBorder="1" applyAlignment="1">
      <alignment/>
    </xf>
    <xf numFmtId="177" fontId="31" fillId="24" borderId="11" xfId="0" applyNumberFormat="1" applyFont="1" applyFill="1" applyBorder="1" applyAlignment="1">
      <alignment horizontal="center"/>
    </xf>
    <xf numFmtId="4" fontId="76" fillId="24" borderId="17" xfId="0" applyNumberFormat="1" applyFont="1" applyFill="1" applyBorder="1" applyAlignment="1">
      <alignment horizontal="center"/>
    </xf>
    <xf numFmtId="0" fontId="20" fillId="0" borderId="35" xfId="0" applyFont="1" applyBorder="1" applyAlignment="1">
      <alignment/>
    </xf>
    <xf numFmtId="4" fontId="0" fillId="0" borderId="32" xfId="0" applyNumberFormat="1" applyFont="1" applyBorder="1" applyAlignment="1">
      <alignment/>
    </xf>
    <xf numFmtId="4" fontId="0" fillId="0" borderId="0" xfId="0" applyNumberFormat="1" applyFont="1" applyAlignment="1">
      <alignment/>
    </xf>
    <xf numFmtId="4" fontId="0" fillId="24" borderId="0" xfId="0" applyNumberFormat="1" applyFont="1" applyFill="1" applyAlignment="1">
      <alignment/>
    </xf>
    <xf numFmtId="4" fontId="20" fillId="0" borderId="35" xfId="0" applyNumberFormat="1" applyFont="1" applyBorder="1" applyAlignment="1">
      <alignment/>
    </xf>
    <xf numFmtId="0" fontId="56" fillId="0" borderId="0" xfId="0" applyFont="1" applyAlignment="1">
      <alignment/>
    </xf>
    <xf numFmtId="4" fontId="29" fillId="0" borderId="0" xfId="0" applyNumberFormat="1" applyFont="1" applyAlignment="1">
      <alignment/>
    </xf>
    <xf numFmtId="0" fontId="20" fillId="0" borderId="30" xfId="0" applyFont="1" applyBorder="1" applyAlignment="1">
      <alignment/>
    </xf>
    <xf numFmtId="4" fontId="0" fillId="0" borderId="30" xfId="0" applyNumberFormat="1" applyBorder="1" applyAlignment="1">
      <alignment/>
    </xf>
    <xf numFmtId="0" fontId="26" fillId="0" borderId="30" xfId="0" applyFont="1" applyBorder="1" applyAlignment="1">
      <alignment/>
    </xf>
    <xf numFmtId="4" fontId="30" fillId="0" borderId="30" xfId="0" applyNumberFormat="1" applyFont="1" applyBorder="1" applyAlignment="1">
      <alignment/>
    </xf>
    <xf numFmtId="0" fontId="20" fillId="0" borderId="30" xfId="0" applyFont="1" applyBorder="1" applyAlignment="1">
      <alignment vertical="center"/>
    </xf>
    <xf numFmtId="4" fontId="0" fillId="0" borderId="30" xfId="0" applyNumberFormat="1" applyBorder="1" applyAlignment="1">
      <alignment vertical="center"/>
    </xf>
    <xf numFmtId="0" fontId="77" fillId="0" borderId="30" xfId="0" applyFont="1" applyBorder="1" applyAlignment="1">
      <alignment vertical="center"/>
    </xf>
    <xf numFmtId="4" fontId="71" fillId="0" borderId="30" xfId="0" applyNumberFormat="1" applyFont="1" applyBorder="1" applyAlignment="1">
      <alignment vertical="center"/>
    </xf>
    <xf numFmtId="4" fontId="1" fillId="0" borderId="11" xfId="0" applyNumberFormat="1" applyFont="1" applyBorder="1" applyAlignment="1" applyProtection="1">
      <alignment vertical="center"/>
      <protection locked="0"/>
    </xf>
    <xf numFmtId="0" fontId="20" fillId="26" borderId="30" xfId="0" applyFont="1" applyFill="1" applyBorder="1" applyAlignment="1">
      <alignment vertical="center"/>
    </xf>
    <xf numFmtId="4" fontId="0" fillId="26" borderId="30" xfId="0" applyNumberFormat="1" applyFill="1" applyBorder="1" applyAlignment="1">
      <alignment vertical="center"/>
    </xf>
    <xf numFmtId="4" fontId="1" fillId="0" borderId="0" xfId="0" applyNumberFormat="1" applyFont="1" applyAlignment="1" applyProtection="1">
      <alignment vertical="center"/>
      <protection locked="0"/>
    </xf>
    <xf numFmtId="4" fontId="20" fillId="0" borderId="35" xfId="0" applyNumberFormat="1" applyFont="1" applyBorder="1" applyAlignment="1">
      <alignment horizontal="center"/>
    </xf>
    <xf numFmtId="4" fontId="20" fillId="0" borderId="35" xfId="0" applyNumberFormat="1" applyFont="1" applyFill="1" applyBorder="1" applyAlignment="1">
      <alignment horizontal="center"/>
    </xf>
    <xf numFmtId="0" fontId="49" fillId="0" borderId="0" xfId="0" applyFont="1" applyBorder="1" applyAlignment="1" applyProtection="1">
      <alignment horizontal="center" vertical="center"/>
      <protection locked="0"/>
    </xf>
    <xf numFmtId="183" fontId="1" fillId="0" borderId="0" xfId="58" applyNumberFormat="1" applyBorder="1" applyAlignment="1">
      <alignment/>
    </xf>
    <xf numFmtId="183" fontId="0" fillId="0" borderId="0" xfId="0" applyNumberFormat="1" applyFont="1" applyBorder="1" applyAlignment="1">
      <alignment/>
    </xf>
    <xf numFmtId="176" fontId="20" fillId="0" borderId="0" xfId="0" applyNumberFormat="1" applyFont="1" applyBorder="1" applyAlignment="1">
      <alignment/>
    </xf>
    <xf numFmtId="0" fontId="20" fillId="0" borderId="0" xfId="0" applyFont="1" applyFill="1" applyBorder="1" applyAlignment="1">
      <alignment/>
    </xf>
    <xf numFmtId="0" fontId="20" fillId="0" borderId="0" xfId="0" applyFont="1" applyBorder="1" applyAlignment="1">
      <alignment/>
    </xf>
    <xf numFmtId="4" fontId="20" fillId="0" borderId="0" xfId="0" applyNumberFormat="1" applyFont="1" applyFill="1" applyBorder="1" applyAlignment="1">
      <alignment horizontal="center"/>
    </xf>
    <xf numFmtId="4" fontId="0" fillId="24" borderId="0" xfId="0" applyNumberFormat="1" applyFill="1" applyBorder="1" applyAlignment="1">
      <alignment/>
    </xf>
    <xf numFmtId="0" fontId="20" fillId="0" borderId="30" xfId="0" applyFont="1" applyFill="1" applyBorder="1" applyAlignment="1">
      <alignment/>
    </xf>
    <xf numFmtId="4" fontId="0" fillId="0" borderId="30" xfId="0" applyNumberFormat="1" applyFill="1" applyBorder="1" applyAlignment="1">
      <alignment/>
    </xf>
    <xf numFmtId="4" fontId="0" fillId="0" borderId="0" xfId="0" applyNumberFormat="1" applyFill="1" applyAlignment="1">
      <alignment/>
    </xf>
    <xf numFmtId="0" fontId="68" fillId="0" borderId="0" xfId="0" applyFont="1" applyFill="1" applyAlignment="1" applyProtection="1">
      <alignment horizontal="left" wrapText="1"/>
      <protection locked="0"/>
    </xf>
    <xf numFmtId="0" fontId="78" fillId="0" borderId="0" xfId="0" applyFont="1" applyFill="1" applyBorder="1" applyAlignment="1" applyProtection="1">
      <alignment horizontal="left" wrapText="1"/>
      <protection locked="0"/>
    </xf>
    <xf numFmtId="0" fontId="79" fillId="0" borderId="0" xfId="0" applyFont="1" applyFill="1" applyAlignment="1" applyProtection="1">
      <alignment horizontal="left" wrapText="1"/>
      <protection locked="0"/>
    </xf>
    <xf numFmtId="4" fontId="0" fillId="0" borderId="0" xfId="0" applyNumberFormat="1" applyFill="1" applyBorder="1" applyAlignment="1">
      <alignment/>
    </xf>
    <xf numFmtId="0" fontId="80" fillId="0" borderId="0" xfId="0" applyFont="1" applyFill="1" applyAlignment="1" applyProtection="1">
      <alignment horizontal="left" wrapText="1"/>
      <protection locked="0"/>
    </xf>
    <xf numFmtId="4" fontId="20" fillId="0" borderId="0" xfId="0" applyNumberFormat="1" applyFont="1" applyFill="1" applyAlignment="1">
      <alignment/>
    </xf>
    <xf numFmtId="4" fontId="20" fillId="0" borderId="30" xfId="0" applyNumberFormat="1" applyFont="1" applyFill="1" applyBorder="1" applyAlignment="1">
      <alignment horizontal="center"/>
    </xf>
    <xf numFmtId="4" fontId="20" fillId="0" borderId="36" xfId="0" applyNumberFormat="1" applyFont="1" applyFill="1" applyBorder="1" applyAlignment="1">
      <alignment horizontal="center"/>
    </xf>
    <xf numFmtId="4" fontId="0" fillId="0" borderId="32" xfId="0" applyNumberFormat="1" applyFill="1" applyBorder="1" applyAlignment="1">
      <alignment/>
    </xf>
    <xf numFmtId="4" fontId="0" fillId="0" borderId="37" xfId="0" applyNumberFormat="1" applyFill="1" applyBorder="1" applyAlignment="1">
      <alignment/>
    </xf>
    <xf numFmtId="4" fontId="0" fillId="0" borderId="38" xfId="0" applyNumberFormat="1" applyFill="1" applyBorder="1" applyAlignment="1">
      <alignment/>
    </xf>
    <xf numFmtId="4" fontId="20" fillId="0" borderId="35" xfId="0" applyNumberFormat="1" applyFont="1" applyFill="1" applyBorder="1" applyAlignment="1">
      <alignment/>
    </xf>
    <xf numFmtId="4" fontId="0" fillId="0" borderId="35" xfId="0" applyNumberFormat="1" applyFill="1" applyBorder="1" applyAlignment="1">
      <alignment/>
    </xf>
    <xf numFmtId="4" fontId="0" fillId="0" borderId="39" xfId="0" applyNumberFormat="1" applyFill="1" applyBorder="1" applyAlignment="1">
      <alignment/>
    </xf>
    <xf numFmtId="4" fontId="0" fillId="0" borderId="0" xfId="0" applyNumberFormat="1" applyFont="1" applyFill="1" applyAlignment="1">
      <alignment/>
    </xf>
    <xf numFmtId="4" fontId="0" fillId="0" borderId="38" xfId="0" applyNumberFormat="1" applyFont="1" applyFill="1" applyBorder="1" applyAlignment="1">
      <alignment/>
    </xf>
    <xf numFmtId="4" fontId="20" fillId="0" borderId="39" xfId="0" applyNumberFormat="1" applyFont="1" applyFill="1" applyBorder="1" applyAlignment="1">
      <alignment/>
    </xf>
    <xf numFmtId="4" fontId="29" fillId="0" borderId="0" xfId="0" applyNumberFormat="1" applyFont="1" applyFill="1" applyAlignment="1">
      <alignment/>
    </xf>
    <xf numFmtId="4" fontId="30" fillId="0" borderId="0" xfId="0" applyNumberFormat="1" applyFont="1" applyFill="1" applyAlignment="1">
      <alignment/>
    </xf>
    <xf numFmtId="4" fontId="0" fillId="0" borderId="0" xfId="0" applyNumberFormat="1" applyFill="1" applyAlignment="1">
      <alignment vertical="center"/>
    </xf>
    <xf numFmtId="4" fontId="71" fillId="0" borderId="0" xfId="0" applyNumberFormat="1" applyFont="1" applyFill="1" applyAlignment="1">
      <alignment vertical="center"/>
    </xf>
    <xf numFmtId="0" fontId="20" fillId="0" borderId="30" xfId="0" applyFont="1" applyFill="1" applyBorder="1" applyAlignment="1">
      <alignment vertical="center"/>
    </xf>
    <xf numFmtId="4" fontId="0" fillId="0" borderId="30" xfId="0" applyNumberFormat="1" applyFill="1" applyBorder="1" applyAlignment="1">
      <alignment vertical="center"/>
    </xf>
    <xf numFmtId="0" fontId="40" fillId="0" borderId="0" xfId="0" applyFont="1" applyBorder="1" applyAlignment="1" applyProtection="1">
      <alignment horizontal="center" vertical="center"/>
      <protection locked="0"/>
    </xf>
    <xf numFmtId="0" fontId="0" fillId="0" borderId="0" xfId="0" applyFont="1" applyBorder="1" applyAlignment="1">
      <alignment/>
    </xf>
    <xf numFmtId="0" fontId="0" fillId="0" borderId="0" xfId="0" applyFont="1" applyFill="1" applyBorder="1" applyAlignment="1">
      <alignment/>
    </xf>
    <xf numFmtId="0" fontId="20" fillId="0" borderId="32" xfId="0" applyFont="1" applyBorder="1" applyAlignment="1">
      <alignment vertical="center"/>
    </xf>
    <xf numFmtId="4" fontId="0" fillId="0" borderId="32" xfId="0" applyNumberFormat="1" applyBorder="1" applyAlignment="1">
      <alignment vertical="center"/>
    </xf>
    <xf numFmtId="4" fontId="0" fillId="0" borderId="0" xfId="0" applyNumberFormat="1" applyFill="1" applyBorder="1" applyAlignment="1">
      <alignment vertical="center"/>
    </xf>
    <xf numFmtId="0" fontId="20" fillId="0" borderId="0" xfId="0" applyFont="1" applyBorder="1" applyAlignment="1">
      <alignment vertical="center"/>
    </xf>
    <xf numFmtId="4" fontId="0" fillId="0" borderId="0" xfId="0" applyNumberFormat="1" applyBorder="1" applyAlignment="1">
      <alignment vertical="center"/>
    </xf>
    <xf numFmtId="0" fontId="20" fillId="0" borderId="0" xfId="0" applyFont="1" applyFill="1" applyBorder="1" applyAlignment="1">
      <alignment vertical="center"/>
    </xf>
    <xf numFmtId="0" fontId="20" fillId="0" borderId="35" xfId="0" applyFont="1" applyFill="1" applyBorder="1" applyAlignment="1">
      <alignment vertical="center"/>
    </xf>
    <xf numFmtId="4" fontId="0" fillId="0" borderId="35" xfId="0" applyNumberFormat="1" applyFill="1" applyBorder="1" applyAlignment="1">
      <alignment vertical="center"/>
    </xf>
    <xf numFmtId="4" fontId="1" fillId="0" borderId="0" xfId="0" applyNumberFormat="1" applyFont="1" applyFill="1" applyAlignment="1" applyProtection="1">
      <alignment vertical="center"/>
      <protection locked="0"/>
    </xf>
    <xf numFmtId="4" fontId="71" fillId="0" borderId="30" xfId="0" applyNumberFormat="1" applyFont="1" applyFill="1" applyBorder="1" applyAlignment="1">
      <alignment vertical="center"/>
    </xf>
    <xf numFmtId="4" fontId="76" fillId="24" borderId="40" xfId="0" applyNumberFormat="1" applyFont="1" applyFill="1" applyBorder="1" applyAlignment="1">
      <alignment horizontal="center"/>
    </xf>
    <xf numFmtId="4" fontId="76" fillId="0" borderId="0" xfId="0" applyNumberFormat="1" applyFont="1" applyFill="1" applyBorder="1" applyAlignment="1">
      <alignment horizontal="center"/>
    </xf>
    <xf numFmtId="3" fontId="0" fillId="2" borderId="41" xfId="0" applyNumberFormat="1" applyFont="1" applyFill="1" applyBorder="1" applyAlignment="1" applyProtection="1">
      <alignment horizontal="left" vertical="center" wrapText="1"/>
      <protection/>
    </xf>
    <xf numFmtId="3" fontId="0" fillId="2" borderId="12" xfId="0" applyNumberFormat="1" applyFont="1" applyFill="1" applyBorder="1" applyAlignment="1" applyProtection="1">
      <alignment horizontal="left" vertical="center" wrapText="1"/>
      <protection/>
    </xf>
    <xf numFmtId="3" fontId="0" fillId="2" borderId="42" xfId="0" applyNumberFormat="1" applyFont="1" applyFill="1" applyBorder="1" applyAlignment="1" applyProtection="1">
      <alignment horizontal="left" vertical="center" wrapText="1"/>
      <protection/>
    </xf>
    <xf numFmtId="167" fontId="0" fillId="0" borderId="0" xfId="0" applyNumberFormat="1" applyFont="1" applyFill="1" applyBorder="1" applyAlignment="1" applyProtection="1">
      <alignment horizontal="left" vertical="top" wrapText="1"/>
      <protection/>
    </xf>
    <xf numFmtId="0" fontId="25" fillId="18" borderId="12" xfId="55" applyNumberFormat="1" applyFill="1" applyBorder="1" applyAlignment="1" applyProtection="1">
      <alignment vertical="center"/>
      <protection/>
    </xf>
    <xf numFmtId="0" fontId="1" fillId="0" borderId="0" xfId="0" applyFont="1" applyAlignment="1" applyProtection="1">
      <alignment horizontal="justify"/>
      <protection/>
    </xf>
    <xf numFmtId="3" fontId="1" fillId="0" borderId="43" xfId="0" applyNumberFormat="1" applyFont="1" applyBorder="1" applyAlignment="1" applyProtection="1">
      <alignment horizontal="left" vertical="center" wrapText="1"/>
      <protection/>
    </xf>
    <xf numFmtId="3" fontId="33" fillId="0" borderId="43" xfId="0" applyNumberFormat="1" applyFont="1" applyBorder="1" applyAlignment="1" applyProtection="1">
      <alignment horizontal="left" vertical="center" wrapText="1"/>
      <protection/>
    </xf>
    <xf numFmtId="3" fontId="33" fillId="0" borderId="43" xfId="0" applyNumberFormat="1" applyFont="1" applyBorder="1" applyAlignment="1" applyProtection="1">
      <alignment horizontal="left" vertical="center" wrapText="1"/>
      <protection hidden="1"/>
    </xf>
    <xf numFmtId="176" fontId="27" fillId="0" borderId="9" xfId="0" applyNumberFormat="1" applyFont="1" applyBorder="1" applyAlignment="1" applyProtection="1">
      <alignment horizontal="right"/>
      <protection/>
    </xf>
    <xf numFmtId="176" fontId="27" fillId="0" borderId="26" xfId="0" applyNumberFormat="1" applyFont="1" applyBorder="1" applyAlignment="1" applyProtection="1">
      <alignment horizontal="right"/>
      <protection/>
    </xf>
    <xf numFmtId="0" fontId="25" fillId="18" borderId="12" xfId="55" applyFill="1" applyBorder="1" applyAlignment="1" applyProtection="1">
      <alignment vertical="center"/>
      <protection/>
    </xf>
    <xf numFmtId="0" fontId="22" fillId="0" borderId="44" xfId="0" applyFont="1" applyFill="1" applyBorder="1" applyAlignment="1" applyProtection="1">
      <alignment horizontal="center" vertical="center" wrapText="1"/>
      <protection/>
    </xf>
    <xf numFmtId="0" fontId="22" fillId="0" borderId="45" xfId="0" applyFont="1" applyFill="1" applyBorder="1" applyAlignment="1" applyProtection="1">
      <alignment horizontal="center" vertical="center" wrapText="1"/>
      <protection/>
    </xf>
    <xf numFmtId="0" fontId="22" fillId="0" borderId="46" xfId="0" applyFont="1" applyFill="1" applyBorder="1" applyAlignment="1" applyProtection="1">
      <alignment horizontal="center" vertical="center" wrapText="1"/>
      <protection/>
    </xf>
    <xf numFmtId="0" fontId="22" fillId="0" borderId="18" xfId="0" applyFont="1" applyBorder="1" applyAlignment="1" applyProtection="1">
      <alignment horizontal="left" vertical="center" wrapText="1"/>
      <protection/>
    </xf>
    <xf numFmtId="0" fontId="22" fillId="0" borderId="19" xfId="0" applyFont="1" applyBorder="1" applyAlignment="1" applyProtection="1">
      <alignment horizontal="left" vertical="center" wrapText="1"/>
      <protection/>
    </xf>
    <xf numFmtId="0" fontId="22" fillId="0" borderId="20" xfId="0" applyFont="1" applyBorder="1" applyAlignment="1" applyProtection="1">
      <alignment horizontal="left" vertical="center" wrapText="1"/>
      <protection/>
    </xf>
    <xf numFmtId="3" fontId="33" fillId="27" borderId="12" xfId="0" applyNumberFormat="1" applyFont="1" applyFill="1" applyBorder="1" applyAlignment="1" applyProtection="1">
      <alignment horizontal="left" vertical="center" wrapText="1"/>
      <protection/>
    </xf>
    <xf numFmtId="3" fontId="33" fillId="27" borderId="43" xfId="0" applyNumberFormat="1" applyFont="1" applyFill="1" applyBorder="1" applyAlignment="1" applyProtection="1">
      <alignment horizontal="left" vertical="center" wrapText="1"/>
      <protection/>
    </xf>
    <xf numFmtId="3" fontId="1" fillId="27" borderId="12" xfId="0" applyNumberFormat="1" applyFont="1" applyFill="1" applyBorder="1" applyAlignment="1" applyProtection="1">
      <alignment horizontal="left" vertical="center" wrapText="1"/>
      <protection/>
    </xf>
    <xf numFmtId="3" fontId="0" fillId="0" borderId="0" xfId="0" applyNumberFormat="1" applyFill="1" applyBorder="1" applyAlignment="1" applyProtection="1">
      <alignment horizontal="left" vertical="center" wrapText="1"/>
      <protection/>
    </xf>
    <xf numFmtId="167" fontId="0" fillId="0" borderId="0" xfId="0" applyNumberFormat="1" applyFill="1" applyBorder="1" applyAlignment="1" applyProtection="1">
      <alignment horizontal="left" vertical="top" wrapText="1"/>
      <protection/>
    </xf>
    <xf numFmtId="3" fontId="33" fillId="0" borderId="47" xfId="0" applyNumberFormat="1" applyFont="1" applyBorder="1" applyAlignment="1" applyProtection="1">
      <alignment horizontal="left" vertical="center" wrapText="1"/>
      <protection/>
    </xf>
    <xf numFmtId="0" fontId="25" fillId="18" borderId="48" xfId="55" applyNumberFormat="1" applyFill="1" applyBorder="1" applyAlignment="1" applyProtection="1">
      <alignment vertical="center"/>
      <protection/>
    </xf>
    <xf numFmtId="167" fontId="0" fillId="0" borderId="0" xfId="0" applyNumberFormat="1" applyAlignment="1" applyProtection="1">
      <alignment vertical="top" wrapText="1"/>
      <protection/>
    </xf>
    <xf numFmtId="0" fontId="0" fillId="0" borderId="0" xfId="0" applyAlignment="1" applyProtection="1">
      <alignment/>
      <protection/>
    </xf>
    <xf numFmtId="0" fontId="0" fillId="0" borderId="0" xfId="0" applyAlignment="1" applyProtection="1">
      <alignment horizontal="left" vertical="center" wrapText="1"/>
      <protection/>
    </xf>
    <xf numFmtId="3" fontId="0" fillId="2" borderId="0" xfId="0" applyNumberFormat="1" applyFill="1" applyAlignment="1" applyProtection="1">
      <alignment horizontal="left" vertical="center"/>
      <protection/>
    </xf>
    <xf numFmtId="167" fontId="0" fillId="0" borderId="0" xfId="0" applyNumberFormat="1" applyAlignment="1" applyProtection="1">
      <alignment horizontal="left" vertical="top"/>
      <protection/>
    </xf>
    <xf numFmtId="167" fontId="0" fillId="0" borderId="0" xfId="0" applyNumberFormat="1" applyAlignment="1" applyProtection="1">
      <alignment horizontal="left" vertical="top" wrapText="1"/>
      <protection/>
    </xf>
    <xf numFmtId="3" fontId="0" fillId="0" borderId="0" xfId="0" applyNumberFormat="1" applyAlignment="1" applyProtection="1">
      <alignment horizontal="left" vertical="center"/>
      <protection/>
    </xf>
  </cellXfs>
  <cellStyles count="8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Accent1" xfId="21"/>
    <cellStyle name="20% - Accent2" xfId="22"/>
    <cellStyle name="20% - Accent3" xfId="23"/>
    <cellStyle name="20% - Accent4" xfId="24"/>
    <cellStyle name="20% - Accent5" xfId="25"/>
    <cellStyle name="20% - Accent6" xfId="26"/>
    <cellStyle name="40 % – Zvýraznění1" xfId="27"/>
    <cellStyle name="40 % – Zvýraznění2" xfId="28"/>
    <cellStyle name="40 % – Zvýraznění3" xfId="29"/>
    <cellStyle name="40 % – Zvýraznění4" xfId="30"/>
    <cellStyle name="40 % – Zvýraznění5" xfId="31"/>
    <cellStyle name="40 % – Zvýraznění6" xfId="32"/>
    <cellStyle name="40% - Accent1" xfId="33"/>
    <cellStyle name="40% - Accent2" xfId="34"/>
    <cellStyle name="40% - Accent3" xfId="35"/>
    <cellStyle name="40% - Accent4" xfId="36"/>
    <cellStyle name="40% - Accent5" xfId="37"/>
    <cellStyle name="40% - Accent6" xfId="38"/>
    <cellStyle name="60 % – Zvýraznění1" xfId="39"/>
    <cellStyle name="60 % – Zvýraznění2" xfId="40"/>
    <cellStyle name="60 % – Zvýraznění3" xfId="41"/>
    <cellStyle name="60 % – Zvýraznění4" xfId="42"/>
    <cellStyle name="60 % – Zvýraznění5" xfId="43"/>
    <cellStyle name="60 % – Zvýraznění6" xfId="44"/>
    <cellStyle name="60% - Accent1" xfId="45"/>
    <cellStyle name="60% - Accent2" xfId="46"/>
    <cellStyle name="60% - Accent3" xfId="47"/>
    <cellStyle name="60% - Accent4" xfId="48"/>
    <cellStyle name="60% - Accent5" xfId="49"/>
    <cellStyle name="60% - Accent6" xfId="50"/>
    <cellStyle name="Celkem" xfId="51"/>
    <cellStyle name="Comma" xfId="52"/>
    <cellStyle name="Comma [0]" xfId="53"/>
    <cellStyle name="Excel Built-in Normal" xfId="54"/>
    <cellStyle name="Hyperlink" xfId="55"/>
    <cellStyle name="Chybně" xfId="56"/>
    <cellStyle name="Kontrolní buňka" xfId="57"/>
    <cellStyle name="Currency" xfId="58"/>
    <cellStyle name="Currency [0]" xfId="59"/>
    <cellStyle name="Nadpis 1" xfId="60"/>
    <cellStyle name="Nadpis 2" xfId="61"/>
    <cellStyle name="Nadpis 3" xfId="62"/>
    <cellStyle name="Nadpis 4" xfId="63"/>
    <cellStyle name="Název" xfId="64"/>
    <cellStyle name="Neutrální" xfId="65"/>
    <cellStyle name="Normální 2" xfId="66"/>
    <cellStyle name="normální_BRILSTAR" xfId="67"/>
    <cellStyle name="normální_ESA_ESI" xfId="68"/>
    <cellStyle name="normální_ESA_ESI BJ3" xfId="69"/>
    <cellStyle name="Followed Hyperlink" xfId="70"/>
    <cellStyle name="Poznámka" xfId="71"/>
    <cellStyle name="procent_ESA_ESI" xfId="72"/>
    <cellStyle name="Percent" xfId="73"/>
    <cellStyle name="Procenta 2" xfId="74"/>
    <cellStyle name="Propojená buňka" xfId="75"/>
    <cellStyle name="Správně" xfId="76"/>
    <cellStyle name="Špatně" xfId="77"/>
    <cellStyle name="TableStyleLight1" xfId="78"/>
    <cellStyle name="TableStyleLight1 2" xfId="79"/>
    <cellStyle name="TableStyleLight1 3" xfId="80"/>
    <cellStyle name="TableStyleLight1 4" xfId="81"/>
    <cellStyle name="Text upozornění" xfId="82"/>
    <cellStyle name="Title" xfId="83"/>
    <cellStyle name="Total" xfId="84"/>
    <cellStyle name="Vstup" xfId="85"/>
    <cellStyle name="Výpočet" xfId="86"/>
    <cellStyle name="Výstup" xfId="87"/>
    <cellStyle name="Vysvětlující text" xfId="88"/>
    <cellStyle name="Warning Text" xfId="89"/>
    <cellStyle name="Zvýraznění 1" xfId="90"/>
    <cellStyle name="Zvýraznění 2" xfId="91"/>
    <cellStyle name="Zvýraznění 3" xfId="92"/>
    <cellStyle name="Zvýraznění 4" xfId="93"/>
    <cellStyle name="Zvýraznění 5" xfId="94"/>
    <cellStyle name="Zvýraznění 6" xfId="95"/>
  </cellStyles>
  <dxfs count="4">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D498"/>
  <sheetViews>
    <sheetView showGridLines="0" view="pageBreakPreview" zoomScale="86" zoomScaleSheetLayoutView="86" workbookViewId="0" topLeftCell="A28">
      <selection activeCell="U95" sqref="U95"/>
    </sheetView>
  </sheetViews>
  <sheetFormatPr defaultColWidth="9.00390625" defaultRowHeight="12.75"/>
  <cols>
    <col min="1" max="1" width="8.25390625" style="116" customWidth="1"/>
    <col min="2" max="2" width="16.625" style="116" customWidth="1"/>
    <col min="3" max="3" width="12.875" style="117" customWidth="1"/>
    <col min="4" max="4" width="54.625" style="123" customWidth="1"/>
    <col min="5" max="5" width="6.875" style="119" customWidth="1"/>
    <col min="6" max="6" width="9.625" style="122" customWidth="1"/>
    <col min="7" max="7" width="12.625" style="122" customWidth="1"/>
    <col min="8" max="8" width="15.375" style="119" customWidth="1"/>
    <col min="9" max="9" width="6.375" style="299" bestFit="1" customWidth="1"/>
    <col min="10" max="10" width="12.875" style="1" hidden="1" customWidth="1"/>
    <col min="11" max="11" width="12.25390625" style="1" hidden="1" customWidth="1"/>
    <col min="12" max="12" width="0.37109375" style="1" hidden="1" customWidth="1"/>
    <col min="13" max="13" width="7.625" style="1" hidden="1" customWidth="1"/>
    <col min="14" max="14" width="1.00390625" style="3" hidden="1" customWidth="1"/>
    <col min="15" max="15" width="0.12890625" style="1" customWidth="1"/>
    <col min="16" max="16" width="7.75390625" style="2" customWidth="1"/>
    <col min="17" max="17" width="11.875" style="386" customWidth="1"/>
    <col min="18" max="18" width="12.00390625" style="386" customWidth="1"/>
    <col min="19" max="19" width="15.875" style="386" customWidth="1"/>
    <col min="20" max="20" width="14.625" style="438" customWidth="1"/>
    <col min="21" max="21" width="14.875" style="438" customWidth="1"/>
    <col min="22" max="22" width="12.125" style="438" customWidth="1"/>
    <col min="23" max="23" width="22.75390625" style="439" hidden="1" customWidth="1"/>
    <col min="24" max="24" width="7.75390625" style="439" customWidth="1"/>
    <col min="25" max="26" width="17.375" style="315" hidden="1" customWidth="1"/>
    <col min="27" max="27" width="13.625" style="327" hidden="1" customWidth="1"/>
    <col min="28" max="28" width="13.25390625" style="1" hidden="1" customWidth="1"/>
    <col min="29" max="29" width="2.875" style="1" hidden="1" customWidth="1"/>
    <col min="30" max="30" width="22.625" style="1" hidden="1" customWidth="1"/>
    <col min="31" max="31" width="9.125" style="1" hidden="1" customWidth="1"/>
    <col min="32" max="32" width="0" style="1" hidden="1" customWidth="1"/>
    <col min="33" max="16384" width="9.125" style="1" customWidth="1"/>
  </cols>
  <sheetData>
    <row r="1" spans="16:22" ht="12.75">
      <c r="P1" s="405"/>
      <c r="Q1" s="406"/>
      <c r="R1" s="406"/>
      <c r="S1" s="475"/>
      <c r="T1" s="476"/>
      <c r="U1" s="476"/>
      <c r="V1" s="476"/>
    </row>
    <row r="2" spans="4:27" ht="12.75">
      <c r="D2" s="118"/>
      <c r="F2" s="120" t="s">
        <v>76</v>
      </c>
      <c r="G2" s="120" t="s">
        <v>77</v>
      </c>
      <c r="H2" s="121" t="s">
        <v>78</v>
      </c>
      <c r="I2" s="298" t="s">
        <v>733</v>
      </c>
      <c r="J2" s="19" t="s">
        <v>228</v>
      </c>
      <c r="K2" s="19" t="s">
        <v>229</v>
      </c>
      <c r="L2" s="19" t="s">
        <v>230</v>
      </c>
      <c r="P2" s="2" t="s">
        <v>750</v>
      </c>
      <c r="Q2" s="386" t="s">
        <v>76</v>
      </c>
      <c r="R2" s="386" t="s">
        <v>77</v>
      </c>
      <c r="S2" s="386" t="s">
        <v>78</v>
      </c>
      <c r="T2" s="442"/>
      <c r="U2" s="442"/>
      <c r="V2" s="442"/>
      <c r="W2" s="440"/>
      <c r="X2" s="440"/>
      <c r="Y2" s="332"/>
      <c r="Z2" s="332"/>
      <c r="AA2" s="333"/>
    </row>
    <row r="3" spans="4:27" ht="12.75">
      <c r="D3" s="118"/>
      <c r="J3" s="20"/>
      <c r="K3" s="20"/>
      <c r="L3" s="12"/>
      <c r="T3" s="442"/>
      <c r="U3" s="442"/>
      <c r="V3" s="442"/>
      <c r="Y3" s="334"/>
      <c r="Z3" s="334"/>
      <c r="AA3" s="335"/>
    </row>
    <row r="4" spans="10:27" ht="12.75">
      <c r="J4" s="20"/>
      <c r="K4" s="20"/>
      <c r="L4" s="12"/>
      <c r="Y4" s="334"/>
      <c r="Z4" s="334"/>
      <c r="AA4" s="335"/>
    </row>
    <row r="5" spans="4:27" ht="44.25" customHeight="1">
      <c r="D5" s="489" t="s">
        <v>301</v>
      </c>
      <c r="E5" s="490"/>
      <c r="F5" s="490"/>
      <c r="G5" s="490"/>
      <c r="H5" s="491"/>
      <c r="J5" s="20"/>
      <c r="K5" s="20"/>
      <c r="L5" s="12"/>
      <c r="Y5" s="334"/>
      <c r="Z5" s="334"/>
      <c r="AA5" s="335"/>
    </row>
    <row r="6" spans="4:27" ht="21" customHeight="1">
      <c r="D6" s="492" t="s">
        <v>728</v>
      </c>
      <c r="E6" s="493"/>
      <c r="F6" s="493"/>
      <c r="G6" s="493"/>
      <c r="H6" s="494"/>
      <c r="J6" s="20"/>
      <c r="K6" s="20"/>
      <c r="L6" s="12"/>
      <c r="Y6" s="334"/>
      <c r="Z6" s="334"/>
      <c r="AA6" s="335"/>
    </row>
    <row r="7" spans="4:27" ht="21" customHeight="1">
      <c r="D7" s="492" t="s">
        <v>729</v>
      </c>
      <c r="E7" s="493"/>
      <c r="F7" s="493"/>
      <c r="G7" s="493"/>
      <c r="H7" s="494"/>
      <c r="J7" s="20"/>
      <c r="K7" s="20"/>
      <c r="L7" s="12"/>
      <c r="Y7" s="336"/>
      <c r="Z7" s="336"/>
      <c r="AA7" s="335"/>
    </row>
    <row r="8" spans="4:27" ht="21" customHeight="1">
      <c r="D8" s="492" t="s">
        <v>164</v>
      </c>
      <c r="E8" s="493"/>
      <c r="F8" s="493"/>
      <c r="G8" s="493"/>
      <c r="H8" s="494"/>
      <c r="J8" s="20"/>
      <c r="K8" s="20"/>
      <c r="L8" s="12"/>
      <c r="Y8" s="336"/>
      <c r="Z8" s="336"/>
      <c r="AA8" s="335"/>
    </row>
    <row r="9" spans="4:27" ht="21" customHeight="1">
      <c r="D9" s="492" t="s">
        <v>75</v>
      </c>
      <c r="E9" s="493"/>
      <c r="F9" s="493"/>
      <c r="G9" s="493"/>
      <c r="H9" s="494"/>
      <c r="J9" s="20"/>
      <c r="K9" s="20"/>
      <c r="L9" s="12"/>
      <c r="Y9" s="334"/>
      <c r="Z9" s="334"/>
      <c r="AA9" s="335"/>
    </row>
    <row r="10" spans="4:27" ht="12.75">
      <c r="D10" s="124"/>
      <c r="E10" s="125"/>
      <c r="F10" s="126"/>
      <c r="G10" s="126"/>
      <c r="H10" s="127"/>
      <c r="J10" s="20"/>
      <c r="K10" s="20"/>
      <c r="L10" s="12"/>
      <c r="Y10" s="334"/>
      <c r="Z10" s="334"/>
      <c r="AA10" s="335"/>
    </row>
    <row r="11" spans="4:27" ht="23.25">
      <c r="D11" s="128" t="s">
        <v>79</v>
      </c>
      <c r="E11" s="129"/>
      <c r="F11" s="130"/>
      <c r="G11" s="130"/>
      <c r="H11" s="131"/>
      <c r="J11" s="20"/>
      <c r="K11" s="20"/>
      <c r="L11" s="12"/>
      <c r="Y11" s="334"/>
      <c r="Z11" s="334"/>
      <c r="AA11" s="335"/>
    </row>
    <row r="12" spans="10:27" ht="12.75">
      <c r="J12" s="20"/>
      <c r="K12" s="20"/>
      <c r="L12" s="12"/>
      <c r="Y12" s="334"/>
      <c r="Z12" s="334"/>
      <c r="AA12" s="335"/>
    </row>
    <row r="13" spans="10:27" ht="12.75">
      <c r="J13" s="2"/>
      <c r="K13" s="2"/>
      <c r="L13" s="12"/>
      <c r="Q13" s="322"/>
      <c r="R13" s="322"/>
      <c r="S13" s="322"/>
      <c r="T13" s="444"/>
      <c r="U13" s="444"/>
      <c r="V13" s="444"/>
      <c r="Y13" s="334"/>
      <c r="Z13" s="334"/>
      <c r="AA13" s="335"/>
    </row>
    <row r="14" spans="1:27" s="2" customFormat="1" ht="16.5">
      <c r="A14" s="132"/>
      <c r="B14" s="132"/>
      <c r="C14" s="133">
        <v>1</v>
      </c>
      <c r="D14" s="134" t="str">
        <f>Kapitola_1</f>
        <v>Přípravné a bourací práce</v>
      </c>
      <c r="E14" s="135"/>
      <c r="F14" s="136"/>
      <c r="G14" s="137"/>
      <c r="H14" s="137">
        <f>+Cena_1</f>
        <v>6280.2241902000005</v>
      </c>
      <c r="I14" s="300"/>
      <c r="J14" s="21">
        <f>SUMIF(I$115:I$131,"O",H$115:H$131)</f>
        <v>6280.2241902000005</v>
      </c>
      <c r="K14" s="21">
        <f>SUMIF(I$115:I$131,"i",H$115:H$131)</f>
        <v>0</v>
      </c>
      <c r="L14" s="22">
        <f>SUM(J14:K14)</f>
        <v>6280.2241902000005</v>
      </c>
      <c r="M14" s="54">
        <f>+H14-L14</f>
        <v>0</v>
      </c>
      <c r="N14" s="13"/>
      <c r="Q14" s="322"/>
      <c r="R14" s="322"/>
      <c r="S14" s="322"/>
      <c r="T14" s="444"/>
      <c r="U14" s="444"/>
      <c r="V14" s="444"/>
      <c r="W14" s="441"/>
      <c r="X14" s="441"/>
      <c r="Y14" s="337"/>
      <c r="Z14" s="337"/>
      <c r="AA14" s="338"/>
    </row>
    <row r="15" spans="1:27" s="2" customFormat="1" ht="16.5">
      <c r="A15" s="132"/>
      <c r="B15" s="132"/>
      <c r="C15" s="133">
        <v>2</v>
      </c>
      <c r="D15" s="134" t="str">
        <f>Kapitola_2</f>
        <v>Stavební úpravy bytové jednotky</v>
      </c>
      <c r="E15" s="135"/>
      <c r="F15" s="136"/>
      <c r="G15" s="137"/>
      <c r="H15" s="137">
        <f>SUM(G16:G29)</f>
        <v>1008116.7454568999</v>
      </c>
      <c r="I15" s="300"/>
      <c r="M15" s="54"/>
      <c r="N15" s="13"/>
      <c r="Q15" s="322"/>
      <c r="R15" s="322"/>
      <c r="S15" s="322"/>
      <c r="T15" s="444"/>
      <c r="U15" s="444"/>
      <c r="V15" s="444"/>
      <c r="W15" s="441"/>
      <c r="X15" s="441"/>
      <c r="Y15" s="337"/>
      <c r="Z15" s="337"/>
      <c r="AA15" s="338"/>
    </row>
    <row r="16" spans="1:27" s="2" customFormat="1" ht="16.5">
      <c r="A16" s="132"/>
      <c r="B16" s="132"/>
      <c r="C16" s="138" t="s">
        <v>109</v>
      </c>
      <c r="D16" s="134" t="str">
        <f>Kapitola_2a</f>
        <v>Stěny a příčky</v>
      </c>
      <c r="E16" s="135"/>
      <c r="F16" s="136"/>
      <c r="G16" s="137">
        <f>+Cena_2a</f>
        <v>74388.7327</v>
      </c>
      <c r="H16" s="137"/>
      <c r="I16" s="300"/>
      <c r="J16" s="21">
        <f>SUMIF(I$136:I$154,"O",H$136:H$154)</f>
        <v>2310.354</v>
      </c>
      <c r="K16" s="21">
        <f>SUMIF(I$136:I$154,"i",H$136:H$154)</f>
        <v>72078.3787</v>
      </c>
      <c r="L16" s="22">
        <f aca="true" t="shared" si="0" ref="L16:L30">SUM(J16:K16)</f>
        <v>74388.73270000001</v>
      </c>
      <c r="M16" s="55">
        <f aca="true" t="shared" si="1" ref="M16:M29">+L16-G16</f>
        <v>0</v>
      </c>
      <c r="N16" s="13"/>
      <c r="Q16" s="322"/>
      <c r="R16" s="322"/>
      <c r="S16" s="322"/>
      <c r="T16" s="444"/>
      <c r="U16" s="444"/>
      <c r="V16" s="444"/>
      <c r="W16" s="441"/>
      <c r="X16" s="441"/>
      <c r="Y16" s="337"/>
      <c r="Z16" s="337"/>
      <c r="AA16" s="338"/>
    </row>
    <row r="17" spans="1:27" s="2" customFormat="1" ht="16.5">
      <c r="A17" s="132"/>
      <c r="B17" s="132"/>
      <c r="C17" s="138" t="s">
        <v>110</v>
      </c>
      <c r="D17" s="134" t="str">
        <f>Kapitola_2b</f>
        <v>Stropy a stropní konstrukce</v>
      </c>
      <c r="E17" s="135"/>
      <c r="F17" s="136"/>
      <c r="G17" s="137">
        <f>+Cena_2b</f>
        <v>55395.425375</v>
      </c>
      <c r="H17" s="137"/>
      <c r="I17" s="300"/>
      <c r="J17" s="21">
        <f>SUMIF(I$159:I$174,"O",H$159:H$174)</f>
        <v>8078.399999999999</v>
      </c>
      <c r="K17" s="21">
        <f>SUMIF(I$159:I$174,"i",H$159:H$174)</f>
        <v>47317.025375</v>
      </c>
      <c r="L17" s="22">
        <f t="shared" si="0"/>
        <v>55395.425375</v>
      </c>
      <c r="M17" s="55">
        <f t="shared" si="1"/>
        <v>0</v>
      </c>
      <c r="N17" s="13"/>
      <c r="Q17" s="322"/>
      <c r="R17" s="322"/>
      <c r="S17" s="322"/>
      <c r="T17" s="444"/>
      <c r="U17" s="444"/>
      <c r="V17" s="444"/>
      <c r="W17" s="441"/>
      <c r="X17" s="441"/>
      <c r="Y17" s="337"/>
      <c r="Z17" s="337"/>
      <c r="AA17" s="338"/>
    </row>
    <row r="18" spans="1:27" s="2" customFormat="1" ht="16.5">
      <c r="A18" s="132"/>
      <c r="B18" s="132"/>
      <c r="C18" s="138" t="s">
        <v>111</v>
      </c>
      <c r="D18" s="134" t="str">
        <f>Kapitola_2c</f>
        <v>Úpravy povrchů vnitřní (stěny, stropy)</v>
      </c>
      <c r="E18" s="135"/>
      <c r="F18" s="136"/>
      <c r="G18" s="137">
        <f>+Cena_2c</f>
        <v>126275.5224734</v>
      </c>
      <c r="H18" s="137"/>
      <c r="I18" s="300"/>
      <c r="J18" s="21">
        <f>SUMIF(I$179:I$216,"O",H$179:H$216)</f>
        <v>124433.5224734</v>
      </c>
      <c r="K18" s="21">
        <f>SUMIF(I$179:I$216,"i",H$179:H$216)</f>
        <v>1842</v>
      </c>
      <c r="L18" s="22">
        <f t="shared" si="0"/>
        <v>126275.5224734</v>
      </c>
      <c r="M18" s="55">
        <f t="shared" si="1"/>
        <v>0</v>
      </c>
      <c r="N18" s="13"/>
      <c r="Q18" s="322"/>
      <c r="R18" s="322"/>
      <c r="S18" s="322"/>
      <c r="T18" s="444"/>
      <c r="U18" s="444"/>
      <c r="V18" s="444"/>
      <c r="W18" s="441"/>
      <c r="X18" s="441"/>
      <c r="Y18" s="337"/>
      <c r="Z18" s="337"/>
      <c r="AA18" s="338"/>
    </row>
    <row r="19" spans="1:27" s="2" customFormat="1" ht="16.5">
      <c r="A19" s="132"/>
      <c r="B19" s="132"/>
      <c r="C19" s="138" t="s">
        <v>112</v>
      </c>
      <c r="D19" s="134" t="str">
        <f>Kapitola_2d</f>
        <v>Zdravotechnika - vnitřní kanalizace</v>
      </c>
      <c r="E19" s="135"/>
      <c r="F19" s="136"/>
      <c r="G19" s="137">
        <f>+Cena_2d</f>
        <v>15431.349999999999</v>
      </c>
      <c r="H19" s="137"/>
      <c r="I19" s="300"/>
      <c r="J19" s="21">
        <f>SUMIF(I$221:I$231,"O",H$221:H$231)</f>
        <v>14163.349999999999</v>
      </c>
      <c r="K19" s="21">
        <f>SUMIF(I$221:I$231,"i",H$221:H$231)</f>
        <v>1268</v>
      </c>
      <c r="L19" s="22">
        <f t="shared" si="0"/>
        <v>15431.349999999999</v>
      </c>
      <c r="M19" s="55">
        <f t="shared" si="1"/>
        <v>0</v>
      </c>
      <c r="N19" s="13"/>
      <c r="Q19" s="322"/>
      <c r="R19" s="322"/>
      <c r="S19" s="322"/>
      <c r="T19" s="444"/>
      <c r="U19" s="444"/>
      <c r="V19" s="444"/>
      <c r="W19" s="441"/>
      <c r="X19" s="441"/>
      <c r="Y19" s="337"/>
      <c r="Z19" s="337"/>
      <c r="AA19" s="338"/>
    </row>
    <row r="20" spans="1:27" s="2" customFormat="1" ht="16.5">
      <c r="A20" s="132"/>
      <c r="B20" s="132"/>
      <c r="C20" s="138" t="s">
        <v>113</v>
      </c>
      <c r="D20" s="134" t="str">
        <f>Kapitola_2e</f>
        <v>Zdravotechnika - vnitřní vodovod</v>
      </c>
      <c r="E20" s="135"/>
      <c r="F20" s="136"/>
      <c r="G20" s="137">
        <f>+Cena_2e</f>
        <v>21506.952999999998</v>
      </c>
      <c r="H20" s="137"/>
      <c r="I20" s="300"/>
      <c r="J20" s="21">
        <f>SUMIF(I$236:I$250,"O",H$236:H$250)</f>
        <v>21506.952999999998</v>
      </c>
      <c r="K20" s="21">
        <f>SUMIF(I$236:I$250,"i",H$236:H$250)</f>
        <v>0</v>
      </c>
      <c r="L20" s="22">
        <f t="shared" si="0"/>
        <v>21506.952999999998</v>
      </c>
      <c r="M20" s="55">
        <f t="shared" si="1"/>
        <v>0</v>
      </c>
      <c r="N20" s="13"/>
      <c r="Q20" s="322"/>
      <c r="R20" s="322"/>
      <c r="S20" s="322"/>
      <c r="T20" s="444"/>
      <c r="U20" s="444"/>
      <c r="V20" s="444"/>
      <c r="W20" s="441"/>
      <c r="X20" s="441"/>
      <c r="Y20" s="337"/>
      <c r="Z20" s="337"/>
      <c r="AA20" s="338"/>
    </row>
    <row r="21" spans="1:27" s="2" customFormat="1" ht="16.5">
      <c r="A21" s="132"/>
      <c r="B21" s="132"/>
      <c r="C21" s="138" t="s">
        <v>114</v>
      </c>
      <c r="D21" s="134" t="str">
        <f>+D253</f>
        <v>Plynovod</v>
      </c>
      <c r="E21" s="135"/>
      <c r="F21" s="136"/>
      <c r="G21" s="137">
        <f>+H279</f>
        <v>79020.554</v>
      </c>
      <c r="H21" s="137"/>
      <c r="I21" s="300"/>
      <c r="J21" s="21">
        <f>SUMIF(I$255:I$278,"O",H$255:H$278)</f>
        <v>79020.554</v>
      </c>
      <c r="K21" s="21">
        <f>SUMIF(I$255:I$278,"i",H$255:H$278)</f>
        <v>0</v>
      </c>
      <c r="L21" s="22">
        <f>SUM(J21:K21)</f>
        <v>79020.554</v>
      </c>
      <c r="M21" s="55">
        <f t="shared" si="1"/>
        <v>0</v>
      </c>
      <c r="N21" s="13"/>
      <c r="Q21" s="322"/>
      <c r="R21" s="322"/>
      <c r="S21" s="322"/>
      <c r="T21" s="444"/>
      <c r="U21" s="444"/>
      <c r="V21" s="444"/>
      <c r="W21" s="441"/>
      <c r="X21" s="441"/>
      <c r="Y21" s="337"/>
      <c r="Z21" s="337"/>
      <c r="AA21" s="338"/>
    </row>
    <row r="22" spans="1:27" s="2" customFormat="1" ht="16.5">
      <c r="A22" s="132"/>
      <c r="B22" s="132"/>
      <c r="C22" s="138" t="s">
        <v>115</v>
      </c>
      <c r="D22" s="134" t="str">
        <f>Kapitola_2f</f>
        <v>Zdravotechnika - zařizovací předměty, armatury </v>
      </c>
      <c r="E22" s="135"/>
      <c r="F22" s="136"/>
      <c r="G22" s="137">
        <f>+Cena_2f</f>
        <v>71988.925</v>
      </c>
      <c r="H22" s="137"/>
      <c r="I22" s="300"/>
      <c r="J22" s="21">
        <f>SUMIF(I$283:I$312,"O",H$283:H$312)</f>
        <v>71988.925</v>
      </c>
      <c r="K22" s="21">
        <f>SUMIF(I$283:I$312,"i",H$283:H$312)</f>
        <v>0</v>
      </c>
      <c r="L22" s="22">
        <f>SUM(J22:K22)</f>
        <v>71988.925</v>
      </c>
      <c r="M22" s="55">
        <f t="shared" si="1"/>
        <v>0</v>
      </c>
      <c r="N22" s="13"/>
      <c r="Q22" s="322"/>
      <c r="R22" s="322"/>
      <c r="S22" s="322"/>
      <c r="T22" s="444"/>
      <c r="U22" s="444"/>
      <c r="V22" s="444"/>
      <c r="W22" s="441"/>
      <c r="X22" s="441"/>
      <c r="Y22" s="337"/>
      <c r="Z22" s="337"/>
      <c r="AA22" s="338"/>
    </row>
    <row r="23" spans="1:27" s="2" customFormat="1" ht="16.5">
      <c r="A23" s="132"/>
      <c r="B23" s="132"/>
      <c r="C23" s="138" t="s">
        <v>121</v>
      </c>
      <c r="D23" s="134" t="str">
        <f>Kapitola_2g</f>
        <v>Elektroinstalace - silnoproud </v>
      </c>
      <c r="E23" s="135"/>
      <c r="F23" s="136"/>
      <c r="G23" s="137">
        <f>+Cena_2g</f>
        <v>130037.25</v>
      </c>
      <c r="H23" s="137"/>
      <c r="I23" s="300"/>
      <c r="J23" s="21">
        <f>SUMIF(I$317:I$319,"O",H$317:H$319)</f>
        <v>130037.25</v>
      </c>
      <c r="K23" s="21">
        <f>SUMIF(I$317:I$319,"i",H$317:H$319)</f>
        <v>0</v>
      </c>
      <c r="L23" s="22">
        <f t="shared" si="0"/>
        <v>130037.25</v>
      </c>
      <c r="M23" s="55">
        <f t="shared" si="1"/>
        <v>0</v>
      </c>
      <c r="N23" s="13"/>
      <c r="Q23" s="322"/>
      <c r="R23" s="322"/>
      <c r="S23" s="322"/>
      <c r="T23" s="444"/>
      <c r="U23" s="444"/>
      <c r="V23" s="444"/>
      <c r="W23" s="441"/>
      <c r="X23" s="441"/>
      <c r="Y23" s="337"/>
      <c r="Z23" s="337"/>
      <c r="AA23" s="338"/>
    </row>
    <row r="24" spans="1:27" s="2" customFormat="1" ht="16.5">
      <c r="A24" s="132"/>
      <c r="B24" s="132"/>
      <c r="C24" s="138" t="s">
        <v>151</v>
      </c>
      <c r="D24" s="134" t="str">
        <f>Kapitola_2h</f>
        <v>Elektroinstalace - slaboproud</v>
      </c>
      <c r="E24" s="135"/>
      <c r="F24" s="136"/>
      <c r="G24" s="137">
        <f>+Cena_2h</f>
        <v>7885.5</v>
      </c>
      <c r="H24" s="137"/>
      <c r="I24" s="300"/>
      <c r="J24" s="21">
        <f>SUMIF(I$324:I$325,"O",H$324:H$325)</f>
        <v>7885.5</v>
      </c>
      <c r="K24" s="21">
        <f>SUMIF(I$324:I$325,"i",H$324:H$325)</f>
        <v>0</v>
      </c>
      <c r="L24" s="22">
        <f t="shared" si="0"/>
        <v>7885.5</v>
      </c>
      <c r="M24" s="55">
        <f t="shared" si="1"/>
        <v>0</v>
      </c>
      <c r="N24" s="13"/>
      <c r="Q24" s="322"/>
      <c r="R24" s="322"/>
      <c r="S24" s="322"/>
      <c r="T24" s="444"/>
      <c r="U24" s="444"/>
      <c r="V24" s="444"/>
      <c r="W24" s="441"/>
      <c r="X24" s="441"/>
      <c r="Y24" s="337"/>
      <c r="Z24" s="337"/>
      <c r="AA24" s="338"/>
    </row>
    <row r="25" spans="1:27" s="2" customFormat="1" ht="16.5">
      <c r="A25" s="132"/>
      <c r="B25" s="132"/>
      <c r="C25" s="139" t="s">
        <v>152</v>
      </c>
      <c r="D25" s="134" t="str">
        <f>Kapitola_2i</f>
        <v>Vzduchotechnika</v>
      </c>
      <c r="E25" s="135"/>
      <c r="F25" s="136"/>
      <c r="G25" s="137">
        <f>+Cena_2i</f>
        <v>95407.23000000001</v>
      </c>
      <c r="H25" s="137"/>
      <c r="I25" s="300"/>
      <c r="J25" s="21">
        <f>SUMIF(I$330:I$351,"O",H$330:H$351)</f>
        <v>0</v>
      </c>
      <c r="K25" s="21">
        <f>SUMIF(I$330:I$351,"i",H$330:H$351)</f>
        <v>95407.23000000001</v>
      </c>
      <c r="L25" s="22">
        <f t="shared" si="0"/>
        <v>95407.23000000001</v>
      </c>
      <c r="M25" s="55">
        <f t="shared" si="1"/>
        <v>0</v>
      </c>
      <c r="N25" s="13"/>
      <c r="Q25" s="322"/>
      <c r="R25" s="322"/>
      <c r="S25" s="322"/>
      <c r="T25" s="444"/>
      <c r="U25" s="444"/>
      <c r="V25" s="444"/>
      <c r="W25" s="441"/>
      <c r="X25" s="441"/>
      <c r="Y25" s="337"/>
      <c r="Z25" s="337"/>
      <c r="AA25" s="338"/>
    </row>
    <row r="26" spans="1:27" s="2" customFormat="1" ht="16.5">
      <c r="A26" s="132"/>
      <c r="B26" s="132"/>
      <c r="C26" s="139" t="s">
        <v>153</v>
      </c>
      <c r="D26" s="134" t="str">
        <f>Kapitola_2j</f>
        <v>Konstrukce truhlářské</v>
      </c>
      <c r="E26" s="135"/>
      <c r="F26" s="136"/>
      <c r="G26" s="137">
        <f>+Cena_2j</f>
        <v>193958.1</v>
      </c>
      <c r="H26" s="137"/>
      <c r="I26" s="300"/>
      <c r="J26" s="21">
        <f>SUMIF(I$356:I$377,"O",H$356:H$377)</f>
        <v>105916</v>
      </c>
      <c r="K26" s="21">
        <f>SUMIF(I$356:I$377,"i",H$356:H$377)</f>
        <v>88042.1</v>
      </c>
      <c r="L26" s="22">
        <f t="shared" si="0"/>
        <v>193958.1</v>
      </c>
      <c r="M26" s="55">
        <f t="shared" si="1"/>
        <v>0</v>
      </c>
      <c r="N26" s="13"/>
      <c r="Q26" s="322"/>
      <c r="R26" s="322"/>
      <c r="S26" s="322"/>
      <c r="T26" s="444"/>
      <c r="U26" s="444"/>
      <c r="V26" s="444"/>
      <c r="W26" s="441"/>
      <c r="X26" s="441"/>
      <c r="Y26" s="337"/>
      <c r="Z26" s="337"/>
      <c r="AA26" s="338"/>
    </row>
    <row r="27" spans="1:27" s="2" customFormat="1" ht="16.5">
      <c r="A27" s="132"/>
      <c r="B27" s="132"/>
      <c r="C27" s="139" t="s">
        <v>154</v>
      </c>
      <c r="D27" s="134" t="str">
        <f>Kapitola_2k</f>
        <v>Konstrukce zámečnické</v>
      </c>
      <c r="E27" s="135"/>
      <c r="F27" s="136"/>
      <c r="G27" s="137">
        <f>+Cena_2k</f>
        <v>21167.071500000002</v>
      </c>
      <c r="H27" s="137"/>
      <c r="I27" s="300"/>
      <c r="J27" s="21">
        <f>SUMIF(I$382:I$390,"O",H$382:H$390)</f>
        <v>20360.489</v>
      </c>
      <c r="K27" s="21">
        <f>SUMIF(I$382:I$390,"i",H$382:H$390)</f>
        <v>806.5825</v>
      </c>
      <c r="L27" s="22">
        <f t="shared" si="0"/>
        <v>21167.071500000002</v>
      </c>
      <c r="M27" s="55">
        <f t="shared" si="1"/>
        <v>0</v>
      </c>
      <c r="N27" s="13"/>
      <c r="Q27" s="322"/>
      <c r="R27" s="322"/>
      <c r="S27" s="322"/>
      <c r="T27" s="444"/>
      <c r="U27" s="444"/>
      <c r="V27" s="444"/>
      <c r="W27" s="441"/>
      <c r="X27" s="441"/>
      <c r="Y27" s="337"/>
      <c r="Z27" s="337"/>
      <c r="AA27" s="338"/>
    </row>
    <row r="28" spans="1:27" s="2" customFormat="1" ht="16.5">
      <c r="A28" s="132"/>
      <c r="B28" s="132"/>
      <c r="C28" s="139" t="s">
        <v>155</v>
      </c>
      <c r="D28" s="134" t="str">
        <f>Kapitola_2l</f>
        <v>Podlahy z dlaždic</v>
      </c>
      <c r="E28" s="135"/>
      <c r="F28" s="136"/>
      <c r="G28" s="137">
        <f>+Cena_2l</f>
        <v>38529.547000000006</v>
      </c>
      <c r="H28" s="137"/>
      <c r="I28" s="300"/>
      <c r="J28" s="21">
        <f>SUMIF(I$395:I$407,"O",H$395:H$407)</f>
        <v>38529.547000000006</v>
      </c>
      <c r="K28" s="21">
        <f>SUMIF(I$395:I$407,"i",H$395:H$407)</f>
        <v>0</v>
      </c>
      <c r="L28" s="22">
        <f t="shared" si="0"/>
        <v>38529.547000000006</v>
      </c>
      <c r="M28" s="55">
        <f t="shared" si="1"/>
        <v>0</v>
      </c>
      <c r="N28" s="13"/>
      <c r="Q28" s="322"/>
      <c r="R28" s="322"/>
      <c r="S28" s="322"/>
      <c r="T28" s="444"/>
      <c r="U28" s="444"/>
      <c r="V28" s="444"/>
      <c r="W28" s="441"/>
      <c r="X28" s="441"/>
      <c r="Y28" s="337"/>
      <c r="Z28" s="337"/>
      <c r="AA28" s="338"/>
    </row>
    <row r="29" spans="1:27" s="2" customFormat="1" ht="16.5">
      <c r="A29" s="132"/>
      <c r="B29" s="132"/>
      <c r="C29" s="139" t="s">
        <v>236</v>
      </c>
      <c r="D29" s="134" t="str">
        <f>Kapitola_2m</f>
        <v>Podlahy povlakové</v>
      </c>
      <c r="E29" s="135"/>
      <c r="F29" s="136"/>
      <c r="G29" s="137">
        <f>Cena_2m</f>
        <v>77124.58440849997</v>
      </c>
      <c r="H29" s="137"/>
      <c r="I29" s="300"/>
      <c r="J29" s="21">
        <f>SUMIF(I$412:I$430,"O",H$412:H$430)</f>
        <v>77124.58440849997</v>
      </c>
      <c r="K29" s="21">
        <f>SUMIF(I$412:I$430,"i",H$412:H$430)</f>
        <v>0</v>
      </c>
      <c r="L29" s="22">
        <f t="shared" si="0"/>
        <v>77124.58440849997</v>
      </c>
      <c r="M29" s="55">
        <f t="shared" si="1"/>
        <v>0</v>
      </c>
      <c r="N29" s="13"/>
      <c r="Q29" s="322"/>
      <c r="R29" s="322"/>
      <c r="S29" s="322"/>
      <c r="T29" s="444"/>
      <c r="U29" s="444"/>
      <c r="V29" s="444"/>
      <c r="W29" s="441"/>
      <c r="X29" s="441"/>
      <c r="Y29" s="337"/>
      <c r="Z29" s="337"/>
      <c r="AA29" s="338"/>
    </row>
    <row r="30" spans="1:28" s="2" customFormat="1" ht="16.5">
      <c r="A30" s="132"/>
      <c r="B30" s="132"/>
      <c r="C30" s="133">
        <v>3</v>
      </c>
      <c r="D30" s="134" t="str">
        <f>Dokoncovaci_prace</f>
        <v>Dokončovací práce</v>
      </c>
      <c r="E30" s="135"/>
      <c r="F30" s="136"/>
      <c r="G30" s="137"/>
      <c r="H30" s="137">
        <f>Cena_dokoncovaci_prace</f>
        <v>5600</v>
      </c>
      <c r="I30" s="428"/>
      <c r="J30" s="429">
        <f>SUMIF(I$434:I$434,"O",H$434:H$434)</f>
        <v>5600</v>
      </c>
      <c r="K30" s="429">
        <f>SUMIF(I$434:I$434,"i",H$434:H$434)</f>
        <v>0</v>
      </c>
      <c r="L30" s="430">
        <f t="shared" si="0"/>
        <v>5600</v>
      </c>
      <c r="M30" s="431">
        <f>+L30-H30</f>
        <v>0</v>
      </c>
      <c r="N30" s="432"/>
      <c r="O30" s="433"/>
      <c r="P30" s="433"/>
      <c r="Q30" s="402"/>
      <c r="R30" s="402"/>
      <c r="S30" s="402"/>
      <c r="T30" s="434"/>
      <c r="U30" s="434"/>
      <c r="V30" s="434"/>
      <c r="W30" s="441"/>
      <c r="X30" s="441"/>
      <c r="Y30" s="337"/>
      <c r="Z30" s="337"/>
      <c r="AA30" s="338"/>
      <c r="AB30" s="322"/>
    </row>
    <row r="31" spans="4:28" ht="12.75">
      <c r="D31" s="140"/>
      <c r="E31" s="116"/>
      <c r="F31" s="141"/>
      <c r="G31" s="142"/>
      <c r="H31" s="142"/>
      <c r="J31" s="20"/>
      <c r="K31" s="20"/>
      <c r="L31" s="20"/>
      <c r="P31" s="391"/>
      <c r="Q31" s="392" t="s">
        <v>746</v>
      </c>
      <c r="R31" s="392" t="s">
        <v>751</v>
      </c>
      <c r="S31" s="392" t="s">
        <v>814</v>
      </c>
      <c r="T31" s="393" t="s">
        <v>815</v>
      </c>
      <c r="U31" s="445" t="s">
        <v>816</v>
      </c>
      <c r="V31" s="446" t="s">
        <v>763</v>
      </c>
      <c r="W31" s="434"/>
      <c r="X31" s="434"/>
      <c r="Y31" s="336"/>
      <c r="Z31" s="336"/>
      <c r="AA31" s="339"/>
      <c r="AB31" s="320"/>
    </row>
    <row r="32" spans="4:28" ht="15" customHeight="1">
      <c r="D32" s="143" t="s">
        <v>80</v>
      </c>
      <c r="E32" s="144"/>
      <c r="F32" s="145"/>
      <c r="G32" s="486">
        <f>SUM(H14:H30)</f>
        <v>1019996.9696470998</v>
      </c>
      <c r="H32" s="486"/>
      <c r="J32" s="23">
        <f>SUM(J14:J31)</f>
        <v>713235.6530721001</v>
      </c>
      <c r="K32" s="23">
        <f>SUM(K14:K31)</f>
        <v>306761.31657500006</v>
      </c>
      <c r="L32" s="23">
        <f>SUM(J32:K32)</f>
        <v>1019996.9696471002</v>
      </c>
      <c r="P32" s="394"/>
      <c r="Q32" s="395">
        <f>Q45+Q46</f>
        <v>-243929.662</v>
      </c>
      <c r="R32" s="395">
        <f>R45+R46</f>
        <v>90185.5</v>
      </c>
      <c r="S32" s="395">
        <f>S45+S46</f>
        <v>-153744.162</v>
      </c>
      <c r="T32" s="396">
        <f>G32+Q32+R32</f>
        <v>866252.8076470998</v>
      </c>
      <c r="U32" s="447">
        <f>U45+U46</f>
        <v>705776.0900000001</v>
      </c>
      <c r="V32" s="448">
        <f>T32-U32</f>
        <v>160476.71764709975</v>
      </c>
      <c r="W32" s="442"/>
      <c r="X32" s="442"/>
      <c r="Y32" s="334"/>
      <c r="Z32" s="334"/>
      <c r="AA32" s="335"/>
      <c r="AB32" s="320"/>
    </row>
    <row r="33" spans="4:27" ht="12.75">
      <c r="D33" s="146"/>
      <c r="E33" s="144"/>
      <c r="F33" s="147"/>
      <c r="G33" s="147"/>
      <c r="H33" s="148"/>
      <c r="J33" s="20"/>
      <c r="K33" s="20"/>
      <c r="L33" s="20"/>
      <c r="P33" s="397"/>
      <c r="Q33" s="403"/>
      <c r="R33" s="403"/>
      <c r="S33" s="403"/>
      <c r="T33" s="435"/>
      <c r="U33" s="442"/>
      <c r="V33" s="449"/>
      <c r="W33" s="442"/>
      <c r="X33" s="442"/>
      <c r="Y33" s="334"/>
      <c r="Z33" s="334"/>
      <c r="AA33" s="335"/>
    </row>
    <row r="34" spans="3:27" ht="16.5">
      <c r="C34" s="113"/>
      <c r="D34" s="53" t="s">
        <v>495</v>
      </c>
      <c r="E34" s="149"/>
      <c r="F34" s="150"/>
      <c r="G34" s="151"/>
      <c r="H34" s="152">
        <f>+H112</f>
        <v>151005</v>
      </c>
      <c r="I34" s="301">
        <f>H34/G32</f>
        <v>0.1480445574777001</v>
      </c>
      <c r="J34" s="20"/>
      <c r="K34" s="20"/>
      <c r="L34" s="20"/>
      <c r="P34" s="397"/>
      <c r="Q34" s="403">
        <v>0</v>
      </c>
      <c r="R34" s="403">
        <v>0</v>
      </c>
      <c r="S34" s="403">
        <v>0</v>
      </c>
      <c r="T34" s="435">
        <f>H34+Q34+R34</f>
        <v>151005</v>
      </c>
      <c r="U34" s="442">
        <f>U49+U50</f>
        <v>136005</v>
      </c>
      <c r="V34" s="449">
        <f>T34-U34</f>
        <v>15000</v>
      </c>
      <c r="W34" s="442"/>
      <c r="X34" s="442"/>
      <c r="Y34" s="334"/>
      <c r="Z34" s="334"/>
      <c r="AA34" s="335"/>
    </row>
    <row r="35" spans="4:27" ht="12.75">
      <c r="D35" s="153"/>
      <c r="E35" s="154"/>
      <c r="F35" s="155"/>
      <c r="G35" s="156"/>
      <c r="H35" s="157"/>
      <c r="J35" s="20"/>
      <c r="K35" s="20"/>
      <c r="L35" s="20"/>
      <c r="P35" s="397"/>
      <c r="Q35" s="403"/>
      <c r="R35" s="403"/>
      <c r="S35" s="403"/>
      <c r="T35" s="435"/>
      <c r="U35" s="442"/>
      <c r="V35" s="449"/>
      <c r="W35" s="442"/>
      <c r="X35" s="442"/>
      <c r="Y35" s="334"/>
      <c r="Z35" s="334"/>
      <c r="AA35" s="335"/>
    </row>
    <row r="36" spans="4:27" ht="15">
      <c r="D36" s="143" t="s">
        <v>232</v>
      </c>
      <c r="E36" s="144"/>
      <c r="F36" s="147"/>
      <c r="G36" s="147"/>
      <c r="H36" s="158">
        <f>+G32+H34</f>
        <v>1171001.9696470997</v>
      </c>
      <c r="J36" s="20"/>
      <c r="K36" s="20"/>
      <c r="L36" s="20"/>
      <c r="P36" s="399"/>
      <c r="Q36" s="400">
        <f aca="true" t="shared" si="2" ref="Q36:V36">Q32+Q34</f>
        <v>-243929.662</v>
      </c>
      <c r="R36" s="400">
        <f t="shared" si="2"/>
        <v>90185.5</v>
      </c>
      <c r="S36" s="400">
        <f t="shared" si="2"/>
        <v>-153744.162</v>
      </c>
      <c r="T36" s="401">
        <f t="shared" si="2"/>
        <v>1017257.8076470998</v>
      </c>
      <c r="U36" s="451">
        <f t="shared" si="2"/>
        <v>841781.0900000001</v>
      </c>
      <c r="V36" s="452">
        <f t="shared" si="2"/>
        <v>175476.71764709975</v>
      </c>
      <c r="W36" s="442"/>
      <c r="X36" s="442"/>
      <c r="Y36" s="336"/>
      <c r="Z36" s="334"/>
      <c r="AA36" s="335"/>
    </row>
    <row r="37" spans="4:27" ht="12.75">
      <c r="D37" s="146"/>
      <c r="E37" s="144"/>
      <c r="F37" s="147"/>
      <c r="G37" s="147"/>
      <c r="H37" s="144"/>
      <c r="I37" s="302"/>
      <c r="J37" s="20"/>
      <c r="K37" s="20"/>
      <c r="L37" s="20"/>
      <c r="Y37" s="334"/>
      <c r="Z37" s="334"/>
      <c r="AA37" s="335"/>
    </row>
    <row r="38" spans="4:27" ht="12.75">
      <c r="D38" s="146" t="s">
        <v>81</v>
      </c>
      <c r="E38" s="144"/>
      <c r="F38" s="147"/>
      <c r="G38" s="18">
        <v>0.15</v>
      </c>
      <c r="H38" s="159">
        <f>ROUND((G32+H34)*G38,0)</f>
        <v>175650</v>
      </c>
      <c r="I38" s="302"/>
      <c r="J38" s="20"/>
      <c r="K38" s="20"/>
      <c r="L38" s="20"/>
      <c r="Y38" s="334"/>
      <c r="Z38" s="334"/>
      <c r="AA38" s="335"/>
    </row>
    <row r="39" spans="4:27" ht="12.75">
      <c r="D39" s="146" t="s">
        <v>81</v>
      </c>
      <c r="E39" s="144"/>
      <c r="F39" s="147"/>
      <c r="G39" s="18">
        <v>0.21</v>
      </c>
      <c r="H39" s="159">
        <v>0</v>
      </c>
      <c r="J39" s="20"/>
      <c r="K39" s="20"/>
      <c r="L39" s="20"/>
      <c r="Y39" s="334"/>
      <c r="Z39" s="334"/>
      <c r="AA39" s="335"/>
    </row>
    <row r="40" spans="4:27" ht="13.5" thickBot="1">
      <c r="D40" s="160"/>
      <c r="E40" s="161"/>
      <c r="F40" s="162"/>
      <c r="G40" s="162"/>
      <c r="H40" s="161"/>
      <c r="J40" s="20"/>
      <c r="K40" s="20"/>
      <c r="L40" s="20"/>
      <c r="Y40" s="340"/>
      <c r="Z40" s="340"/>
      <c r="AA40" s="341"/>
    </row>
    <row r="41" spans="4:30" ht="16.5" thickBot="1">
      <c r="D41" s="163" t="s">
        <v>82</v>
      </c>
      <c r="E41" s="161"/>
      <c r="F41" s="162"/>
      <c r="G41" s="487">
        <f>G32+H34+H38+H39</f>
        <v>1346651.9696470997</v>
      </c>
      <c r="H41" s="487"/>
      <c r="Y41" s="319" t="s">
        <v>762</v>
      </c>
      <c r="Z41" s="319" t="s">
        <v>767</v>
      </c>
      <c r="AA41" s="323" t="s">
        <v>763</v>
      </c>
      <c r="AD41" s="1" t="s">
        <v>812</v>
      </c>
    </row>
    <row r="42" spans="16:27" ht="12.75">
      <c r="P42" s="433"/>
      <c r="Q42" s="403"/>
      <c r="R42" s="403"/>
      <c r="S42" s="403"/>
      <c r="Y42" s="317"/>
      <c r="Z42" s="317"/>
      <c r="AA42" s="324"/>
    </row>
    <row r="43" spans="16:27" ht="12.75">
      <c r="P43" s="407"/>
      <c r="Q43" s="426"/>
      <c r="R43" s="426"/>
      <c r="S43" s="426"/>
      <c r="T43" s="427"/>
      <c r="U43" s="427"/>
      <c r="V43" s="427"/>
      <c r="Y43" s="317"/>
      <c r="Z43" s="317"/>
      <c r="AA43" s="324"/>
    </row>
    <row r="44" spans="4:27" ht="15">
      <c r="D44" s="164" t="s">
        <v>492</v>
      </c>
      <c r="E44" s="114"/>
      <c r="F44" s="114"/>
      <c r="G44" s="114"/>
      <c r="H44" s="114"/>
      <c r="P44" s="391"/>
      <c r="Q44" s="392" t="s">
        <v>746</v>
      </c>
      <c r="R44" s="392" t="s">
        <v>751</v>
      </c>
      <c r="S44" s="392" t="s">
        <v>814</v>
      </c>
      <c r="T44" s="393" t="s">
        <v>815</v>
      </c>
      <c r="U44" s="445" t="s">
        <v>816</v>
      </c>
      <c r="V44" s="446" t="s">
        <v>763</v>
      </c>
      <c r="W44" s="434"/>
      <c r="X44" s="434"/>
      <c r="Y44" s="317"/>
      <c r="Z44" s="317"/>
      <c r="AA44" s="324"/>
    </row>
    <row r="45" spans="4:28" ht="12.75">
      <c r="D45" s="165" t="s">
        <v>226</v>
      </c>
      <c r="E45" s="166"/>
      <c r="F45" s="114"/>
      <c r="G45" s="114"/>
      <c r="H45" s="167">
        <v>713235.6530721001</v>
      </c>
      <c r="I45" s="303">
        <f>+H45/G32</f>
        <v>0.6992527177005894</v>
      </c>
      <c r="P45" s="404"/>
      <c r="Q45" s="395">
        <f>S173+S229+S231+S244+S246+S250+S255+S256+S278+S302+S307+S312+S317+S318+S319+S367+S422+S423+S430</f>
        <v>-166998.75</v>
      </c>
      <c r="R45" s="395">
        <f>S257+S258+S303+S308+S424+S425</f>
        <v>69630</v>
      </c>
      <c r="S45" s="408">
        <f>SUM(Q45:R45)</f>
        <v>-97368.75</v>
      </c>
      <c r="T45" s="398">
        <f>H45+Q45+R45</f>
        <v>615866.9030721001</v>
      </c>
      <c r="U45" s="453">
        <f>Y45+Z45</f>
        <v>472262.7</v>
      </c>
      <c r="V45" s="454">
        <f>T45-U45</f>
        <v>143604.20307210012</v>
      </c>
      <c r="Y45" s="317">
        <f>Y117+Y120+Y122+Y123+Y124+Y125+Y126+Y127+Y128+Y129+Y130+Y131+Y138+Y139+Y179+Y180+Y181+Y185+Y221+Y222+Y223+Y224+Y225+Y226+Y227+Y236+Y237+Y238+Y239+Y240+Y241+Y242+Y243+Y247+Y255+Y256+Y259+Y260+Y263+Y264+Y317+Y324+Y382+Y383+Y384+Y386+Y387+Y388+Y389+Y412+Y413+Y414+Y415+Y416+Y417+Y418+Y419</f>
        <v>133782.40000000002</v>
      </c>
      <c r="Z45" s="329">
        <f>Z115+Z116+Z136+Z173+Z187+Z188+Z189+Z190+Z191+Z192+Z195+Z197+Z202+Z203+Z204+Z205+Z206+Z207+Z208+Z215+Z216+Z230+Z231+Z244+Z245+Z248+Z249+Z250+Z255+Z256+++++Z257+Z258+Z261+Z262+Z265+Z266+Z267+Z268+Z269+Z270+Z271+Z272+Z273+Z274+Z275+Z276+Z277+Z278+Z283+Z284+Z285+Z286+Z287+Z288+Z289+Z290+Z291+Z292+Z293+Z294+Z295+Z296+Z297+Z298+Z299+Z300+Z301+Z303+Z304+Z305+Z306+Z308+Z311+Z312+Z370+Z395+Z396+Z397+Z398+Z399+Z400+Z401+Z402+Z403+Z404+Z405+Z406+Z407+Z420+Z421+Z424+Z425+Z426+Z427+Z428+Z429+Z430+Z434</f>
        <v>338480.3</v>
      </c>
      <c r="AA45" s="324">
        <f>AA173+AA229+AA231+AA244+AA246+AA250+AA255+AA256+AA278+AA302+AA307+AA312+AA317+AA318+AA319+AA324+AA325+AA356+AA362+AA363+AA364+AA365+AA366+AA367+AA422+AA423</f>
        <v>240973.25</v>
      </c>
      <c r="AB45" s="320">
        <f>H45-Y45-Z45-AA45</f>
        <v>-0.29692789987893775</v>
      </c>
    </row>
    <row r="46" spans="4:28" ht="12.75">
      <c r="D46" s="165" t="s">
        <v>227</v>
      </c>
      <c r="E46" s="166"/>
      <c r="F46" s="114"/>
      <c r="G46" s="114"/>
      <c r="H46" s="167">
        <v>306761.31657500006</v>
      </c>
      <c r="I46" s="303">
        <f>+H46/G32</f>
        <v>0.30074728229941095</v>
      </c>
      <c r="P46" s="397"/>
      <c r="Q46" s="386">
        <f>S152+S154+S161+S174+S228+S346+S351+S372+S377</f>
        <v>-76930.91200000001</v>
      </c>
      <c r="R46" s="386">
        <f>S344+S345</f>
        <v>20555.5</v>
      </c>
      <c r="S46" s="409">
        <f>SUM(Q46:R46)</f>
        <v>-56375.41200000001</v>
      </c>
      <c r="T46" s="398">
        <f>H46+Q46+R46</f>
        <v>250385.90457500005</v>
      </c>
      <c r="U46" s="453">
        <f>Y46+Z46</f>
        <v>233513.39</v>
      </c>
      <c r="V46" s="454">
        <f>T46-U46</f>
        <v>16872.514575000037</v>
      </c>
      <c r="Y46" s="317">
        <f>Y140+Y142+Y144+Y145+Y147+Y149+Y150+Y159+Y160+Y162+Y163+Y165+Y164+Y166+Y167+Y168+Y169+Y330+Y331+Y332+Y333+Y334+Y335+Y336+Y337+Y338+Y339+Y340+Y341+Y344+Y345+Y347+Y348+Y349+Y350+Y390</f>
        <v>89915.48000000001</v>
      </c>
      <c r="Z46" s="329">
        <f>Z140+Z142+Z144+Z145+Z151+Z154+Z159+Z160+Z161+Z170+Z171+Z172+Z174+Z200+Z201+Z342+Z343+Z344+Z345+Z346+Z351+Z368+Z369+Z371+Z372+Z373+Z374+Z375+Z376+Z377</f>
        <v>143597.91</v>
      </c>
      <c r="AA46" s="324">
        <f>AA152+AA154+AA161+AA174+AA228+AA344+AA345+AA346+AA351</f>
        <v>73248</v>
      </c>
      <c r="AB46" s="320">
        <f>H46-Y46-Z46-AA46</f>
        <v>-0.07342499995138496</v>
      </c>
    </row>
    <row r="47" spans="4:27" ht="12.75">
      <c r="D47" s="114"/>
      <c r="E47" s="114"/>
      <c r="F47" s="114"/>
      <c r="G47" s="114"/>
      <c r="H47" s="168"/>
      <c r="P47" s="397"/>
      <c r="S47" s="409"/>
      <c r="T47" s="410"/>
      <c r="U47" s="453"/>
      <c r="V47" s="454"/>
      <c r="Y47" s="317"/>
      <c r="Z47" s="329"/>
      <c r="AA47" s="324"/>
    </row>
    <row r="48" spans="4:27" ht="15">
      <c r="D48" s="164" t="s">
        <v>493</v>
      </c>
      <c r="E48" s="114"/>
      <c r="F48" s="114"/>
      <c r="G48" s="114"/>
      <c r="H48" s="168"/>
      <c r="P48" s="397"/>
      <c r="S48" s="409"/>
      <c r="T48" s="410"/>
      <c r="U48" s="453"/>
      <c r="V48" s="454"/>
      <c r="Y48" s="317"/>
      <c r="Z48" s="329"/>
      <c r="AA48" s="324"/>
    </row>
    <row r="49" spans="4:28" ht="12.75">
      <c r="D49" s="165" t="s">
        <v>226</v>
      </c>
      <c r="E49" s="166"/>
      <c r="F49" s="114"/>
      <c r="G49" s="114"/>
      <c r="H49" s="169">
        <v>105590.6566363775</v>
      </c>
      <c r="P49" s="397"/>
      <c r="Q49" s="386">
        <v>0</v>
      </c>
      <c r="R49" s="386">
        <v>0</v>
      </c>
      <c r="S49" s="409">
        <v>0</v>
      </c>
      <c r="T49" s="398">
        <f>H49+Q49+R49</f>
        <v>105590.6566363775</v>
      </c>
      <c r="U49" s="453">
        <f>Y49+Z49</f>
        <v>90590.66</v>
      </c>
      <c r="V49" s="454">
        <f>T49-U49</f>
        <v>14999.996636377502</v>
      </c>
      <c r="Y49" s="317">
        <v>47024.75</v>
      </c>
      <c r="Z49" s="329">
        <v>43565.91</v>
      </c>
      <c r="AA49" s="324">
        <f>AA91</f>
        <v>15000</v>
      </c>
      <c r="AB49" s="320">
        <f>H49-Y49-Z49-AA49</f>
        <v>-0.0033636224980000407</v>
      </c>
    </row>
    <row r="50" spans="4:28" ht="12.75">
      <c r="D50" s="165" t="s">
        <v>227</v>
      </c>
      <c r="E50" s="166"/>
      <c r="F50" s="114"/>
      <c r="G50" s="114"/>
      <c r="H50" s="169">
        <v>45414.34336362255</v>
      </c>
      <c r="P50" s="397"/>
      <c r="Q50" s="386">
        <v>0</v>
      </c>
      <c r="R50" s="386">
        <v>0</v>
      </c>
      <c r="S50" s="409">
        <v>0</v>
      </c>
      <c r="T50" s="398">
        <f>H50+Q50+R50</f>
        <v>45414.34336362255</v>
      </c>
      <c r="U50" s="453">
        <f>Y50+Z50</f>
        <v>45414.34</v>
      </c>
      <c r="V50" s="454">
        <f>T50-U50</f>
        <v>0.0033636225562077016</v>
      </c>
      <c r="Y50" s="317">
        <v>20225.25</v>
      </c>
      <c r="Z50" s="329">
        <v>25189.09</v>
      </c>
      <c r="AA50" s="324">
        <v>0</v>
      </c>
      <c r="AB50" s="320">
        <f>H50-Y50-Z50-AA50</f>
        <v>0.0033636225525697228</v>
      </c>
    </row>
    <row r="51" spans="4:28" ht="12.75">
      <c r="D51" s="114"/>
      <c r="E51" s="114"/>
      <c r="F51" s="114"/>
      <c r="G51" s="114"/>
      <c r="H51" s="168"/>
      <c r="P51" s="397"/>
      <c r="S51" s="409"/>
      <c r="T51" s="410"/>
      <c r="U51" s="453"/>
      <c r="V51" s="454"/>
      <c r="Y51" s="317"/>
      <c r="Z51" s="317"/>
      <c r="AA51" s="324"/>
      <c r="AB51" s="320"/>
    </row>
    <row r="52" spans="4:28" ht="15">
      <c r="D52" s="164" t="s">
        <v>494</v>
      </c>
      <c r="E52" s="114"/>
      <c r="F52" s="114"/>
      <c r="G52" s="114"/>
      <c r="H52" s="168"/>
      <c r="P52" s="397"/>
      <c r="S52" s="409"/>
      <c r="T52" s="410"/>
      <c r="U52" s="453"/>
      <c r="V52" s="454"/>
      <c r="Y52" s="317"/>
      <c r="Z52" s="317"/>
      <c r="AA52" s="324"/>
      <c r="AB52" s="320"/>
    </row>
    <row r="53" spans="4:30" ht="12.75">
      <c r="D53" s="165" t="s">
        <v>226</v>
      </c>
      <c r="E53" s="166"/>
      <c r="F53" s="114"/>
      <c r="G53" s="114"/>
      <c r="H53" s="167">
        <f>+H45+H49</f>
        <v>818826.3097084777</v>
      </c>
      <c r="I53" s="303">
        <f>+H53/H36</f>
        <v>0.6992527177005895</v>
      </c>
      <c r="P53" s="397"/>
      <c r="Q53" s="386">
        <f>Q45</f>
        <v>-166998.75</v>
      </c>
      <c r="R53" s="386">
        <f>R45</f>
        <v>69630</v>
      </c>
      <c r="S53" s="409">
        <f>SUM(Q53:R53)</f>
        <v>-97368.75</v>
      </c>
      <c r="T53" s="398">
        <f>H53+Q53+R53</f>
        <v>721457.5597084777</v>
      </c>
      <c r="U53" s="453">
        <f>U45+U49</f>
        <v>562853.36</v>
      </c>
      <c r="V53" s="454">
        <f>T53-U53</f>
        <v>158604.1997084777</v>
      </c>
      <c r="Y53" s="317">
        <f aca="true" t="shared" si="3" ref="Y53:AA54">Y45+Y49</f>
        <v>180807.15000000002</v>
      </c>
      <c r="Z53" s="321">
        <f>Z45+Z49</f>
        <v>382046.20999999996</v>
      </c>
      <c r="AA53" s="324">
        <f t="shared" si="3"/>
        <v>255973.25</v>
      </c>
      <c r="AB53" s="320">
        <f>H53-Y53-Z53-AA53</f>
        <v>-0.3002915222896263</v>
      </c>
      <c r="AD53" s="390">
        <f>H53-Y53-Z53+Q53+R53</f>
        <v>158604.1997084777</v>
      </c>
    </row>
    <row r="54" spans="4:30" ht="12.75">
      <c r="D54" s="165" t="s">
        <v>227</v>
      </c>
      <c r="E54" s="166"/>
      <c r="F54" s="114"/>
      <c r="G54" s="114"/>
      <c r="H54" s="167">
        <f>+H46+H50</f>
        <v>352175.6599386226</v>
      </c>
      <c r="I54" s="303">
        <f>+H54/H36</f>
        <v>0.300747282299411</v>
      </c>
      <c r="P54" s="397"/>
      <c r="Q54" s="386">
        <f>Q46</f>
        <v>-76930.91200000001</v>
      </c>
      <c r="R54" s="386">
        <f>R46</f>
        <v>20555.5</v>
      </c>
      <c r="S54" s="409">
        <f>SUM(Q54:R54)</f>
        <v>-56375.41200000001</v>
      </c>
      <c r="T54" s="398">
        <f>H54+Q54+R54</f>
        <v>295800.2479386226</v>
      </c>
      <c r="U54" s="453">
        <f>U46+U50</f>
        <v>278927.73</v>
      </c>
      <c r="V54" s="454">
        <f>T54-U54</f>
        <v>16872.517938622623</v>
      </c>
      <c r="Y54" s="317">
        <f t="shared" si="3"/>
        <v>110140.73000000001</v>
      </c>
      <c r="Z54" s="321">
        <f t="shared" si="3"/>
        <v>168787</v>
      </c>
      <c r="AA54" s="324">
        <f t="shared" si="3"/>
        <v>73248</v>
      </c>
      <c r="AB54" s="320">
        <f>H54-Y54-Z54-AA54</f>
        <v>-0.07006137739517726</v>
      </c>
      <c r="AD54" s="390">
        <f>H54-Y54-Z54+Q54+R54</f>
        <v>16872.517938622594</v>
      </c>
    </row>
    <row r="55" spans="16:28" ht="12.75">
      <c r="P55" s="399"/>
      <c r="Q55" s="411"/>
      <c r="R55" s="411"/>
      <c r="S55" s="411">
        <f>SUM(S53:S54)</f>
        <v>-153744.162</v>
      </c>
      <c r="T55" s="401">
        <f>SUM(T53:T54)</f>
        <v>1017257.8076471003</v>
      </c>
      <c r="U55" s="450">
        <f>SUM(U53:U54)</f>
        <v>841781.09</v>
      </c>
      <c r="V55" s="455">
        <f>SUM(V53:V54)</f>
        <v>175476.71764710033</v>
      </c>
      <c r="Y55" s="317"/>
      <c r="Z55" s="317"/>
      <c r="AA55" s="324"/>
      <c r="AB55" s="320"/>
    </row>
    <row r="56" spans="4:30" ht="18">
      <c r="D56" s="170" t="s">
        <v>118</v>
      </c>
      <c r="E56" s="116"/>
      <c r="F56" s="141"/>
      <c r="G56" s="141"/>
      <c r="H56" s="116"/>
      <c r="Y56" s="317">
        <f>SUM(Y53:Y55)</f>
        <v>290947.88</v>
      </c>
      <c r="Z56" s="317">
        <f>SUM(Z53:Z55)</f>
        <v>550833.21</v>
      </c>
      <c r="AA56" s="317">
        <f>SUM(AA53:AA55)</f>
        <v>329221.25</v>
      </c>
      <c r="AD56" s="390">
        <f>SUM(AD53:AD55)</f>
        <v>175476.7176471003</v>
      </c>
    </row>
    <row r="57" spans="25:27" ht="7.5" customHeight="1">
      <c r="Y57" s="343"/>
      <c r="Z57" s="343"/>
      <c r="AA57" s="344"/>
    </row>
    <row r="58" spans="4:27" ht="12.75" hidden="1">
      <c r="D58" s="171" t="s">
        <v>83</v>
      </c>
      <c r="Y58" s="334"/>
      <c r="Z58" s="334"/>
      <c r="AA58" s="335"/>
    </row>
    <row r="59" spans="4:27" ht="12.75" hidden="1">
      <c r="D59" s="172" t="s">
        <v>84</v>
      </c>
      <c r="E59" s="173"/>
      <c r="F59" s="174"/>
      <c r="G59" s="174"/>
      <c r="H59" s="173"/>
      <c r="Y59" s="334"/>
      <c r="Z59" s="334"/>
      <c r="AA59" s="335"/>
    </row>
    <row r="60" spans="4:27" ht="56.25" customHeight="1" hidden="1">
      <c r="D60" s="477" t="s">
        <v>60</v>
      </c>
      <c r="E60" s="478"/>
      <c r="F60" s="478"/>
      <c r="G60" s="478"/>
      <c r="H60" s="479"/>
      <c r="Y60" s="334"/>
      <c r="Z60" s="334"/>
      <c r="AA60" s="335"/>
    </row>
    <row r="61" spans="4:27" ht="29.25" customHeight="1" hidden="1">
      <c r="D61" s="477" t="s">
        <v>61</v>
      </c>
      <c r="E61" s="478"/>
      <c r="F61" s="478"/>
      <c r="G61" s="478"/>
      <c r="H61" s="479"/>
      <c r="Y61" s="334"/>
      <c r="Z61" s="334"/>
      <c r="AA61" s="335"/>
    </row>
    <row r="62" spans="4:27" ht="27" customHeight="1" hidden="1">
      <c r="D62" s="477" t="s">
        <v>62</v>
      </c>
      <c r="E62" s="478"/>
      <c r="F62" s="478"/>
      <c r="G62" s="478"/>
      <c r="H62" s="479"/>
      <c r="Y62" s="334"/>
      <c r="Z62" s="334"/>
      <c r="AA62" s="335"/>
    </row>
    <row r="63" spans="4:27" ht="29.25" customHeight="1" hidden="1">
      <c r="D63" s="477" t="s">
        <v>63</v>
      </c>
      <c r="E63" s="478"/>
      <c r="F63" s="478"/>
      <c r="G63" s="478"/>
      <c r="H63" s="479"/>
      <c r="Y63" s="334"/>
      <c r="Z63" s="334"/>
      <c r="AA63" s="335"/>
    </row>
    <row r="64" spans="4:27" ht="12.75" customHeight="1" hidden="1">
      <c r="D64" s="477" t="s">
        <v>85</v>
      </c>
      <c r="E64" s="478"/>
      <c r="F64" s="478"/>
      <c r="G64" s="478"/>
      <c r="H64" s="479"/>
      <c r="Y64" s="334"/>
      <c r="Z64" s="334"/>
      <c r="AA64" s="335"/>
    </row>
    <row r="65" spans="4:27" ht="56.25" customHeight="1" hidden="1">
      <c r="D65" s="477" t="s">
        <v>64</v>
      </c>
      <c r="E65" s="478"/>
      <c r="F65" s="478"/>
      <c r="G65" s="478"/>
      <c r="H65" s="479"/>
      <c r="Y65" s="334"/>
      <c r="Z65" s="334"/>
      <c r="AA65" s="335"/>
    </row>
    <row r="66" spans="4:27" ht="48" customHeight="1" hidden="1">
      <c r="D66" s="477" t="s">
        <v>65</v>
      </c>
      <c r="E66" s="478"/>
      <c r="F66" s="478"/>
      <c r="G66" s="478"/>
      <c r="H66" s="479"/>
      <c r="Y66" s="334"/>
      <c r="Z66" s="334"/>
      <c r="AA66" s="335"/>
    </row>
    <row r="67" spans="4:27" ht="12.75" hidden="1">
      <c r="D67" s="477" t="s">
        <v>66</v>
      </c>
      <c r="E67" s="478"/>
      <c r="F67" s="478"/>
      <c r="G67" s="478"/>
      <c r="H67" s="479"/>
      <c r="Y67" s="334"/>
      <c r="Z67" s="334"/>
      <c r="AA67" s="335"/>
    </row>
    <row r="68" spans="4:27" ht="12.75" customHeight="1" hidden="1">
      <c r="D68" s="477" t="s">
        <v>67</v>
      </c>
      <c r="E68" s="478"/>
      <c r="F68" s="478"/>
      <c r="G68" s="478"/>
      <c r="H68" s="479"/>
      <c r="Y68" s="334"/>
      <c r="Z68" s="334"/>
      <c r="AA68" s="335"/>
    </row>
    <row r="69" spans="4:27" ht="38.25" customHeight="1" hidden="1">
      <c r="D69" s="477" t="s">
        <v>68</v>
      </c>
      <c r="E69" s="478"/>
      <c r="F69" s="478"/>
      <c r="G69" s="478"/>
      <c r="H69" s="479"/>
      <c r="Y69" s="334"/>
      <c r="Z69" s="334"/>
      <c r="AA69" s="335"/>
    </row>
    <row r="70" spans="4:27" ht="12.75" customHeight="1" hidden="1">
      <c r="D70" s="477" t="s">
        <v>69</v>
      </c>
      <c r="E70" s="478"/>
      <c r="F70" s="478"/>
      <c r="G70" s="478"/>
      <c r="H70" s="479"/>
      <c r="Y70" s="334"/>
      <c r="Z70" s="334"/>
      <c r="AA70" s="335"/>
    </row>
    <row r="71" spans="4:27" ht="38.25" customHeight="1" hidden="1">
      <c r="D71" s="477" t="s">
        <v>70</v>
      </c>
      <c r="E71" s="478"/>
      <c r="F71" s="478"/>
      <c r="G71" s="478"/>
      <c r="H71" s="479"/>
      <c r="Y71" s="334"/>
      <c r="Z71" s="334"/>
      <c r="AA71" s="335"/>
    </row>
    <row r="72" spans="4:27" ht="25.5" customHeight="1" hidden="1">
      <c r="D72" s="477" t="s">
        <v>71</v>
      </c>
      <c r="E72" s="478"/>
      <c r="F72" s="478"/>
      <c r="G72" s="478"/>
      <c r="H72" s="479"/>
      <c r="Y72" s="334"/>
      <c r="Z72" s="334"/>
      <c r="AA72" s="335"/>
    </row>
    <row r="73" spans="4:27" ht="12.75" hidden="1">
      <c r="D73" s="477" t="s">
        <v>72</v>
      </c>
      <c r="E73" s="478"/>
      <c r="F73" s="478"/>
      <c r="G73" s="478"/>
      <c r="H73" s="479"/>
      <c r="Y73" s="334"/>
      <c r="Z73" s="334"/>
      <c r="AA73" s="335"/>
    </row>
    <row r="74" spans="4:27" ht="12.75" customHeight="1" hidden="1">
      <c r="D74" s="477" t="s">
        <v>73</v>
      </c>
      <c r="E74" s="478"/>
      <c r="F74" s="478"/>
      <c r="G74" s="478"/>
      <c r="H74" s="479"/>
      <c r="Y74" s="334"/>
      <c r="Z74" s="334"/>
      <c r="AA74" s="335"/>
    </row>
    <row r="75" spans="4:27" ht="12.75" customHeight="1" hidden="1">
      <c r="D75" s="175"/>
      <c r="E75" s="175"/>
      <c r="F75" s="175"/>
      <c r="G75" s="175"/>
      <c r="H75" s="175"/>
      <c r="Y75" s="334"/>
      <c r="Z75" s="334"/>
      <c r="AA75" s="335"/>
    </row>
    <row r="76" spans="4:27" ht="39" customHeight="1" hidden="1">
      <c r="D76" s="498" t="s">
        <v>103</v>
      </c>
      <c r="E76" s="498"/>
      <c r="F76" s="498"/>
      <c r="G76" s="498"/>
      <c r="H76" s="498"/>
      <c r="Y76" s="334"/>
      <c r="Z76" s="334"/>
      <c r="AA76" s="335"/>
    </row>
    <row r="77" spans="1:27" s="4" customFormat="1" ht="12.75" customHeight="1" hidden="1">
      <c r="A77" s="176"/>
      <c r="B77" s="176"/>
      <c r="C77" s="177"/>
      <c r="D77" s="178"/>
      <c r="E77" s="179"/>
      <c r="F77" s="180"/>
      <c r="G77" s="180"/>
      <c r="H77" s="179"/>
      <c r="I77" s="304"/>
      <c r="N77" s="14"/>
      <c r="P77" s="2"/>
      <c r="Q77" s="386"/>
      <c r="R77" s="386"/>
      <c r="S77" s="386"/>
      <c r="T77" s="438"/>
      <c r="U77" s="438"/>
      <c r="V77" s="438"/>
      <c r="W77" s="443"/>
      <c r="X77" s="443"/>
      <c r="Y77" s="345"/>
      <c r="Z77" s="345"/>
      <c r="AA77" s="346"/>
    </row>
    <row r="78" spans="4:27" ht="38.25" customHeight="1" hidden="1">
      <c r="D78" s="480" t="s">
        <v>86</v>
      </c>
      <c r="E78" s="480"/>
      <c r="F78" s="480"/>
      <c r="G78" s="480"/>
      <c r="H78" s="480"/>
      <c r="Y78" s="334"/>
      <c r="Z78" s="334"/>
      <c r="AA78" s="335"/>
    </row>
    <row r="79" spans="1:27" s="4" customFormat="1" ht="7.5" customHeight="1" hidden="1">
      <c r="A79" s="176"/>
      <c r="B79" s="176"/>
      <c r="C79" s="177"/>
      <c r="D79" s="181"/>
      <c r="E79" s="181"/>
      <c r="F79" s="181"/>
      <c r="G79" s="181"/>
      <c r="H79" s="181"/>
      <c r="I79" s="304"/>
      <c r="N79" s="14"/>
      <c r="P79" s="2"/>
      <c r="Q79" s="386"/>
      <c r="R79" s="386"/>
      <c r="S79" s="386"/>
      <c r="T79" s="438"/>
      <c r="U79" s="438"/>
      <c r="V79" s="438"/>
      <c r="W79" s="443"/>
      <c r="X79" s="443"/>
      <c r="Y79" s="345"/>
      <c r="Z79" s="345"/>
      <c r="AA79" s="346"/>
    </row>
    <row r="80" spans="4:27" ht="27.75" customHeight="1" hidden="1">
      <c r="D80" s="480" t="s">
        <v>87</v>
      </c>
      <c r="E80" s="480"/>
      <c r="F80" s="480"/>
      <c r="G80" s="480"/>
      <c r="H80" s="480"/>
      <c r="Y80" s="334"/>
      <c r="Z80" s="334"/>
      <c r="AA80" s="335"/>
    </row>
    <row r="81" spans="4:27" ht="26.25" customHeight="1" hidden="1">
      <c r="D81" s="181" t="s">
        <v>88</v>
      </c>
      <c r="E81" s="181"/>
      <c r="F81" s="181"/>
      <c r="G81" s="181"/>
      <c r="H81" s="181"/>
      <c r="Y81" s="334"/>
      <c r="Z81" s="334"/>
      <c r="AA81" s="335"/>
    </row>
    <row r="82" spans="4:27" ht="15.75" customHeight="1" hidden="1">
      <c r="D82" s="499" t="s">
        <v>119</v>
      </c>
      <c r="E82" s="499"/>
      <c r="F82" s="499"/>
      <c r="G82" s="499"/>
      <c r="H82" s="499"/>
      <c r="Y82" s="334"/>
      <c r="Z82" s="334"/>
      <c r="AA82" s="335"/>
    </row>
    <row r="83" spans="4:27" ht="93" customHeight="1" hidden="1">
      <c r="D83" s="482" t="s">
        <v>99</v>
      </c>
      <c r="E83" s="482"/>
      <c r="F83" s="482"/>
      <c r="G83" s="482"/>
      <c r="H83" s="482"/>
      <c r="Y83" s="334"/>
      <c r="Z83" s="334"/>
      <c r="AA83" s="335"/>
    </row>
    <row r="84" spans="5:27" ht="12.75" hidden="1">
      <c r="E84" s="182"/>
      <c r="F84" s="183"/>
      <c r="G84" s="184"/>
      <c r="H84" s="182"/>
      <c r="Y84" s="334"/>
      <c r="Z84" s="334"/>
      <c r="AA84" s="335"/>
    </row>
    <row r="85" spans="4:27" ht="12.75" hidden="1">
      <c r="D85" s="495" t="s">
        <v>106</v>
      </c>
      <c r="E85" s="497"/>
      <c r="F85" s="497"/>
      <c r="G85" s="497"/>
      <c r="H85" s="497"/>
      <c r="Y85" s="334"/>
      <c r="Z85" s="334"/>
      <c r="AA85" s="335"/>
    </row>
    <row r="86" spans="1:27" ht="14.25" customHeight="1" hidden="1">
      <c r="A86" s="185"/>
      <c r="B86" s="185"/>
      <c r="C86" s="186"/>
      <c r="D86" s="495" t="s">
        <v>105</v>
      </c>
      <c r="E86" s="497"/>
      <c r="F86" s="497"/>
      <c r="G86" s="497"/>
      <c r="H86" s="497"/>
      <c r="Y86" s="334"/>
      <c r="Z86" s="334"/>
      <c r="AA86" s="335"/>
    </row>
    <row r="87" spans="1:27" ht="14.25" customHeight="1" hidden="1">
      <c r="A87" s="185"/>
      <c r="B87" s="185"/>
      <c r="C87" s="186"/>
      <c r="D87" s="187"/>
      <c r="E87" s="188"/>
      <c r="F87" s="188"/>
      <c r="G87" s="188"/>
      <c r="H87" s="189"/>
      <c r="P87" s="412"/>
      <c r="Q87" s="413"/>
      <c r="R87" s="413"/>
      <c r="S87" s="413"/>
      <c r="T87" s="456"/>
      <c r="U87" s="456"/>
      <c r="V87" s="456"/>
      <c r="Y87" s="334"/>
      <c r="Z87" s="334"/>
      <c r="AA87" s="335"/>
    </row>
    <row r="88" spans="1:27" ht="54.75" customHeight="1">
      <c r="A88" s="190"/>
      <c r="B88" s="191"/>
      <c r="C88" s="113"/>
      <c r="D88" s="192" t="s">
        <v>312</v>
      </c>
      <c r="E88" s="114"/>
      <c r="F88" s="193"/>
      <c r="G88" s="194"/>
      <c r="H88" s="195"/>
      <c r="I88" s="36"/>
      <c r="J88" s="36"/>
      <c r="P88" s="407"/>
      <c r="Q88" s="400"/>
      <c r="R88" s="400"/>
      <c r="S88" s="400"/>
      <c r="Y88" s="347"/>
      <c r="Z88" s="347"/>
      <c r="AA88" s="348"/>
    </row>
    <row r="89" spans="1:27" ht="14.25" customHeight="1">
      <c r="A89" s="190"/>
      <c r="B89" s="191"/>
      <c r="C89" s="196"/>
      <c r="D89" s="37" t="s">
        <v>312</v>
      </c>
      <c r="E89" s="197" t="s">
        <v>313</v>
      </c>
      <c r="F89" s="198" t="s">
        <v>314</v>
      </c>
      <c r="G89" s="199" t="s">
        <v>315</v>
      </c>
      <c r="H89" s="199" t="s">
        <v>316</v>
      </c>
      <c r="I89" s="36"/>
      <c r="J89" s="36"/>
      <c r="P89" s="414"/>
      <c r="Q89" s="415"/>
      <c r="R89" s="415"/>
      <c r="S89" s="415"/>
      <c r="Y89" s="319" t="s">
        <v>762</v>
      </c>
      <c r="Z89" s="319" t="s">
        <v>767</v>
      </c>
      <c r="AA89" s="323" t="s">
        <v>763</v>
      </c>
    </row>
    <row r="90" spans="1:27" ht="14.25" customHeight="1">
      <c r="A90" s="190"/>
      <c r="B90" s="191"/>
      <c r="C90" s="196" t="s">
        <v>317</v>
      </c>
      <c r="D90" s="38" t="s">
        <v>318</v>
      </c>
      <c r="E90" s="200"/>
      <c r="F90" s="201"/>
      <c r="G90" s="202"/>
      <c r="H90" s="202"/>
      <c r="I90" s="36"/>
      <c r="J90" s="36"/>
      <c r="P90" s="414"/>
      <c r="Q90" s="415"/>
      <c r="R90" s="415"/>
      <c r="S90" s="415"/>
      <c r="W90" s="438"/>
      <c r="X90" s="438"/>
      <c r="Y90" s="316"/>
      <c r="Z90" s="316"/>
      <c r="AA90" s="325"/>
    </row>
    <row r="91" spans="1:28" ht="12.75">
      <c r="A91" s="203">
        <v>1</v>
      </c>
      <c r="B91" s="204"/>
      <c r="C91" s="205"/>
      <c r="D91" s="206" t="s">
        <v>202</v>
      </c>
      <c r="E91" s="207" t="s">
        <v>89</v>
      </c>
      <c r="F91" s="208">
        <v>1</v>
      </c>
      <c r="G91" s="29">
        <v>15000</v>
      </c>
      <c r="H91" s="209">
        <f>+F91*G91</f>
        <v>15000</v>
      </c>
      <c r="I91" s="36"/>
      <c r="J91" s="36"/>
      <c r="P91" s="414"/>
      <c r="Q91" s="415"/>
      <c r="R91" s="415"/>
      <c r="S91" s="415"/>
      <c r="W91" s="438" t="s">
        <v>792</v>
      </c>
      <c r="X91" s="438"/>
      <c r="Y91" s="316">
        <v>0</v>
      </c>
      <c r="Z91" s="316">
        <v>0</v>
      </c>
      <c r="AA91" s="325">
        <v>15000</v>
      </c>
      <c r="AB91" s="342">
        <f>H91-Y91-Z91</f>
        <v>15000</v>
      </c>
    </row>
    <row r="92" spans="1:28" ht="14.25" customHeight="1">
      <c r="A92" s="203">
        <v>2</v>
      </c>
      <c r="B92" s="204"/>
      <c r="C92" s="205"/>
      <c r="D92" s="210" t="s">
        <v>319</v>
      </c>
      <c r="E92" s="211" t="s">
        <v>89</v>
      </c>
      <c r="F92" s="212">
        <v>1</v>
      </c>
      <c r="G92" s="29">
        <v>5</v>
      </c>
      <c r="H92" s="209">
        <f>+F92*G92</f>
        <v>5</v>
      </c>
      <c r="I92" s="36"/>
      <c r="J92" s="36"/>
      <c r="P92" s="414"/>
      <c r="Q92" s="415"/>
      <c r="R92" s="415"/>
      <c r="S92" s="415"/>
      <c r="W92" s="438"/>
      <c r="X92" s="438"/>
      <c r="Y92" s="316">
        <v>0</v>
      </c>
      <c r="Z92" s="316">
        <v>5</v>
      </c>
      <c r="AA92" s="325">
        <v>0</v>
      </c>
      <c r="AB92" s="342">
        <f>H92-Y92-Z92</f>
        <v>0</v>
      </c>
    </row>
    <row r="93" spans="1:27" ht="14.25" customHeight="1">
      <c r="A93" s="203"/>
      <c r="B93" s="204"/>
      <c r="C93" s="196" t="s">
        <v>320</v>
      </c>
      <c r="D93" s="38" t="s">
        <v>321</v>
      </c>
      <c r="E93" s="200"/>
      <c r="F93" s="201"/>
      <c r="G93" s="202"/>
      <c r="H93" s="202"/>
      <c r="I93" s="36"/>
      <c r="J93" s="36"/>
      <c r="P93" s="414"/>
      <c r="Q93" s="415"/>
      <c r="R93" s="415"/>
      <c r="S93" s="415"/>
      <c r="W93" s="438"/>
      <c r="X93" s="438"/>
      <c r="Y93" s="316"/>
      <c r="Z93" s="316"/>
      <c r="AA93" s="325"/>
    </row>
    <row r="94" spans="1:28" ht="12.75">
      <c r="A94" s="203">
        <v>3</v>
      </c>
      <c r="B94" s="204"/>
      <c r="C94" s="205"/>
      <c r="D94" s="206" t="s">
        <v>322</v>
      </c>
      <c r="E94" s="207" t="s">
        <v>89</v>
      </c>
      <c r="F94" s="208">
        <v>1</v>
      </c>
      <c r="G94" s="29">
        <v>18000</v>
      </c>
      <c r="H94" s="209">
        <f>+F94*G94</f>
        <v>18000</v>
      </c>
      <c r="I94" s="36"/>
      <c r="J94" s="36"/>
      <c r="P94" s="414"/>
      <c r="Q94" s="415"/>
      <c r="R94" s="415"/>
      <c r="S94" s="415"/>
      <c r="W94" s="438"/>
      <c r="X94" s="438"/>
      <c r="Y94" s="316">
        <v>18000</v>
      </c>
      <c r="Z94" s="316">
        <v>0</v>
      </c>
      <c r="AA94" s="325">
        <v>0</v>
      </c>
      <c r="AB94" s="342">
        <f>H94-Y94-Z94</f>
        <v>0</v>
      </c>
    </row>
    <row r="95" spans="1:28" ht="55.5" customHeight="1">
      <c r="A95" s="213"/>
      <c r="B95" s="204"/>
      <c r="C95" s="113"/>
      <c r="D95" s="483" t="s">
        <v>323</v>
      </c>
      <c r="E95" s="483"/>
      <c r="F95" s="483"/>
      <c r="G95" s="483"/>
      <c r="H95" s="483"/>
      <c r="I95" s="36"/>
      <c r="J95" s="36"/>
      <c r="P95" s="414"/>
      <c r="Q95" s="415"/>
      <c r="R95" s="415"/>
      <c r="S95" s="415"/>
      <c r="W95" s="438"/>
      <c r="X95" s="438"/>
      <c r="Y95" s="316"/>
      <c r="Z95" s="316"/>
      <c r="AA95" s="325"/>
      <c r="AB95" s="342">
        <f>H95-Y95-Z95</f>
        <v>0</v>
      </c>
    </row>
    <row r="96" spans="1:28" ht="14.25" customHeight="1">
      <c r="A96" s="213"/>
      <c r="B96" s="204"/>
      <c r="C96" s="196" t="s">
        <v>324</v>
      </c>
      <c r="D96" s="38" t="s">
        <v>325</v>
      </c>
      <c r="E96" s="200"/>
      <c r="F96" s="201"/>
      <c r="G96" s="202"/>
      <c r="H96" s="202"/>
      <c r="I96" s="36"/>
      <c r="J96" s="36"/>
      <c r="P96" s="414"/>
      <c r="Q96" s="415"/>
      <c r="R96" s="415"/>
      <c r="S96" s="415"/>
      <c r="W96" s="438"/>
      <c r="X96" s="438"/>
      <c r="Y96" s="316"/>
      <c r="Z96" s="316"/>
      <c r="AA96" s="325"/>
      <c r="AB96" s="342">
        <f>H96-Y96-Z96</f>
        <v>0</v>
      </c>
    </row>
    <row r="97" spans="1:28" ht="38.25">
      <c r="A97" s="203">
        <v>4</v>
      </c>
      <c r="B97" s="204"/>
      <c r="C97" s="205"/>
      <c r="D97" s="206" t="s">
        <v>326</v>
      </c>
      <c r="E97" s="207" t="s">
        <v>89</v>
      </c>
      <c r="F97" s="208">
        <v>1</v>
      </c>
      <c r="G97" s="29">
        <v>20000</v>
      </c>
      <c r="H97" s="209">
        <f>+F97*G97</f>
        <v>20000</v>
      </c>
      <c r="I97" s="36"/>
      <c r="J97" s="36"/>
      <c r="P97" s="414"/>
      <c r="Q97" s="415"/>
      <c r="R97" s="415"/>
      <c r="S97" s="415"/>
      <c r="W97" s="438"/>
      <c r="X97" s="438"/>
      <c r="Y97" s="316">
        <v>20000</v>
      </c>
      <c r="Z97" s="316">
        <v>0</v>
      </c>
      <c r="AA97" s="325">
        <v>0</v>
      </c>
      <c r="AB97" s="342">
        <f>H97-Y97-Z97</f>
        <v>0</v>
      </c>
    </row>
    <row r="98" spans="1:27" ht="42" customHeight="1">
      <c r="A98" s="213"/>
      <c r="B98" s="204"/>
      <c r="C98" s="113"/>
      <c r="D98" s="484" t="s">
        <v>327</v>
      </c>
      <c r="E98" s="484"/>
      <c r="F98" s="484"/>
      <c r="G98" s="484"/>
      <c r="H98" s="484"/>
      <c r="I98" s="36"/>
      <c r="J98" s="36"/>
      <c r="P98" s="414"/>
      <c r="Q98" s="415"/>
      <c r="R98" s="415"/>
      <c r="S98" s="415"/>
      <c r="W98" s="438"/>
      <c r="X98" s="438"/>
      <c r="Y98" s="316"/>
      <c r="Z98" s="316"/>
      <c r="AA98" s="325"/>
    </row>
    <row r="99" spans="1:27" ht="16.5">
      <c r="A99" s="213"/>
      <c r="B99" s="204"/>
      <c r="C99" s="196" t="s">
        <v>328</v>
      </c>
      <c r="D99" s="38" t="s">
        <v>329</v>
      </c>
      <c r="E99" s="200"/>
      <c r="F99" s="201"/>
      <c r="G99" s="202"/>
      <c r="H99" s="202"/>
      <c r="I99" s="36"/>
      <c r="J99" s="36"/>
      <c r="P99" s="414"/>
      <c r="Q99" s="415"/>
      <c r="R99" s="415"/>
      <c r="S99" s="415"/>
      <c r="W99" s="438"/>
      <c r="X99" s="438"/>
      <c r="Y99" s="316"/>
      <c r="Z99" s="316"/>
      <c r="AA99" s="325"/>
    </row>
    <row r="100" spans="1:27" ht="51">
      <c r="A100" s="203"/>
      <c r="B100" s="204"/>
      <c r="C100" s="205"/>
      <c r="D100" s="206" t="s">
        <v>330</v>
      </c>
      <c r="E100" s="207" t="s">
        <v>89</v>
      </c>
      <c r="F100" s="208">
        <v>1</v>
      </c>
      <c r="G100" s="214"/>
      <c r="H100" s="209">
        <v>0</v>
      </c>
      <c r="I100" s="36"/>
      <c r="J100" s="36"/>
      <c r="P100" s="414"/>
      <c r="Q100" s="415"/>
      <c r="R100" s="415"/>
      <c r="S100" s="415"/>
      <c r="W100" s="438"/>
      <c r="X100" s="438"/>
      <c r="Y100" s="316"/>
      <c r="Z100" s="316"/>
      <c r="AA100" s="325"/>
    </row>
    <row r="101" spans="1:28" ht="63.75">
      <c r="A101" s="203">
        <v>5</v>
      </c>
      <c r="B101" s="204"/>
      <c r="C101" s="205"/>
      <c r="D101" s="206" t="s">
        <v>331</v>
      </c>
      <c r="E101" s="207" t="s">
        <v>89</v>
      </c>
      <c r="F101" s="208">
        <v>1</v>
      </c>
      <c r="G101" s="29">
        <v>8000</v>
      </c>
      <c r="H101" s="209">
        <f>+F101*G101</f>
        <v>8000</v>
      </c>
      <c r="I101" s="36"/>
      <c r="J101" s="36"/>
      <c r="P101" s="414"/>
      <c r="Q101" s="415"/>
      <c r="R101" s="415"/>
      <c r="S101" s="415"/>
      <c r="W101" s="438"/>
      <c r="X101" s="438"/>
      <c r="Y101" s="316">
        <v>0</v>
      </c>
      <c r="Z101" s="316">
        <v>8000</v>
      </c>
      <c r="AA101" s="325">
        <v>0</v>
      </c>
      <c r="AB101" s="342">
        <f aca="true" t="shared" si="4" ref="AB101:AB110">H101-Y101-Z101</f>
        <v>0</v>
      </c>
    </row>
    <row r="102" spans="1:28" ht="25.5">
      <c r="A102" s="203"/>
      <c r="B102" s="204"/>
      <c r="C102" s="205"/>
      <c r="D102" s="206" t="s">
        <v>332</v>
      </c>
      <c r="E102" s="207" t="s">
        <v>89</v>
      </c>
      <c r="F102" s="208">
        <v>1</v>
      </c>
      <c r="G102" s="214"/>
      <c r="H102" s="209">
        <v>0</v>
      </c>
      <c r="I102" s="39"/>
      <c r="J102" s="40"/>
      <c r="P102" s="414"/>
      <c r="Q102" s="415"/>
      <c r="R102" s="415"/>
      <c r="S102" s="415"/>
      <c r="W102" s="438"/>
      <c r="X102" s="438"/>
      <c r="Y102" s="316"/>
      <c r="Z102" s="316"/>
      <c r="AA102" s="325"/>
      <c r="AB102" s="342">
        <f t="shared" si="4"/>
        <v>0</v>
      </c>
    </row>
    <row r="103" spans="1:28" ht="14.25" customHeight="1">
      <c r="A103" s="213"/>
      <c r="B103" s="204"/>
      <c r="C103" s="196" t="s">
        <v>333</v>
      </c>
      <c r="D103" s="38" t="s">
        <v>334</v>
      </c>
      <c r="E103" s="200"/>
      <c r="F103" s="201"/>
      <c r="G103" s="202"/>
      <c r="H103" s="202"/>
      <c r="I103" s="39"/>
      <c r="J103" s="40"/>
      <c r="P103" s="414"/>
      <c r="Q103" s="415"/>
      <c r="R103" s="415"/>
      <c r="S103" s="415"/>
      <c r="W103" s="438"/>
      <c r="X103" s="438"/>
      <c r="Y103" s="316"/>
      <c r="Z103" s="316"/>
      <c r="AA103" s="325"/>
      <c r="AB103" s="342">
        <f t="shared" si="4"/>
        <v>0</v>
      </c>
    </row>
    <row r="104" spans="1:28" ht="63.75">
      <c r="A104" s="203">
        <v>6</v>
      </c>
      <c r="B104" s="204"/>
      <c r="C104" s="205"/>
      <c r="D104" s="206" t="s">
        <v>335</v>
      </c>
      <c r="E104" s="207" t="s">
        <v>89</v>
      </c>
      <c r="F104" s="208">
        <v>1</v>
      </c>
      <c r="G104" s="29">
        <v>7000</v>
      </c>
      <c r="H104" s="209">
        <f>+F104*G104</f>
        <v>7000</v>
      </c>
      <c r="I104" s="39"/>
      <c r="J104" s="40"/>
      <c r="P104" s="414"/>
      <c r="Q104" s="415"/>
      <c r="R104" s="415"/>
      <c r="S104" s="415"/>
      <c r="W104" s="438"/>
      <c r="X104" s="438"/>
      <c r="Y104" s="316">
        <v>0</v>
      </c>
      <c r="Z104" s="316">
        <v>7000</v>
      </c>
      <c r="AA104" s="325">
        <v>0</v>
      </c>
      <c r="AB104" s="342">
        <f t="shared" si="4"/>
        <v>0</v>
      </c>
    </row>
    <row r="105" spans="1:28" ht="14.25" customHeight="1">
      <c r="A105" s="203"/>
      <c r="B105" s="204"/>
      <c r="C105" s="196" t="s">
        <v>336</v>
      </c>
      <c r="D105" s="38" t="s">
        <v>337</v>
      </c>
      <c r="E105" s="200"/>
      <c r="F105" s="201"/>
      <c r="G105" s="202"/>
      <c r="H105" s="202"/>
      <c r="I105" s="39"/>
      <c r="J105" s="40"/>
      <c r="P105" s="414"/>
      <c r="Q105" s="415"/>
      <c r="R105" s="415"/>
      <c r="S105" s="415"/>
      <c r="W105" s="438"/>
      <c r="X105" s="438"/>
      <c r="Y105" s="316"/>
      <c r="Z105" s="316"/>
      <c r="AA105" s="325"/>
      <c r="AB105" s="342">
        <f t="shared" si="4"/>
        <v>0</v>
      </c>
    </row>
    <row r="106" spans="1:28" ht="63.75">
      <c r="A106" s="203">
        <v>7</v>
      </c>
      <c r="B106" s="204"/>
      <c r="C106" s="205"/>
      <c r="D106" s="206" t="s">
        <v>338</v>
      </c>
      <c r="E106" s="207" t="s">
        <v>89</v>
      </c>
      <c r="F106" s="208">
        <v>1</v>
      </c>
      <c r="G106" s="29">
        <v>16000</v>
      </c>
      <c r="H106" s="209">
        <f>+F106*G106</f>
        <v>16000</v>
      </c>
      <c r="I106" s="39"/>
      <c r="J106" s="40"/>
      <c r="P106" s="414"/>
      <c r="Q106" s="415"/>
      <c r="R106" s="415"/>
      <c r="S106" s="415"/>
      <c r="W106" s="438"/>
      <c r="X106" s="438"/>
      <c r="Y106" s="316">
        <v>8000</v>
      </c>
      <c r="Z106" s="316">
        <v>8000</v>
      </c>
      <c r="AA106" s="325">
        <v>0</v>
      </c>
      <c r="AB106" s="342">
        <f t="shared" si="4"/>
        <v>0</v>
      </c>
    </row>
    <row r="107" spans="1:28" ht="14.25" customHeight="1">
      <c r="A107" s="203">
        <v>8</v>
      </c>
      <c r="B107" s="204"/>
      <c r="C107" s="196" t="s">
        <v>339</v>
      </c>
      <c r="D107" s="38" t="s">
        <v>340</v>
      </c>
      <c r="E107" s="200"/>
      <c r="F107" s="201"/>
      <c r="G107" s="202"/>
      <c r="H107" s="202"/>
      <c r="I107" s="39"/>
      <c r="J107" s="40"/>
      <c r="P107" s="414"/>
      <c r="Q107" s="415"/>
      <c r="R107" s="415"/>
      <c r="S107" s="415"/>
      <c r="W107" s="438"/>
      <c r="X107" s="438"/>
      <c r="Y107" s="316"/>
      <c r="Z107" s="316"/>
      <c r="AA107" s="325"/>
      <c r="AB107" s="342">
        <f t="shared" si="4"/>
        <v>0</v>
      </c>
    </row>
    <row r="108" spans="1:28" ht="25.5">
      <c r="A108" s="203"/>
      <c r="B108" s="204"/>
      <c r="C108" s="205"/>
      <c r="D108" s="206" t="s">
        <v>341</v>
      </c>
      <c r="E108" s="207" t="s">
        <v>89</v>
      </c>
      <c r="F108" s="208">
        <v>1</v>
      </c>
      <c r="G108" s="29">
        <v>61000</v>
      </c>
      <c r="H108" s="209">
        <f>+F108*G108</f>
        <v>61000</v>
      </c>
      <c r="I108" s="39"/>
      <c r="J108" s="40"/>
      <c r="P108" s="414"/>
      <c r="Q108" s="415"/>
      <c r="R108" s="415"/>
      <c r="S108" s="415"/>
      <c r="W108" s="438"/>
      <c r="X108" s="438"/>
      <c r="Y108" s="316">
        <v>15250</v>
      </c>
      <c r="Z108" s="316">
        <v>45750</v>
      </c>
      <c r="AA108" s="325">
        <v>0</v>
      </c>
      <c r="AB108" s="342">
        <f t="shared" si="4"/>
        <v>0</v>
      </c>
    </row>
    <row r="109" spans="1:28" ht="108" customHeight="1">
      <c r="A109" s="203"/>
      <c r="B109" s="204"/>
      <c r="C109" s="205"/>
      <c r="D109" s="485" t="s">
        <v>74</v>
      </c>
      <c r="E109" s="485"/>
      <c r="F109" s="485"/>
      <c r="G109" s="485"/>
      <c r="H109" s="485"/>
      <c r="I109" s="39"/>
      <c r="J109" s="40"/>
      <c r="P109" s="414"/>
      <c r="Q109" s="415"/>
      <c r="R109" s="415"/>
      <c r="S109" s="415"/>
      <c r="W109" s="438"/>
      <c r="X109" s="438"/>
      <c r="Y109" s="316"/>
      <c r="Z109" s="316"/>
      <c r="AA109" s="325"/>
      <c r="AB109" s="342">
        <f t="shared" si="4"/>
        <v>0</v>
      </c>
    </row>
    <row r="110" spans="1:28" ht="14.25" customHeight="1">
      <c r="A110" s="203">
        <v>9</v>
      </c>
      <c r="B110" s="204"/>
      <c r="C110" s="205"/>
      <c r="D110" s="206" t="s">
        <v>342</v>
      </c>
      <c r="E110" s="207" t="s">
        <v>89</v>
      </c>
      <c r="F110" s="208">
        <v>1</v>
      </c>
      <c r="G110" s="29">
        <v>6000</v>
      </c>
      <c r="H110" s="209">
        <f>+F110*G110</f>
        <v>6000</v>
      </c>
      <c r="I110" s="39"/>
      <c r="J110" s="40"/>
      <c r="P110" s="436"/>
      <c r="Q110" s="437"/>
      <c r="R110" s="437"/>
      <c r="S110" s="437"/>
      <c r="W110" s="438"/>
      <c r="X110" s="438"/>
      <c r="Y110" s="316">
        <v>6000</v>
      </c>
      <c r="Z110" s="316">
        <v>0</v>
      </c>
      <c r="AA110" s="325">
        <v>0</v>
      </c>
      <c r="AB110" s="342">
        <f t="shared" si="4"/>
        <v>0</v>
      </c>
    </row>
    <row r="111" spans="1:27" ht="42.75" customHeight="1" thickBot="1">
      <c r="A111" s="190"/>
      <c r="B111" s="191"/>
      <c r="C111" s="113"/>
      <c r="D111" s="500" t="s">
        <v>343</v>
      </c>
      <c r="E111" s="500"/>
      <c r="F111" s="500"/>
      <c r="G111" s="500"/>
      <c r="H111" s="500"/>
      <c r="I111" s="39"/>
      <c r="J111" s="40"/>
      <c r="P111" s="436"/>
      <c r="Q111" s="437"/>
      <c r="R111" s="437"/>
      <c r="S111" s="437"/>
      <c r="W111" s="438"/>
      <c r="X111" s="438"/>
      <c r="Y111" s="316"/>
      <c r="Z111" s="316"/>
      <c r="AA111" s="325"/>
    </row>
    <row r="112" spans="1:27" ht="14.25" customHeight="1" thickBot="1">
      <c r="A112" s="190"/>
      <c r="B112" s="191"/>
      <c r="C112" s="113"/>
      <c r="D112" s="215" t="s">
        <v>91</v>
      </c>
      <c r="E112" s="216"/>
      <c r="F112" s="217"/>
      <c r="G112" s="218"/>
      <c r="H112" s="219">
        <f>+H110+H108+H106+H104+H101+H97+H94+H92+H91</f>
        <v>151005</v>
      </c>
      <c r="I112" s="39"/>
      <c r="J112" s="40"/>
      <c r="P112" s="416"/>
      <c r="Q112" s="417"/>
      <c r="R112" s="417"/>
      <c r="S112" s="417"/>
      <c r="T112" s="457"/>
      <c r="U112" s="457"/>
      <c r="V112" s="457"/>
      <c r="W112" s="457"/>
      <c r="X112" s="457"/>
      <c r="Y112" s="316"/>
      <c r="Z112" s="316"/>
      <c r="AA112" s="325"/>
    </row>
    <row r="113" spans="1:27" ht="40.5" customHeight="1">
      <c r="A113" s="185"/>
      <c r="B113" s="220" t="s">
        <v>344</v>
      </c>
      <c r="C113" s="221" t="s">
        <v>345</v>
      </c>
      <c r="D113" s="140"/>
      <c r="E113" s="116"/>
      <c r="F113" s="141"/>
      <c r="G113" s="222"/>
      <c r="H113" s="223"/>
      <c r="P113" s="414"/>
      <c r="Q113" s="415"/>
      <c r="R113" s="415"/>
      <c r="S113" s="415"/>
      <c r="W113" s="438"/>
      <c r="X113" s="438"/>
      <c r="Y113" s="317"/>
      <c r="Z113" s="317"/>
      <c r="AA113" s="324"/>
    </row>
    <row r="114" spans="1:27" s="5" customFormat="1" ht="16.5">
      <c r="A114" s="224"/>
      <c r="B114" s="224"/>
      <c r="C114" s="225">
        <v>1</v>
      </c>
      <c r="D114" s="481" t="s">
        <v>237</v>
      </c>
      <c r="E114" s="481"/>
      <c r="F114" s="481"/>
      <c r="G114" s="481"/>
      <c r="H114" s="481"/>
      <c r="I114" s="305"/>
      <c r="J114" s="9"/>
      <c r="N114" s="9"/>
      <c r="P114" s="414"/>
      <c r="Q114" s="415"/>
      <c r="R114" s="415"/>
      <c r="S114" s="415"/>
      <c r="T114" s="438"/>
      <c r="U114" s="438"/>
      <c r="V114" s="438"/>
      <c r="W114" s="438"/>
      <c r="X114" s="438"/>
      <c r="Y114" s="318"/>
      <c r="Z114" s="318"/>
      <c r="AA114" s="326"/>
    </row>
    <row r="115" spans="1:28" ht="12.75">
      <c r="A115" s="226">
        <v>1</v>
      </c>
      <c r="B115" s="227" t="s">
        <v>346</v>
      </c>
      <c r="C115" s="205"/>
      <c r="D115" s="206" t="s">
        <v>150</v>
      </c>
      <c r="E115" s="207" t="s">
        <v>92</v>
      </c>
      <c r="F115" s="228">
        <v>1</v>
      </c>
      <c r="G115" s="29">
        <v>20</v>
      </c>
      <c r="H115" s="229">
        <f>F115*G115</f>
        <v>20</v>
      </c>
      <c r="I115" s="299" t="s">
        <v>225</v>
      </c>
      <c r="J115" s="3"/>
      <c r="L115" s="11">
        <f>0.024*F115</f>
        <v>0.024</v>
      </c>
      <c r="M115" t="s">
        <v>713</v>
      </c>
      <c r="P115" s="414"/>
      <c r="Q115" s="415"/>
      <c r="R115" s="415"/>
      <c r="S115" s="415"/>
      <c r="W115" s="438"/>
      <c r="X115" s="438"/>
      <c r="Y115" s="317">
        <v>0</v>
      </c>
      <c r="Z115" s="317">
        <v>20</v>
      </c>
      <c r="AA115" s="324">
        <v>0</v>
      </c>
      <c r="AB115" s="342">
        <f aca="true" t="shared" si="5" ref="AB115:AB131">H115-Y115-Z115</f>
        <v>0</v>
      </c>
    </row>
    <row r="116" spans="1:28" ht="12.75">
      <c r="A116" s="226">
        <f>A115+1</f>
        <v>2</v>
      </c>
      <c r="B116" s="227" t="s">
        <v>347</v>
      </c>
      <c r="C116" s="205"/>
      <c r="D116" s="206" t="s">
        <v>348</v>
      </c>
      <c r="E116" s="207" t="s">
        <v>92</v>
      </c>
      <c r="F116" s="228">
        <v>1</v>
      </c>
      <c r="G116" s="29">
        <v>340</v>
      </c>
      <c r="H116" s="229">
        <f>F116*G116</f>
        <v>340</v>
      </c>
      <c r="I116" s="299" t="s">
        <v>225</v>
      </c>
      <c r="J116" s="3"/>
      <c r="L116" s="11">
        <f>0.014*F116</f>
        <v>0.014</v>
      </c>
      <c r="M116"/>
      <c r="P116" s="414"/>
      <c r="Q116" s="415"/>
      <c r="R116" s="415"/>
      <c r="S116" s="415"/>
      <c r="W116" s="438"/>
      <c r="X116" s="438"/>
      <c r="Y116" s="317">
        <v>0</v>
      </c>
      <c r="Z116" s="317">
        <v>340</v>
      </c>
      <c r="AA116" s="324">
        <v>0</v>
      </c>
      <c r="AB116" s="342">
        <f t="shared" si="5"/>
        <v>0</v>
      </c>
    </row>
    <row r="117" spans="1:28" ht="25.5">
      <c r="A117" s="226">
        <f>A116+1</f>
        <v>3</v>
      </c>
      <c r="B117" s="227" t="s">
        <v>349</v>
      </c>
      <c r="C117" s="205"/>
      <c r="D117" s="41" t="s">
        <v>350</v>
      </c>
      <c r="E117" s="207" t="s">
        <v>90</v>
      </c>
      <c r="F117" s="230">
        <f>SUM(E118:E119)</f>
        <v>150.19480000000004</v>
      </c>
      <c r="G117" s="29">
        <v>3.9</v>
      </c>
      <c r="H117" s="229">
        <f>F117*G117</f>
        <v>585.7597200000001</v>
      </c>
      <c r="I117" s="302" t="s">
        <v>225</v>
      </c>
      <c r="J117" s="8">
        <v>0.002</v>
      </c>
      <c r="K117"/>
      <c r="L117" s="11">
        <f>+F117*J117</f>
        <v>0.3003896000000001</v>
      </c>
      <c r="P117" s="414"/>
      <c r="Q117" s="415"/>
      <c r="R117" s="415"/>
      <c r="S117" s="415"/>
      <c r="W117" s="438"/>
      <c r="X117" s="438"/>
      <c r="Y117" s="317">
        <v>585.8</v>
      </c>
      <c r="Z117" s="317">
        <v>0</v>
      </c>
      <c r="AA117" s="324">
        <v>0</v>
      </c>
      <c r="AB117" s="342">
        <f t="shared" si="5"/>
        <v>-0.04027999999982512</v>
      </c>
    </row>
    <row r="118" spans="1:28" ht="12.75">
      <c r="A118" s="226"/>
      <c r="B118" s="227"/>
      <c r="C118" s="205"/>
      <c r="D118" s="231" t="s">
        <v>506</v>
      </c>
      <c r="E118" s="232">
        <f>17.88*3.7-0.9*2.05-1.335*2.32-0.9*2.05</f>
        <v>59.36880000000001</v>
      </c>
      <c r="F118" s="233"/>
      <c r="G118" s="234"/>
      <c r="H118" s="229"/>
      <c r="I118" s="302"/>
      <c r="J118" s="3"/>
      <c r="P118" s="414"/>
      <c r="Q118" s="415"/>
      <c r="R118" s="415"/>
      <c r="S118" s="415"/>
      <c r="W118" s="438"/>
      <c r="X118" s="438"/>
      <c r="Y118" s="317"/>
      <c r="Z118" s="317"/>
      <c r="AA118" s="324"/>
      <c r="AB118" s="342">
        <f t="shared" si="5"/>
        <v>0</v>
      </c>
    </row>
    <row r="119" spans="1:28" ht="12.75">
      <c r="A119" s="226"/>
      <c r="B119" s="227"/>
      <c r="C119" s="205"/>
      <c r="D119" s="231" t="s">
        <v>505</v>
      </c>
      <c r="E119" s="232">
        <f>20.78*3.7-2*1.35*2.3-0.8*2.05-0.6*(1.95+1.9)+24.1</f>
        <v>90.82600000000002</v>
      </c>
      <c r="F119" s="233"/>
      <c r="G119" s="234"/>
      <c r="H119" s="229"/>
      <c r="I119" s="302"/>
      <c r="J119" s="3"/>
      <c r="P119" s="414"/>
      <c r="Q119" s="415"/>
      <c r="R119" s="415"/>
      <c r="S119" s="415"/>
      <c r="W119" s="438"/>
      <c r="X119" s="438"/>
      <c r="Y119" s="317"/>
      <c r="Z119" s="317"/>
      <c r="AA119" s="324"/>
      <c r="AB119" s="342">
        <f t="shared" si="5"/>
        <v>0</v>
      </c>
    </row>
    <row r="120" spans="1:28" ht="12.75">
      <c r="A120" s="226">
        <f>A117+1</f>
        <v>4</v>
      </c>
      <c r="B120" s="227" t="s">
        <v>353</v>
      </c>
      <c r="C120" s="235"/>
      <c r="D120" s="206" t="s">
        <v>354</v>
      </c>
      <c r="E120" s="207" t="s">
        <v>233</v>
      </c>
      <c r="F120" s="228">
        <f>SUM(E121:E122)</f>
        <v>0.041863499999999984</v>
      </c>
      <c r="G120" s="29">
        <v>910</v>
      </c>
      <c r="H120" s="229">
        <f>F120*G120</f>
        <v>38.095784999999985</v>
      </c>
      <c r="I120" s="302" t="s">
        <v>225</v>
      </c>
      <c r="J120" s="3"/>
      <c r="P120" s="414"/>
      <c r="Q120" s="415"/>
      <c r="R120" s="415"/>
      <c r="S120" s="415"/>
      <c r="W120" s="438"/>
      <c r="X120" s="438"/>
      <c r="Y120" s="317">
        <v>38.1</v>
      </c>
      <c r="Z120" s="317">
        <v>0</v>
      </c>
      <c r="AA120" s="324">
        <v>0</v>
      </c>
      <c r="AB120" s="342">
        <f t="shared" si="5"/>
        <v>-0.004215000000016289</v>
      </c>
    </row>
    <row r="121" spans="1:28" ht="12.75">
      <c r="A121" s="226"/>
      <c r="B121" s="227"/>
      <c r="C121" s="235"/>
      <c r="D121" s="236" t="s">
        <v>355</v>
      </c>
      <c r="E121" s="232">
        <f>((1.17*2.065)-(0.9*2.02))*0.07</f>
        <v>0.041863499999999984</v>
      </c>
      <c r="F121" s="228"/>
      <c r="G121" s="234"/>
      <c r="H121" s="229"/>
      <c r="I121" s="302"/>
      <c r="J121" s="3"/>
      <c r="P121" s="414"/>
      <c r="Q121" s="415"/>
      <c r="R121" s="415"/>
      <c r="S121" s="415"/>
      <c r="W121" s="438"/>
      <c r="X121" s="438"/>
      <c r="Y121" s="317"/>
      <c r="Z121" s="317"/>
      <c r="AA121" s="324"/>
      <c r="AB121" s="342">
        <f t="shared" si="5"/>
        <v>0</v>
      </c>
    </row>
    <row r="122" spans="1:28" ht="25.5">
      <c r="A122" s="226">
        <f>A120+1</f>
        <v>5</v>
      </c>
      <c r="B122" s="237" t="s">
        <v>351</v>
      </c>
      <c r="C122" s="205"/>
      <c r="D122" s="206" t="s">
        <v>352</v>
      </c>
      <c r="E122" s="207" t="s">
        <v>90</v>
      </c>
      <c r="F122" s="230">
        <f>0.03*F117</f>
        <v>4.5058440000000015</v>
      </c>
      <c r="G122" s="29">
        <v>25</v>
      </c>
      <c r="H122" s="229">
        <f aca="true" t="shared" si="6" ref="H122:H131">F122*G122</f>
        <v>112.64610000000003</v>
      </c>
      <c r="I122" s="302" t="s">
        <v>225</v>
      </c>
      <c r="J122" s="3"/>
      <c r="P122" s="414"/>
      <c r="Q122" s="415"/>
      <c r="R122" s="415"/>
      <c r="S122" s="415"/>
      <c r="W122" s="438"/>
      <c r="X122" s="438"/>
      <c r="Y122" s="317">
        <v>112.6</v>
      </c>
      <c r="Z122" s="317">
        <v>0</v>
      </c>
      <c r="AA122" s="324">
        <v>0</v>
      </c>
      <c r="AB122" s="342">
        <f t="shared" si="5"/>
        <v>0.04610000000003822</v>
      </c>
    </row>
    <row r="123" spans="1:28" ht="27" customHeight="1">
      <c r="A123" s="226">
        <f aca="true" t="shared" si="7" ref="A123:A131">A122+1</f>
        <v>6</v>
      </c>
      <c r="B123" s="238" t="s">
        <v>487</v>
      </c>
      <c r="C123" s="205"/>
      <c r="D123" s="206" t="s">
        <v>488</v>
      </c>
      <c r="E123" s="207" t="s">
        <v>93</v>
      </c>
      <c r="F123" s="228">
        <v>0.5</v>
      </c>
      <c r="G123" s="29">
        <v>327</v>
      </c>
      <c r="H123" s="209">
        <f>F123*G123</f>
        <v>163.5</v>
      </c>
      <c r="I123" s="39" t="s">
        <v>225</v>
      </c>
      <c r="J123">
        <v>1.8</v>
      </c>
      <c r="K123"/>
      <c r="L123" s="11">
        <f>+F123*J123</f>
        <v>0.9</v>
      </c>
      <c r="P123" s="414"/>
      <c r="Q123" s="415"/>
      <c r="R123" s="415"/>
      <c r="S123" s="415"/>
      <c r="W123" s="438"/>
      <c r="X123" s="438"/>
      <c r="Y123" s="317">
        <v>163.5</v>
      </c>
      <c r="Z123" s="317">
        <v>0</v>
      </c>
      <c r="AA123" s="324">
        <v>0</v>
      </c>
      <c r="AB123" s="342">
        <f t="shared" si="5"/>
        <v>0</v>
      </c>
    </row>
    <row r="124" spans="1:28" ht="12.75">
      <c r="A124" s="226">
        <f t="shared" si="7"/>
        <v>7</v>
      </c>
      <c r="B124" s="239" t="s">
        <v>356</v>
      </c>
      <c r="C124" s="205"/>
      <c r="D124" s="206" t="s">
        <v>357</v>
      </c>
      <c r="E124" s="207" t="s">
        <v>92</v>
      </c>
      <c r="F124" s="228">
        <v>2</v>
      </c>
      <c r="G124" s="29">
        <v>93</v>
      </c>
      <c r="H124" s="209">
        <f t="shared" si="6"/>
        <v>186</v>
      </c>
      <c r="I124" s="39" t="s">
        <v>225</v>
      </c>
      <c r="J124" s="3"/>
      <c r="L124" s="1">
        <v>0.08</v>
      </c>
      <c r="P124" s="414"/>
      <c r="Q124" s="415"/>
      <c r="R124" s="415"/>
      <c r="S124" s="415"/>
      <c r="W124" s="438"/>
      <c r="X124" s="438"/>
      <c r="Y124" s="317">
        <v>186</v>
      </c>
      <c r="Z124" s="317">
        <v>0</v>
      </c>
      <c r="AA124" s="324">
        <v>0</v>
      </c>
      <c r="AB124" s="342">
        <f t="shared" si="5"/>
        <v>0</v>
      </c>
    </row>
    <row r="125" spans="1:28" ht="12.75">
      <c r="A125" s="226">
        <f t="shared" si="7"/>
        <v>8</v>
      </c>
      <c r="B125" s="240" t="s">
        <v>358</v>
      </c>
      <c r="C125" s="205"/>
      <c r="D125" s="206" t="s">
        <v>149</v>
      </c>
      <c r="E125" s="207" t="s">
        <v>94</v>
      </c>
      <c r="F125" s="228">
        <f>+L125</f>
        <v>1.3183896000000002</v>
      </c>
      <c r="G125" s="29">
        <v>354</v>
      </c>
      <c r="H125" s="209">
        <f t="shared" si="6"/>
        <v>466.70991840000005</v>
      </c>
      <c r="I125" s="39" t="s">
        <v>225</v>
      </c>
      <c r="J125" s="8"/>
      <c r="L125" s="10">
        <f>SUM(L115:L124)</f>
        <v>1.3183896000000002</v>
      </c>
      <c r="M125" s="1" t="s">
        <v>94</v>
      </c>
      <c r="N125" s="67">
        <f>+L115</f>
        <v>0.024</v>
      </c>
      <c r="O125" s="1" t="s">
        <v>713</v>
      </c>
      <c r="P125" s="414"/>
      <c r="Q125" s="415"/>
      <c r="R125" s="415"/>
      <c r="S125" s="415"/>
      <c r="W125" s="438"/>
      <c r="X125" s="438"/>
      <c r="Y125" s="317">
        <v>466.7</v>
      </c>
      <c r="Z125" s="317">
        <v>0</v>
      </c>
      <c r="AA125" s="324">
        <v>0</v>
      </c>
      <c r="AB125" s="342">
        <f t="shared" si="5"/>
        <v>0.009918400000060501</v>
      </c>
    </row>
    <row r="126" spans="1:28" ht="12.75">
      <c r="A126" s="226">
        <f t="shared" si="7"/>
        <v>9</v>
      </c>
      <c r="B126" s="240" t="s">
        <v>359</v>
      </c>
      <c r="C126" s="205"/>
      <c r="D126" s="206" t="s">
        <v>224</v>
      </c>
      <c r="E126" s="207" t="s">
        <v>94</v>
      </c>
      <c r="F126" s="228">
        <f>+F125</f>
        <v>1.3183896000000002</v>
      </c>
      <c r="G126" s="29">
        <v>760.5</v>
      </c>
      <c r="H126" s="209">
        <f t="shared" si="6"/>
        <v>1002.6352908000001</v>
      </c>
      <c r="I126" s="39" t="s">
        <v>225</v>
      </c>
      <c r="J126" s="8"/>
      <c r="P126" s="414"/>
      <c r="Q126" s="415"/>
      <c r="R126" s="415"/>
      <c r="S126" s="415"/>
      <c r="W126" s="438"/>
      <c r="X126" s="438"/>
      <c r="Y126" s="317">
        <v>1002.6</v>
      </c>
      <c r="Z126" s="317">
        <v>0</v>
      </c>
      <c r="AA126" s="324">
        <v>0</v>
      </c>
      <c r="AB126" s="342">
        <f t="shared" si="5"/>
        <v>0.03529080000009799</v>
      </c>
    </row>
    <row r="127" spans="1:28" ht="12.75">
      <c r="A127" s="226">
        <f t="shared" si="7"/>
        <v>10</v>
      </c>
      <c r="B127" s="240" t="s">
        <v>360</v>
      </c>
      <c r="C127" s="205"/>
      <c r="D127" s="206" t="s">
        <v>361</v>
      </c>
      <c r="E127" s="207" t="s">
        <v>94</v>
      </c>
      <c r="F127" s="228">
        <f>+L125</f>
        <v>1.3183896000000002</v>
      </c>
      <c r="G127" s="29">
        <v>260</v>
      </c>
      <c r="H127" s="209">
        <f t="shared" si="6"/>
        <v>342.78129600000005</v>
      </c>
      <c r="I127" s="39" t="s">
        <v>225</v>
      </c>
      <c r="J127" s="8"/>
      <c r="P127" s="414"/>
      <c r="Q127" s="415"/>
      <c r="R127" s="415"/>
      <c r="S127" s="415"/>
      <c r="W127" s="438"/>
      <c r="X127" s="438"/>
      <c r="Y127" s="317">
        <v>342.8</v>
      </c>
      <c r="Z127" s="317">
        <v>0</v>
      </c>
      <c r="AA127" s="324">
        <v>0</v>
      </c>
      <c r="AB127" s="342">
        <f t="shared" si="5"/>
        <v>-0.018703999999956977</v>
      </c>
    </row>
    <row r="128" spans="1:28" ht="25.5">
      <c r="A128" s="226">
        <f t="shared" si="7"/>
        <v>11</v>
      </c>
      <c r="B128" s="240" t="s">
        <v>362</v>
      </c>
      <c r="C128" s="205"/>
      <c r="D128" s="206" t="s">
        <v>363</v>
      </c>
      <c r="E128" s="207" t="s">
        <v>94</v>
      </c>
      <c r="F128" s="228">
        <f>+L125</f>
        <v>1.3183896000000002</v>
      </c>
      <c r="G128" s="29">
        <v>25</v>
      </c>
      <c r="H128" s="209">
        <f t="shared" si="6"/>
        <v>32.959740000000004</v>
      </c>
      <c r="I128" s="39" t="s">
        <v>225</v>
      </c>
      <c r="J128" s="8"/>
      <c r="P128" s="414"/>
      <c r="Q128" s="415"/>
      <c r="R128" s="415"/>
      <c r="S128" s="415"/>
      <c r="W128" s="438"/>
      <c r="X128" s="438"/>
      <c r="Y128" s="317">
        <v>33</v>
      </c>
      <c r="Z128" s="317">
        <v>0</v>
      </c>
      <c r="AA128" s="324">
        <v>0</v>
      </c>
      <c r="AB128" s="342">
        <f t="shared" si="5"/>
        <v>-0.04025999999999641</v>
      </c>
    </row>
    <row r="129" spans="1:28" ht="12.75">
      <c r="A129" s="226">
        <f t="shared" si="7"/>
        <v>12</v>
      </c>
      <c r="B129" s="240" t="s">
        <v>364</v>
      </c>
      <c r="C129" s="205"/>
      <c r="D129" s="206" t="s">
        <v>365</v>
      </c>
      <c r="E129" s="207" t="s">
        <v>94</v>
      </c>
      <c r="F129" s="228">
        <f>+L125-F130</f>
        <v>1.2943896000000001</v>
      </c>
      <c r="G129" s="29">
        <v>1925</v>
      </c>
      <c r="H129" s="209">
        <f t="shared" si="6"/>
        <v>2491.6999800000003</v>
      </c>
      <c r="I129" s="39" t="s">
        <v>225</v>
      </c>
      <c r="J129" s="8"/>
      <c r="P129" s="414"/>
      <c r="Q129" s="415"/>
      <c r="R129" s="415"/>
      <c r="S129" s="415"/>
      <c r="W129" s="438"/>
      <c r="X129" s="438"/>
      <c r="Y129" s="317">
        <v>2491.7</v>
      </c>
      <c r="Z129" s="317">
        <v>0</v>
      </c>
      <c r="AA129" s="324">
        <v>0</v>
      </c>
      <c r="AB129" s="342">
        <f t="shared" si="5"/>
        <v>-1.9999999494757503E-05</v>
      </c>
    </row>
    <row r="130" spans="1:28" ht="12.75">
      <c r="A130" s="226">
        <f t="shared" si="7"/>
        <v>13</v>
      </c>
      <c r="B130" s="227" t="s">
        <v>366</v>
      </c>
      <c r="C130" s="205"/>
      <c r="D130" s="206" t="s">
        <v>367</v>
      </c>
      <c r="E130" s="207" t="s">
        <v>94</v>
      </c>
      <c r="F130" s="228">
        <f>+N125</f>
        <v>0.024</v>
      </c>
      <c r="G130" s="29">
        <v>1500</v>
      </c>
      <c r="H130" s="209">
        <f t="shared" si="6"/>
        <v>36</v>
      </c>
      <c r="I130" s="39" t="s">
        <v>225</v>
      </c>
      <c r="J130" s="8"/>
      <c r="P130" s="414"/>
      <c r="Q130" s="415"/>
      <c r="R130" s="415"/>
      <c r="S130" s="415"/>
      <c r="W130" s="438"/>
      <c r="X130" s="438"/>
      <c r="Y130" s="317">
        <v>36</v>
      </c>
      <c r="Z130" s="317">
        <v>0</v>
      </c>
      <c r="AA130" s="324">
        <v>0</v>
      </c>
      <c r="AB130" s="342">
        <f t="shared" si="5"/>
        <v>0</v>
      </c>
    </row>
    <row r="131" spans="1:28" ht="13.5" thickBot="1">
      <c r="A131" s="226">
        <f t="shared" si="7"/>
        <v>14</v>
      </c>
      <c r="B131" s="227" t="s">
        <v>368</v>
      </c>
      <c r="C131" s="205"/>
      <c r="D131" s="206" t="s">
        <v>369</v>
      </c>
      <c r="E131" s="207" t="s">
        <v>94</v>
      </c>
      <c r="F131" s="228">
        <f>+F128</f>
        <v>1.3183896000000002</v>
      </c>
      <c r="G131" s="29">
        <v>350</v>
      </c>
      <c r="H131" s="209">
        <f t="shared" si="6"/>
        <v>461.43636000000004</v>
      </c>
      <c r="I131" s="39" t="s">
        <v>225</v>
      </c>
      <c r="J131"/>
      <c r="P131" s="414"/>
      <c r="Q131" s="415"/>
      <c r="R131" s="415"/>
      <c r="S131" s="415"/>
      <c r="W131" s="438"/>
      <c r="X131" s="438"/>
      <c r="Y131" s="317">
        <v>461.4</v>
      </c>
      <c r="Z131" s="317">
        <v>0</v>
      </c>
      <c r="AA131" s="324">
        <v>0</v>
      </c>
      <c r="AB131" s="342">
        <f t="shared" si="5"/>
        <v>0.03636000000005879</v>
      </c>
    </row>
    <row r="132" spans="1:27" ht="13.5" thickBot="1">
      <c r="A132" s="226"/>
      <c r="B132" s="226"/>
      <c r="C132" s="241"/>
      <c r="D132" s="242" t="s">
        <v>91</v>
      </c>
      <c r="E132" s="243"/>
      <c r="F132" s="244"/>
      <c r="G132" s="245"/>
      <c r="H132" s="246">
        <f>SUBTOTAL(9,H115:H131)</f>
        <v>6280.2241902000005</v>
      </c>
      <c r="I132" s="302"/>
      <c r="P132" s="414"/>
      <c r="Q132" s="415"/>
      <c r="R132" s="415"/>
      <c r="S132" s="415"/>
      <c r="W132" s="438"/>
      <c r="X132" s="438"/>
      <c r="Y132" s="317"/>
      <c r="Z132" s="317"/>
      <c r="AA132" s="324"/>
    </row>
    <row r="133" spans="1:27" ht="12.75">
      <c r="A133" s="226"/>
      <c r="B133" s="226"/>
      <c r="C133" s="241"/>
      <c r="D133" s="247"/>
      <c r="E133" s="248"/>
      <c r="F133" s="141"/>
      <c r="G133" s="141"/>
      <c r="H133" s="249"/>
      <c r="I133" s="302"/>
      <c r="P133" s="414"/>
      <c r="Q133" s="415"/>
      <c r="R133" s="415"/>
      <c r="S133" s="415"/>
      <c r="W133" s="438"/>
      <c r="X133" s="438"/>
      <c r="Y133" s="317"/>
      <c r="Z133" s="317"/>
      <c r="AA133" s="324"/>
    </row>
    <row r="134" spans="1:27" ht="16.5">
      <c r="A134" s="226"/>
      <c r="B134" s="226"/>
      <c r="C134" s="225" t="s">
        <v>100</v>
      </c>
      <c r="D134" s="481" t="s">
        <v>215</v>
      </c>
      <c r="E134" s="481"/>
      <c r="F134" s="481"/>
      <c r="G134" s="481"/>
      <c r="H134" s="481"/>
      <c r="I134" s="302"/>
      <c r="P134" s="414"/>
      <c r="Q134" s="415"/>
      <c r="R134" s="415"/>
      <c r="S134" s="415"/>
      <c r="W134" s="438"/>
      <c r="X134" s="438"/>
      <c r="Y134" s="317"/>
      <c r="Z134" s="317"/>
      <c r="AA134" s="324"/>
    </row>
    <row r="135" spans="1:27" ht="16.5">
      <c r="A135" s="226"/>
      <c r="B135" s="226"/>
      <c r="C135" s="250" t="s">
        <v>109</v>
      </c>
      <c r="D135" s="481" t="s">
        <v>122</v>
      </c>
      <c r="E135" s="481"/>
      <c r="F135" s="481"/>
      <c r="G135" s="481"/>
      <c r="H135" s="481"/>
      <c r="I135" s="302"/>
      <c r="P135" s="414"/>
      <c r="Q135" s="415"/>
      <c r="R135" s="415"/>
      <c r="S135" s="415"/>
      <c r="W135" s="438"/>
      <c r="X135" s="438"/>
      <c r="Y135" s="317"/>
      <c r="Z135" s="317"/>
      <c r="AA135" s="324"/>
    </row>
    <row r="136" spans="1:28" ht="25.5">
      <c r="A136" s="226">
        <f>+A131+1</f>
        <v>15</v>
      </c>
      <c r="B136" s="227" t="s">
        <v>370</v>
      </c>
      <c r="C136" s="205"/>
      <c r="D136" s="206" t="s">
        <v>371</v>
      </c>
      <c r="E136" s="207" t="s">
        <v>233</v>
      </c>
      <c r="F136" s="228">
        <f>+E137</f>
        <v>0.301455</v>
      </c>
      <c r="G136" s="29">
        <v>6300</v>
      </c>
      <c r="H136" s="209">
        <f>F136*G136</f>
        <v>1899.1664999999998</v>
      </c>
      <c r="I136" s="39" t="s">
        <v>225</v>
      </c>
      <c r="J136" s="6"/>
      <c r="K136" s="6"/>
      <c r="L136" s="6"/>
      <c r="N136" s="1"/>
      <c r="P136" s="414"/>
      <c r="Q136" s="415"/>
      <c r="R136" s="415"/>
      <c r="S136" s="415"/>
      <c r="W136" s="438"/>
      <c r="X136" s="438"/>
      <c r="Y136" s="317">
        <v>0</v>
      </c>
      <c r="Z136" s="317">
        <v>1899.2</v>
      </c>
      <c r="AA136" s="324">
        <v>0</v>
      </c>
      <c r="AB136" s="342">
        <f aca="true" t="shared" si="8" ref="AB136:AB151">H136-Y136-Z136</f>
        <v>-0.03350000000023101</v>
      </c>
    </row>
    <row r="137" spans="1:28" ht="12.75">
      <c r="A137" s="226"/>
      <c r="B137" s="237"/>
      <c r="C137" s="205"/>
      <c r="D137" s="251" t="s">
        <v>496</v>
      </c>
      <c r="E137" s="236">
        <f>((1.17*2.55)-(2.07*1))*0.3*1.1</f>
        <v>0.301455</v>
      </c>
      <c r="F137" s="228"/>
      <c r="G137" s="234"/>
      <c r="H137" s="209"/>
      <c r="I137" s="39"/>
      <c r="P137" s="414"/>
      <c r="Q137" s="415"/>
      <c r="R137" s="415"/>
      <c r="S137" s="415"/>
      <c r="W137" s="438"/>
      <c r="X137" s="438"/>
      <c r="Y137" s="317"/>
      <c r="Z137" s="317"/>
      <c r="AA137" s="324"/>
      <c r="AB137" s="342">
        <f t="shared" si="8"/>
        <v>0</v>
      </c>
    </row>
    <row r="138" spans="1:28" ht="25.5">
      <c r="A138" s="226">
        <f>+A136+1</f>
        <v>16</v>
      </c>
      <c r="B138" s="227" t="s">
        <v>497</v>
      </c>
      <c r="C138" s="205"/>
      <c r="D138" s="206" t="s">
        <v>498</v>
      </c>
      <c r="E138" s="207" t="s">
        <v>233</v>
      </c>
      <c r="F138" s="228">
        <f>(0.2*0.2+0.15*0.15)*0.45</f>
        <v>0.028125</v>
      </c>
      <c r="G138" s="29">
        <v>6300</v>
      </c>
      <c r="H138" s="209">
        <f>F138*G138</f>
        <v>177.1875</v>
      </c>
      <c r="I138" s="39" t="s">
        <v>225</v>
      </c>
      <c r="P138" s="414"/>
      <c r="Q138" s="415"/>
      <c r="R138" s="415"/>
      <c r="S138" s="415"/>
      <c r="W138" s="438"/>
      <c r="X138" s="438"/>
      <c r="Y138" s="317">
        <v>177.2</v>
      </c>
      <c r="Z138" s="317">
        <v>0</v>
      </c>
      <c r="AA138" s="324">
        <v>0</v>
      </c>
      <c r="AB138" s="342">
        <f t="shared" si="8"/>
        <v>-0.012499999999988631</v>
      </c>
    </row>
    <row r="139" spans="1:28" ht="25.5">
      <c r="A139" s="226">
        <f>+A138+1</f>
        <v>17</v>
      </c>
      <c r="B139" s="237" t="s">
        <v>490</v>
      </c>
      <c r="C139" s="205"/>
      <c r="D139" s="206" t="s">
        <v>489</v>
      </c>
      <c r="E139" s="207"/>
      <c r="F139" s="228">
        <f>+F123</f>
        <v>0.5</v>
      </c>
      <c r="G139" s="29">
        <v>468</v>
      </c>
      <c r="H139" s="209">
        <f>F139*G139</f>
        <v>234</v>
      </c>
      <c r="I139" s="39" t="s">
        <v>225</v>
      </c>
      <c r="P139" s="414"/>
      <c r="Q139" s="415"/>
      <c r="R139" s="415"/>
      <c r="S139" s="415"/>
      <c r="W139" s="438"/>
      <c r="X139" s="438"/>
      <c r="Y139" s="317">
        <v>234</v>
      </c>
      <c r="Z139" s="317">
        <v>0</v>
      </c>
      <c r="AA139" s="324">
        <v>0</v>
      </c>
      <c r="AB139" s="342">
        <f t="shared" si="8"/>
        <v>0</v>
      </c>
    </row>
    <row r="140" spans="1:28" ht="38.25">
      <c r="A140" s="226">
        <f>A139+1</f>
        <v>18</v>
      </c>
      <c r="B140" s="237" t="s">
        <v>372</v>
      </c>
      <c r="C140" s="205" t="s">
        <v>303</v>
      </c>
      <c r="D140" s="206" t="s">
        <v>373</v>
      </c>
      <c r="E140" s="207" t="s">
        <v>90</v>
      </c>
      <c r="F140" s="233">
        <f>+(3.38+0.91)*3.7-0.8*2.05</f>
        <v>14.233</v>
      </c>
      <c r="G140" s="29">
        <v>1920</v>
      </c>
      <c r="H140" s="209">
        <f>F140*G140</f>
        <v>27327.36</v>
      </c>
      <c r="I140" s="299" t="s">
        <v>231</v>
      </c>
      <c r="J140" s="6"/>
      <c r="K140" s="6"/>
      <c r="L140" s="6"/>
      <c r="N140" s="1"/>
      <c r="P140" s="414"/>
      <c r="Q140" s="415"/>
      <c r="R140" s="415"/>
      <c r="S140" s="415"/>
      <c r="W140" s="438"/>
      <c r="X140" s="438"/>
      <c r="Y140" s="317">
        <v>20495.52</v>
      </c>
      <c r="Z140" s="317">
        <v>6831.84</v>
      </c>
      <c r="AA140" s="324">
        <v>0</v>
      </c>
      <c r="AB140" s="342">
        <f t="shared" si="8"/>
        <v>0</v>
      </c>
    </row>
    <row r="141" spans="1:28" ht="12.75">
      <c r="A141" s="226"/>
      <c r="B141" s="226"/>
      <c r="C141" s="205"/>
      <c r="D141" s="231" t="s">
        <v>387</v>
      </c>
      <c r="E141" s="207"/>
      <c r="F141" s="233"/>
      <c r="G141" s="234"/>
      <c r="H141" s="209"/>
      <c r="J141" s="6"/>
      <c r="K141" s="6"/>
      <c r="L141" s="6"/>
      <c r="N141" s="1"/>
      <c r="P141" s="414"/>
      <c r="Q141" s="415"/>
      <c r="R141" s="415"/>
      <c r="S141" s="415"/>
      <c r="W141" s="438"/>
      <c r="X141" s="438"/>
      <c r="Y141" s="317"/>
      <c r="Z141" s="317"/>
      <c r="AA141" s="324"/>
      <c r="AB141" s="342">
        <f t="shared" si="8"/>
        <v>0</v>
      </c>
    </row>
    <row r="142" spans="1:28" ht="38.25">
      <c r="A142" s="226">
        <f>+A140+1</f>
        <v>19</v>
      </c>
      <c r="B142" s="237" t="s">
        <v>374</v>
      </c>
      <c r="C142" s="205" t="s">
        <v>375</v>
      </c>
      <c r="D142" s="206" t="s">
        <v>376</v>
      </c>
      <c r="E142" s="207" t="s">
        <v>90</v>
      </c>
      <c r="F142" s="228">
        <f>(2.44+1.06)*3.7</f>
        <v>12.950000000000001</v>
      </c>
      <c r="G142" s="29">
        <v>1500</v>
      </c>
      <c r="H142" s="209">
        <f>F142*G142</f>
        <v>19425</v>
      </c>
      <c r="I142" s="39" t="s">
        <v>231</v>
      </c>
      <c r="J142" s="6"/>
      <c r="K142" s="6"/>
      <c r="L142" s="6"/>
      <c r="N142" s="1"/>
      <c r="P142" s="414"/>
      <c r="Q142" s="415"/>
      <c r="R142" s="415"/>
      <c r="S142" s="415"/>
      <c r="W142" s="438"/>
      <c r="X142" s="438"/>
      <c r="Y142" s="317">
        <v>14568.75</v>
      </c>
      <c r="Z142" s="317">
        <v>4856.25</v>
      </c>
      <c r="AA142" s="324">
        <v>0</v>
      </c>
      <c r="AB142" s="342">
        <f t="shared" si="8"/>
        <v>0</v>
      </c>
    </row>
    <row r="143" spans="1:28" ht="12.75">
      <c r="A143" s="226"/>
      <c r="B143" s="226"/>
      <c r="C143" s="252"/>
      <c r="D143" s="231" t="s">
        <v>388</v>
      </c>
      <c r="E143" s="253"/>
      <c r="F143" s="254"/>
      <c r="G143" s="255"/>
      <c r="H143" s="256"/>
      <c r="J143" s="6"/>
      <c r="K143" s="6"/>
      <c r="L143" s="6"/>
      <c r="N143" s="7"/>
      <c r="P143" s="414"/>
      <c r="Q143" s="415"/>
      <c r="R143" s="415"/>
      <c r="S143" s="415"/>
      <c r="W143" s="438"/>
      <c r="X143" s="438"/>
      <c r="Y143" s="317"/>
      <c r="Z143" s="317"/>
      <c r="AA143" s="324"/>
      <c r="AB143" s="342">
        <f t="shared" si="8"/>
        <v>0</v>
      </c>
    </row>
    <row r="144" spans="1:28" ht="12.75">
      <c r="A144" s="226">
        <f>A142+1</f>
        <v>20</v>
      </c>
      <c r="B144" s="42" t="s">
        <v>377</v>
      </c>
      <c r="C144" s="34"/>
      <c r="D144" s="41" t="s">
        <v>378</v>
      </c>
      <c r="E144" s="35"/>
      <c r="F144" s="228">
        <f>+F142+F140</f>
        <v>27.183</v>
      </c>
      <c r="G144" s="29">
        <v>160</v>
      </c>
      <c r="H144" s="209">
        <f>F144*G144</f>
        <v>4349.28</v>
      </c>
      <c r="I144" s="39" t="s">
        <v>231</v>
      </c>
      <c r="J144" s="6"/>
      <c r="K144" s="6"/>
      <c r="L144" s="6"/>
      <c r="N144" s="7"/>
      <c r="P144" s="414"/>
      <c r="Q144" s="415"/>
      <c r="R144" s="415"/>
      <c r="S144" s="415"/>
      <c r="W144" s="438"/>
      <c r="X144" s="438"/>
      <c r="Y144" s="317">
        <v>1087.32</v>
      </c>
      <c r="Z144" s="317">
        <v>3261.96</v>
      </c>
      <c r="AA144" s="324">
        <v>0</v>
      </c>
      <c r="AB144" s="342">
        <f t="shared" si="8"/>
        <v>0</v>
      </c>
    </row>
    <row r="145" spans="1:28" ht="25.5">
      <c r="A145" s="226">
        <f>+A144+1</f>
        <v>21</v>
      </c>
      <c r="B145" s="42" t="s">
        <v>499</v>
      </c>
      <c r="C145" s="34"/>
      <c r="D145" s="41" t="s">
        <v>379</v>
      </c>
      <c r="E145" s="35" t="s">
        <v>90</v>
      </c>
      <c r="F145" s="228">
        <f>+F140</f>
        <v>14.233</v>
      </c>
      <c r="G145" s="29">
        <v>77</v>
      </c>
      <c r="H145" s="209">
        <f>F145*G145</f>
        <v>1095.941</v>
      </c>
      <c r="I145" s="39" t="s">
        <v>231</v>
      </c>
      <c r="J145" s="6"/>
      <c r="K145" s="6"/>
      <c r="L145" s="6"/>
      <c r="N145" s="7"/>
      <c r="P145" s="414"/>
      <c r="Q145" s="415"/>
      <c r="R145" s="415"/>
      <c r="S145" s="415"/>
      <c r="W145" s="438"/>
      <c r="X145" s="438"/>
      <c r="Y145" s="317">
        <v>273.99</v>
      </c>
      <c r="Z145" s="317">
        <v>821.96</v>
      </c>
      <c r="AA145" s="324">
        <v>0</v>
      </c>
      <c r="AB145" s="342">
        <f t="shared" si="8"/>
        <v>-0.009000000000014552</v>
      </c>
    </row>
    <row r="146" spans="1:28" ht="12.75">
      <c r="A146" s="226"/>
      <c r="B146" s="42"/>
      <c r="C146" s="34"/>
      <c r="D146" s="236" t="s">
        <v>380</v>
      </c>
      <c r="E146" s="35"/>
      <c r="F146" s="228"/>
      <c r="G146" s="234"/>
      <c r="H146" s="209"/>
      <c r="I146" s="39"/>
      <c r="J146" s="6"/>
      <c r="K146" s="6"/>
      <c r="L146" s="6"/>
      <c r="N146" s="7"/>
      <c r="P146" s="414"/>
      <c r="Q146" s="415"/>
      <c r="R146" s="415"/>
      <c r="S146" s="415"/>
      <c r="W146" s="438"/>
      <c r="X146" s="438"/>
      <c r="Y146" s="317"/>
      <c r="Z146" s="317"/>
      <c r="AA146" s="324"/>
      <c r="AB146" s="342">
        <f t="shared" si="8"/>
        <v>0</v>
      </c>
    </row>
    <row r="147" spans="1:28" ht="25.5">
      <c r="A147" s="226">
        <f>A145+1</f>
        <v>22</v>
      </c>
      <c r="B147" s="42" t="s">
        <v>381</v>
      </c>
      <c r="C147" s="34"/>
      <c r="D147" s="41" t="s">
        <v>382</v>
      </c>
      <c r="E147" s="35" t="s">
        <v>90</v>
      </c>
      <c r="F147" s="228">
        <f>+F142</f>
        <v>12.950000000000001</v>
      </c>
      <c r="G147" s="29">
        <v>88</v>
      </c>
      <c r="H147" s="209">
        <f>F147*G147</f>
        <v>1139.6000000000001</v>
      </c>
      <c r="I147" s="39" t="s">
        <v>231</v>
      </c>
      <c r="J147" s="6"/>
      <c r="K147" s="6"/>
      <c r="L147" s="6"/>
      <c r="N147" s="7"/>
      <c r="P147" s="414"/>
      <c r="Q147" s="415"/>
      <c r="R147" s="415"/>
      <c r="S147" s="415"/>
      <c r="W147" s="438"/>
      <c r="X147" s="438"/>
      <c r="Y147" s="317">
        <v>1139.6</v>
      </c>
      <c r="Z147" s="317">
        <v>0</v>
      </c>
      <c r="AA147" s="324">
        <v>0</v>
      </c>
      <c r="AB147" s="342">
        <f t="shared" si="8"/>
        <v>2.2737367544323206E-13</v>
      </c>
    </row>
    <row r="148" spans="1:28" ht="12.75">
      <c r="A148" s="226"/>
      <c r="B148" s="42"/>
      <c r="C148" s="34"/>
      <c r="D148" s="236" t="s">
        <v>383</v>
      </c>
      <c r="E148" s="35"/>
      <c r="F148" s="228"/>
      <c r="G148" s="234"/>
      <c r="H148" s="209"/>
      <c r="I148" s="39"/>
      <c r="J148" s="6"/>
      <c r="K148" s="6"/>
      <c r="L148" s="6"/>
      <c r="N148" s="7"/>
      <c r="P148" s="414"/>
      <c r="Q148" s="415"/>
      <c r="R148" s="415"/>
      <c r="S148" s="415"/>
      <c r="W148" s="438"/>
      <c r="X148" s="438"/>
      <c r="Y148" s="317"/>
      <c r="Z148" s="317"/>
      <c r="AA148" s="324"/>
      <c r="AB148" s="342">
        <f t="shared" si="8"/>
        <v>0</v>
      </c>
    </row>
    <row r="149" spans="1:28" ht="38.25">
      <c r="A149" s="226">
        <f>A147+1</f>
        <v>23</v>
      </c>
      <c r="B149" s="43" t="s">
        <v>384</v>
      </c>
      <c r="C149" s="34"/>
      <c r="D149" s="41" t="s">
        <v>385</v>
      </c>
      <c r="E149" s="35" t="s">
        <v>92</v>
      </c>
      <c r="F149" s="228">
        <v>1</v>
      </c>
      <c r="G149" s="29">
        <v>3231</v>
      </c>
      <c r="H149" s="209">
        <f>F149*G149</f>
        <v>3231</v>
      </c>
      <c r="I149" s="39" t="s">
        <v>231</v>
      </c>
      <c r="J149" s="6"/>
      <c r="K149" s="6"/>
      <c r="L149" s="6"/>
      <c r="N149" s="7"/>
      <c r="P149" s="414"/>
      <c r="Q149" s="415"/>
      <c r="R149" s="415"/>
      <c r="S149" s="415"/>
      <c r="W149" s="438"/>
      <c r="X149" s="438"/>
      <c r="Y149" s="317">
        <v>3231</v>
      </c>
      <c r="Z149" s="317">
        <v>0</v>
      </c>
      <c r="AA149" s="324">
        <v>0</v>
      </c>
      <c r="AB149" s="342">
        <f t="shared" si="8"/>
        <v>0</v>
      </c>
    </row>
    <row r="150" spans="1:28" ht="12.75">
      <c r="A150" s="226">
        <f>+A149+1</f>
        <v>24</v>
      </c>
      <c r="B150" s="237" t="s">
        <v>386</v>
      </c>
      <c r="C150" s="205"/>
      <c r="D150" s="206" t="s">
        <v>304</v>
      </c>
      <c r="E150" s="207" t="s">
        <v>92</v>
      </c>
      <c r="F150" s="228">
        <v>1</v>
      </c>
      <c r="G150" s="29">
        <v>298</v>
      </c>
      <c r="H150" s="209">
        <f>F150*G150</f>
        <v>298</v>
      </c>
      <c r="I150" s="39" t="s">
        <v>231</v>
      </c>
      <c r="J150" s="6"/>
      <c r="K150" s="6"/>
      <c r="L150" s="6"/>
      <c r="N150" s="7"/>
      <c r="P150" s="414"/>
      <c r="Q150" s="415"/>
      <c r="R150" s="415"/>
      <c r="S150" s="415"/>
      <c r="W150" s="438"/>
      <c r="X150" s="438"/>
      <c r="Y150" s="317">
        <v>298</v>
      </c>
      <c r="Z150" s="317">
        <v>0</v>
      </c>
      <c r="AA150" s="324">
        <v>0</v>
      </c>
      <c r="AB150" s="342">
        <f t="shared" si="8"/>
        <v>0</v>
      </c>
    </row>
    <row r="151" spans="1:28" ht="51">
      <c r="A151" s="226">
        <f>+A150+1</f>
        <v>25</v>
      </c>
      <c r="B151" s="227" t="s">
        <v>389</v>
      </c>
      <c r="C151" s="205"/>
      <c r="D151" s="206" t="s">
        <v>390</v>
      </c>
      <c r="E151" s="207" t="s">
        <v>90</v>
      </c>
      <c r="F151" s="228">
        <f>0.9*0.9</f>
        <v>0.81</v>
      </c>
      <c r="G151" s="29">
        <v>920</v>
      </c>
      <c r="H151" s="209">
        <f>F151*G151</f>
        <v>745.2</v>
      </c>
      <c r="I151" s="39" t="s">
        <v>231</v>
      </c>
      <c r="J151" s="6"/>
      <c r="K151" s="6"/>
      <c r="L151" s="6"/>
      <c r="N151" s="7"/>
      <c r="P151" s="414"/>
      <c r="Q151" s="415"/>
      <c r="R151" s="415"/>
      <c r="S151" s="415"/>
      <c r="W151" s="438"/>
      <c r="X151" s="438"/>
      <c r="Y151" s="317">
        <v>0</v>
      </c>
      <c r="Z151" s="317">
        <v>745.2</v>
      </c>
      <c r="AA151" s="324">
        <v>0</v>
      </c>
      <c r="AB151" s="342">
        <f t="shared" si="8"/>
        <v>0</v>
      </c>
    </row>
    <row r="152" spans="1:28" ht="38.25">
      <c r="A152" s="226">
        <f>+A151+1</f>
        <v>26</v>
      </c>
      <c r="B152" s="227" t="s">
        <v>391</v>
      </c>
      <c r="C152" s="205"/>
      <c r="D152" s="265" t="s">
        <v>392</v>
      </c>
      <c r="E152" s="258" t="s">
        <v>90</v>
      </c>
      <c r="F152" s="230">
        <f>3.2*3.6+1.9*1.52</f>
        <v>14.408000000000001</v>
      </c>
      <c r="G152" s="313">
        <v>780</v>
      </c>
      <c r="H152" s="229">
        <f>F152*G152</f>
        <v>11238.240000000002</v>
      </c>
      <c r="I152" s="39" t="s">
        <v>231</v>
      </c>
      <c r="J152" s="6"/>
      <c r="K152" s="6"/>
      <c r="L152" s="6"/>
      <c r="N152" s="7"/>
      <c r="P152" s="436" t="s">
        <v>746</v>
      </c>
      <c r="Q152" s="437">
        <f>-F152</f>
        <v>-14.408000000000001</v>
      </c>
      <c r="R152" s="437">
        <v>780</v>
      </c>
      <c r="S152" s="437">
        <f>Q152*R152</f>
        <v>-11238.240000000002</v>
      </c>
      <c r="W152" s="438" t="s">
        <v>778</v>
      </c>
      <c r="X152" s="438"/>
      <c r="Y152" s="317">
        <v>0</v>
      </c>
      <c r="Z152" s="317">
        <v>0</v>
      </c>
      <c r="AA152" s="324">
        <v>11238.2</v>
      </c>
      <c r="AB152" s="328" t="s">
        <v>764</v>
      </c>
    </row>
    <row r="153" spans="1:27" ht="12.75">
      <c r="A153" s="226"/>
      <c r="B153" s="226"/>
      <c r="C153" s="241"/>
      <c r="D153" s="251" t="s">
        <v>732</v>
      </c>
      <c r="E153" s="258"/>
      <c r="F153" s="259"/>
      <c r="G153" s="313"/>
      <c r="H153" s="229"/>
      <c r="J153" s="6"/>
      <c r="K153" s="6"/>
      <c r="L153" s="6"/>
      <c r="N153" s="1"/>
      <c r="P153" s="414"/>
      <c r="Q153" s="415"/>
      <c r="R153" s="415"/>
      <c r="S153" s="415"/>
      <c r="W153" s="438"/>
      <c r="X153" s="438"/>
      <c r="Y153" s="317"/>
      <c r="Z153" s="317"/>
      <c r="AA153" s="324"/>
    </row>
    <row r="154" spans="1:28" ht="13.5" thickBot="1">
      <c r="A154" s="226">
        <f>A152+1</f>
        <v>27</v>
      </c>
      <c r="B154" s="227" t="s">
        <v>393</v>
      </c>
      <c r="C154" s="241"/>
      <c r="D154" s="257" t="s">
        <v>120</v>
      </c>
      <c r="E154" s="258" t="s">
        <v>98</v>
      </c>
      <c r="F154" s="259">
        <f>+H136+H138+H139+H140+H142+H149+H150+H151+H152</f>
        <v>64575.153999999995</v>
      </c>
      <c r="G154" s="353">
        <v>0.05</v>
      </c>
      <c r="H154" s="229">
        <f>F154*G154</f>
        <v>3228.7577</v>
      </c>
      <c r="I154" s="302" t="s">
        <v>231</v>
      </c>
      <c r="P154" s="414" t="s">
        <v>746</v>
      </c>
      <c r="Q154" s="415">
        <f>S152</f>
        <v>-11238.240000000002</v>
      </c>
      <c r="R154" s="415">
        <v>0.05</v>
      </c>
      <c r="S154" s="415">
        <f>Q154*R154</f>
        <v>-561.9120000000001</v>
      </c>
      <c r="W154" s="438"/>
      <c r="X154" s="438"/>
      <c r="Y154" s="317">
        <v>0</v>
      </c>
      <c r="Z154" s="317">
        <v>2666.9</v>
      </c>
      <c r="AA154" s="324">
        <v>561.9</v>
      </c>
      <c r="AB154" s="328" t="s">
        <v>764</v>
      </c>
    </row>
    <row r="155" spans="1:28" ht="13.5" thickBot="1">
      <c r="A155" s="226"/>
      <c r="B155" s="226"/>
      <c r="C155" s="241"/>
      <c r="D155" s="215" t="s">
        <v>91</v>
      </c>
      <c r="E155" s="260"/>
      <c r="F155" s="261"/>
      <c r="G155" s="261"/>
      <c r="H155" s="246">
        <f>SUBTOTAL(9,H136:H154)</f>
        <v>74388.7327</v>
      </c>
      <c r="I155" s="302"/>
      <c r="P155" s="414"/>
      <c r="Q155" s="415"/>
      <c r="R155" s="415"/>
      <c r="S155" s="415"/>
      <c r="W155" s="438"/>
      <c r="X155" s="438"/>
      <c r="Y155" s="317"/>
      <c r="Z155" s="317"/>
      <c r="AA155" s="324"/>
      <c r="AB155" s="320"/>
    </row>
    <row r="156" spans="1:27" ht="12.75">
      <c r="A156" s="226"/>
      <c r="B156" s="226"/>
      <c r="C156" s="241"/>
      <c r="D156" s="247"/>
      <c r="E156" s="248"/>
      <c r="F156" s="141"/>
      <c r="G156" s="141"/>
      <c r="H156" s="249"/>
      <c r="I156" s="302"/>
      <c r="P156" s="414"/>
      <c r="Q156" s="415"/>
      <c r="R156" s="415"/>
      <c r="S156" s="415"/>
      <c r="W156" s="438"/>
      <c r="X156" s="438"/>
      <c r="Y156" s="317"/>
      <c r="Z156" s="317"/>
      <c r="AA156" s="324"/>
    </row>
    <row r="157" spans="1:27" ht="16.5">
      <c r="A157" s="226"/>
      <c r="B157" s="226"/>
      <c r="C157" s="250" t="s">
        <v>110</v>
      </c>
      <c r="D157" s="481" t="s">
        <v>123</v>
      </c>
      <c r="E157" s="481"/>
      <c r="F157" s="481"/>
      <c r="G157" s="481"/>
      <c r="H157" s="481"/>
      <c r="I157" s="302"/>
      <c r="P157" s="414"/>
      <c r="Q157" s="415"/>
      <c r="R157" s="415"/>
      <c r="S157" s="415"/>
      <c r="W157" s="438"/>
      <c r="X157" s="438"/>
      <c r="Y157" s="317"/>
      <c r="Z157" s="317"/>
      <c r="AA157" s="324"/>
    </row>
    <row r="158" spans="1:27" ht="52.5" customHeight="1">
      <c r="A158" s="226"/>
      <c r="B158" s="226"/>
      <c r="C158" s="225"/>
      <c r="D158" s="495" t="s">
        <v>138</v>
      </c>
      <c r="E158" s="495"/>
      <c r="F158" s="495"/>
      <c r="G158" s="495"/>
      <c r="H158" s="495"/>
      <c r="I158" s="302"/>
      <c r="N158" s="8"/>
      <c r="P158" s="414"/>
      <c r="Q158" s="415"/>
      <c r="R158" s="415"/>
      <c r="S158" s="415"/>
      <c r="W158" s="438"/>
      <c r="X158" s="438"/>
      <c r="Y158" s="317"/>
      <c r="Z158" s="317"/>
      <c r="AA158" s="324"/>
    </row>
    <row r="159" spans="1:28" ht="51">
      <c r="A159" s="226">
        <f>A154+1</f>
        <v>28</v>
      </c>
      <c r="B159" s="227" t="s">
        <v>394</v>
      </c>
      <c r="C159" s="235" t="s">
        <v>395</v>
      </c>
      <c r="D159" s="206" t="s">
        <v>396</v>
      </c>
      <c r="E159" s="207" t="s">
        <v>90</v>
      </c>
      <c r="F159" s="228">
        <v>4.7</v>
      </c>
      <c r="G159" s="29">
        <v>1300</v>
      </c>
      <c r="H159" s="209">
        <f aca="true" t="shared" si="9" ref="H159:H168">F159*G159</f>
        <v>6110</v>
      </c>
      <c r="I159" s="39" t="s">
        <v>231</v>
      </c>
      <c r="N159" s="1"/>
      <c r="P159" s="414"/>
      <c r="Q159" s="415"/>
      <c r="R159" s="415"/>
      <c r="S159" s="415"/>
      <c r="W159" s="438"/>
      <c r="X159" s="438"/>
      <c r="Y159" s="317">
        <v>4582.5</v>
      </c>
      <c r="Z159" s="317">
        <v>1527.5</v>
      </c>
      <c r="AA159" s="324">
        <v>0</v>
      </c>
      <c r="AB159" s="342">
        <f>H159-Y159-Z159</f>
        <v>0</v>
      </c>
    </row>
    <row r="160" spans="1:28" ht="51">
      <c r="A160" s="226">
        <f>A159+1</f>
        <v>29</v>
      </c>
      <c r="B160" s="227" t="s">
        <v>397</v>
      </c>
      <c r="C160" s="235" t="s">
        <v>255</v>
      </c>
      <c r="D160" s="206" t="s">
        <v>734</v>
      </c>
      <c r="E160" s="207" t="s">
        <v>90</v>
      </c>
      <c r="F160" s="228">
        <f>4.8+5.7</f>
        <v>10.5</v>
      </c>
      <c r="G160" s="29">
        <v>1500</v>
      </c>
      <c r="H160" s="209">
        <f t="shared" si="9"/>
        <v>15750</v>
      </c>
      <c r="I160" s="39" t="s">
        <v>231</v>
      </c>
      <c r="N160" s="1"/>
      <c r="P160" s="414"/>
      <c r="Q160" s="415"/>
      <c r="R160" s="415"/>
      <c r="S160" s="415"/>
      <c r="W160" s="438"/>
      <c r="X160" s="438"/>
      <c r="Y160" s="317">
        <v>11812.5</v>
      </c>
      <c r="Z160" s="317">
        <v>3937.5</v>
      </c>
      <c r="AA160" s="324">
        <v>0</v>
      </c>
      <c r="AB160" s="342">
        <f>H160-Y160-Z160</f>
        <v>0</v>
      </c>
    </row>
    <row r="161" spans="1:28" ht="12.75">
      <c r="A161" s="226">
        <f aca="true" t="shared" si="10" ref="A161:A174">A160+1</f>
        <v>30</v>
      </c>
      <c r="B161" s="282" t="s">
        <v>397</v>
      </c>
      <c r="C161" s="268" t="s">
        <v>255</v>
      </c>
      <c r="D161" s="265" t="s">
        <v>280</v>
      </c>
      <c r="E161" s="258" t="s">
        <v>90</v>
      </c>
      <c r="F161" s="230">
        <f>5.05*(0.23+0.3)+(0.4+2*0.3)*0.98</f>
        <v>3.6565</v>
      </c>
      <c r="G161" s="313">
        <v>955</v>
      </c>
      <c r="H161" s="229">
        <f t="shared" si="9"/>
        <v>3491.9575</v>
      </c>
      <c r="I161" s="312" t="s">
        <v>231</v>
      </c>
      <c r="J161" s="3"/>
      <c r="K161" s="3"/>
      <c r="L161" s="3"/>
      <c r="M161" s="3"/>
      <c r="O161" s="3"/>
      <c r="P161" s="414" t="s">
        <v>746</v>
      </c>
      <c r="Q161" s="415">
        <v>-2.657</v>
      </c>
      <c r="R161" s="415">
        <v>955</v>
      </c>
      <c r="S161" s="415">
        <f>Q161*R161</f>
        <v>-2537.435</v>
      </c>
      <c r="W161" s="438" t="s">
        <v>778</v>
      </c>
      <c r="X161" s="438"/>
      <c r="Y161" s="317">
        <v>0</v>
      </c>
      <c r="Z161" s="317">
        <v>954.6</v>
      </c>
      <c r="AA161" s="324">
        <v>2537.4</v>
      </c>
      <c r="AB161" s="328" t="s">
        <v>764</v>
      </c>
    </row>
    <row r="162" spans="1:28" ht="25.5">
      <c r="A162" s="226">
        <f t="shared" si="10"/>
        <v>31</v>
      </c>
      <c r="B162" s="227" t="s">
        <v>306</v>
      </c>
      <c r="C162" s="205" t="s">
        <v>102</v>
      </c>
      <c r="D162" s="206" t="s">
        <v>398</v>
      </c>
      <c r="E162" s="207" t="s">
        <v>90</v>
      </c>
      <c r="F162" s="228">
        <f>+F159+F160</f>
        <v>15.2</v>
      </c>
      <c r="G162" s="29">
        <v>116</v>
      </c>
      <c r="H162" s="209">
        <f t="shared" si="9"/>
        <v>1763.1999999999998</v>
      </c>
      <c r="I162" s="39" t="s">
        <v>231</v>
      </c>
      <c r="N162" s="1"/>
      <c r="P162" s="418"/>
      <c r="Q162" s="419"/>
      <c r="R162" s="419"/>
      <c r="S162" s="419"/>
      <c r="T162" s="458"/>
      <c r="U162" s="458"/>
      <c r="V162" s="458"/>
      <c r="W162" s="458"/>
      <c r="X162" s="458"/>
      <c r="Y162" s="317">
        <v>1763.2</v>
      </c>
      <c r="Z162" s="317">
        <v>0</v>
      </c>
      <c r="AA162" s="324">
        <v>0</v>
      </c>
      <c r="AB162" s="342">
        <f aca="true" t="shared" si="11" ref="AB162:AB172">H162-Y162-Z162</f>
        <v>-2.2737367544323206E-13</v>
      </c>
    </row>
    <row r="163" spans="1:28" ht="12.75">
      <c r="A163" s="226">
        <f t="shared" si="10"/>
        <v>32</v>
      </c>
      <c r="B163" s="227" t="s">
        <v>399</v>
      </c>
      <c r="C163" s="252" t="s">
        <v>101</v>
      </c>
      <c r="D163" s="262" t="s">
        <v>400</v>
      </c>
      <c r="E163" s="253" t="s">
        <v>90</v>
      </c>
      <c r="F163" s="263">
        <f>+F159+F160</f>
        <v>15.2</v>
      </c>
      <c r="G163" s="30">
        <v>128</v>
      </c>
      <c r="H163" s="256">
        <f t="shared" si="9"/>
        <v>1945.6</v>
      </c>
      <c r="I163" s="39" t="s">
        <v>231</v>
      </c>
      <c r="N163" s="1"/>
      <c r="P163" s="418"/>
      <c r="Q163" s="419"/>
      <c r="R163" s="419"/>
      <c r="S163" s="419"/>
      <c r="T163" s="458"/>
      <c r="U163" s="458"/>
      <c r="V163" s="458"/>
      <c r="W163" s="458"/>
      <c r="X163" s="458"/>
      <c r="Y163" s="317">
        <v>1945.6</v>
      </c>
      <c r="Z163" s="317">
        <v>0</v>
      </c>
      <c r="AA163" s="324">
        <v>0</v>
      </c>
      <c r="AB163" s="342">
        <f t="shared" si="11"/>
        <v>0</v>
      </c>
    </row>
    <row r="164" spans="1:28" ht="12.75">
      <c r="A164" s="226">
        <f t="shared" si="10"/>
        <v>33</v>
      </c>
      <c r="B164" s="227" t="s">
        <v>307</v>
      </c>
      <c r="C164" s="205" t="s">
        <v>401</v>
      </c>
      <c r="D164" s="206" t="s">
        <v>308</v>
      </c>
      <c r="E164" s="207" t="s">
        <v>90</v>
      </c>
      <c r="F164" s="228">
        <f>+F159</f>
        <v>4.7</v>
      </c>
      <c r="G164" s="29">
        <v>93</v>
      </c>
      <c r="H164" s="209">
        <f t="shared" si="9"/>
        <v>437.1</v>
      </c>
      <c r="I164" s="39" t="s">
        <v>231</v>
      </c>
      <c r="N164" s="1"/>
      <c r="P164" s="420"/>
      <c r="Q164" s="421"/>
      <c r="R164" s="421"/>
      <c r="S164" s="421"/>
      <c r="T164" s="459"/>
      <c r="U164" s="459"/>
      <c r="V164" s="459"/>
      <c r="W164" s="459"/>
      <c r="X164" s="459"/>
      <c r="Y164" s="317">
        <v>437.1</v>
      </c>
      <c r="Z164" s="317">
        <v>0</v>
      </c>
      <c r="AA164" s="324">
        <v>0</v>
      </c>
      <c r="AB164" s="342">
        <f t="shared" si="11"/>
        <v>0</v>
      </c>
    </row>
    <row r="165" spans="1:28" ht="25.5">
      <c r="A165" s="226">
        <f t="shared" si="10"/>
        <v>34</v>
      </c>
      <c r="B165" s="227" t="s">
        <v>309</v>
      </c>
      <c r="C165" s="205" t="s">
        <v>395</v>
      </c>
      <c r="D165" s="206" t="s">
        <v>310</v>
      </c>
      <c r="E165" s="207" t="s">
        <v>93</v>
      </c>
      <c r="F165" s="228">
        <v>11.5</v>
      </c>
      <c r="G165" s="29">
        <v>30</v>
      </c>
      <c r="H165" s="209">
        <f t="shared" si="9"/>
        <v>345</v>
      </c>
      <c r="I165" s="39" t="s">
        <v>231</v>
      </c>
      <c r="N165" s="1"/>
      <c r="P165" s="418"/>
      <c r="Q165" s="419"/>
      <c r="R165" s="419"/>
      <c r="S165" s="419"/>
      <c r="T165" s="458"/>
      <c r="U165" s="458"/>
      <c r="V165" s="458"/>
      <c r="W165" s="458"/>
      <c r="X165" s="458"/>
      <c r="Y165" s="317">
        <v>345</v>
      </c>
      <c r="Z165" s="317">
        <v>0</v>
      </c>
      <c r="AA165" s="324">
        <v>0</v>
      </c>
      <c r="AB165" s="342">
        <f t="shared" si="11"/>
        <v>0</v>
      </c>
    </row>
    <row r="166" spans="1:28" ht="25.5">
      <c r="A166" s="226">
        <f t="shared" si="10"/>
        <v>35</v>
      </c>
      <c r="B166" s="227" t="s">
        <v>402</v>
      </c>
      <c r="C166" s="205" t="s">
        <v>156</v>
      </c>
      <c r="D166" s="206" t="s">
        <v>403</v>
      </c>
      <c r="E166" s="207" t="s">
        <v>92</v>
      </c>
      <c r="F166" s="228">
        <v>1</v>
      </c>
      <c r="G166" s="29">
        <v>138</v>
      </c>
      <c r="H166" s="209">
        <f t="shared" si="9"/>
        <v>138</v>
      </c>
      <c r="I166" s="39" t="s">
        <v>231</v>
      </c>
      <c r="N166" s="1"/>
      <c r="P166" s="418"/>
      <c r="Q166" s="419"/>
      <c r="R166" s="419"/>
      <c r="S166" s="419"/>
      <c r="T166" s="458"/>
      <c r="U166" s="458"/>
      <c r="V166" s="458"/>
      <c r="W166" s="458"/>
      <c r="X166" s="458"/>
      <c r="Y166" s="317">
        <v>138</v>
      </c>
      <c r="Z166" s="317">
        <v>0</v>
      </c>
      <c r="AA166" s="324">
        <v>0</v>
      </c>
      <c r="AB166" s="342">
        <f t="shared" si="11"/>
        <v>0</v>
      </c>
    </row>
    <row r="167" spans="1:28" ht="25.5">
      <c r="A167" s="226">
        <f t="shared" si="10"/>
        <v>36</v>
      </c>
      <c r="B167" s="227">
        <v>67352326</v>
      </c>
      <c r="C167" s="252" t="s">
        <v>221</v>
      </c>
      <c r="D167" s="262" t="s">
        <v>264</v>
      </c>
      <c r="E167" s="253" t="s">
        <v>90</v>
      </c>
      <c r="F167" s="263">
        <f>+F159</f>
        <v>4.7</v>
      </c>
      <c r="G167" s="30">
        <v>51</v>
      </c>
      <c r="H167" s="256">
        <f t="shared" si="9"/>
        <v>239.70000000000002</v>
      </c>
      <c r="I167" s="39" t="s">
        <v>231</v>
      </c>
      <c r="N167" s="1"/>
      <c r="P167" s="418"/>
      <c r="Q167" s="419"/>
      <c r="R167" s="419"/>
      <c r="S167" s="419"/>
      <c r="T167" s="458"/>
      <c r="U167" s="458"/>
      <c r="V167" s="458"/>
      <c r="W167" s="458"/>
      <c r="X167" s="458"/>
      <c r="Y167" s="317">
        <v>239.7</v>
      </c>
      <c r="Z167" s="317">
        <v>0</v>
      </c>
      <c r="AA167" s="324">
        <v>0</v>
      </c>
      <c r="AB167" s="342">
        <f t="shared" si="11"/>
        <v>2.842170943040401E-14</v>
      </c>
    </row>
    <row r="168" spans="1:28" ht="12.75">
      <c r="A168" s="226">
        <f t="shared" si="10"/>
        <v>37</v>
      </c>
      <c r="B168" s="227" t="s">
        <v>305</v>
      </c>
      <c r="C168" s="252"/>
      <c r="D168" s="206" t="s">
        <v>500</v>
      </c>
      <c r="E168" s="207" t="s">
        <v>90</v>
      </c>
      <c r="F168" s="228">
        <f>4.8+4.7</f>
        <v>9.5</v>
      </c>
      <c r="G168" s="29">
        <v>230</v>
      </c>
      <c r="H168" s="209">
        <f t="shared" si="9"/>
        <v>2185</v>
      </c>
      <c r="I168" s="39" t="s">
        <v>231</v>
      </c>
      <c r="N168" s="1"/>
      <c r="P168" s="418"/>
      <c r="Q168" s="419"/>
      <c r="R168" s="419"/>
      <c r="S168" s="419"/>
      <c r="T168" s="458"/>
      <c r="U168" s="458"/>
      <c r="V168" s="458"/>
      <c r="W168" s="458"/>
      <c r="X168" s="458"/>
      <c r="Y168" s="317">
        <v>2185</v>
      </c>
      <c r="Z168" s="317">
        <v>0</v>
      </c>
      <c r="AA168" s="324">
        <v>0</v>
      </c>
      <c r="AB168" s="342">
        <f t="shared" si="11"/>
        <v>0</v>
      </c>
    </row>
    <row r="169" spans="1:28" ht="12.75">
      <c r="A169" s="226">
        <f t="shared" si="10"/>
        <v>38</v>
      </c>
      <c r="B169" s="43" t="s">
        <v>305</v>
      </c>
      <c r="C169" s="241"/>
      <c r="D169" s="206" t="s">
        <v>501</v>
      </c>
      <c r="E169" s="258" t="s">
        <v>90</v>
      </c>
      <c r="F169" s="223">
        <v>5.7</v>
      </c>
      <c r="G169" s="29">
        <v>230</v>
      </c>
      <c r="H169" s="264">
        <f aca="true" t="shared" si="12" ref="H169:H174">F169*G169</f>
        <v>1311</v>
      </c>
      <c r="I169" s="306" t="s">
        <v>231</v>
      </c>
      <c r="N169" s="1"/>
      <c r="P169" s="418"/>
      <c r="Q169" s="419"/>
      <c r="R169" s="419"/>
      <c r="S169" s="419"/>
      <c r="T169" s="458"/>
      <c r="U169" s="458"/>
      <c r="V169" s="458"/>
      <c r="W169" s="458"/>
      <c r="X169" s="458"/>
      <c r="Y169" s="317">
        <v>1311</v>
      </c>
      <c r="Z169" s="317">
        <v>0</v>
      </c>
      <c r="AA169" s="324">
        <v>0</v>
      </c>
      <c r="AB169" s="342">
        <f t="shared" si="11"/>
        <v>0</v>
      </c>
    </row>
    <row r="170" spans="1:28" ht="12.75">
      <c r="A170" s="226">
        <f t="shared" si="10"/>
        <v>39</v>
      </c>
      <c r="B170" s="227" t="s">
        <v>404</v>
      </c>
      <c r="C170" s="205"/>
      <c r="D170" s="206" t="s">
        <v>405</v>
      </c>
      <c r="E170" s="207" t="s">
        <v>92</v>
      </c>
      <c r="F170" s="228">
        <v>3</v>
      </c>
      <c r="G170" s="29">
        <v>670</v>
      </c>
      <c r="H170" s="209">
        <f t="shared" si="12"/>
        <v>2010</v>
      </c>
      <c r="I170" s="39" t="s">
        <v>231</v>
      </c>
      <c r="N170" s="1"/>
      <c r="P170" s="418"/>
      <c r="Q170" s="419"/>
      <c r="R170" s="419"/>
      <c r="S170" s="419"/>
      <c r="T170" s="458"/>
      <c r="U170" s="458"/>
      <c r="V170" s="458"/>
      <c r="W170" s="458"/>
      <c r="X170" s="458"/>
      <c r="Y170" s="317">
        <v>0</v>
      </c>
      <c r="Z170" s="317">
        <v>2010</v>
      </c>
      <c r="AA170" s="324">
        <v>0</v>
      </c>
      <c r="AB170" s="342">
        <f t="shared" si="11"/>
        <v>0</v>
      </c>
    </row>
    <row r="171" spans="1:28" ht="25.5">
      <c r="A171" s="226">
        <f t="shared" si="10"/>
        <v>40</v>
      </c>
      <c r="B171" s="237" t="s">
        <v>406</v>
      </c>
      <c r="C171" s="252" t="s">
        <v>302</v>
      </c>
      <c r="D171" s="262" t="s">
        <v>407</v>
      </c>
      <c r="E171" s="253" t="s">
        <v>92</v>
      </c>
      <c r="F171" s="263">
        <v>1</v>
      </c>
      <c r="G171" s="30">
        <v>8900</v>
      </c>
      <c r="H171" s="256">
        <f t="shared" si="12"/>
        <v>8900</v>
      </c>
      <c r="I171" s="39" t="s">
        <v>231</v>
      </c>
      <c r="J171"/>
      <c r="N171" s="1"/>
      <c r="P171" s="418"/>
      <c r="Q171" s="419"/>
      <c r="R171" s="419"/>
      <c r="S171" s="419"/>
      <c r="T171" s="458"/>
      <c r="U171" s="458"/>
      <c r="V171" s="458"/>
      <c r="W171" s="458"/>
      <c r="X171" s="458"/>
      <c r="Y171" s="317">
        <v>0</v>
      </c>
      <c r="Z171" s="317">
        <v>8900</v>
      </c>
      <c r="AA171" s="324">
        <v>0</v>
      </c>
      <c r="AB171" s="342">
        <f t="shared" si="11"/>
        <v>0</v>
      </c>
    </row>
    <row r="172" spans="1:28" ht="25.5">
      <c r="A172" s="226">
        <f t="shared" si="10"/>
        <v>41</v>
      </c>
      <c r="B172" s="237" t="s">
        <v>408</v>
      </c>
      <c r="C172" s="252" t="s">
        <v>254</v>
      </c>
      <c r="D172" s="262" t="s">
        <v>409</v>
      </c>
      <c r="E172" s="253" t="s">
        <v>92</v>
      </c>
      <c r="F172" s="263">
        <v>2</v>
      </c>
      <c r="G172" s="30">
        <v>395</v>
      </c>
      <c r="H172" s="256">
        <f t="shared" si="12"/>
        <v>790</v>
      </c>
      <c r="I172" s="39" t="s">
        <v>231</v>
      </c>
      <c r="N172" s="1"/>
      <c r="P172" s="418"/>
      <c r="Q172" s="419"/>
      <c r="R172" s="419"/>
      <c r="S172" s="421"/>
      <c r="T172" s="458"/>
      <c r="U172" s="458"/>
      <c r="V172" s="458"/>
      <c r="W172" s="458"/>
      <c r="X172" s="458"/>
      <c r="Y172" s="317">
        <v>0</v>
      </c>
      <c r="Z172" s="317">
        <v>790</v>
      </c>
      <c r="AA172" s="324">
        <v>0</v>
      </c>
      <c r="AB172" s="342">
        <f t="shared" si="11"/>
        <v>0</v>
      </c>
    </row>
    <row r="173" spans="1:28" ht="102">
      <c r="A173" s="226">
        <f t="shared" si="10"/>
        <v>42</v>
      </c>
      <c r="B173" s="237" t="s">
        <v>177</v>
      </c>
      <c r="C173" s="241" t="s">
        <v>618</v>
      </c>
      <c r="D173" s="265" t="s">
        <v>735</v>
      </c>
      <c r="E173" s="258" t="s">
        <v>90</v>
      </c>
      <c r="F173" s="259">
        <f>5.1*1.2</f>
        <v>6.119999999999999</v>
      </c>
      <c r="G173" s="313">
        <v>1320</v>
      </c>
      <c r="H173" s="229">
        <f t="shared" si="12"/>
        <v>8078.399999999999</v>
      </c>
      <c r="I173" s="307" t="s">
        <v>225</v>
      </c>
      <c r="N173" s="1"/>
      <c r="P173" s="418" t="s">
        <v>746</v>
      </c>
      <c r="Q173" s="419">
        <v>-4</v>
      </c>
      <c r="R173" s="419">
        <v>1320</v>
      </c>
      <c r="S173" s="419">
        <f>Q173*R173</f>
        <v>-5280</v>
      </c>
      <c r="T173" s="458"/>
      <c r="U173" s="458"/>
      <c r="V173" s="458"/>
      <c r="W173" s="458" t="s">
        <v>778</v>
      </c>
      <c r="X173" s="458"/>
      <c r="Y173" s="317">
        <v>0</v>
      </c>
      <c r="Z173" s="317">
        <v>2798.4</v>
      </c>
      <c r="AA173" s="324">
        <v>5280</v>
      </c>
      <c r="AB173" s="328" t="s">
        <v>764</v>
      </c>
    </row>
    <row r="174" spans="1:28" ht="13.5" thickBot="1">
      <c r="A174" s="226">
        <f t="shared" si="10"/>
        <v>43</v>
      </c>
      <c r="B174" s="227" t="s">
        <v>393</v>
      </c>
      <c r="C174" s="241"/>
      <c r="D174" s="265" t="s">
        <v>117</v>
      </c>
      <c r="E174" s="266" t="s">
        <v>98</v>
      </c>
      <c r="F174" s="259">
        <f>+H159+H160+H161+H163+H164+H165+H167+H171+H172</f>
        <v>38009.3575</v>
      </c>
      <c r="G174" s="352">
        <v>0.05</v>
      </c>
      <c r="H174" s="267">
        <f t="shared" si="12"/>
        <v>1900.467875</v>
      </c>
      <c r="I174" s="302" t="s">
        <v>231</v>
      </c>
      <c r="P174" s="418" t="s">
        <v>746</v>
      </c>
      <c r="Q174" s="419">
        <v>-5280</v>
      </c>
      <c r="R174" s="422">
        <v>0.05</v>
      </c>
      <c r="S174" s="421">
        <v>-264</v>
      </c>
      <c r="T174" s="458"/>
      <c r="U174" s="458"/>
      <c r="V174" s="458"/>
      <c r="W174" s="458" t="s">
        <v>778</v>
      </c>
      <c r="X174" s="458"/>
      <c r="Y174" s="317">
        <v>0</v>
      </c>
      <c r="Z174" s="317">
        <v>1636.5</v>
      </c>
      <c r="AA174" s="324">
        <v>264</v>
      </c>
      <c r="AB174" s="328" t="s">
        <v>764</v>
      </c>
    </row>
    <row r="175" spans="1:27" ht="13.5" thickBot="1">
      <c r="A175" s="226"/>
      <c r="B175" s="226"/>
      <c r="C175" s="241"/>
      <c r="D175" s="215" t="s">
        <v>91</v>
      </c>
      <c r="E175" s="260"/>
      <c r="F175" s="261"/>
      <c r="G175" s="261"/>
      <c r="H175" s="246">
        <f>SUBTOTAL(9,H159:H174)</f>
        <v>55395.425375</v>
      </c>
      <c r="I175" s="302"/>
      <c r="J175" s="3"/>
      <c r="K175" s="3"/>
      <c r="L175" s="3"/>
      <c r="M175" s="3"/>
      <c r="O175" s="3"/>
      <c r="P175" s="460"/>
      <c r="Q175" s="461"/>
      <c r="R175" s="461"/>
      <c r="S175" s="461"/>
      <c r="T175" s="458"/>
      <c r="U175" s="458"/>
      <c r="V175" s="458"/>
      <c r="W175" s="458"/>
      <c r="X175" s="458"/>
      <c r="Y175" s="317"/>
      <c r="Z175" s="317"/>
      <c r="AA175" s="324"/>
    </row>
    <row r="176" spans="1:27" ht="12.75">
      <c r="A176" s="226"/>
      <c r="B176" s="226"/>
      <c r="C176" s="241"/>
      <c r="D176" s="247"/>
      <c r="E176" s="248"/>
      <c r="F176" s="141"/>
      <c r="G176" s="141"/>
      <c r="H176" s="249"/>
      <c r="I176" s="302"/>
      <c r="J176" s="3"/>
      <c r="K176" s="3"/>
      <c r="L176" s="3"/>
      <c r="M176" s="3"/>
      <c r="O176" s="3"/>
      <c r="P176" s="460"/>
      <c r="Q176" s="461"/>
      <c r="R176" s="461"/>
      <c r="S176" s="461"/>
      <c r="T176" s="458"/>
      <c r="U176" s="458"/>
      <c r="V176" s="458"/>
      <c r="W176" s="458"/>
      <c r="X176" s="458"/>
      <c r="Y176" s="317"/>
      <c r="Z176" s="317"/>
      <c r="AA176" s="324"/>
    </row>
    <row r="177" spans="1:27" ht="16.5">
      <c r="A177" s="226"/>
      <c r="B177" s="226"/>
      <c r="C177" s="250" t="s">
        <v>111</v>
      </c>
      <c r="D177" s="481" t="s">
        <v>240</v>
      </c>
      <c r="E177" s="481"/>
      <c r="F177" s="481"/>
      <c r="G177" s="481"/>
      <c r="H177" s="481"/>
      <c r="I177" s="302"/>
      <c r="P177" s="418"/>
      <c r="Q177" s="419"/>
      <c r="R177" s="419"/>
      <c r="S177" s="419"/>
      <c r="T177" s="458"/>
      <c r="U177" s="458"/>
      <c r="V177" s="458"/>
      <c r="W177" s="458"/>
      <c r="X177" s="458"/>
      <c r="Y177" s="317"/>
      <c r="Z177" s="317"/>
      <c r="AA177" s="324"/>
    </row>
    <row r="178" spans="1:27" ht="30" customHeight="1">
      <c r="A178" s="226"/>
      <c r="B178" s="226"/>
      <c r="C178" s="241"/>
      <c r="D178" s="497" t="s">
        <v>124</v>
      </c>
      <c r="E178" s="497"/>
      <c r="F178" s="497"/>
      <c r="G178" s="497"/>
      <c r="H178" s="497"/>
      <c r="I178" s="308"/>
      <c r="N178" s="8"/>
      <c r="P178" s="418"/>
      <c r="Q178" s="419"/>
      <c r="R178" s="419"/>
      <c r="S178" s="419"/>
      <c r="T178" s="458"/>
      <c r="U178" s="458"/>
      <c r="V178" s="458"/>
      <c r="W178" s="458"/>
      <c r="X178" s="458"/>
      <c r="Y178" s="317"/>
      <c r="Z178" s="317"/>
      <c r="AA178" s="324"/>
    </row>
    <row r="179" spans="1:28" ht="65.25" customHeight="1">
      <c r="A179" s="226">
        <f>A174+1</f>
        <v>44</v>
      </c>
      <c r="B179" s="237" t="s">
        <v>410</v>
      </c>
      <c r="C179" s="268" t="s">
        <v>242</v>
      </c>
      <c r="D179" s="206" t="s">
        <v>504</v>
      </c>
      <c r="E179" s="207" t="s">
        <v>90</v>
      </c>
      <c r="F179" s="230">
        <f>2*F136/0.3+F138/0.45+F117*0.05+0.15*5</f>
        <v>10.331940000000003</v>
      </c>
      <c r="G179" s="29">
        <v>750</v>
      </c>
      <c r="H179" s="209">
        <f>F179*G179</f>
        <v>7748.955000000003</v>
      </c>
      <c r="I179" s="307" t="s">
        <v>225</v>
      </c>
      <c r="N179" s="8"/>
      <c r="P179" s="418"/>
      <c r="Q179" s="419"/>
      <c r="R179" s="419"/>
      <c r="S179" s="419"/>
      <c r="T179" s="458"/>
      <c r="U179" s="458"/>
      <c r="V179" s="458"/>
      <c r="W179" s="458"/>
      <c r="X179" s="458"/>
      <c r="Y179" s="317">
        <v>7749</v>
      </c>
      <c r="Z179" s="317">
        <v>0</v>
      </c>
      <c r="AA179" s="324">
        <v>0</v>
      </c>
      <c r="AB179" s="342">
        <f aca="true" t="shared" si="13" ref="AB179:AB216">H179-Y179-Z179</f>
        <v>-0.044999999997344275</v>
      </c>
    </row>
    <row r="180" spans="1:28" ht="12.75">
      <c r="A180" s="226">
        <f>A179+1</f>
        <v>45</v>
      </c>
      <c r="B180" s="227" t="s">
        <v>502</v>
      </c>
      <c r="C180" s="235"/>
      <c r="D180" s="206" t="s">
        <v>503</v>
      </c>
      <c r="E180" s="207" t="s">
        <v>90</v>
      </c>
      <c r="F180" s="228">
        <f>+F181+F185</f>
        <v>13.519188000000003</v>
      </c>
      <c r="G180" s="29">
        <v>35.6</v>
      </c>
      <c r="H180" s="209">
        <f>F180*G180</f>
        <v>481.28309280000013</v>
      </c>
      <c r="I180" s="39" t="s">
        <v>225</v>
      </c>
      <c r="N180" s="8"/>
      <c r="P180" s="418"/>
      <c r="Q180" s="419"/>
      <c r="R180" s="419"/>
      <c r="S180" s="419"/>
      <c r="T180" s="458"/>
      <c r="U180" s="458"/>
      <c r="V180" s="458"/>
      <c r="W180" s="458"/>
      <c r="X180" s="458"/>
      <c r="Y180" s="317">
        <v>481.3</v>
      </c>
      <c r="Z180" s="317">
        <v>0</v>
      </c>
      <c r="AA180" s="324">
        <v>0</v>
      </c>
      <c r="AB180" s="342">
        <f t="shared" si="13"/>
        <v>-0.016907199999877776</v>
      </c>
    </row>
    <row r="181" spans="1:28" ht="25.5">
      <c r="A181" s="226">
        <f>A180+1</f>
        <v>46</v>
      </c>
      <c r="B181" s="227" t="s">
        <v>411</v>
      </c>
      <c r="C181" s="268" t="s">
        <v>250</v>
      </c>
      <c r="D181" s="206" t="s">
        <v>507</v>
      </c>
      <c r="E181" s="207" t="s">
        <v>90</v>
      </c>
      <c r="F181" s="228">
        <f>SUM(E182:E184)</f>
        <v>12.254188000000003</v>
      </c>
      <c r="G181" s="29">
        <v>274</v>
      </c>
      <c r="H181" s="209">
        <f>F181*G181</f>
        <v>3357.647512000001</v>
      </c>
      <c r="I181" s="39" t="s">
        <v>225</v>
      </c>
      <c r="N181" s="8"/>
      <c r="P181" s="418"/>
      <c r="Q181" s="419"/>
      <c r="R181" s="419"/>
      <c r="S181" s="419"/>
      <c r="T181" s="458"/>
      <c r="U181" s="458"/>
      <c r="V181" s="458"/>
      <c r="W181" s="458"/>
      <c r="X181" s="458"/>
      <c r="Y181" s="317">
        <v>3357.6</v>
      </c>
      <c r="Z181" s="317">
        <v>0</v>
      </c>
      <c r="AA181" s="324">
        <v>0</v>
      </c>
      <c r="AB181" s="342">
        <f t="shared" si="13"/>
        <v>0.04751200000100653</v>
      </c>
    </row>
    <row r="182" spans="1:28" ht="12.75">
      <c r="A182" s="226"/>
      <c r="B182" s="227"/>
      <c r="C182" s="268"/>
      <c r="D182" s="236" t="s">
        <v>508</v>
      </c>
      <c r="E182" s="269">
        <f>1.17*2.55-1*2.07</f>
        <v>0.9135</v>
      </c>
      <c r="F182" s="228"/>
      <c r="G182" s="234"/>
      <c r="H182" s="209"/>
      <c r="I182" s="39"/>
      <c r="N182" s="8"/>
      <c r="P182" s="418"/>
      <c r="Q182" s="419"/>
      <c r="R182" s="419"/>
      <c r="S182" s="419"/>
      <c r="T182" s="458"/>
      <c r="U182" s="458"/>
      <c r="V182" s="458"/>
      <c r="W182" s="458"/>
      <c r="X182" s="458"/>
      <c r="Y182" s="317"/>
      <c r="Z182" s="317"/>
      <c r="AA182" s="324"/>
      <c r="AB182" s="342">
        <f t="shared" si="13"/>
        <v>0</v>
      </c>
    </row>
    <row r="183" spans="1:28" ht="12.75">
      <c r="A183" s="226"/>
      <c r="B183" s="237"/>
      <c r="C183" s="268"/>
      <c r="D183" s="236" t="s">
        <v>440</v>
      </c>
      <c r="E183" s="269">
        <f>1.66*2.65-1*2.07</f>
        <v>2.329</v>
      </c>
      <c r="F183" s="228"/>
      <c r="G183" s="234"/>
      <c r="H183" s="209"/>
      <c r="I183" s="39"/>
      <c r="N183" s="8"/>
      <c r="P183" s="418"/>
      <c r="Q183" s="419"/>
      <c r="R183" s="419"/>
      <c r="S183" s="419"/>
      <c r="T183" s="458"/>
      <c r="U183" s="458"/>
      <c r="V183" s="458"/>
      <c r="W183" s="458"/>
      <c r="X183" s="458"/>
      <c r="Y183" s="317"/>
      <c r="Z183" s="317"/>
      <c r="AA183" s="324"/>
      <c r="AB183" s="342">
        <f t="shared" si="13"/>
        <v>0</v>
      </c>
    </row>
    <row r="184" spans="1:28" ht="12.75">
      <c r="A184" s="226"/>
      <c r="B184" s="237"/>
      <c r="C184" s="268"/>
      <c r="D184" s="236" t="s">
        <v>509</v>
      </c>
      <c r="E184" s="269">
        <f>0.06*F117</f>
        <v>9.011688000000003</v>
      </c>
      <c r="F184" s="228"/>
      <c r="G184" s="234"/>
      <c r="H184" s="209"/>
      <c r="I184" s="39"/>
      <c r="N184" s="8"/>
      <c r="P184" s="418"/>
      <c r="Q184" s="419"/>
      <c r="R184" s="419"/>
      <c r="S184" s="419"/>
      <c r="T184" s="458"/>
      <c r="U184" s="458"/>
      <c r="V184" s="458"/>
      <c r="W184" s="458"/>
      <c r="X184" s="458"/>
      <c r="Y184" s="317"/>
      <c r="Z184" s="317"/>
      <c r="AA184" s="324"/>
      <c r="AB184" s="342">
        <f t="shared" si="13"/>
        <v>0</v>
      </c>
    </row>
    <row r="185" spans="1:28" ht="25.5">
      <c r="A185" s="226">
        <f>A181+1</f>
        <v>47</v>
      </c>
      <c r="B185" s="227" t="s">
        <v>412</v>
      </c>
      <c r="C185" s="268"/>
      <c r="D185" s="206" t="s">
        <v>413</v>
      </c>
      <c r="E185" s="207" t="s">
        <v>90</v>
      </c>
      <c r="F185" s="228">
        <f>+E186</f>
        <v>1.2650000000000001</v>
      </c>
      <c r="G185" s="29">
        <v>370</v>
      </c>
      <c r="H185" s="209">
        <f>F185*G185</f>
        <v>468.05000000000007</v>
      </c>
      <c r="I185" s="39" t="s">
        <v>225</v>
      </c>
      <c r="N185" s="8"/>
      <c r="P185" s="418"/>
      <c r="Q185" s="419"/>
      <c r="R185" s="419"/>
      <c r="S185" s="419"/>
      <c r="T185" s="458"/>
      <c r="U185" s="458"/>
      <c r="V185" s="458"/>
      <c r="W185" s="458"/>
      <c r="X185" s="458"/>
      <c r="Y185" s="317">
        <v>468.1</v>
      </c>
      <c r="Z185" s="317">
        <v>0</v>
      </c>
      <c r="AA185" s="324">
        <v>0</v>
      </c>
      <c r="AB185" s="342">
        <f t="shared" si="13"/>
        <v>-0.049999999999954525</v>
      </c>
    </row>
    <row r="186" spans="1:28" ht="12.75">
      <c r="A186" s="226"/>
      <c r="B186" s="237"/>
      <c r="C186" s="268"/>
      <c r="D186" s="236" t="s">
        <v>725</v>
      </c>
      <c r="E186" s="269">
        <f>25.3*0.05</f>
        <v>1.2650000000000001</v>
      </c>
      <c r="F186" s="228"/>
      <c r="G186" s="234"/>
      <c r="H186" s="209"/>
      <c r="I186" s="39"/>
      <c r="N186" s="8"/>
      <c r="P186" s="418"/>
      <c r="Q186" s="419"/>
      <c r="R186" s="419"/>
      <c r="S186" s="419"/>
      <c r="T186" s="458"/>
      <c r="U186" s="458"/>
      <c r="V186" s="458"/>
      <c r="W186" s="458"/>
      <c r="X186" s="458"/>
      <c r="Y186" s="317"/>
      <c r="Z186" s="317"/>
      <c r="AA186" s="324"/>
      <c r="AB186" s="342">
        <f t="shared" si="13"/>
        <v>0</v>
      </c>
    </row>
    <row r="187" spans="1:28" ht="38.25">
      <c r="A187" s="226">
        <f>A185+1</f>
        <v>48</v>
      </c>
      <c r="B187" s="227" t="s">
        <v>414</v>
      </c>
      <c r="C187" s="268" t="s">
        <v>243</v>
      </c>
      <c r="D187" s="206" t="s">
        <v>415</v>
      </c>
      <c r="E187" s="207" t="s">
        <v>90</v>
      </c>
      <c r="F187" s="228">
        <f>F181</f>
        <v>12.254188000000003</v>
      </c>
      <c r="G187" s="29">
        <v>290</v>
      </c>
      <c r="H187" s="209">
        <f>F187*G187</f>
        <v>3553.714520000001</v>
      </c>
      <c r="I187" s="307" t="s">
        <v>225</v>
      </c>
      <c r="N187" s="8"/>
      <c r="P187" s="418"/>
      <c r="Q187" s="419"/>
      <c r="R187" s="419"/>
      <c r="S187" s="419"/>
      <c r="T187" s="458"/>
      <c r="U187" s="458"/>
      <c r="V187" s="458"/>
      <c r="W187" s="458"/>
      <c r="X187" s="458"/>
      <c r="Y187" s="317">
        <v>0</v>
      </c>
      <c r="Z187" s="317">
        <v>3553.7</v>
      </c>
      <c r="AA187" s="324">
        <v>0</v>
      </c>
      <c r="AB187" s="342">
        <f t="shared" si="13"/>
        <v>0.014520000001084554</v>
      </c>
    </row>
    <row r="188" spans="1:28" ht="38.25">
      <c r="A188" s="226">
        <f>A187+1</f>
        <v>49</v>
      </c>
      <c r="B188" s="227" t="s">
        <v>510</v>
      </c>
      <c r="C188" s="205"/>
      <c r="D188" s="206" t="s">
        <v>511</v>
      </c>
      <c r="E188" s="207" t="s">
        <v>90</v>
      </c>
      <c r="F188" s="228">
        <f>+F185</f>
        <v>1.2650000000000001</v>
      </c>
      <c r="G188" s="29">
        <v>268</v>
      </c>
      <c r="H188" s="209">
        <f>+F188*G188</f>
        <v>339.02000000000004</v>
      </c>
      <c r="I188" s="307" t="s">
        <v>225</v>
      </c>
      <c r="N188" s="8"/>
      <c r="P188" s="418"/>
      <c r="Q188" s="419"/>
      <c r="R188" s="419"/>
      <c r="S188" s="419"/>
      <c r="T188" s="458"/>
      <c r="U188" s="458"/>
      <c r="V188" s="458"/>
      <c r="W188" s="458"/>
      <c r="X188" s="458"/>
      <c r="Y188" s="317">
        <v>0</v>
      </c>
      <c r="Z188" s="317">
        <v>339</v>
      </c>
      <c r="AA188" s="324">
        <v>0</v>
      </c>
      <c r="AB188" s="342">
        <f t="shared" si="13"/>
        <v>0.020000000000038654</v>
      </c>
    </row>
    <row r="189" spans="1:28" ht="12.75">
      <c r="A189" s="226">
        <f>A188+1</f>
        <v>50</v>
      </c>
      <c r="B189" s="227" t="s">
        <v>512</v>
      </c>
      <c r="C189" s="205"/>
      <c r="D189" s="206" t="s">
        <v>513</v>
      </c>
      <c r="E189" s="207" t="s">
        <v>93</v>
      </c>
      <c r="F189" s="228">
        <f>2*2.07</f>
        <v>4.14</v>
      </c>
      <c r="G189" s="29">
        <v>71</v>
      </c>
      <c r="H189" s="209">
        <f>+F189*G189</f>
        <v>293.94</v>
      </c>
      <c r="I189" s="39" t="s">
        <v>225</v>
      </c>
      <c r="P189" s="418"/>
      <c r="Q189" s="419"/>
      <c r="R189" s="419"/>
      <c r="S189" s="419"/>
      <c r="T189" s="458"/>
      <c r="U189" s="458"/>
      <c r="V189" s="458"/>
      <c r="W189" s="458"/>
      <c r="X189" s="458"/>
      <c r="Y189" s="317">
        <v>0</v>
      </c>
      <c r="Z189" s="317">
        <v>293.9</v>
      </c>
      <c r="AA189" s="324">
        <v>0</v>
      </c>
      <c r="AB189" s="342">
        <f t="shared" si="13"/>
        <v>0.040000000000020464</v>
      </c>
    </row>
    <row r="190" spans="1:28" ht="25.5">
      <c r="A190" s="226">
        <f>A189+1</f>
        <v>51</v>
      </c>
      <c r="B190" s="240" t="s">
        <v>416</v>
      </c>
      <c r="C190" s="268" t="s">
        <v>281</v>
      </c>
      <c r="D190" s="206" t="s">
        <v>417</v>
      </c>
      <c r="E190" s="207" t="s">
        <v>90</v>
      </c>
      <c r="F190" s="228">
        <f>F191</f>
        <v>27.837999999999997</v>
      </c>
      <c r="G190" s="29">
        <v>49</v>
      </c>
      <c r="H190" s="209">
        <f>F190*G190</f>
        <v>1364.062</v>
      </c>
      <c r="I190" s="39" t="s">
        <v>225</v>
      </c>
      <c r="P190" s="418"/>
      <c r="Q190" s="419"/>
      <c r="R190" s="419"/>
      <c r="S190" s="419"/>
      <c r="T190" s="458"/>
      <c r="U190" s="458"/>
      <c r="V190" s="458"/>
      <c r="W190" s="458"/>
      <c r="X190" s="458"/>
      <c r="Y190" s="317">
        <v>0</v>
      </c>
      <c r="Z190" s="317">
        <v>1364.1</v>
      </c>
      <c r="AA190" s="324">
        <v>0</v>
      </c>
      <c r="AB190" s="342">
        <f t="shared" si="13"/>
        <v>-0.038000000000010914</v>
      </c>
    </row>
    <row r="191" spans="1:28" ht="25.5">
      <c r="A191" s="226">
        <f>A190+1</f>
        <v>52</v>
      </c>
      <c r="B191" s="227" t="s">
        <v>514</v>
      </c>
      <c r="C191" s="205" t="s">
        <v>244</v>
      </c>
      <c r="D191" s="206" t="s">
        <v>418</v>
      </c>
      <c r="E191" s="207" t="s">
        <v>90</v>
      </c>
      <c r="F191" s="228">
        <f>11.32*2.4-0.8*2.05+0.6*(1.95+1.9)</f>
        <v>27.837999999999997</v>
      </c>
      <c r="G191" s="29">
        <v>950</v>
      </c>
      <c r="H191" s="209">
        <f>F191*G191</f>
        <v>26446.1</v>
      </c>
      <c r="I191" s="39" t="s">
        <v>225</v>
      </c>
      <c r="N191" s="8"/>
      <c r="P191" s="418"/>
      <c r="Q191" s="419"/>
      <c r="R191" s="419"/>
      <c r="S191" s="419"/>
      <c r="T191" s="458"/>
      <c r="U191" s="458"/>
      <c r="V191" s="458"/>
      <c r="W191" s="458"/>
      <c r="X191" s="458"/>
      <c r="Y191" s="317">
        <v>0</v>
      </c>
      <c r="Z191" s="317">
        <v>26446.1</v>
      </c>
      <c r="AA191" s="324">
        <v>0</v>
      </c>
      <c r="AB191" s="342">
        <f t="shared" si="13"/>
        <v>0</v>
      </c>
    </row>
    <row r="192" spans="1:28" ht="25.5">
      <c r="A192" s="226">
        <f aca="true" t="shared" si="14" ref="A192:A201">A191+1</f>
        <v>53</v>
      </c>
      <c r="B192" s="227" t="s">
        <v>419</v>
      </c>
      <c r="C192" s="252" t="s">
        <v>245</v>
      </c>
      <c r="D192" s="262" t="s">
        <v>420</v>
      </c>
      <c r="E192" s="253" t="s">
        <v>90</v>
      </c>
      <c r="F192" s="263">
        <f>SUM(E193:E194)*1.1</f>
        <v>16.971899999999998</v>
      </c>
      <c r="G192" s="30">
        <v>1500</v>
      </c>
      <c r="H192" s="256">
        <f>F192*G192</f>
        <v>25457.85</v>
      </c>
      <c r="I192" s="39" t="s">
        <v>225</v>
      </c>
      <c r="N192" s="8"/>
      <c r="P192" s="418"/>
      <c r="Q192" s="419"/>
      <c r="R192" s="419"/>
      <c r="S192" s="419"/>
      <c r="T192" s="458"/>
      <c r="U192" s="458"/>
      <c r="V192" s="458"/>
      <c r="W192" s="458"/>
      <c r="X192" s="458"/>
      <c r="Y192" s="317">
        <v>0</v>
      </c>
      <c r="Z192" s="317">
        <v>25457.9</v>
      </c>
      <c r="AA192" s="324">
        <v>0</v>
      </c>
      <c r="AB192" s="342">
        <f t="shared" si="13"/>
        <v>-0.05000000000291038</v>
      </c>
    </row>
    <row r="193" spans="1:28" ht="12.75">
      <c r="A193" s="226">
        <f t="shared" si="14"/>
        <v>54</v>
      </c>
      <c r="B193" s="227"/>
      <c r="C193" s="252"/>
      <c r="D193" s="270" t="s">
        <v>515</v>
      </c>
      <c r="E193" s="269">
        <f>2.4*(1.21+1.885+0.91+0.98+0.1+0.3)</f>
        <v>12.923999999999998</v>
      </c>
      <c r="F193" s="263"/>
      <c r="G193" s="255"/>
      <c r="H193" s="256"/>
      <c r="I193" s="39"/>
      <c r="N193" s="8"/>
      <c r="P193" s="418"/>
      <c r="Q193" s="419"/>
      <c r="R193" s="419"/>
      <c r="S193" s="419"/>
      <c r="T193" s="458"/>
      <c r="U193" s="458"/>
      <c r="V193" s="458"/>
      <c r="W193" s="458"/>
      <c r="X193" s="458"/>
      <c r="Y193" s="317"/>
      <c r="Z193" s="317"/>
      <c r="AA193" s="324"/>
      <c r="AB193" s="342">
        <f t="shared" si="13"/>
        <v>0</v>
      </c>
    </row>
    <row r="194" spans="1:28" ht="12.75">
      <c r="A194" s="226">
        <f t="shared" si="14"/>
        <v>55</v>
      </c>
      <c r="B194" s="227"/>
      <c r="C194" s="252"/>
      <c r="D194" s="270" t="s">
        <v>516</v>
      </c>
      <c r="E194" s="269">
        <f>0.6*(1.9+1.95)+0.05*1.9+0.1</f>
        <v>2.505</v>
      </c>
      <c r="F194" s="263"/>
      <c r="G194" s="255"/>
      <c r="H194" s="256"/>
      <c r="I194" s="39"/>
      <c r="N194" s="8"/>
      <c r="P194" s="418"/>
      <c r="Q194" s="419"/>
      <c r="R194" s="419"/>
      <c r="S194" s="419"/>
      <c r="T194" s="458"/>
      <c r="U194" s="458"/>
      <c r="V194" s="458"/>
      <c r="W194" s="458"/>
      <c r="X194" s="458"/>
      <c r="Y194" s="317"/>
      <c r="Z194" s="317"/>
      <c r="AA194" s="324"/>
      <c r="AB194" s="342">
        <f t="shared" si="13"/>
        <v>0</v>
      </c>
    </row>
    <row r="195" spans="1:28" ht="25.5">
      <c r="A195" s="226">
        <f t="shared" si="14"/>
        <v>56</v>
      </c>
      <c r="B195" s="227" t="s">
        <v>419</v>
      </c>
      <c r="C195" s="252" t="s">
        <v>246</v>
      </c>
      <c r="D195" s="262" t="s">
        <v>1</v>
      </c>
      <c r="E195" s="253" t="s">
        <v>90</v>
      </c>
      <c r="F195" s="263">
        <f>+E196*1.1</f>
        <v>15.549600000000002</v>
      </c>
      <c r="G195" s="30">
        <v>1500</v>
      </c>
      <c r="H195" s="256">
        <f>F195*G195</f>
        <v>23324.4</v>
      </c>
      <c r="I195" s="39" t="s">
        <v>225</v>
      </c>
      <c r="N195" s="8"/>
      <c r="P195" s="418"/>
      <c r="Q195" s="419"/>
      <c r="R195" s="419"/>
      <c r="S195" s="419"/>
      <c r="T195" s="458"/>
      <c r="U195" s="458"/>
      <c r="V195" s="458"/>
      <c r="W195" s="458"/>
      <c r="X195" s="458"/>
      <c r="Y195" s="317">
        <v>0</v>
      </c>
      <c r="Z195" s="317">
        <v>23324.4</v>
      </c>
      <c r="AA195" s="324">
        <v>0</v>
      </c>
      <c r="AB195" s="342">
        <f t="shared" si="13"/>
        <v>0</v>
      </c>
    </row>
    <row r="196" spans="1:28" ht="12.75">
      <c r="A196" s="226">
        <f t="shared" si="14"/>
        <v>57</v>
      </c>
      <c r="B196" s="227"/>
      <c r="C196" s="252"/>
      <c r="D196" s="270" t="s">
        <v>517</v>
      </c>
      <c r="E196" s="269">
        <f>2.4*(2.44+3.45)</f>
        <v>14.136000000000001</v>
      </c>
      <c r="F196" s="263"/>
      <c r="G196" s="255"/>
      <c r="H196" s="256"/>
      <c r="I196" s="39"/>
      <c r="P196" s="418"/>
      <c r="Q196" s="419"/>
      <c r="R196" s="419"/>
      <c r="S196" s="419"/>
      <c r="T196" s="458"/>
      <c r="U196" s="458"/>
      <c r="V196" s="458"/>
      <c r="W196" s="458"/>
      <c r="X196" s="458"/>
      <c r="Y196" s="317"/>
      <c r="Z196" s="317"/>
      <c r="AA196" s="324"/>
      <c r="AB196" s="342">
        <f t="shared" si="13"/>
        <v>0</v>
      </c>
    </row>
    <row r="197" spans="1:28" ht="25.5">
      <c r="A197" s="226">
        <f t="shared" si="14"/>
        <v>58</v>
      </c>
      <c r="B197" s="240" t="s">
        <v>421</v>
      </c>
      <c r="C197" s="205" t="s">
        <v>247</v>
      </c>
      <c r="D197" s="206" t="s">
        <v>422</v>
      </c>
      <c r="E197" s="207" t="s">
        <v>92</v>
      </c>
      <c r="F197" s="228">
        <f>CEILING(((E198+E199)*1.15),2.5)/2.5</f>
        <v>5</v>
      </c>
      <c r="G197" s="29">
        <v>920</v>
      </c>
      <c r="H197" s="209">
        <f>F197*G197</f>
        <v>4600</v>
      </c>
      <c r="I197" s="39" t="s">
        <v>225</v>
      </c>
      <c r="P197" s="418"/>
      <c r="Q197" s="419"/>
      <c r="R197" s="419"/>
      <c r="S197" s="419"/>
      <c r="T197" s="458"/>
      <c r="U197" s="458"/>
      <c r="V197" s="458"/>
      <c r="W197" s="458"/>
      <c r="X197" s="458"/>
      <c r="Y197" s="317">
        <v>0</v>
      </c>
      <c r="Z197" s="317">
        <v>4600</v>
      </c>
      <c r="AA197" s="324">
        <v>0</v>
      </c>
      <c r="AB197" s="342">
        <f t="shared" si="13"/>
        <v>0</v>
      </c>
    </row>
    <row r="198" spans="1:28" ht="12.75">
      <c r="A198" s="226">
        <f t="shared" si="14"/>
        <v>59</v>
      </c>
      <c r="B198" s="227"/>
      <c r="C198" s="271"/>
      <c r="D198" s="270" t="s">
        <v>518</v>
      </c>
      <c r="E198" s="269">
        <f>2*2.4+1.7+1.2</f>
        <v>7.7</v>
      </c>
      <c r="F198" s="263"/>
      <c r="G198" s="255"/>
      <c r="H198" s="256"/>
      <c r="I198" s="39"/>
      <c r="P198" s="418"/>
      <c r="Q198" s="419"/>
      <c r="R198" s="419"/>
      <c r="S198" s="419"/>
      <c r="T198" s="458"/>
      <c r="U198" s="458"/>
      <c r="V198" s="458"/>
      <c r="W198" s="458"/>
      <c r="X198" s="458"/>
      <c r="Y198" s="317"/>
      <c r="Z198" s="317"/>
      <c r="AA198" s="324"/>
      <c r="AB198" s="342">
        <f t="shared" si="13"/>
        <v>0</v>
      </c>
    </row>
    <row r="199" spans="1:28" ht="12.75">
      <c r="A199" s="226">
        <f t="shared" si="14"/>
        <v>60</v>
      </c>
      <c r="B199" s="227"/>
      <c r="C199" s="271"/>
      <c r="D199" s="270" t="s">
        <v>519</v>
      </c>
      <c r="E199" s="269">
        <f>2*0.6+1.9</f>
        <v>3.0999999999999996</v>
      </c>
      <c r="F199" s="263"/>
      <c r="G199" s="255"/>
      <c r="H199" s="256"/>
      <c r="I199" s="39"/>
      <c r="P199" s="418"/>
      <c r="Q199" s="419"/>
      <c r="R199" s="419"/>
      <c r="S199" s="419"/>
      <c r="T199" s="458"/>
      <c r="U199" s="458"/>
      <c r="V199" s="458"/>
      <c r="W199" s="458"/>
      <c r="X199" s="458"/>
      <c r="Y199" s="317"/>
      <c r="Z199" s="317"/>
      <c r="AA199" s="324"/>
      <c r="AB199" s="342">
        <f t="shared" si="13"/>
        <v>0</v>
      </c>
    </row>
    <row r="200" spans="1:28" ht="12.75">
      <c r="A200" s="226">
        <f t="shared" si="14"/>
        <v>61</v>
      </c>
      <c r="B200" s="227" t="s">
        <v>423</v>
      </c>
      <c r="C200" s="205" t="s">
        <v>249</v>
      </c>
      <c r="D200" s="206" t="s">
        <v>125</v>
      </c>
      <c r="E200" s="207" t="s">
        <v>92</v>
      </c>
      <c r="F200" s="228">
        <v>2</v>
      </c>
      <c r="G200" s="29">
        <v>587</v>
      </c>
      <c r="H200" s="209">
        <f aca="true" t="shared" si="15" ref="H200:H208">F200*G200</f>
        <v>1174</v>
      </c>
      <c r="I200" s="39" t="s">
        <v>231</v>
      </c>
      <c r="P200" s="418"/>
      <c r="Q200" s="419"/>
      <c r="R200" s="422"/>
      <c r="S200" s="421"/>
      <c r="T200" s="458"/>
      <c r="U200" s="458"/>
      <c r="V200" s="458"/>
      <c r="W200" s="458"/>
      <c r="X200" s="458"/>
      <c r="Y200" s="317">
        <v>0</v>
      </c>
      <c r="Z200" s="317">
        <v>1174</v>
      </c>
      <c r="AA200" s="324">
        <v>0</v>
      </c>
      <c r="AB200" s="342">
        <f t="shared" si="13"/>
        <v>0</v>
      </c>
    </row>
    <row r="201" spans="1:28" ht="25.5">
      <c r="A201" s="226">
        <f t="shared" si="14"/>
        <v>62</v>
      </c>
      <c r="B201" s="227" t="s">
        <v>424</v>
      </c>
      <c r="C201" s="252" t="s">
        <v>249</v>
      </c>
      <c r="D201" s="262" t="s">
        <v>425</v>
      </c>
      <c r="E201" s="253" t="s">
        <v>92</v>
      </c>
      <c r="F201" s="263">
        <v>2</v>
      </c>
      <c r="G201" s="30">
        <v>334</v>
      </c>
      <c r="H201" s="256">
        <f t="shared" si="15"/>
        <v>668</v>
      </c>
      <c r="I201" s="39" t="s">
        <v>231</v>
      </c>
      <c r="J201"/>
      <c r="P201" s="460"/>
      <c r="Q201" s="461"/>
      <c r="R201" s="461"/>
      <c r="S201" s="461"/>
      <c r="T201" s="458"/>
      <c r="U201" s="458"/>
      <c r="V201" s="458"/>
      <c r="W201" s="458"/>
      <c r="X201" s="458"/>
      <c r="Y201" s="317">
        <v>0</v>
      </c>
      <c r="Z201" s="317">
        <v>668</v>
      </c>
      <c r="AA201" s="324">
        <v>0</v>
      </c>
      <c r="AB201" s="342">
        <f t="shared" si="13"/>
        <v>0</v>
      </c>
    </row>
    <row r="202" spans="1:28" ht="25.5">
      <c r="A202" s="226">
        <f aca="true" t="shared" si="16" ref="A202:A208">A201+1</f>
        <v>63</v>
      </c>
      <c r="B202" s="240" t="s">
        <v>426</v>
      </c>
      <c r="C202" s="205" t="s">
        <v>244</v>
      </c>
      <c r="D202" s="206" t="s">
        <v>133</v>
      </c>
      <c r="E202" s="207" t="s">
        <v>90</v>
      </c>
      <c r="F202" s="228">
        <f>(2*0.9+0.93)*2.2</f>
        <v>6.006</v>
      </c>
      <c r="G202" s="29">
        <v>128</v>
      </c>
      <c r="H202" s="209">
        <f t="shared" si="15"/>
        <v>768.768</v>
      </c>
      <c r="I202" s="39" t="s">
        <v>225</v>
      </c>
      <c r="P202" s="418"/>
      <c r="Q202" s="419"/>
      <c r="R202" s="419"/>
      <c r="S202" s="419"/>
      <c r="T202" s="458"/>
      <c r="U202" s="458"/>
      <c r="V202" s="458"/>
      <c r="W202" s="458"/>
      <c r="X202" s="458"/>
      <c r="Y202" s="317">
        <v>0</v>
      </c>
      <c r="Z202" s="317">
        <v>768.8</v>
      </c>
      <c r="AA202" s="324">
        <v>0</v>
      </c>
      <c r="AB202" s="342">
        <f t="shared" si="13"/>
        <v>-0.03199999999992542</v>
      </c>
    </row>
    <row r="203" spans="1:28" ht="12.75">
      <c r="A203" s="226">
        <f t="shared" si="16"/>
        <v>64</v>
      </c>
      <c r="B203" s="240" t="s">
        <v>427</v>
      </c>
      <c r="C203" s="252" t="s">
        <v>247</v>
      </c>
      <c r="D203" s="262" t="s">
        <v>137</v>
      </c>
      <c r="E203" s="253" t="s">
        <v>104</v>
      </c>
      <c r="F203" s="263">
        <f>+F202*1.5</f>
        <v>9.009</v>
      </c>
      <c r="G203" s="30">
        <v>116.5</v>
      </c>
      <c r="H203" s="256">
        <f t="shared" si="15"/>
        <v>1049.5485</v>
      </c>
      <c r="I203" s="39" t="s">
        <v>225</v>
      </c>
      <c r="P203" s="418"/>
      <c r="Q203" s="419"/>
      <c r="R203" s="419"/>
      <c r="S203" s="419"/>
      <c r="T203" s="458"/>
      <c r="U203" s="458"/>
      <c r="V203" s="458"/>
      <c r="W203" s="458"/>
      <c r="X203" s="458"/>
      <c r="Y203" s="317">
        <v>0</v>
      </c>
      <c r="Z203" s="317">
        <v>1049.5</v>
      </c>
      <c r="AA203" s="324">
        <v>0</v>
      </c>
      <c r="AB203" s="342">
        <f t="shared" si="13"/>
        <v>0.04850000000010368</v>
      </c>
    </row>
    <row r="204" spans="1:28" ht="12.75">
      <c r="A204" s="226">
        <f t="shared" si="16"/>
        <v>65</v>
      </c>
      <c r="B204" s="240" t="s">
        <v>428</v>
      </c>
      <c r="C204" s="205"/>
      <c r="D204" s="206" t="s">
        <v>429</v>
      </c>
      <c r="E204" s="207" t="s">
        <v>93</v>
      </c>
      <c r="F204" s="228">
        <f>+F205</f>
        <v>4.4</v>
      </c>
      <c r="G204" s="29">
        <v>50</v>
      </c>
      <c r="H204" s="209">
        <f t="shared" si="15"/>
        <v>220.00000000000003</v>
      </c>
      <c r="I204" s="39" t="s">
        <v>225</v>
      </c>
      <c r="P204" s="418"/>
      <c r="Q204" s="419"/>
      <c r="R204" s="419"/>
      <c r="S204" s="419"/>
      <c r="T204" s="458"/>
      <c r="U204" s="458"/>
      <c r="V204" s="458"/>
      <c r="W204" s="458"/>
      <c r="X204" s="458"/>
      <c r="Y204" s="317">
        <v>0</v>
      </c>
      <c r="Z204" s="317">
        <v>220</v>
      </c>
      <c r="AA204" s="324">
        <v>0</v>
      </c>
      <c r="AB204" s="342">
        <f t="shared" si="13"/>
        <v>0</v>
      </c>
    </row>
    <row r="205" spans="1:28" ht="25.5">
      <c r="A205" s="226">
        <f t="shared" si="16"/>
        <v>66</v>
      </c>
      <c r="B205" s="240">
        <v>28355360</v>
      </c>
      <c r="C205" s="252" t="s">
        <v>247</v>
      </c>
      <c r="D205" s="262" t="s">
        <v>430</v>
      </c>
      <c r="E205" s="253" t="s">
        <v>93</v>
      </c>
      <c r="F205" s="263">
        <f>2*2.2</f>
        <v>4.4</v>
      </c>
      <c r="G205" s="30">
        <v>74.1</v>
      </c>
      <c r="H205" s="256">
        <f t="shared" si="15"/>
        <v>326.04</v>
      </c>
      <c r="I205" s="39" t="s">
        <v>225</v>
      </c>
      <c r="P205" s="418"/>
      <c r="Q205" s="419"/>
      <c r="R205" s="419"/>
      <c r="S205" s="419"/>
      <c r="T205" s="458"/>
      <c r="U205" s="458"/>
      <c r="V205" s="458"/>
      <c r="W205" s="458"/>
      <c r="X205" s="458"/>
      <c r="Y205" s="317">
        <v>0</v>
      </c>
      <c r="Z205" s="317">
        <v>326</v>
      </c>
      <c r="AA205" s="324">
        <v>0</v>
      </c>
      <c r="AB205" s="342">
        <f t="shared" si="13"/>
        <v>0.040000000000020464</v>
      </c>
    </row>
    <row r="206" spans="1:28" ht="25.5">
      <c r="A206" s="226">
        <f t="shared" si="16"/>
        <v>67</v>
      </c>
      <c r="B206" s="227" t="s">
        <v>431</v>
      </c>
      <c r="C206" s="205"/>
      <c r="D206" s="272" t="s">
        <v>432</v>
      </c>
      <c r="E206" s="207" t="s">
        <v>89</v>
      </c>
      <c r="F206" s="228">
        <v>1</v>
      </c>
      <c r="G206" s="29">
        <v>550</v>
      </c>
      <c r="H206" s="209">
        <f t="shared" si="15"/>
        <v>550</v>
      </c>
      <c r="I206" s="39" t="s">
        <v>225</v>
      </c>
      <c r="P206" s="418"/>
      <c r="Q206" s="419"/>
      <c r="R206" s="419"/>
      <c r="S206" s="419"/>
      <c r="T206" s="458"/>
      <c r="U206" s="458"/>
      <c r="V206" s="458"/>
      <c r="W206" s="458"/>
      <c r="X206" s="458"/>
      <c r="Y206" s="317">
        <v>0</v>
      </c>
      <c r="Z206" s="317">
        <v>550</v>
      </c>
      <c r="AA206" s="324">
        <v>0</v>
      </c>
      <c r="AB206" s="342">
        <f t="shared" si="13"/>
        <v>0</v>
      </c>
    </row>
    <row r="207" spans="1:28" ht="12.75">
      <c r="A207" s="226">
        <f t="shared" si="16"/>
        <v>68</v>
      </c>
      <c r="B207" s="227" t="s">
        <v>433</v>
      </c>
      <c r="C207" s="252"/>
      <c r="D207" s="206" t="s">
        <v>434</v>
      </c>
      <c r="E207" s="207" t="s">
        <v>90</v>
      </c>
      <c r="F207" s="228">
        <f>+F208</f>
        <v>180.5848</v>
      </c>
      <c r="G207" s="29">
        <v>26.8</v>
      </c>
      <c r="H207" s="209">
        <f t="shared" si="15"/>
        <v>4839.67264</v>
      </c>
      <c r="I207" s="39" t="s">
        <v>225</v>
      </c>
      <c r="P207" s="418"/>
      <c r="Q207" s="419"/>
      <c r="R207" s="419"/>
      <c r="S207" s="419"/>
      <c r="T207" s="458"/>
      <c r="U207" s="458"/>
      <c r="V207" s="458"/>
      <c r="W207" s="458"/>
      <c r="X207" s="458"/>
      <c r="Y207" s="317">
        <v>0</v>
      </c>
      <c r="Z207" s="317">
        <v>4839.7</v>
      </c>
      <c r="AA207" s="324">
        <v>0</v>
      </c>
      <c r="AB207" s="342">
        <f t="shared" si="13"/>
        <v>-0.027360000000044238</v>
      </c>
    </row>
    <row r="208" spans="1:28" ht="12.75">
      <c r="A208" s="226">
        <f t="shared" si="16"/>
        <v>69</v>
      </c>
      <c r="B208" s="227" t="s">
        <v>435</v>
      </c>
      <c r="C208" s="252"/>
      <c r="D208" s="206" t="s">
        <v>436</v>
      </c>
      <c r="E208" s="207" t="s">
        <v>90</v>
      </c>
      <c r="F208" s="228">
        <f>SUM(E210:E214)</f>
        <v>180.5848</v>
      </c>
      <c r="G208" s="29">
        <v>80</v>
      </c>
      <c r="H208" s="209">
        <f t="shared" si="15"/>
        <v>14446.784</v>
      </c>
      <c r="I208" s="39" t="s">
        <v>225</v>
      </c>
      <c r="P208" s="418"/>
      <c r="Q208" s="419"/>
      <c r="R208" s="419"/>
      <c r="S208" s="419"/>
      <c r="T208" s="458"/>
      <c r="U208" s="458"/>
      <c r="V208" s="458"/>
      <c r="W208" s="458"/>
      <c r="X208" s="458"/>
      <c r="Y208" s="317">
        <v>0</v>
      </c>
      <c r="Z208" s="317">
        <v>14446.8</v>
      </c>
      <c r="AA208" s="324">
        <v>0</v>
      </c>
      <c r="AB208" s="342">
        <f t="shared" si="13"/>
        <v>-0.01599999999962165</v>
      </c>
    </row>
    <row r="209" spans="1:28" ht="12.75">
      <c r="A209" s="226"/>
      <c r="B209" s="237"/>
      <c r="C209" s="268"/>
      <c r="D209" s="236" t="s">
        <v>437</v>
      </c>
      <c r="E209" s="273"/>
      <c r="F209" s="228"/>
      <c r="G209" s="234"/>
      <c r="H209" s="209"/>
      <c r="I209" s="39"/>
      <c r="P209" s="418"/>
      <c r="Q209" s="419"/>
      <c r="R209" s="419"/>
      <c r="S209" s="419"/>
      <c r="T209" s="458"/>
      <c r="U209" s="458"/>
      <c r="V209" s="458"/>
      <c r="W209" s="458"/>
      <c r="X209" s="458"/>
      <c r="Y209" s="317"/>
      <c r="Z209" s="317"/>
      <c r="AA209" s="324"/>
      <c r="AB209" s="342">
        <f t="shared" si="13"/>
        <v>0</v>
      </c>
    </row>
    <row r="210" spans="1:28" ht="12.75">
      <c r="A210" s="226"/>
      <c r="B210" s="237"/>
      <c r="C210" s="268"/>
      <c r="D210" s="231" t="s">
        <v>723</v>
      </c>
      <c r="E210" s="273">
        <f>9.39*3.25-1.285*2.32</f>
        <v>27.536300000000004</v>
      </c>
      <c r="F210" s="228"/>
      <c r="G210" s="234"/>
      <c r="H210" s="209"/>
      <c r="I210" s="39"/>
      <c r="P210" s="418"/>
      <c r="Q210" s="419"/>
      <c r="R210" s="419"/>
      <c r="S210" s="419"/>
      <c r="T210" s="458"/>
      <c r="U210" s="458"/>
      <c r="V210" s="458"/>
      <c r="W210" s="458"/>
      <c r="X210" s="458"/>
      <c r="Y210" s="317"/>
      <c r="Z210" s="317"/>
      <c r="AA210" s="324"/>
      <c r="AB210" s="342">
        <f t="shared" si="13"/>
        <v>0</v>
      </c>
    </row>
    <row r="211" spans="1:28" ht="12.75">
      <c r="A211" s="226"/>
      <c r="B211" s="237"/>
      <c r="C211" s="268"/>
      <c r="D211" s="231" t="s">
        <v>722</v>
      </c>
      <c r="E211" s="273">
        <f>11.3*(3.2-2.4)</f>
        <v>9.040000000000003</v>
      </c>
      <c r="F211" s="228"/>
      <c r="G211" s="234"/>
      <c r="H211" s="209"/>
      <c r="I211" s="39"/>
      <c r="P211" s="418"/>
      <c r="Q211" s="419"/>
      <c r="R211" s="419"/>
      <c r="S211" s="419"/>
      <c r="T211" s="458"/>
      <c r="U211" s="458"/>
      <c r="V211" s="458"/>
      <c r="W211" s="458"/>
      <c r="X211" s="458"/>
      <c r="Y211" s="317"/>
      <c r="Z211" s="317"/>
      <c r="AA211" s="324"/>
      <c r="AB211" s="342">
        <f t="shared" si="13"/>
        <v>0</v>
      </c>
    </row>
    <row r="212" spans="1:28" ht="12.75">
      <c r="A212" s="226"/>
      <c r="B212" s="237"/>
      <c r="C212" s="268"/>
      <c r="D212" s="231" t="s">
        <v>721</v>
      </c>
      <c r="E212" s="273">
        <f>10.5*3.2</f>
        <v>33.6</v>
      </c>
      <c r="F212" s="228"/>
      <c r="G212" s="234"/>
      <c r="H212" s="209"/>
      <c r="I212" s="39"/>
      <c r="P212" s="418"/>
      <c r="Q212" s="419"/>
      <c r="R212" s="419"/>
      <c r="S212" s="419"/>
      <c r="T212" s="458"/>
      <c r="U212" s="458"/>
      <c r="V212" s="458"/>
      <c r="W212" s="458"/>
      <c r="X212" s="458"/>
      <c r="Y212" s="317"/>
      <c r="Z212" s="317"/>
      <c r="AA212" s="324"/>
      <c r="AB212" s="342">
        <f t="shared" si="13"/>
        <v>0</v>
      </c>
    </row>
    <row r="213" spans="1:28" ht="12.75">
      <c r="A213" s="226"/>
      <c r="B213" s="237"/>
      <c r="C213" s="268"/>
      <c r="D213" s="231" t="s">
        <v>724</v>
      </c>
      <c r="E213" s="273">
        <f>20.77*3.6-2*1.35*2.3-0.6*(1.95+1.9)</f>
        <v>66.25200000000001</v>
      </c>
      <c r="F213" s="228"/>
      <c r="G213" s="234"/>
      <c r="H213" s="209"/>
      <c r="I213" s="39"/>
      <c r="P213" s="418"/>
      <c r="Q213" s="419"/>
      <c r="R213" s="419"/>
      <c r="S213" s="419"/>
      <c r="T213" s="458"/>
      <c r="U213" s="458"/>
      <c r="V213" s="458"/>
      <c r="W213" s="458"/>
      <c r="X213" s="458"/>
      <c r="Y213" s="317"/>
      <c r="Z213" s="317"/>
      <c r="AA213" s="324"/>
      <c r="AB213" s="342">
        <f t="shared" si="13"/>
        <v>0</v>
      </c>
    </row>
    <row r="214" spans="1:28" ht="12.75">
      <c r="A214" s="226"/>
      <c r="B214" s="237"/>
      <c r="C214" s="268"/>
      <c r="D214" s="236" t="s">
        <v>438</v>
      </c>
      <c r="E214" s="273">
        <f>25.3+F159+F160+F161</f>
        <v>44.1565</v>
      </c>
      <c r="F214" s="228"/>
      <c r="G214" s="234"/>
      <c r="H214" s="209"/>
      <c r="I214" s="39"/>
      <c r="P214" s="418"/>
      <c r="Q214" s="419"/>
      <c r="R214" s="419"/>
      <c r="S214" s="419"/>
      <c r="T214" s="458"/>
      <c r="U214" s="458"/>
      <c r="V214" s="458"/>
      <c r="W214" s="458"/>
      <c r="X214" s="458"/>
      <c r="Y214" s="317"/>
      <c r="Z214" s="317"/>
      <c r="AA214" s="324"/>
      <c r="AB214" s="342">
        <f t="shared" si="13"/>
        <v>0</v>
      </c>
    </row>
    <row r="215" spans="1:28" ht="12.75">
      <c r="A215" s="226">
        <f>A208+1</f>
        <v>70</v>
      </c>
      <c r="B215" s="227" t="s">
        <v>439</v>
      </c>
      <c r="C215" s="205"/>
      <c r="D215" s="206" t="s">
        <v>239</v>
      </c>
      <c r="E215" s="207" t="s">
        <v>89</v>
      </c>
      <c r="F215" s="228">
        <v>1</v>
      </c>
      <c r="G215" s="29">
        <v>210</v>
      </c>
      <c r="H215" s="209">
        <f>F215*G215</f>
        <v>210</v>
      </c>
      <c r="I215" s="39" t="s">
        <v>225</v>
      </c>
      <c r="P215" s="418"/>
      <c r="Q215" s="419"/>
      <c r="R215" s="419"/>
      <c r="S215" s="419"/>
      <c r="T215" s="458"/>
      <c r="U215" s="458"/>
      <c r="V215" s="458"/>
      <c r="W215" s="458"/>
      <c r="X215" s="458"/>
      <c r="Y215" s="317">
        <v>0</v>
      </c>
      <c r="Z215" s="317">
        <v>210</v>
      </c>
      <c r="AA215" s="324">
        <v>0</v>
      </c>
      <c r="AB215" s="342">
        <f t="shared" si="13"/>
        <v>0</v>
      </c>
    </row>
    <row r="216" spans="1:28" ht="13.5" thickBot="1">
      <c r="A216" s="226">
        <f>A215+1</f>
        <v>71</v>
      </c>
      <c r="B216" s="227" t="s">
        <v>393</v>
      </c>
      <c r="C216" s="241"/>
      <c r="D216" s="257" t="s">
        <v>120</v>
      </c>
      <c r="E216" s="258" t="s">
        <v>98</v>
      </c>
      <c r="F216" s="259">
        <f>+H179+H181+H185+H187+H188+H190+H192+H195+H197+H201+H203+H207+H205+H208+H215</f>
        <v>91753.744172</v>
      </c>
      <c r="G216" s="32">
        <v>0.05</v>
      </c>
      <c r="H216" s="229">
        <f>F216*G216</f>
        <v>4587.6872086</v>
      </c>
      <c r="I216" s="302" t="s">
        <v>225</v>
      </c>
      <c r="P216" s="418"/>
      <c r="Q216" s="419"/>
      <c r="R216" s="419"/>
      <c r="S216" s="419"/>
      <c r="T216" s="458"/>
      <c r="U216" s="458"/>
      <c r="V216" s="458"/>
      <c r="W216" s="458"/>
      <c r="X216" s="458"/>
      <c r="Y216" s="317">
        <v>0</v>
      </c>
      <c r="Z216" s="317">
        <v>4587.7</v>
      </c>
      <c r="AA216" s="324">
        <v>0</v>
      </c>
      <c r="AB216" s="342">
        <f t="shared" si="13"/>
        <v>-0.012791399999514397</v>
      </c>
    </row>
    <row r="217" spans="1:27" ht="13.5" thickBot="1">
      <c r="A217" s="226"/>
      <c r="B217" s="226"/>
      <c r="C217" s="241"/>
      <c r="D217" s="215" t="s">
        <v>91</v>
      </c>
      <c r="E217" s="260"/>
      <c r="F217" s="261"/>
      <c r="G217" s="261"/>
      <c r="H217" s="246">
        <f>SUBTOTAL(9,H179:H216)</f>
        <v>126275.5224734</v>
      </c>
      <c r="I217" s="302"/>
      <c r="P217" s="418"/>
      <c r="Q217" s="419"/>
      <c r="R217" s="419"/>
      <c r="S217" s="419"/>
      <c r="T217" s="458"/>
      <c r="U217" s="458"/>
      <c r="V217" s="458"/>
      <c r="W217" s="458"/>
      <c r="X217" s="458"/>
      <c r="Y217" s="317"/>
      <c r="Z217" s="317"/>
      <c r="AA217" s="324"/>
    </row>
    <row r="218" spans="1:27" ht="12.75">
      <c r="A218" s="226"/>
      <c r="B218" s="226"/>
      <c r="C218" s="241"/>
      <c r="D218" s="247"/>
      <c r="E218" s="248"/>
      <c r="F218" s="141"/>
      <c r="G218" s="141"/>
      <c r="H218" s="249"/>
      <c r="I218" s="302"/>
      <c r="P218" s="418"/>
      <c r="Q218" s="419"/>
      <c r="R218" s="419"/>
      <c r="S218" s="419"/>
      <c r="T218" s="458"/>
      <c r="U218" s="458"/>
      <c r="V218" s="458"/>
      <c r="W218" s="458"/>
      <c r="X218" s="458"/>
      <c r="Y218" s="317"/>
      <c r="Z218" s="317"/>
      <c r="AA218" s="324"/>
    </row>
    <row r="219" spans="1:27" ht="16.5">
      <c r="A219" s="226"/>
      <c r="B219" s="226"/>
      <c r="C219" s="250" t="s">
        <v>112</v>
      </c>
      <c r="D219" s="37" t="s">
        <v>126</v>
      </c>
      <c r="E219" s="37"/>
      <c r="F219" s="37"/>
      <c r="G219" s="37"/>
      <c r="H219" s="37"/>
      <c r="I219" s="302"/>
      <c r="P219" s="418"/>
      <c r="Q219" s="419"/>
      <c r="R219" s="419"/>
      <c r="S219" s="419"/>
      <c r="T219" s="458"/>
      <c r="U219" s="458"/>
      <c r="V219" s="458"/>
      <c r="W219" s="458"/>
      <c r="X219" s="458"/>
      <c r="Y219" s="317"/>
      <c r="Z219" s="317"/>
      <c r="AA219" s="324"/>
    </row>
    <row r="220" spans="1:27" ht="52.5" customHeight="1">
      <c r="A220" s="226"/>
      <c r="B220" s="226"/>
      <c r="C220" s="225"/>
      <c r="D220" s="495" t="s">
        <v>168</v>
      </c>
      <c r="E220" s="495"/>
      <c r="F220" s="495"/>
      <c r="G220" s="495"/>
      <c r="H220" s="495"/>
      <c r="I220" s="302"/>
      <c r="P220" s="418"/>
      <c r="Q220" s="419"/>
      <c r="R220" s="419"/>
      <c r="S220" s="419"/>
      <c r="T220" s="458"/>
      <c r="U220" s="458"/>
      <c r="V220" s="458"/>
      <c r="W220" s="458"/>
      <c r="X220" s="458"/>
      <c r="Y220" s="317"/>
      <c r="Z220" s="317"/>
      <c r="AA220" s="324"/>
    </row>
    <row r="221" spans="1:28" ht="25.5">
      <c r="A221" s="226">
        <f>A216+1</f>
        <v>72</v>
      </c>
      <c r="B221" s="42" t="s">
        <v>521</v>
      </c>
      <c r="C221" s="241"/>
      <c r="D221" s="56" t="s">
        <v>520</v>
      </c>
      <c r="E221" s="258" t="s">
        <v>93</v>
      </c>
      <c r="F221" s="259">
        <f>2.9+3.01+0.8+0.8+2</f>
        <v>9.51</v>
      </c>
      <c r="G221" s="29">
        <v>680</v>
      </c>
      <c r="H221" s="229">
        <f>F221*G221</f>
        <v>6466.8</v>
      </c>
      <c r="I221" s="302" t="s">
        <v>225</v>
      </c>
      <c r="P221" s="418"/>
      <c r="Q221" s="419"/>
      <c r="R221" s="419"/>
      <c r="S221" s="419"/>
      <c r="T221" s="458"/>
      <c r="U221" s="458"/>
      <c r="V221" s="458"/>
      <c r="W221" s="458"/>
      <c r="X221" s="458"/>
      <c r="Y221" s="317">
        <v>6466.8</v>
      </c>
      <c r="Z221" s="317">
        <v>0</v>
      </c>
      <c r="AA221" s="324">
        <v>0</v>
      </c>
      <c r="AB221" s="342">
        <f aca="true" t="shared" si="17" ref="AB221:AB227">H221-Y221-Z221</f>
        <v>0</v>
      </c>
    </row>
    <row r="222" spans="1:28" ht="25.5">
      <c r="A222" s="226">
        <f>A221+1</f>
        <v>73</v>
      </c>
      <c r="B222" s="42" t="s">
        <v>522</v>
      </c>
      <c r="C222" s="241"/>
      <c r="D222" s="56" t="s">
        <v>523</v>
      </c>
      <c r="E222" s="258" t="s">
        <v>93</v>
      </c>
      <c r="F222" s="259">
        <v>1.4</v>
      </c>
      <c r="G222" s="29">
        <v>900</v>
      </c>
      <c r="H222" s="229">
        <f aca="true" t="shared" si="18" ref="H222:H231">F222*G222</f>
        <v>1260</v>
      </c>
      <c r="I222" s="302" t="s">
        <v>225</v>
      </c>
      <c r="P222" s="418"/>
      <c r="Q222" s="419"/>
      <c r="R222" s="419"/>
      <c r="S222" s="419"/>
      <c r="T222" s="458"/>
      <c r="U222" s="458"/>
      <c r="V222" s="458"/>
      <c r="W222" s="458"/>
      <c r="X222" s="458"/>
      <c r="Y222" s="317">
        <v>1260</v>
      </c>
      <c r="Z222" s="317">
        <v>0</v>
      </c>
      <c r="AA222" s="324">
        <v>0</v>
      </c>
      <c r="AB222" s="342">
        <f t="shared" si="17"/>
        <v>0</v>
      </c>
    </row>
    <row r="223" spans="1:28" ht="25.5">
      <c r="A223" s="226">
        <f aca="true" t="shared" si="19" ref="A223:A231">A222+1</f>
        <v>74</v>
      </c>
      <c r="B223" s="57" t="s">
        <v>524</v>
      </c>
      <c r="C223" s="52"/>
      <c r="D223" s="56" t="s">
        <v>708</v>
      </c>
      <c r="E223" s="207" t="s">
        <v>89</v>
      </c>
      <c r="F223" s="228">
        <v>1</v>
      </c>
      <c r="G223" s="29">
        <v>1670</v>
      </c>
      <c r="H223" s="209">
        <f t="shared" si="18"/>
        <v>1670</v>
      </c>
      <c r="I223" s="39" t="s">
        <v>225</v>
      </c>
      <c r="P223" s="418"/>
      <c r="Q223" s="419"/>
      <c r="R223" s="419"/>
      <c r="S223" s="419"/>
      <c r="T223" s="458"/>
      <c r="U223" s="458"/>
      <c r="V223" s="458"/>
      <c r="W223" s="458"/>
      <c r="X223" s="458"/>
      <c r="Y223" s="317">
        <v>1670</v>
      </c>
      <c r="Z223" s="317">
        <v>0</v>
      </c>
      <c r="AA223" s="324">
        <v>0</v>
      </c>
      <c r="AB223" s="342">
        <f t="shared" si="17"/>
        <v>0</v>
      </c>
    </row>
    <row r="224" spans="1:28" ht="25.5">
      <c r="A224" s="226">
        <f t="shared" si="19"/>
        <v>75</v>
      </c>
      <c r="B224" s="42" t="s">
        <v>525</v>
      </c>
      <c r="C224" s="34"/>
      <c r="D224" s="56" t="s">
        <v>526</v>
      </c>
      <c r="E224" s="35" t="s">
        <v>92</v>
      </c>
      <c r="F224" s="44">
        <v>2</v>
      </c>
      <c r="G224" s="29">
        <v>670</v>
      </c>
      <c r="H224" s="209">
        <f t="shared" si="18"/>
        <v>1340</v>
      </c>
      <c r="I224" s="39" t="s">
        <v>225</v>
      </c>
      <c r="J224"/>
      <c r="P224" s="418"/>
      <c r="Q224" s="419"/>
      <c r="R224" s="419"/>
      <c r="S224" s="419"/>
      <c r="T224" s="458"/>
      <c r="U224" s="458"/>
      <c r="V224" s="458"/>
      <c r="W224" s="458"/>
      <c r="X224" s="458"/>
      <c r="Y224" s="317">
        <v>1340</v>
      </c>
      <c r="Z224" s="317">
        <v>0</v>
      </c>
      <c r="AA224" s="324">
        <v>0</v>
      </c>
      <c r="AB224" s="342">
        <f t="shared" si="17"/>
        <v>0</v>
      </c>
    </row>
    <row r="225" spans="1:28" ht="12.75">
      <c r="A225" s="226">
        <f t="shared" si="19"/>
        <v>76</v>
      </c>
      <c r="B225" s="42" t="s">
        <v>527</v>
      </c>
      <c r="C225" s="34"/>
      <c r="D225" s="56" t="s">
        <v>528</v>
      </c>
      <c r="E225" s="35" t="s">
        <v>92</v>
      </c>
      <c r="F225" s="44">
        <v>1</v>
      </c>
      <c r="G225" s="29">
        <v>83.5</v>
      </c>
      <c r="H225" s="209">
        <f t="shared" si="18"/>
        <v>83.5</v>
      </c>
      <c r="I225" s="39" t="s">
        <v>225</v>
      </c>
      <c r="J225"/>
      <c r="P225" s="418"/>
      <c r="Q225" s="419"/>
      <c r="R225" s="419"/>
      <c r="S225" s="419"/>
      <c r="T225" s="458"/>
      <c r="U225" s="458"/>
      <c r="V225" s="458"/>
      <c r="W225" s="458"/>
      <c r="X225" s="458"/>
      <c r="Y225" s="317">
        <v>83.5</v>
      </c>
      <c r="Z225" s="317">
        <v>0</v>
      </c>
      <c r="AA225" s="324">
        <v>0</v>
      </c>
      <c r="AB225" s="342">
        <f t="shared" si="17"/>
        <v>0</v>
      </c>
    </row>
    <row r="226" spans="1:28" ht="12.75">
      <c r="A226" s="226">
        <f t="shared" si="19"/>
        <v>77</v>
      </c>
      <c r="B226" s="42" t="s">
        <v>529</v>
      </c>
      <c r="C226" s="34"/>
      <c r="D226" s="56" t="s">
        <v>530</v>
      </c>
      <c r="E226" s="35" t="s">
        <v>92</v>
      </c>
      <c r="F226" s="44">
        <v>1</v>
      </c>
      <c r="G226" s="29">
        <v>124</v>
      </c>
      <c r="H226" s="209">
        <f t="shared" si="18"/>
        <v>124</v>
      </c>
      <c r="I226" s="39" t="s">
        <v>225</v>
      </c>
      <c r="J226"/>
      <c r="P226" s="418"/>
      <c r="Q226" s="419"/>
      <c r="R226" s="419"/>
      <c r="S226" s="419"/>
      <c r="T226" s="458"/>
      <c r="U226" s="458"/>
      <c r="V226" s="458"/>
      <c r="W226" s="458"/>
      <c r="X226" s="458"/>
      <c r="Y226" s="317">
        <v>124</v>
      </c>
      <c r="Z226" s="317">
        <v>0</v>
      </c>
      <c r="AA226" s="324">
        <v>0</v>
      </c>
      <c r="AB226" s="342">
        <f t="shared" si="17"/>
        <v>0</v>
      </c>
    </row>
    <row r="227" spans="1:28" ht="12.75">
      <c r="A227" s="226">
        <f t="shared" si="19"/>
        <v>78</v>
      </c>
      <c r="B227" s="42" t="s">
        <v>531</v>
      </c>
      <c r="C227" s="34"/>
      <c r="D227" s="56" t="s">
        <v>532</v>
      </c>
      <c r="E227" s="35" t="s">
        <v>92</v>
      </c>
      <c r="F227" s="44">
        <v>1</v>
      </c>
      <c r="G227" s="29">
        <v>155</v>
      </c>
      <c r="H227" s="209">
        <f t="shared" si="18"/>
        <v>155</v>
      </c>
      <c r="I227" s="39" t="s">
        <v>225</v>
      </c>
      <c r="J227"/>
      <c r="P227" s="418"/>
      <c r="Q227" s="419"/>
      <c r="R227" s="419"/>
      <c r="S227" s="419"/>
      <c r="T227" s="458"/>
      <c r="U227" s="458"/>
      <c r="V227" s="458"/>
      <c r="W227" s="458"/>
      <c r="X227" s="458"/>
      <c r="Y227" s="317">
        <v>155</v>
      </c>
      <c r="Z227" s="317">
        <v>0</v>
      </c>
      <c r="AA227" s="324">
        <v>0</v>
      </c>
      <c r="AB227" s="342">
        <f t="shared" si="17"/>
        <v>0</v>
      </c>
    </row>
    <row r="228" spans="1:28" ht="38.25">
      <c r="A228" s="226">
        <f t="shared" si="19"/>
        <v>79</v>
      </c>
      <c r="B228" s="42" t="s">
        <v>533</v>
      </c>
      <c r="C228" s="34"/>
      <c r="D228" s="274" t="s">
        <v>0</v>
      </c>
      <c r="E228" s="35" t="s">
        <v>92</v>
      </c>
      <c r="F228" s="44">
        <v>1</v>
      </c>
      <c r="G228" s="29">
        <v>1268</v>
      </c>
      <c r="H228" s="209">
        <f t="shared" si="18"/>
        <v>1268</v>
      </c>
      <c r="I228" s="309" t="s">
        <v>231</v>
      </c>
      <c r="J228" s="45"/>
      <c r="P228" s="418" t="s">
        <v>746</v>
      </c>
      <c r="Q228" s="419">
        <f>-F228</f>
        <v>-1</v>
      </c>
      <c r="R228" s="419">
        <v>1268</v>
      </c>
      <c r="S228" s="421">
        <f>Q228*R228</f>
        <v>-1268</v>
      </c>
      <c r="T228" s="458"/>
      <c r="U228" s="458"/>
      <c r="V228" s="458"/>
      <c r="W228" s="458" t="s">
        <v>778</v>
      </c>
      <c r="X228" s="458"/>
      <c r="Y228" s="317">
        <v>0</v>
      </c>
      <c r="Z228" s="317">
        <v>0</v>
      </c>
      <c r="AA228" s="324">
        <v>1268</v>
      </c>
      <c r="AB228" s="328" t="s">
        <v>764</v>
      </c>
    </row>
    <row r="229" spans="1:28" ht="38.25">
      <c r="A229" s="226">
        <f t="shared" si="19"/>
        <v>80</v>
      </c>
      <c r="B229" s="57" t="s">
        <v>534</v>
      </c>
      <c r="C229" s="241"/>
      <c r="D229" s="274" t="s">
        <v>736</v>
      </c>
      <c r="E229" s="258" t="s">
        <v>92</v>
      </c>
      <c r="F229" s="259">
        <v>1</v>
      </c>
      <c r="G229" s="29">
        <v>1700</v>
      </c>
      <c r="H229" s="209">
        <f t="shared" si="18"/>
        <v>1700</v>
      </c>
      <c r="I229" s="302" t="s">
        <v>225</v>
      </c>
      <c r="P229" s="418" t="s">
        <v>746</v>
      </c>
      <c r="Q229" s="419">
        <v>-1</v>
      </c>
      <c r="R229" s="419">
        <v>1700</v>
      </c>
      <c r="S229" s="419">
        <v>-1700</v>
      </c>
      <c r="T229" s="458"/>
      <c r="U229" s="458"/>
      <c r="V229" s="458"/>
      <c r="W229" s="458" t="s">
        <v>778</v>
      </c>
      <c r="X229" s="458"/>
      <c r="Y229" s="317">
        <v>0</v>
      </c>
      <c r="Z229" s="317">
        <v>0</v>
      </c>
      <c r="AA229" s="324">
        <v>1700</v>
      </c>
      <c r="AB229" s="328" t="s">
        <v>764</v>
      </c>
    </row>
    <row r="230" spans="1:28" ht="12.75">
      <c r="A230" s="226">
        <f t="shared" si="19"/>
        <v>81</v>
      </c>
      <c r="B230" s="42" t="s">
        <v>535</v>
      </c>
      <c r="C230" s="241" t="s">
        <v>102</v>
      </c>
      <c r="D230" s="274" t="s">
        <v>140</v>
      </c>
      <c r="E230" s="258" t="s">
        <v>93</v>
      </c>
      <c r="F230" s="259">
        <f>+F221+F222</f>
        <v>10.91</v>
      </c>
      <c r="G230" s="29">
        <v>27</v>
      </c>
      <c r="H230" s="229">
        <f t="shared" si="18"/>
        <v>294.57</v>
      </c>
      <c r="I230" s="302" t="s">
        <v>225</v>
      </c>
      <c r="P230" s="418"/>
      <c r="Q230" s="419"/>
      <c r="R230" s="419"/>
      <c r="S230" s="419"/>
      <c r="T230" s="458"/>
      <c r="U230" s="458"/>
      <c r="V230" s="458"/>
      <c r="W230" s="458"/>
      <c r="X230" s="458"/>
      <c r="Y230" s="317">
        <v>0</v>
      </c>
      <c r="Z230" s="317">
        <v>294.6</v>
      </c>
      <c r="AA230" s="324">
        <v>0</v>
      </c>
      <c r="AB230" s="342">
        <f>H230-Y230-Z230</f>
        <v>-0.03000000000002956</v>
      </c>
    </row>
    <row r="231" spans="1:28" ht="13.5" thickBot="1">
      <c r="A231" s="226">
        <f t="shared" si="19"/>
        <v>82</v>
      </c>
      <c r="B231" s="42" t="s">
        <v>393</v>
      </c>
      <c r="C231" s="241"/>
      <c r="D231" s="265" t="s">
        <v>117</v>
      </c>
      <c r="E231" s="266" t="s">
        <v>98</v>
      </c>
      <c r="F231" s="259">
        <f>+H221+H222+H228+H229</f>
        <v>10694.8</v>
      </c>
      <c r="G231" s="31">
        <v>0.1</v>
      </c>
      <c r="H231" s="267">
        <f t="shared" si="18"/>
        <v>1069.48</v>
      </c>
      <c r="I231" s="302" t="s">
        <v>225</v>
      </c>
      <c r="P231" s="418" t="s">
        <v>746</v>
      </c>
      <c r="Q231" s="419">
        <f>S229+S228</f>
        <v>-2968</v>
      </c>
      <c r="R231" s="419">
        <v>0.1</v>
      </c>
      <c r="S231" s="419">
        <f>Q231*R231</f>
        <v>-296.8</v>
      </c>
      <c r="T231" s="458"/>
      <c r="U231" s="458"/>
      <c r="V231" s="458"/>
      <c r="W231" s="458" t="s">
        <v>778</v>
      </c>
      <c r="X231" s="458"/>
      <c r="Y231" s="317">
        <v>0</v>
      </c>
      <c r="Z231" s="317">
        <v>772.7</v>
      </c>
      <c r="AA231" s="324">
        <v>296.8</v>
      </c>
      <c r="AB231" s="342">
        <f>H231-Y231-Z231</f>
        <v>296.78</v>
      </c>
    </row>
    <row r="232" spans="1:28" ht="13.5" thickBot="1">
      <c r="A232" s="226"/>
      <c r="B232" s="226"/>
      <c r="C232" s="241"/>
      <c r="D232" s="215" t="s">
        <v>91</v>
      </c>
      <c r="E232" s="260"/>
      <c r="F232" s="261"/>
      <c r="G232" s="261"/>
      <c r="H232" s="246">
        <f>SUBTOTAL(9,H221:H231)</f>
        <v>15431.349999999999</v>
      </c>
      <c r="I232" s="302"/>
      <c r="P232" s="418"/>
      <c r="Q232" s="419"/>
      <c r="R232" s="419"/>
      <c r="S232" s="419"/>
      <c r="T232" s="458"/>
      <c r="U232" s="458"/>
      <c r="V232" s="458"/>
      <c r="W232" s="458"/>
      <c r="X232" s="458"/>
      <c r="Y232" s="317"/>
      <c r="Z232" s="317"/>
      <c r="AA232" s="324"/>
      <c r="AB232" s="328" t="s">
        <v>764</v>
      </c>
    </row>
    <row r="233" spans="1:27" ht="12.75">
      <c r="A233" s="226"/>
      <c r="B233" s="226"/>
      <c r="C233" s="241"/>
      <c r="D233" s="247"/>
      <c r="E233" s="248"/>
      <c r="F233" s="141"/>
      <c r="G233" s="141"/>
      <c r="H233" s="249"/>
      <c r="I233" s="302"/>
      <c r="P233" s="418"/>
      <c r="Q233" s="419"/>
      <c r="R233" s="419"/>
      <c r="S233" s="419"/>
      <c r="T233" s="458"/>
      <c r="U233" s="458"/>
      <c r="V233" s="458"/>
      <c r="W233" s="458"/>
      <c r="X233" s="458"/>
      <c r="Y233" s="317"/>
      <c r="Z233" s="317"/>
      <c r="AA233" s="324"/>
    </row>
    <row r="234" spans="1:27" ht="16.5">
      <c r="A234" s="226"/>
      <c r="B234" s="226"/>
      <c r="C234" s="250" t="s">
        <v>113</v>
      </c>
      <c r="D234" s="481" t="s">
        <v>127</v>
      </c>
      <c r="E234" s="481"/>
      <c r="F234" s="481"/>
      <c r="G234" s="481"/>
      <c r="H234" s="481"/>
      <c r="I234" s="302"/>
      <c r="P234" s="418"/>
      <c r="Q234" s="419"/>
      <c r="R234" s="419"/>
      <c r="S234" s="419"/>
      <c r="T234" s="458"/>
      <c r="U234" s="458"/>
      <c r="V234" s="458"/>
      <c r="W234" s="458"/>
      <c r="X234" s="458"/>
      <c r="Y234" s="317"/>
      <c r="Z234" s="317"/>
      <c r="AA234" s="324"/>
    </row>
    <row r="235" spans="1:27" ht="52.5" customHeight="1">
      <c r="A235" s="226"/>
      <c r="B235" s="226"/>
      <c r="C235" s="225"/>
      <c r="D235" s="495" t="s">
        <v>146</v>
      </c>
      <c r="E235" s="495"/>
      <c r="F235" s="495"/>
      <c r="G235" s="495"/>
      <c r="H235" s="495"/>
      <c r="I235" s="302"/>
      <c r="P235" s="418"/>
      <c r="Q235" s="419"/>
      <c r="R235" s="419"/>
      <c r="S235" s="419"/>
      <c r="T235" s="458"/>
      <c r="U235" s="458"/>
      <c r="V235" s="458"/>
      <c r="W235" s="458"/>
      <c r="X235" s="458"/>
      <c r="Y235" s="317"/>
      <c r="Z235" s="317"/>
      <c r="AA235" s="324"/>
    </row>
    <row r="236" spans="1:28" ht="12.75">
      <c r="A236" s="226">
        <f>A231+1</f>
        <v>83</v>
      </c>
      <c r="B236" s="42" t="s">
        <v>536</v>
      </c>
      <c r="C236" s="58"/>
      <c r="D236" s="56" t="s">
        <v>537</v>
      </c>
      <c r="E236" s="207" t="s">
        <v>93</v>
      </c>
      <c r="F236" s="228">
        <f>3.9+2.3+3*0.5+7.4+2*0.5</f>
        <v>16.1</v>
      </c>
      <c r="G236" s="29">
        <v>477.5</v>
      </c>
      <c r="H236" s="209">
        <f aca="true" t="shared" si="20" ref="H236:H249">F236*G236</f>
        <v>7687.750000000001</v>
      </c>
      <c r="I236" s="39" t="s">
        <v>225</v>
      </c>
      <c r="P236" s="418"/>
      <c r="Q236" s="419"/>
      <c r="R236" s="419"/>
      <c r="S236" s="419"/>
      <c r="T236" s="458"/>
      <c r="U236" s="458"/>
      <c r="V236" s="458"/>
      <c r="W236" s="458"/>
      <c r="X236" s="458"/>
      <c r="Y236" s="317">
        <v>7687.8</v>
      </c>
      <c r="Z236" s="317">
        <v>0</v>
      </c>
      <c r="AA236" s="324">
        <v>0</v>
      </c>
      <c r="AB236" s="342">
        <f aca="true" t="shared" si="21" ref="AB236:AB243">H236-Y236-Z236</f>
        <v>-0.049999999999272404</v>
      </c>
    </row>
    <row r="237" spans="1:28" ht="12.75">
      <c r="A237" s="226">
        <f>A236+1</f>
        <v>84</v>
      </c>
      <c r="B237" s="42" t="s">
        <v>538</v>
      </c>
      <c r="C237" s="58"/>
      <c r="D237" s="56" t="s">
        <v>539</v>
      </c>
      <c r="E237" s="207" t="s">
        <v>93</v>
      </c>
      <c r="F237" s="228">
        <v>2.2</v>
      </c>
      <c r="G237" s="29">
        <v>560</v>
      </c>
      <c r="H237" s="209">
        <f t="shared" si="20"/>
        <v>1232</v>
      </c>
      <c r="I237" s="39" t="s">
        <v>225</v>
      </c>
      <c r="P237" s="418"/>
      <c r="Q237" s="419"/>
      <c r="R237" s="419"/>
      <c r="S237" s="419"/>
      <c r="T237" s="458"/>
      <c r="U237" s="458"/>
      <c r="V237" s="458"/>
      <c r="W237" s="458"/>
      <c r="X237" s="458"/>
      <c r="Y237" s="317">
        <v>1232</v>
      </c>
      <c r="Z237" s="317">
        <v>0</v>
      </c>
      <c r="AA237" s="324">
        <v>0</v>
      </c>
      <c r="AB237" s="342">
        <f t="shared" si="21"/>
        <v>0</v>
      </c>
    </row>
    <row r="238" spans="1:28" ht="12.75">
      <c r="A238" s="226">
        <f aca="true" t="shared" si="22" ref="A238:A250">A237+1</f>
        <v>85</v>
      </c>
      <c r="B238" s="227" t="s">
        <v>540</v>
      </c>
      <c r="C238" s="235"/>
      <c r="D238" s="275" t="s">
        <v>219</v>
      </c>
      <c r="E238" s="207" t="s">
        <v>93</v>
      </c>
      <c r="F238" s="228">
        <f>3.9+2.3+3*0.5</f>
        <v>7.699999999999999</v>
      </c>
      <c r="G238" s="29">
        <v>94</v>
      </c>
      <c r="H238" s="209">
        <f t="shared" si="20"/>
        <v>723.8</v>
      </c>
      <c r="I238" s="39" t="s">
        <v>225</v>
      </c>
      <c r="P238" s="418"/>
      <c r="Q238" s="419"/>
      <c r="R238" s="419"/>
      <c r="S238" s="419"/>
      <c r="T238" s="458"/>
      <c r="U238" s="458"/>
      <c r="V238" s="458"/>
      <c r="W238" s="458"/>
      <c r="X238" s="458"/>
      <c r="Y238" s="317">
        <v>723.8</v>
      </c>
      <c r="Z238" s="317">
        <v>0</v>
      </c>
      <c r="AA238" s="324">
        <v>0</v>
      </c>
      <c r="AB238" s="342">
        <f t="shared" si="21"/>
        <v>0</v>
      </c>
    </row>
    <row r="239" spans="1:28" ht="12.75">
      <c r="A239" s="226">
        <f t="shared" si="22"/>
        <v>86</v>
      </c>
      <c r="B239" s="227" t="s">
        <v>541</v>
      </c>
      <c r="C239" s="235"/>
      <c r="D239" s="275" t="s">
        <v>220</v>
      </c>
      <c r="E239" s="207" t="s">
        <v>93</v>
      </c>
      <c r="F239" s="228">
        <f>+F237</f>
        <v>2.2</v>
      </c>
      <c r="G239" s="29">
        <v>93.4</v>
      </c>
      <c r="H239" s="209">
        <f t="shared" si="20"/>
        <v>205.48000000000002</v>
      </c>
      <c r="I239" s="39" t="s">
        <v>225</v>
      </c>
      <c r="P239" s="418"/>
      <c r="Q239" s="419"/>
      <c r="R239" s="419"/>
      <c r="S239" s="419"/>
      <c r="T239" s="458"/>
      <c r="U239" s="458"/>
      <c r="V239" s="458"/>
      <c r="W239" s="458"/>
      <c r="X239" s="458"/>
      <c r="Y239" s="317">
        <v>205.5</v>
      </c>
      <c r="Z239" s="317">
        <v>0</v>
      </c>
      <c r="AA239" s="324">
        <v>0</v>
      </c>
      <c r="AB239" s="342">
        <f t="shared" si="21"/>
        <v>-0.01999999999998181</v>
      </c>
    </row>
    <row r="240" spans="1:28" ht="12.75">
      <c r="A240" s="226">
        <f t="shared" si="22"/>
        <v>87</v>
      </c>
      <c r="B240" s="227" t="s">
        <v>542</v>
      </c>
      <c r="C240" s="205"/>
      <c r="D240" s="276" t="s">
        <v>216</v>
      </c>
      <c r="E240" s="207" t="s">
        <v>93</v>
      </c>
      <c r="F240" s="228">
        <f>7.4+2*0.5</f>
        <v>8.4</v>
      </c>
      <c r="G240" s="29">
        <v>113</v>
      </c>
      <c r="H240" s="209">
        <f t="shared" si="20"/>
        <v>949.2</v>
      </c>
      <c r="I240" s="39" t="s">
        <v>225</v>
      </c>
      <c r="P240" s="418"/>
      <c r="Q240" s="419"/>
      <c r="R240" s="419"/>
      <c r="S240" s="419"/>
      <c r="T240" s="458"/>
      <c r="U240" s="458"/>
      <c r="V240" s="458"/>
      <c r="W240" s="458"/>
      <c r="X240" s="458"/>
      <c r="Y240" s="317">
        <v>949.2</v>
      </c>
      <c r="Z240" s="317">
        <v>0</v>
      </c>
      <c r="AA240" s="324">
        <v>0</v>
      </c>
      <c r="AB240" s="342">
        <f t="shared" si="21"/>
        <v>0</v>
      </c>
    </row>
    <row r="241" spans="1:28" ht="12.75">
      <c r="A241" s="226">
        <f t="shared" si="22"/>
        <v>88</v>
      </c>
      <c r="B241" s="227" t="s">
        <v>543</v>
      </c>
      <c r="C241" s="58"/>
      <c r="D241" s="56" t="s">
        <v>544</v>
      </c>
      <c r="E241" s="207" t="s">
        <v>92</v>
      </c>
      <c r="F241" s="228">
        <v>9</v>
      </c>
      <c r="G241" s="29">
        <v>380</v>
      </c>
      <c r="H241" s="209">
        <f t="shared" si="20"/>
        <v>3420</v>
      </c>
      <c r="I241" s="39" t="s">
        <v>225</v>
      </c>
      <c r="P241" s="418"/>
      <c r="Q241" s="419"/>
      <c r="R241" s="419"/>
      <c r="S241" s="419"/>
      <c r="T241" s="458"/>
      <c r="U241" s="458"/>
      <c r="V241" s="458"/>
      <c r="W241" s="458"/>
      <c r="X241" s="458"/>
      <c r="Y241" s="317">
        <v>3420</v>
      </c>
      <c r="Z241" s="317">
        <v>0</v>
      </c>
      <c r="AA241" s="324">
        <v>0</v>
      </c>
      <c r="AB241" s="342">
        <f t="shared" si="21"/>
        <v>0</v>
      </c>
    </row>
    <row r="242" spans="1:28" ht="25.5">
      <c r="A242" s="226">
        <f t="shared" si="22"/>
        <v>89</v>
      </c>
      <c r="B242" s="227" t="s">
        <v>545</v>
      </c>
      <c r="C242" s="235"/>
      <c r="D242" s="275" t="s">
        <v>546</v>
      </c>
      <c r="E242" s="207" t="s">
        <v>92</v>
      </c>
      <c r="F242" s="228">
        <v>1</v>
      </c>
      <c r="G242" s="29">
        <v>643</v>
      </c>
      <c r="H242" s="209">
        <f t="shared" si="20"/>
        <v>643</v>
      </c>
      <c r="I242" s="39" t="s">
        <v>225</v>
      </c>
      <c r="P242" s="418"/>
      <c r="Q242" s="419"/>
      <c r="R242" s="419"/>
      <c r="S242" s="419"/>
      <c r="T242" s="458"/>
      <c r="U242" s="458"/>
      <c r="V242" s="458"/>
      <c r="W242" s="458"/>
      <c r="X242" s="458"/>
      <c r="Y242" s="317">
        <v>643</v>
      </c>
      <c r="Z242" s="317">
        <v>0</v>
      </c>
      <c r="AA242" s="324">
        <v>0</v>
      </c>
      <c r="AB242" s="342">
        <f t="shared" si="21"/>
        <v>0</v>
      </c>
    </row>
    <row r="243" spans="1:28" ht="12.75">
      <c r="A243" s="226">
        <f t="shared" si="22"/>
        <v>90</v>
      </c>
      <c r="B243" s="42" t="s">
        <v>547</v>
      </c>
      <c r="C243" s="235"/>
      <c r="D243" s="275" t="s">
        <v>548</v>
      </c>
      <c r="E243" s="207" t="s">
        <v>92</v>
      </c>
      <c r="F243" s="228">
        <v>7</v>
      </c>
      <c r="G243" s="29">
        <v>300</v>
      </c>
      <c r="H243" s="209">
        <f t="shared" si="20"/>
        <v>2100</v>
      </c>
      <c r="I243" s="39" t="s">
        <v>225</v>
      </c>
      <c r="P243" s="418"/>
      <c r="Q243" s="419"/>
      <c r="R243" s="419"/>
      <c r="S243" s="419"/>
      <c r="T243" s="458"/>
      <c r="U243" s="458"/>
      <c r="V243" s="458"/>
      <c r="W243" s="458"/>
      <c r="X243" s="458"/>
      <c r="Y243" s="317">
        <v>2100</v>
      </c>
      <c r="Z243" s="317">
        <v>0</v>
      </c>
      <c r="AA243" s="324">
        <v>0</v>
      </c>
      <c r="AB243" s="342">
        <f t="shared" si="21"/>
        <v>0</v>
      </c>
    </row>
    <row r="244" spans="1:28" ht="12.75">
      <c r="A244" s="226">
        <f t="shared" si="22"/>
        <v>91</v>
      </c>
      <c r="B244" s="42" t="s">
        <v>549</v>
      </c>
      <c r="C244" s="58" t="s">
        <v>102</v>
      </c>
      <c r="D244" s="56" t="s">
        <v>550</v>
      </c>
      <c r="E244" s="35" t="s">
        <v>92</v>
      </c>
      <c r="F244" s="44">
        <v>2</v>
      </c>
      <c r="G244" s="29">
        <v>131</v>
      </c>
      <c r="H244" s="209">
        <f t="shared" si="20"/>
        <v>262</v>
      </c>
      <c r="I244" s="39" t="s">
        <v>225</v>
      </c>
      <c r="P244" s="418" t="s">
        <v>746</v>
      </c>
      <c r="Q244" s="419">
        <v>-1</v>
      </c>
      <c r="R244" s="419">
        <v>131</v>
      </c>
      <c r="S244" s="419">
        <f>Q244*R244</f>
        <v>-131</v>
      </c>
      <c r="T244" s="458"/>
      <c r="U244" s="458"/>
      <c r="V244" s="458"/>
      <c r="W244" s="458" t="s">
        <v>778</v>
      </c>
      <c r="X244" s="458"/>
      <c r="Y244" s="317">
        <v>0</v>
      </c>
      <c r="Z244" s="317">
        <v>131</v>
      </c>
      <c r="AA244" s="324">
        <v>131</v>
      </c>
      <c r="AB244" s="328" t="s">
        <v>764</v>
      </c>
    </row>
    <row r="245" spans="1:28" ht="25.5">
      <c r="A245" s="226">
        <f t="shared" si="22"/>
        <v>92</v>
      </c>
      <c r="B245" s="240" t="s">
        <v>551</v>
      </c>
      <c r="C245" s="252" t="s">
        <v>101</v>
      </c>
      <c r="D245" s="262" t="s">
        <v>552</v>
      </c>
      <c r="E245" s="253" t="s">
        <v>92</v>
      </c>
      <c r="F245" s="263">
        <v>1</v>
      </c>
      <c r="G245" s="30">
        <v>520</v>
      </c>
      <c r="H245" s="256">
        <f t="shared" si="20"/>
        <v>520</v>
      </c>
      <c r="I245" s="39" t="s">
        <v>225</v>
      </c>
      <c r="P245" s="418"/>
      <c r="Q245" s="419"/>
      <c r="R245" s="419"/>
      <c r="S245" s="419"/>
      <c r="T245" s="458"/>
      <c r="U245" s="458"/>
      <c r="V245" s="458"/>
      <c r="W245" s="458"/>
      <c r="X245" s="458"/>
      <c r="Y245" s="317">
        <v>0</v>
      </c>
      <c r="Z245" s="317">
        <v>520</v>
      </c>
      <c r="AA245" s="324">
        <v>0</v>
      </c>
      <c r="AB245" s="342">
        <f>H245-Y245-Z245</f>
        <v>0</v>
      </c>
    </row>
    <row r="246" spans="1:28" ht="12.75">
      <c r="A246" s="226">
        <f t="shared" si="22"/>
        <v>93</v>
      </c>
      <c r="B246" s="240" t="s">
        <v>553</v>
      </c>
      <c r="C246" s="252" t="s">
        <v>101</v>
      </c>
      <c r="D246" s="289" t="s">
        <v>554</v>
      </c>
      <c r="E246" s="253" t="s">
        <v>92</v>
      </c>
      <c r="F246" s="263">
        <v>1</v>
      </c>
      <c r="G246" s="30">
        <v>713</v>
      </c>
      <c r="H246" s="256">
        <f t="shared" si="20"/>
        <v>713</v>
      </c>
      <c r="I246" s="39" t="s">
        <v>225</v>
      </c>
      <c r="P246" s="418" t="s">
        <v>746</v>
      </c>
      <c r="Q246" s="419">
        <f>-F246</f>
        <v>-1</v>
      </c>
      <c r="R246" s="419">
        <v>713</v>
      </c>
      <c r="S246" s="419">
        <f>Q246*G246</f>
        <v>-713</v>
      </c>
      <c r="T246" s="458"/>
      <c r="U246" s="458"/>
      <c r="V246" s="458"/>
      <c r="W246" s="458" t="s">
        <v>778</v>
      </c>
      <c r="X246" s="458"/>
      <c r="Y246" s="317">
        <v>0</v>
      </c>
      <c r="Z246" s="317">
        <v>0</v>
      </c>
      <c r="AA246" s="324">
        <v>713</v>
      </c>
      <c r="AB246" s="328" t="s">
        <v>764</v>
      </c>
    </row>
    <row r="247" spans="1:28" ht="12.75">
      <c r="A247" s="226">
        <f t="shared" si="22"/>
        <v>94</v>
      </c>
      <c r="B247" s="227" t="s">
        <v>555</v>
      </c>
      <c r="C247" s="205"/>
      <c r="D247" s="275" t="s">
        <v>556</v>
      </c>
      <c r="E247" s="207" t="s">
        <v>93</v>
      </c>
      <c r="F247" s="228">
        <f>+F236+F237</f>
        <v>18.3</v>
      </c>
      <c r="G247" s="29">
        <v>16</v>
      </c>
      <c r="H247" s="209">
        <f t="shared" si="20"/>
        <v>292.8</v>
      </c>
      <c r="I247" s="39" t="s">
        <v>225</v>
      </c>
      <c r="P247" s="418"/>
      <c r="Q247" s="419"/>
      <c r="R247" s="419"/>
      <c r="S247" s="419"/>
      <c r="T247" s="458"/>
      <c r="U247" s="458"/>
      <c r="V247" s="458"/>
      <c r="W247" s="458"/>
      <c r="X247" s="458"/>
      <c r="Y247" s="317">
        <v>292.8</v>
      </c>
      <c r="Z247" s="317">
        <v>0</v>
      </c>
      <c r="AA247" s="324">
        <v>0</v>
      </c>
      <c r="AB247" s="342">
        <f>H247-Y247-Z247</f>
        <v>0</v>
      </c>
    </row>
    <row r="248" spans="1:28" ht="12.75">
      <c r="A248" s="226">
        <f t="shared" si="22"/>
        <v>95</v>
      </c>
      <c r="B248" s="227" t="s">
        <v>557</v>
      </c>
      <c r="C248" s="205"/>
      <c r="D248" s="275" t="s">
        <v>558</v>
      </c>
      <c r="E248" s="207" t="s">
        <v>93</v>
      </c>
      <c r="F248" s="228">
        <f>+F247</f>
        <v>18.3</v>
      </c>
      <c r="G248" s="29">
        <v>35</v>
      </c>
      <c r="H248" s="209">
        <f t="shared" si="20"/>
        <v>640.5</v>
      </c>
      <c r="I248" s="39" t="s">
        <v>225</v>
      </c>
      <c r="P248" s="418"/>
      <c r="Q248" s="419"/>
      <c r="R248" s="419"/>
      <c r="S248" s="419"/>
      <c r="T248" s="458"/>
      <c r="U248" s="458"/>
      <c r="V248" s="458"/>
      <c r="W248" s="458"/>
      <c r="X248" s="458"/>
      <c r="Y248" s="317">
        <v>0</v>
      </c>
      <c r="Z248" s="317">
        <v>640.5</v>
      </c>
      <c r="AA248" s="324">
        <v>0</v>
      </c>
      <c r="AB248" s="342">
        <f>H248-Y248-Z248</f>
        <v>0</v>
      </c>
    </row>
    <row r="249" spans="1:28" ht="25.5">
      <c r="A249" s="226">
        <f t="shared" si="22"/>
        <v>96</v>
      </c>
      <c r="B249" s="227" t="s">
        <v>559</v>
      </c>
      <c r="C249" s="205"/>
      <c r="D249" s="276" t="s">
        <v>282</v>
      </c>
      <c r="E249" s="207" t="s">
        <v>92</v>
      </c>
      <c r="F249" s="228">
        <v>1</v>
      </c>
      <c r="G249" s="29">
        <v>640</v>
      </c>
      <c r="H249" s="209">
        <f t="shared" si="20"/>
        <v>640</v>
      </c>
      <c r="I249" s="39" t="s">
        <v>225</v>
      </c>
      <c r="P249" s="418"/>
      <c r="Q249" s="419"/>
      <c r="R249" s="419"/>
      <c r="S249" s="419"/>
      <c r="T249" s="458"/>
      <c r="U249" s="458"/>
      <c r="V249" s="458"/>
      <c r="W249" s="458"/>
      <c r="X249" s="458"/>
      <c r="Y249" s="317">
        <v>0</v>
      </c>
      <c r="Z249" s="317">
        <v>640</v>
      </c>
      <c r="AA249" s="324">
        <v>0</v>
      </c>
      <c r="AB249" s="342">
        <f>H249-Y249-Z249</f>
        <v>0</v>
      </c>
    </row>
    <row r="250" spans="1:28" ht="13.5" thickBot="1">
      <c r="A250" s="226">
        <f t="shared" si="22"/>
        <v>97</v>
      </c>
      <c r="B250" s="227" t="s">
        <v>393</v>
      </c>
      <c r="C250" s="241"/>
      <c r="D250" s="265" t="s">
        <v>117</v>
      </c>
      <c r="E250" s="266" t="s">
        <v>98</v>
      </c>
      <c r="F250" s="259">
        <f>+H236+H237+H238+H239+H240+H242+H243+H245+H246</f>
        <v>14774.23</v>
      </c>
      <c r="G250" s="31">
        <v>0.1</v>
      </c>
      <c r="H250" s="267">
        <f>F250*G250</f>
        <v>1477.423</v>
      </c>
      <c r="I250" s="302" t="s">
        <v>225</v>
      </c>
      <c r="P250" s="418" t="s">
        <v>746</v>
      </c>
      <c r="Q250" s="419">
        <f>S246+S244</f>
        <v>-844</v>
      </c>
      <c r="R250" s="419">
        <v>0.1</v>
      </c>
      <c r="S250" s="419">
        <v>-84.4</v>
      </c>
      <c r="T250" s="458"/>
      <c r="U250" s="458"/>
      <c r="V250" s="458"/>
      <c r="W250" s="458" t="s">
        <v>778</v>
      </c>
      <c r="X250" s="458"/>
      <c r="Y250" s="317">
        <v>0</v>
      </c>
      <c r="Z250" s="317">
        <v>1393</v>
      </c>
      <c r="AA250" s="324">
        <v>84.4</v>
      </c>
      <c r="AB250" s="342">
        <f>H250-Y250-Z250</f>
        <v>84.423</v>
      </c>
    </row>
    <row r="251" spans="1:28" ht="13.5" thickBot="1">
      <c r="A251" s="226"/>
      <c r="B251" s="226"/>
      <c r="C251" s="241"/>
      <c r="D251" s="215" t="s">
        <v>91</v>
      </c>
      <c r="E251" s="260"/>
      <c r="F251" s="261"/>
      <c r="G251" s="261"/>
      <c r="H251" s="246">
        <f>SUBTOTAL(9,H236:H250)</f>
        <v>21506.952999999998</v>
      </c>
      <c r="I251" s="302"/>
      <c r="P251" s="418"/>
      <c r="Q251" s="419"/>
      <c r="R251" s="419"/>
      <c r="S251" s="419"/>
      <c r="T251" s="458"/>
      <c r="U251" s="458"/>
      <c r="V251" s="458"/>
      <c r="W251" s="458"/>
      <c r="X251" s="458"/>
      <c r="Y251" s="317"/>
      <c r="Z251" s="317"/>
      <c r="AA251" s="324"/>
      <c r="AB251" s="342"/>
    </row>
    <row r="252" spans="1:28" ht="12.75">
      <c r="A252" s="226"/>
      <c r="B252" s="226"/>
      <c r="C252" s="241"/>
      <c r="D252" s="247"/>
      <c r="E252" s="248"/>
      <c r="F252" s="141"/>
      <c r="G252" s="141"/>
      <c r="H252" s="249"/>
      <c r="I252" s="302"/>
      <c r="P252" s="418"/>
      <c r="Q252" s="419"/>
      <c r="R252" s="419"/>
      <c r="S252" s="419"/>
      <c r="T252" s="458"/>
      <c r="U252" s="458"/>
      <c r="V252" s="458"/>
      <c r="W252" s="458"/>
      <c r="X252" s="458"/>
      <c r="Y252" s="317"/>
      <c r="Z252" s="317"/>
      <c r="AA252" s="324"/>
      <c r="AB252" s="342">
        <f>H252-Y252-Z252</f>
        <v>0</v>
      </c>
    </row>
    <row r="253" spans="1:28" ht="16.5">
      <c r="A253" s="277"/>
      <c r="B253" s="277"/>
      <c r="C253" s="278" t="s">
        <v>114</v>
      </c>
      <c r="D253" s="488" t="s">
        <v>256</v>
      </c>
      <c r="E253" s="488"/>
      <c r="F253" s="488"/>
      <c r="G253" s="488"/>
      <c r="H253" s="488"/>
      <c r="I253" s="36"/>
      <c r="L253" s="11"/>
      <c r="P253" s="418"/>
      <c r="Q253" s="419"/>
      <c r="R253" s="419"/>
      <c r="S253" s="419"/>
      <c r="T253" s="458"/>
      <c r="U253" s="458"/>
      <c r="V253" s="458"/>
      <c r="W253" s="458"/>
      <c r="X253" s="458"/>
      <c r="Y253" s="316"/>
      <c r="Z253" s="316"/>
      <c r="AA253" s="325"/>
      <c r="AB253" s="342">
        <f>H253-Y253-Z253</f>
        <v>0</v>
      </c>
    </row>
    <row r="254" spans="1:28" ht="63" customHeight="1">
      <c r="A254" s="277"/>
      <c r="B254" s="277"/>
      <c r="C254" s="196"/>
      <c r="D254" s="495" t="s">
        <v>257</v>
      </c>
      <c r="E254" s="495"/>
      <c r="F254" s="495"/>
      <c r="G254" s="495"/>
      <c r="H254" s="495"/>
      <c r="I254" s="36"/>
      <c r="L254" s="11"/>
      <c r="P254" s="418"/>
      <c r="Q254" s="419"/>
      <c r="R254" s="419"/>
      <c r="S254" s="419"/>
      <c r="T254" s="458"/>
      <c r="U254" s="458"/>
      <c r="V254" s="458"/>
      <c r="W254" s="458"/>
      <c r="X254" s="458"/>
      <c r="Y254" s="316"/>
      <c r="Z254" s="316"/>
      <c r="AA254" s="325"/>
      <c r="AB254" s="342">
        <f>H254-Y254-Z254</f>
        <v>0</v>
      </c>
    </row>
    <row r="255" spans="1:28" ht="25.5">
      <c r="A255" s="277">
        <f>A250+1</f>
        <v>98</v>
      </c>
      <c r="B255" s="42" t="s">
        <v>726</v>
      </c>
      <c r="C255" s="205" t="s">
        <v>101</v>
      </c>
      <c r="D255" s="56" t="s">
        <v>560</v>
      </c>
      <c r="E255" s="207" t="s">
        <v>93</v>
      </c>
      <c r="F255" s="228">
        <f>3.5+1.6+1.8+3.5+2.6+0.3+0.2+3.2</f>
        <v>16.7</v>
      </c>
      <c r="G255" s="29">
        <v>794</v>
      </c>
      <c r="H255" s="209">
        <f aca="true" t="shared" si="23" ref="H255:H268">F255*G255</f>
        <v>13259.8</v>
      </c>
      <c r="I255" s="39" t="s">
        <v>225</v>
      </c>
      <c r="L255" s="11"/>
      <c r="P255" s="418" t="s">
        <v>746</v>
      </c>
      <c r="Q255" s="419">
        <v>-16.7</v>
      </c>
      <c r="R255" s="419">
        <v>794</v>
      </c>
      <c r="S255" s="419">
        <f>Q255*R255</f>
        <v>-13259.8</v>
      </c>
      <c r="T255" s="458"/>
      <c r="U255" s="458"/>
      <c r="V255" s="458"/>
      <c r="W255" s="458" t="s">
        <v>778</v>
      </c>
      <c r="X255" s="458"/>
      <c r="Y255" s="316">
        <v>13259.8</v>
      </c>
      <c r="Z255" s="316">
        <v>-13259.8</v>
      </c>
      <c r="AA255" s="325">
        <v>13259.8</v>
      </c>
      <c r="AB255" s="328" t="s">
        <v>764</v>
      </c>
    </row>
    <row r="256" spans="1:28" ht="25.5">
      <c r="A256" s="277">
        <f>+A255+1</f>
        <v>99</v>
      </c>
      <c r="B256" s="42" t="s">
        <v>727</v>
      </c>
      <c r="C256" s="205" t="s">
        <v>101</v>
      </c>
      <c r="D256" s="56" t="s">
        <v>561</v>
      </c>
      <c r="E256" s="207" t="s">
        <v>93</v>
      </c>
      <c r="F256" s="228">
        <v>4.5</v>
      </c>
      <c r="G256" s="29">
        <v>630</v>
      </c>
      <c r="H256" s="209">
        <f t="shared" si="23"/>
        <v>2835</v>
      </c>
      <c r="I256" s="39" t="s">
        <v>225</v>
      </c>
      <c r="L256" s="11"/>
      <c r="P256" s="418" t="s">
        <v>746</v>
      </c>
      <c r="Q256" s="419">
        <v>-4.5</v>
      </c>
      <c r="R256" s="419">
        <v>630</v>
      </c>
      <c r="S256" s="419">
        <f>Q256*R256</f>
        <v>-2835</v>
      </c>
      <c r="T256" s="458"/>
      <c r="U256" s="458"/>
      <c r="V256" s="458"/>
      <c r="W256" s="458" t="s">
        <v>778</v>
      </c>
      <c r="X256" s="458"/>
      <c r="Y256" s="316">
        <v>2835</v>
      </c>
      <c r="Z256" s="316">
        <v>-2835</v>
      </c>
      <c r="AA256" s="325">
        <v>2835</v>
      </c>
      <c r="AB256" s="328" t="s">
        <v>764</v>
      </c>
    </row>
    <row r="257" spans="1:28" ht="25.5" customHeight="1">
      <c r="A257" s="277" t="s">
        <v>747</v>
      </c>
      <c r="B257" s="42" t="s">
        <v>749</v>
      </c>
      <c r="C257" s="205"/>
      <c r="D257" s="311" t="s">
        <v>760</v>
      </c>
      <c r="E257" s="207"/>
      <c r="F257" s="228"/>
      <c r="G257" s="29"/>
      <c r="H257" s="209"/>
      <c r="I257" s="39" t="s">
        <v>225</v>
      </c>
      <c r="L257" s="11"/>
      <c r="P257" s="418" t="s">
        <v>751</v>
      </c>
      <c r="Q257" s="419">
        <f>3.5+1.6+1.8+3.5+2.6+0.3+0.2+3.2</f>
        <v>16.7</v>
      </c>
      <c r="R257" s="422">
        <v>750</v>
      </c>
      <c r="S257" s="421">
        <f>Q257*R257</f>
        <v>12525</v>
      </c>
      <c r="T257" s="458"/>
      <c r="U257" s="458"/>
      <c r="V257" s="458"/>
      <c r="W257" s="458" t="s">
        <v>778</v>
      </c>
      <c r="X257" s="458"/>
      <c r="Y257" s="316">
        <v>0</v>
      </c>
      <c r="Z257" s="316">
        <v>0</v>
      </c>
      <c r="AA257" s="325">
        <v>0</v>
      </c>
      <c r="AB257" s="342">
        <f aca="true" t="shared" si="24" ref="AB257:AB277">H257-Y257-Z257</f>
        <v>0</v>
      </c>
    </row>
    <row r="258" spans="1:28" ht="25.5" customHeight="1">
      <c r="A258" s="277" t="s">
        <v>748</v>
      </c>
      <c r="B258" s="42" t="s">
        <v>749</v>
      </c>
      <c r="C258" s="205"/>
      <c r="D258" s="311" t="s">
        <v>761</v>
      </c>
      <c r="E258" s="207"/>
      <c r="F258" s="228"/>
      <c r="G258" s="29"/>
      <c r="H258" s="209"/>
      <c r="I258" s="39" t="s">
        <v>225</v>
      </c>
      <c r="L258" s="11"/>
      <c r="P258" s="460" t="s">
        <v>751</v>
      </c>
      <c r="Q258" s="461">
        <v>4.5</v>
      </c>
      <c r="R258" s="461">
        <v>600</v>
      </c>
      <c r="S258" s="461">
        <f>Q258*R258</f>
        <v>2700</v>
      </c>
      <c r="T258" s="458"/>
      <c r="U258" s="458"/>
      <c r="V258" s="458"/>
      <c r="W258" s="458" t="s">
        <v>778</v>
      </c>
      <c r="X258" s="458"/>
      <c r="Y258" s="316">
        <v>0</v>
      </c>
      <c r="Z258" s="316">
        <v>0</v>
      </c>
      <c r="AA258" s="325">
        <v>0</v>
      </c>
      <c r="AB258" s="342">
        <f t="shared" si="24"/>
        <v>0</v>
      </c>
    </row>
    <row r="259" spans="1:28" ht="12.75">
      <c r="A259" s="277">
        <f>+A256+1</f>
        <v>100</v>
      </c>
      <c r="B259" s="42" t="s">
        <v>562</v>
      </c>
      <c r="C259" s="34"/>
      <c r="D259" s="56" t="s">
        <v>563</v>
      </c>
      <c r="E259" s="35" t="s">
        <v>89</v>
      </c>
      <c r="F259" s="44">
        <v>1</v>
      </c>
      <c r="G259" s="29">
        <v>312</v>
      </c>
      <c r="H259" s="209">
        <f t="shared" si="23"/>
        <v>312</v>
      </c>
      <c r="I259" s="39" t="s">
        <v>225</v>
      </c>
      <c r="L259" s="11"/>
      <c r="P259" s="418"/>
      <c r="Q259" s="419"/>
      <c r="R259" s="419"/>
      <c r="S259" s="419"/>
      <c r="T259" s="458"/>
      <c r="U259" s="458"/>
      <c r="V259" s="458"/>
      <c r="W259" s="458"/>
      <c r="X259" s="458"/>
      <c r="Y259" s="316">
        <v>312</v>
      </c>
      <c r="Z259" s="316">
        <v>0</v>
      </c>
      <c r="AA259" s="325">
        <v>0</v>
      </c>
      <c r="AB259" s="342">
        <f t="shared" si="24"/>
        <v>0</v>
      </c>
    </row>
    <row r="260" spans="1:28" ht="25.5">
      <c r="A260" s="277">
        <f aca="true" t="shared" si="25" ref="A260:A278">+A259+1</f>
        <v>101</v>
      </c>
      <c r="B260" s="227" t="s">
        <v>564</v>
      </c>
      <c r="C260" s="205"/>
      <c r="D260" s="279" t="s">
        <v>565</v>
      </c>
      <c r="E260" s="207" t="s">
        <v>92</v>
      </c>
      <c r="F260" s="228">
        <v>2</v>
      </c>
      <c r="G260" s="29">
        <v>611</v>
      </c>
      <c r="H260" s="209">
        <f t="shared" si="23"/>
        <v>1222</v>
      </c>
      <c r="I260" s="39" t="s">
        <v>225</v>
      </c>
      <c r="P260" s="418"/>
      <c r="Q260" s="419"/>
      <c r="R260" s="419"/>
      <c r="S260" s="419"/>
      <c r="T260" s="458"/>
      <c r="U260" s="458"/>
      <c r="V260" s="458"/>
      <c r="W260" s="458"/>
      <c r="X260" s="458"/>
      <c r="Y260" s="316">
        <v>1222</v>
      </c>
      <c r="Z260" s="316">
        <v>0</v>
      </c>
      <c r="AA260" s="325">
        <v>0</v>
      </c>
      <c r="AB260" s="342">
        <f t="shared" si="24"/>
        <v>0</v>
      </c>
    </row>
    <row r="261" spans="1:28" ht="25.5">
      <c r="A261" s="203">
        <f t="shared" si="25"/>
        <v>102</v>
      </c>
      <c r="B261" s="227" t="s">
        <v>570</v>
      </c>
      <c r="C261" s="235"/>
      <c r="D261" s="276" t="s">
        <v>737</v>
      </c>
      <c r="E261" s="207" t="s">
        <v>92</v>
      </c>
      <c r="F261" s="228">
        <v>1</v>
      </c>
      <c r="G261" s="29">
        <v>567</v>
      </c>
      <c r="H261" s="209">
        <f t="shared" si="23"/>
        <v>567</v>
      </c>
      <c r="I261" s="39" t="s">
        <v>225</v>
      </c>
      <c r="P261" s="418"/>
      <c r="Q261" s="419"/>
      <c r="R261" s="419"/>
      <c r="S261" s="419"/>
      <c r="T261" s="458"/>
      <c r="U261" s="458"/>
      <c r="V261" s="458"/>
      <c r="W261" s="458"/>
      <c r="X261" s="458"/>
      <c r="Y261" s="316">
        <v>0</v>
      </c>
      <c r="Z261" s="316">
        <v>567</v>
      </c>
      <c r="AA261" s="325">
        <v>0</v>
      </c>
      <c r="AB261" s="342">
        <f t="shared" si="24"/>
        <v>0</v>
      </c>
    </row>
    <row r="262" spans="1:28" ht="12.75">
      <c r="A262" s="203">
        <f t="shared" si="25"/>
        <v>103</v>
      </c>
      <c r="B262" s="227" t="s">
        <v>738</v>
      </c>
      <c r="C262" s="235"/>
      <c r="D262" s="276" t="s">
        <v>739</v>
      </c>
      <c r="E262" s="207" t="s">
        <v>92</v>
      </c>
      <c r="F262" s="228">
        <v>1</v>
      </c>
      <c r="G262" s="29">
        <v>650</v>
      </c>
      <c r="H262" s="209">
        <f>F262*G262</f>
        <v>650</v>
      </c>
      <c r="I262" s="39" t="s">
        <v>225</v>
      </c>
      <c r="P262" s="418"/>
      <c r="Q262" s="419"/>
      <c r="R262" s="419"/>
      <c r="S262" s="419"/>
      <c r="T262" s="458"/>
      <c r="U262" s="458"/>
      <c r="V262" s="458"/>
      <c r="W262" s="458"/>
      <c r="X262" s="458"/>
      <c r="Y262" s="316">
        <v>0</v>
      </c>
      <c r="Z262" s="316">
        <v>650</v>
      </c>
      <c r="AA262" s="325">
        <v>0</v>
      </c>
      <c r="AB262" s="342">
        <f t="shared" si="24"/>
        <v>0</v>
      </c>
    </row>
    <row r="263" spans="1:28" ht="25.5">
      <c r="A263" s="203">
        <f t="shared" si="25"/>
        <v>104</v>
      </c>
      <c r="B263" s="227" t="s">
        <v>566</v>
      </c>
      <c r="C263" s="205" t="s">
        <v>156</v>
      </c>
      <c r="D263" s="275" t="s">
        <v>567</v>
      </c>
      <c r="E263" s="207" t="s">
        <v>93</v>
      </c>
      <c r="F263" s="228">
        <f>2.6+3.5</f>
        <v>6.1</v>
      </c>
      <c r="G263" s="29">
        <v>29.4</v>
      </c>
      <c r="H263" s="209">
        <f t="shared" si="23"/>
        <v>179.33999999999997</v>
      </c>
      <c r="I263" s="39" t="s">
        <v>225</v>
      </c>
      <c r="P263" s="418"/>
      <c r="Q263" s="419"/>
      <c r="R263" s="419"/>
      <c r="S263" s="421"/>
      <c r="T263" s="458"/>
      <c r="U263" s="458"/>
      <c r="V263" s="458"/>
      <c r="W263" s="458"/>
      <c r="X263" s="458"/>
      <c r="Y263" s="316">
        <v>179.3</v>
      </c>
      <c r="Z263" s="316">
        <v>0</v>
      </c>
      <c r="AA263" s="325">
        <v>0</v>
      </c>
      <c r="AB263" s="342">
        <f t="shared" si="24"/>
        <v>0.03999999999996362</v>
      </c>
    </row>
    <row r="264" spans="1:28" ht="12.75">
      <c r="A264" s="203">
        <f t="shared" si="25"/>
        <v>105</v>
      </c>
      <c r="B264" s="42" t="s">
        <v>568</v>
      </c>
      <c r="C264" s="34"/>
      <c r="D264" s="56" t="s">
        <v>569</v>
      </c>
      <c r="E264" s="35" t="s">
        <v>92</v>
      </c>
      <c r="F264" s="44">
        <v>3</v>
      </c>
      <c r="G264" s="29">
        <v>375</v>
      </c>
      <c r="H264" s="209">
        <f t="shared" si="23"/>
        <v>1125</v>
      </c>
      <c r="I264" s="39" t="s">
        <v>225</v>
      </c>
      <c r="P264" s="418"/>
      <c r="Q264" s="419"/>
      <c r="R264" s="419"/>
      <c r="S264" s="421"/>
      <c r="T264" s="458"/>
      <c r="U264" s="458"/>
      <c r="V264" s="458"/>
      <c r="W264" s="458"/>
      <c r="X264" s="458"/>
      <c r="Y264" s="316">
        <v>1125</v>
      </c>
      <c r="Z264" s="316">
        <v>0</v>
      </c>
      <c r="AA264" s="325">
        <v>0</v>
      </c>
      <c r="AB264" s="342">
        <f t="shared" si="24"/>
        <v>0</v>
      </c>
    </row>
    <row r="265" spans="1:28" ht="12.75">
      <c r="A265" s="203">
        <f t="shared" si="25"/>
        <v>106</v>
      </c>
      <c r="B265" s="227" t="s">
        <v>571</v>
      </c>
      <c r="C265" s="205"/>
      <c r="D265" s="275" t="s">
        <v>572</v>
      </c>
      <c r="E265" s="207" t="s">
        <v>89</v>
      </c>
      <c r="F265" s="228">
        <v>1</v>
      </c>
      <c r="G265" s="29">
        <v>2260</v>
      </c>
      <c r="H265" s="209">
        <f t="shared" si="23"/>
        <v>2260</v>
      </c>
      <c r="I265" s="39" t="s">
        <v>225</v>
      </c>
      <c r="P265" s="418"/>
      <c r="Q265" s="419"/>
      <c r="R265" s="419"/>
      <c r="S265" s="421"/>
      <c r="T265" s="458"/>
      <c r="U265" s="458"/>
      <c r="V265" s="458"/>
      <c r="W265" s="458"/>
      <c r="X265" s="458"/>
      <c r="Y265" s="316">
        <v>0</v>
      </c>
      <c r="Z265" s="316">
        <v>2260</v>
      </c>
      <c r="AA265" s="325">
        <v>0</v>
      </c>
      <c r="AB265" s="342">
        <f t="shared" si="24"/>
        <v>0</v>
      </c>
    </row>
    <row r="266" spans="1:28" ht="12.75">
      <c r="A266" s="203">
        <f t="shared" si="25"/>
        <v>107</v>
      </c>
      <c r="B266" s="42" t="s">
        <v>573</v>
      </c>
      <c r="C266" s="34"/>
      <c r="D266" s="56" t="s">
        <v>574</v>
      </c>
      <c r="E266" s="35" t="s">
        <v>89</v>
      </c>
      <c r="F266" s="44">
        <v>1</v>
      </c>
      <c r="G266" s="29">
        <v>500</v>
      </c>
      <c r="H266" s="209">
        <f t="shared" si="23"/>
        <v>500</v>
      </c>
      <c r="I266" s="39" t="s">
        <v>225</v>
      </c>
      <c r="P266" s="418"/>
      <c r="Q266" s="419"/>
      <c r="R266" s="419"/>
      <c r="S266" s="421"/>
      <c r="T266" s="458"/>
      <c r="U266" s="458"/>
      <c r="V266" s="458"/>
      <c r="W266" s="458"/>
      <c r="X266" s="458"/>
      <c r="Y266" s="316">
        <v>0</v>
      </c>
      <c r="Z266" s="316">
        <v>500</v>
      </c>
      <c r="AA266" s="325">
        <v>0</v>
      </c>
      <c r="AB266" s="342">
        <f t="shared" si="24"/>
        <v>0</v>
      </c>
    </row>
    <row r="267" spans="1:28" ht="38.25">
      <c r="A267" s="277">
        <f t="shared" si="25"/>
        <v>108</v>
      </c>
      <c r="B267" s="227" t="s">
        <v>575</v>
      </c>
      <c r="C267" s="205"/>
      <c r="D267" s="280" t="s">
        <v>576</v>
      </c>
      <c r="E267" s="207" t="s">
        <v>92</v>
      </c>
      <c r="F267" s="228">
        <v>1</v>
      </c>
      <c r="G267" s="29">
        <v>2300</v>
      </c>
      <c r="H267" s="209">
        <f t="shared" si="23"/>
        <v>2300</v>
      </c>
      <c r="I267" s="39" t="s">
        <v>225</v>
      </c>
      <c r="J267" s="51"/>
      <c r="P267" s="418"/>
      <c r="Q267" s="419"/>
      <c r="R267" s="419"/>
      <c r="S267" s="419"/>
      <c r="T267" s="458"/>
      <c r="U267" s="458"/>
      <c r="V267" s="458"/>
      <c r="W267" s="458"/>
      <c r="X267" s="458"/>
      <c r="Y267" s="316">
        <v>0</v>
      </c>
      <c r="Z267" s="316">
        <v>2300</v>
      </c>
      <c r="AA267" s="325">
        <v>0</v>
      </c>
      <c r="AB267" s="342">
        <f t="shared" si="24"/>
        <v>0</v>
      </c>
    </row>
    <row r="268" spans="1:28" ht="25.5">
      <c r="A268" s="277">
        <f t="shared" si="25"/>
        <v>109</v>
      </c>
      <c r="B268" s="227" t="s">
        <v>577</v>
      </c>
      <c r="C268" s="205"/>
      <c r="D268" s="349" t="s">
        <v>578</v>
      </c>
      <c r="E268" s="207" t="s">
        <v>92</v>
      </c>
      <c r="F268" s="228">
        <v>1</v>
      </c>
      <c r="G268" s="29">
        <v>1250</v>
      </c>
      <c r="H268" s="209">
        <f t="shared" si="23"/>
        <v>1250</v>
      </c>
      <c r="I268" s="39" t="s">
        <v>225</v>
      </c>
      <c r="J268" s="51"/>
      <c r="P268" s="418"/>
      <c r="Q268" s="419"/>
      <c r="R268" s="419"/>
      <c r="S268" s="419"/>
      <c r="T268" s="458"/>
      <c r="U268" s="458"/>
      <c r="V268" s="458"/>
      <c r="W268" s="458"/>
      <c r="X268" s="458"/>
      <c r="Y268" s="316">
        <v>0</v>
      </c>
      <c r="Z268" s="316">
        <v>1250</v>
      </c>
      <c r="AA268" s="325">
        <v>0</v>
      </c>
      <c r="AB268" s="342">
        <f t="shared" si="24"/>
        <v>0</v>
      </c>
    </row>
    <row r="269" spans="1:28" ht="12.75">
      <c r="A269" s="277">
        <f t="shared" si="25"/>
        <v>110</v>
      </c>
      <c r="B269" s="42" t="s">
        <v>579</v>
      </c>
      <c r="C269" s="34"/>
      <c r="D269" s="56" t="s">
        <v>258</v>
      </c>
      <c r="E269" s="35" t="s">
        <v>92</v>
      </c>
      <c r="F269" s="44">
        <v>2</v>
      </c>
      <c r="G269" s="29">
        <v>513</v>
      </c>
      <c r="H269" s="209">
        <f aca="true" t="shared" si="26" ref="H269:H278">F269*G269</f>
        <v>1026</v>
      </c>
      <c r="I269" s="39" t="s">
        <v>225</v>
      </c>
      <c r="P269" s="418"/>
      <c r="Q269" s="419"/>
      <c r="R269" s="419"/>
      <c r="S269" s="419"/>
      <c r="T269" s="458"/>
      <c r="U269" s="458"/>
      <c r="V269" s="458"/>
      <c r="W269" s="458"/>
      <c r="X269" s="458"/>
      <c r="Y269" s="316">
        <v>0</v>
      </c>
      <c r="Z269" s="316">
        <v>1026</v>
      </c>
      <c r="AA269" s="325">
        <v>0</v>
      </c>
      <c r="AB269" s="342">
        <f t="shared" si="24"/>
        <v>0</v>
      </c>
    </row>
    <row r="270" spans="1:28" ht="38.25">
      <c r="A270" s="277">
        <f t="shared" si="25"/>
        <v>111</v>
      </c>
      <c r="B270" s="42" t="s">
        <v>575</v>
      </c>
      <c r="C270" s="34"/>
      <c r="D270" s="56" t="s">
        <v>580</v>
      </c>
      <c r="E270" s="35" t="s">
        <v>92</v>
      </c>
      <c r="F270" s="44">
        <v>2</v>
      </c>
      <c r="G270" s="29">
        <v>2240</v>
      </c>
      <c r="H270" s="209">
        <f t="shared" si="26"/>
        <v>4480</v>
      </c>
      <c r="I270" s="39" t="s">
        <v>225</v>
      </c>
      <c r="J270" s="60"/>
      <c r="P270" s="418"/>
      <c r="Q270" s="419"/>
      <c r="R270" s="419"/>
      <c r="S270" s="419"/>
      <c r="T270" s="458"/>
      <c r="U270" s="458"/>
      <c r="V270" s="458"/>
      <c r="W270" s="458"/>
      <c r="X270" s="458"/>
      <c r="Y270" s="316">
        <v>0</v>
      </c>
      <c r="Z270" s="316">
        <v>4480</v>
      </c>
      <c r="AA270" s="325">
        <v>0</v>
      </c>
      <c r="AB270" s="342">
        <f t="shared" si="24"/>
        <v>0</v>
      </c>
    </row>
    <row r="271" spans="1:28" ht="12.75">
      <c r="A271" s="277">
        <f t="shared" si="25"/>
        <v>112</v>
      </c>
      <c r="B271" s="42" t="s">
        <v>581</v>
      </c>
      <c r="C271" s="59" t="s">
        <v>101</v>
      </c>
      <c r="D271" s="47" t="s">
        <v>582</v>
      </c>
      <c r="E271" s="48" t="s">
        <v>92</v>
      </c>
      <c r="F271" s="49">
        <v>1</v>
      </c>
      <c r="G271" s="30">
        <v>9100</v>
      </c>
      <c r="H271" s="256">
        <f t="shared" si="26"/>
        <v>9100</v>
      </c>
      <c r="I271" s="39" t="s">
        <v>225</v>
      </c>
      <c r="P271" s="418"/>
      <c r="Q271" s="419"/>
      <c r="R271" s="419"/>
      <c r="S271" s="419"/>
      <c r="T271" s="458"/>
      <c r="U271" s="458"/>
      <c r="V271" s="458"/>
      <c r="W271" s="458"/>
      <c r="X271" s="458"/>
      <c r="Y271" s="316">
        <v>0</v>
      </c>
      <c r="Z271" s="316">
        <v>9100</v>
      </c>
      <c r="AA271" s="325">
        <v>0</v>
      </c>
      <c r="AB271" s="342">
        <f t="shared" si="24"/>
        <v>0</v>
      </c>
    </row>
    <row r="272" spans="1:28" ht="16.5">
      <c r="A272" s="277">
        <f t="shared" si="25"/>
        <v>113</v>
      </c>
      <c r="B272" s="42" t="s">
        <v>583</v>
      </c>
      <c r="C272" s="59" t="s">
        <v>101</v>
      </c>
      <c r="D272" s="47" t="s">
        <v>584</v>
      </c>
      <c r="E272" s="48" t="s">
        <v>92</v>
      </c>
      <c r="F272" s="49">
        <v>1</v>
      </c>
      <c r="G272" s="30">
        <v>8900</v>
      </c>
      <c r="H272" s="256">
        <f t="shared" si="26"/>
        <v>8900</v>
      </c>
      <c r="I272" s="39" t="s">
        <v>225</v>
      </c>
      <c r="N272" s="26"/>
      <c r="P272" s="418"/>
      <c r="Q272" s="419"/>
      <c r="R272" s="419"/>
      <c r="S272" s="421"/>
      <c r="T272" s="458"/>
      <c r="U272" s="458"/>
      <c r="V272" s="458"/>
      <c r="W272" s="458"/>
      <c r="X272" s="458"/>
      <c r="Y272" s="316">
        <v>0</v>
      </c>
      <c r="Z272" s="316">
        <v>8900</v>
      </c>
      <c r="AA272" s="325">
        <v>0</v>
      </c>
      <c r="AB272" s="342">
        <f t="shared" si="24"/>
        <v>0</v>
      </c>
    </row>
    <row r="273" spans="1:28" ht="16.5">
      <c r="A273" s="277"/>
      <c r="B273" s="42" t="s">
        <v>585</v>
      </c>
      <c r="C273" s="34" t="s">
        <v>102</v>
      </c>
      <c r="D273" s="56" t="s">
        <v>586</v>
      </c>
      <c r="E273" s="35" t="s">
        <v>163</v>
      </c>
      <c r="F273" s="44">
        <v>2</v>
      </c>
      <c r="G273" s="29">
        <v>1705</v>
      </c>
      <c r="H273" s="209">
        <f t="shared" si="26"/>
        <v>3410</v>
      </c>
      <c r="I273" s="39" t="s">
        <v>225</v>
      </c>
      <c r="N273" s="26"/>
      <c r="P273" s="418"/>
      <c r="Q273" s="419"/>
      <c r="R273" s="419"/>
      <c r="S273" s="419"/>
      <c r="T273" s="458"/>
      <c r="U273" s="458"/>
      <c r="V273" s="458"/>
      <c r="W273" s="458"/>
      <c r="X273" s="458"/>
      <c r="Y273" s="316">
        <v>0</v>
      </c>
      <c r="Z273" s="316">
        <v>3410</v>
      </c>
      <c r="AA273" s="325">
        <v>0</v>
      </c>
      <c r="AB273" s="342">
        <f t="shared" si="24"/>
        <v>0</v>
      </c>
    </row>
    <row r="274" spans="1:28" ht="25.5">
      <c r="A274" s="277">
        <f>+A272+1</f>
        <v>114</v>
      </c>
      <c r="B274" s="42" t="s">
        <v>587</v>
      </c>
      <c r="C274" s="205" t="s">
        <v>101</v>
      </c>
      <c r="D274" s="274" t="s">
        <v>261</v>
      </c>
      <c r="E274" s="207" t="s">
        <v>90</v>
      </c>
      <c r="F274" s="228">
        <f>2*0.4*1</f>
        <v>0.8</v>
      </c>
      <c r="G274" s="29">
        <v>18600</v>
      </c>
      <c r="H274" s="229">
        <f t="shared" si="26"/>
        <v>14880</v>
      </c>
      <c r="I274" s="39" t="s">
        <v>225</v>
      </c>
      <c r="P274" s="418"/>
      <c r="Q274" s="419"/>
      <c r="R274" s="419"/>
      <c r="S274" s="419"/>
      <c r="T274" s="458"/>
      <c r="U274" s="458"/>
      <c r="V274" s="458"/>
      <c r="W274" s="458"/>
      <c r="X274" s="458"/>
      <c r="Y274" s="316">
        <v>0</v>
      </c>
      <c r="Z274" s="316">
        <v>14880</v>
      </c>
      <c r="AA274" s="325">
        <v>0</v>
      </c>
      <c r="AB274" s="342">
        <f t="shared" si="24"/>
        <v>0</v>
      </c>
    </row>
    <row r="275" spans="1:28" ht="25.5">
      <c r="A275" s="277">
        <f t="shared" si="25"/>
        <v>115</v>
      </c>
      <c r="B275" s="42" t="s">
        <v>588</v>
      </c>
      <c r="C275" s="34"/>
      <c r="D275" s="41" t="s">
        <v>589</v>
      </c>
      <c r="E275" s="35" t="s">
        <v>89</v>
      </c>
      <c r="F275" s="44">
        <v>1</v>
      </c>
      <c r="G275" s="29">
        <v>1540</v>
      </c>
      <c r="H275" s="209">
        <f t="shared" si="26"/>
        <v>1540</v>
      </c>
      <c r="I275" s="39" t="s">
        <v>225</v>
      </c>
      <c r="P275" s="418"/>
      <c r="Q275" s="419"/>
      <c r="R275" s="425"/>
      <c r="S275" s="421"/>
      <c r="T275" s="458"/>
      <c r="U275" s="458"/>
      <c r="V275" s="458"/>
      <c r="W275" s="458"/>
      <c r="X275" s="458"/>
      <c r="Y275" s="316">
        <v>0</v>
      </c>
      <c r="Z275" s="316">
        <v>1540</v>
      </c>
      <c r="AA275" s="325">
        <v>0</v>
      </c>
      <c r="AB275" s="342">
        <f t="shared" si="24"/>
        <v>0</v>
      </c>
    </row>
    <row r="276" spans="1:28" ht="12.75">
      <c r="A276" s="277">
        <f t="shared" si="25"/>
        <v>116</v>
      </c>
      <c r="B276" s="42" t="s">
        <v>590</v>
      </c>
      <c r="C276" s="205" t="s">
        <v>102</v>
      </c>
      <c r="D276" s="276" t="s">
        <v>259</v>
      </c>
      <c r="E276" s="207" t="s">
        <v>89</v>
      </c>
      <c r="F276" s="233">
        <v>1</v>
      </c>
      <c r="G276" s="29">
        <v>1600</v>
      </c>
      <c r="H276" s="209">
        <f t="shared" si="26"/>
        <v>1600</v>
      </c>
      <c r="I276" s="302" t="s">
        <v>225</v>
      </c>
      <c r="J276" s="8"/>
      <c r="K276" s="8"/>
      <c r="L276" s="8"/>
      <c r="M276" s="8"/>
      <c r="N276" s="8"/>
      <c r="O276" s="8"/>
      <c r="P276" s="460"/>
      <c r="Q276" s="461"/>
      <c r="R276" s="461"/>
      <c r="S276" s="461"/>
      <c r="T276" s="458"/>
      <c r="U276" s="458"/>
      <c r="V276" s="458"/>
      <c r="W276" s="458"/>
      <c r="X276" s="458"/>
      <c r="Y276" s="316">
        <v>0</v>
      </c>
      <c r="Z276" s="316">
        <v>1600</v>
      </c>
      <c r="AA276" s="325">
        <v>0</v>
      </c>
      <c r="AB276" s="342">
        <f t="shared" si="24"/>
        <v>0</v>
      </c>
    </row>
    <row r="277" spans="1:28" ht="12.75">
      <c r="A277" s="277">
        <f t="shared" si="25"/>
        <v>117</v>
      </c>
      <c r="B277" s="42" t="s">
        <v>97</v>
      </c>
      <c r="C277" s="205" t="s">
        <v>102</v>
      </c>
      <c r="D277" s="276" t="s">
        <v>260</v>
      </c>
      <c r="E277" s="207" t="s">
        <v>89</v>
      </c>
      <c r="F277" s="233">
        <v>1</v>
      </c>
      <c r="G277" s="29">
        <v>1600</v>
      </c>
      <c r="H277" s="209">
        <f t="shared" si="26"/>
        <v>1600</v>
      </c>
      <c r="I277" s="302" t="s">
        <v>225</v>
      </c>
      <c r="P277" s="418"/>
      <c r="Q277" s="419"/>
      <c r="R277" s="419"/>
      <c r="S277" s="419"/>
      <c r="T277" s="458"/>
      <c r="U277" s="458"/>
      <c r="V277" s="458"/>
      <c r="W277" s="458"/>
      <c r="X277" s="458"/>
      <c r="Y277" s="316">
        <v>0</v>
      </c>
      <c r="Z277" s="316">
        <v>1600</v>
      </c>
      <c r="AA277" s="325">
        <v>0</v>
      </c>
      <c r="AB277" s="342">
        <f t="shared" si="24"/>
        <v>0</v>
      </c>
    </row>
    <row r="278" spans="1:28" ht="13.5" thickBot="1">
      <c r="A278" s="277">
        <f t="shared" si="25"/>
        <v>118</v>
      </c>
      <c r="B278" s="227" t="s">
        <v>393</v>
      </c>
      <c r="C278" s="205"/>
      <c r="D278" s="206" t="s">
        <v>117</v>
      </c>
      <c r="E278" s="211" t="s">
        <v>98</v>
      </c>
      <c r="F278" s="233">
        <f>+H255+H256+H259+H260+H263+H266+H267+H268+H269+H270+H271+H272+H274</f>
        <v>60244.14</v>
      </c>
      <c r="G278" s="31">
        <v>0.1</v>
      </c>
      <c r="H278" s="281">
        <f t="shared" si="26"/>
        <v>6024.414000000001</v>
      </c>
      <c r="I278" s="302" t="s">
        <v>225</v>
      </c>
      <c r="P278" s="418" t="s">
        <v>746</v>
      </c>
      <c r="Q278" s="419">
        <f>S258+S257+S256+S255</f>
        <v>-869.7999999999993</v>
      </c>
      <c r="R278" s="419">
        <v>0.1</v>
      </c>
      <c r="S278" s="419">
        <v>-86.9</v>
      </c>
      <c r="T278" s="458"/>
      <c r="U278" s="458"/>
      <c r="V278" s="458"/>
      <c r="W278" s="458" t="s">
        <v>778</v>
      </c>
      <c r="X278" s="458"/>
      <c r="Y278" s="316">
        <v>0</v>
      </c>
      <c r="Z278" s="316">
        <v>5937.5</v>
      </c>
      <c r="AA278" s="325">
        <v>86.9</v>
      </c>
      <c r="AB278" s="328" t="s">
        <v>764</v>
      </c>
    </row>
    <row r="279" spans="1:27" ht="13.5" thickBot="1">
      <c r="A279" s="277"/>
      <c r="B279" s="277"/>
      <c r="C279" s="205"/>
      <c r="D279" s="215" t="s">
        <v>91</v>
      </c>
      <c r="E279" s="260"/>
      <c r="F279" s="218"/>
      <c r="G279" s="218"/>
      <c r="H279" s="246">
        <f>SUBTOTAL(9,H255:H278)</f>
        <v>79020.554</v>
      </c>
      <c r="I279" s="36"/>
      <c r="P279" s="418"/>
      <c r="Q279" s="419"/>
      <c r="R279" s="419"/>
      <c r="S279" s="419"/>
      <c r="T279" s="458"/>
      <c r="U279" s="458"/>
      <c r="V279" s="458"/>
      <c r="W279" s="458"/>
      <c r="X279" s="458"/>
      <c r="Y279" s="316"/>
      <c r="Z279" s="316"/>
      <c r="AA279" s="325"/>
    </row>
    <row r="280" spans="1:27" ht="12.75">
      <c r="A280" s="226"/>
      <c r="B280" s="226"/>
      <c r="C280" s="241"/>
      <c r="D280" s="247"/>
      <c r="E280" s="248"/>
      <c r="F280" s="141"/>
      <c r="G280" s="141"/>
      <c r="H280" s="249"/>
      <c r="I280" s="302"/>
      <c r="P280" s="418"/>
      <c r="Q280" s="419"/>
      <c r="R280" s="419"/>
      <c r="S280" s="419"/>
      <c r="T280" s="458"/>
      <c r="U280" s="458"/>
      <c r="V280" s="458"/>
      <c r="W280" s="458"/>
      <c r="X280" s="458"/>
      <c r="Y280" s="317"/>
      <c r="Z280" s="317"/>
      <c r="AA280" s="324"/>
    </row>
    <row r="281" spans="1:27" ht="16.5">
      <c r="A281" s="226"/>
      <c r="B281" s="226"/>
      <c r="C281" s="250" t="s">
        <v>115</v>
      </c>
      <c r="D281" s="481" t="s">
        <v>128</v>
      </c>
      <c r="E281" s="481"/>
      <c r="F281" s="481"/>
      <c r="G281" s="481"/>
      <c r="H281" s="481"/>
      <c r="I281" s="302"/>
      <c r="P281" s="418"/>
      <c r="Q281" s="419"/>
      <c r="R281" s="419"/>
      <c r="S281" s="419"/>
      <c r="T281" s="458"/>
      <c r="U281" s="458"/>
      <c r="V281" s="458"/>
      <c r="W281" s="458"/>
      <c r="X281" s="458"/>
      <c r="Y281" s="317"/>
      <c r="Z281" s="317"/>
      <c r="AA281" s="324"/>
    </row>
    <row r="282" spans="1:27" ht="62.25" customHeight="1">
      <c r="A282" s="226"/>
      <c r="B282" s="226"/>
      <c r="C282" s="225"/>
      <c r="D282" s="495" t="s">
        <v>166</v>
      </c>
      <c r="E282" s="495"/>
      <c r="F282" s="495"/>
      <c r="G282" s="495"/>
      <c r="H282" s="495"/>
      <c r="I282" s="302"/>
      <c r="P282" s="418"/>
      <c r="Q282" s="419"/>
      <c r="R282" s="419"/>
      <c r="S282" s="419"/>
      <c r="T282" s="458"/>
      <c r="U282" s="458"/>
      <c r="V282" s="458"/>
      <c r="W282" s="458"/>
      <c r="X282" s="458"/>
      <c r="Y282" s="317"/>
      <c r="Z282" s="317"/>
      <c r="AA282" s="324"/>
    </row>
    <row r="283" spans="1:28" ht="16.5">
      <c r="A283" s="226">
        <f>A278+1</f>
        <v>119</v>
      </c>
      <c r="B283" s="43" t="s">
        <v>441</v>
      </c>
      <c r="C283" s="34" t="s">
        <v>102</v>
      </c>
      <c r="D283" s="41" t="s">
        <v>442</v>
      </c>
      <c r="E283" s="35" t="s">
        <v>92</v>
      </c>
      <c r="F283" s="44">
        <v>1</v>
      </c>
      <c r="G283" s="29">
        <v>1390</v>
      </c>
      <c r="H283" s="209">
        <f>F283*G283</f>
        <v>1390</v>
      </c>
      <c r="I283" s="39" t="s">
        <v>225</v>
      </c>
      <c r="J283" s="45"/>
      <c r="K283"/>
      <c r="L283"/>
      <c r="N283" s="8"/>
      <c r="P283" s="418"/>
      <c r="Q283" s="419"/>
      <c r="R283" s="419"/>
      <c r="S283" s="419"/>
      <c r="T283" s="458"/>
      <c r="U283" s="458"/>
      <c r="V283" s="458"/>
      <c r="W283" s="458"/>
      <c r="X283" s="458"/>
      <c r="Y283" s="317">
        <v>0</v>
      </c>
      <c r="Z283" s="317">
        <v>1390</v>
      </c>
      <c r="AA283" s="324">
        <v>0</v>
      </c>
      <c r="AB283" s="342">
        <f aca="true" t="shared" si="27" ref="AB283:AB301">H283-Y283-Z283</f>
        <v>0</v>
      </c>
    </row>
    <row r="284" spans="1:28" ht="63.75">
      <c r="A284" s="226">
        <f>+A283+1</f>
        <v>120</v>
      </c>
      <c r="B284" s="42" t="s">
        <v>443</v>
      </c>
      <c r="C284" s="46" t="s">
        <v>101</v>
      </c>
      <c r="D284" s="350" t="s">
        <v>740</v>
      </c>
      <c r="E284" s="48" t="s">
        <v>92</v>
      </c>
      <c r="F284" s="49">
        <v>1</v>
      </c>
      <c r="G284" s="30">
        <v>8200</v>
      </c>
      <c r="H284" s="256">
        <f>F284*G284</f>
        <v>8200</v>
      </c>
      <c r="I284" s="39" t="s">
        <v>225</v>
      </c>
      <c r="J284" s="45"/>
      <c r="K284"/>
      <c r="L284"/>
      <c r="N284" s="8"/>
      <c r="P284" s="418"/>
      <c r="Q284" s="419"/>
      <c r="R284" s="419"/>
      <c r="S284" s="419"/>
      <c r="T284" s="458"/>
      <c r="U284" s="458"/>
      <c r="V284" s="458"/>
      <c r="W284" s="458"/>
      <c r="X284" s="458"/>
      <c r="Y284" s="317">
        <v>0</v>
      </c>
      <c r="Z284" s="317">
        <v>8200</v>
      </c>
      <c r="AA284" s="324">
        <v>0</v>
      </c>
      <c r="AB284" s="342">
        <f t="shared" si="27"/>
        <v>0</v>
      </c>
    </row>
    <row r="285" spans="1:28" ht="12.75">
      <c r="A285" s="226">
        <f>+A284+1</f>
        <v>121</v>
      </c>
      <c r="B285" s="42" t="s">
        <v>444</v>
      </c>
      <c r="C285" s="34" t="s">
        <v>102</v>
      </c>
      <c r="D285" s="41" t="s">
        <v>445</v>
      </c>
      <c r="E285" s="35" t="s">
        <v>92</v>
      </c>
      <c r="F285" s="44">
        <v>1</v>
      </c>
      <c r="G285" s="29">
        <v>920</v>
      </c>
      <c r="H285" s="209">
        <f>F285*G285</f>
        <v>920</v>
      </c>
      <c r="I285" s="39" t="s">
        <v>225</v>
      </c>
      <c r="J285"/>
      <c r="K285"/>
      <c r="L285"/>
      <c r="N285" s="8"/>
      <c r="P285" s="418"/>
      <c r="Q285" s="419"/>
      <c r="R285" s="419"/>
      <c r="S285" s="419"/>
      <c r="T285" s="458"/>
      <c r="U285" s="458"/>
      <c r="V285" s="458"/>
      <c r="W285" s="458"/>
      <c r="X285" s="458"/>
      <c r="Y285" s="317">
        <v>0</v>
      </c>
      <c r="Z285" s="317">
        <v>920</v>
      </c>
      <c r="AA285" s="324">
        <v>0</v>
      </c>
      <c r="AB285" s="342">
        <f t="shared" si="27"/>
        <v>0</v>
      </c>
    </row>
    <row r="286" spans="1:28" ht="38.25">
      <c r="A286" s="226">
        <f aca="true" t="shared" si="28" ref="A286:A312">+A285+1</f>
        <v>122</v>
      </c>
      <c r="B286" s="42" t="s">
        <v>446</v>
      </c>
      <c r="C286" s="46" t="s">
        <v>101</v>
      </c>
      <c r="D286" s="47" t="s">
        <v>447</v>
      </c>
      <c r="E286" s="48" t="s">
        <v>92</v>
      </c>
      <c r="F286" s="49">
        <v>1</v>
      </c>
      <c r="G286" s="30">
        <v>1170</v>
      </c>
      <c r="H286" s="256">
        <f>F286*G286</f>
        <v>1170</v>
      </c>
      <c r="I286" s="39" t="s">
        <v>225</v>
      </c>
      <c r="J286"/>
      <c r="K286"/>
      <c r="L286"/>
      <c r="N286" s="8"/>
      <c r="P286" s="418"/>
      <c r="Q286" s="419"/>
      <c r="R286" s="419"/>
      <c r="S286" s="419"/>
      <c r="T286" s="458"/>
      <c r="U286" s="458"/>
      <c r="V286" s="458"/>
      <c r="W286" s="458"/>
      <c r="X286" s="458"/>
      <c r="Y286" s="317">
        <v>0</v>
      </c>
      <c r="Z286" s="317">
        <v>1170</v>
      </c>
      <c r="AA286" s="324">
        <v>0</v>
      </c>
      <c r="AB286" s="342">
        <f t="shared" si="27"/>
        <v>0</v>
      </c>
    </row>
    <row r="287" spans="1:28" ht="12.75">
      <c r="A287" s="226">
        <f t="shared" si="28"/>
        <v>123</v>
      </c>
      <c r="B287" s="43" t="s">
        <v>448</v>
      </c>
      <c r="C287" s="52" t="s">
        <v>102</v>
      </c>
      <c r="D287" s="41" t="s">
        <v>449</v>
      </c>
      <c r="E287" s="35" t="s">
        <v>92</v>
      </c>
      <c r="F287" s="44">
        <v>1</v>
      </c>
      <c r="G287" s="29">
        <v>2900</v>
      </c>
      <c r="H287" s="209">
        <f aca="true" t="shared" si="29" ref="H287:H311">F287*G287</f>
        <v>2900</v>
      </c>
      <c r="I287" s="39" t="s">
        <v>225</v>
      </c>
      <c r="J287"/>
      <c r="K287"/>
      <c r="L287"/>
      <c r="N287" s="8"/>
      <c r="P287" s="418"/>
      <c r="Q287" s="419"/>
      <c r="R287" s="419"/>
      <c r="S287" s="419"/>
      <c r="T287" s="458"/>
      <c r="U287" s="458"/>
      <c r="V287" s="458"/>
      <c r="W287" s="458"/>
      <c r="X287" s="458"/>
      <c r="Y287" s="317">
        <v>0</v>
      </c>
      <c r="Z287" s="317">
        <v>2900</v>
      </c>
      <c r="AA287" s="324">
        <v>0</v>
      </c>
      <c r="AB287" s="342">
        <f t="shared" si="27"/>
        <v>0</v>
      </c>
    </row>
    <row r="288" spans="1:28" ht="51">
      <c r="A288" s="226">
        <f t="shared" si="28"/>
        <v>124</v>
      </c>
      <c r="B288" s="43" t="s">
        <v>450</v>
      </c>
      <c r="C288" s="46" t="s">
        <v>101</v>
      </c>
      <c r="D288" s="47" t="s">
        <v>619</v>
      </c>
      <c r="E288" s="48" t="s">
        <v>92</v>
      </c>
      <c r="F288" s="49">
        <v>1</v>
      </c>
      <c r="G288" s="30">
        <v>9520</v>
      </c>
      <c r="H288" s="256">
        <f t="shared" si="29"/>
        <v>9520</v>
      </c>
      <c r="I288" s="39" t="s">
        <v>225</v>
      </c>
      <c r="J288" s="45"/>
      <c r="K288"/>
      <c r="L288"/>
      <c r="N288" s="8"/>
      <c r="P288" s="418"/>
      <c r="Q288" s="419"/>
      <c r="R288" s="419"/>
      <c r="S288" s="421"/>
      <c r="T288" s="458"/>
      <c r="U288" s="458"/>
      <c r="V288" s="458"/>
      <c r="W288" s="458"/>
      <c r="X288" s="458"/>
      <c r="Y288" s="317">
        <v>0</v>
      </c>
      <c r="Z288" s="317">
        <v>9520</v>
      </c>
      <c r="AA288" s="324">
        <v>0</v>
      </c>
      <c r="AB288" s="342">
        <f t="shared" si="27"/>
        <v>0</v>
      </c>
    </row>
    <row r="289" spans="1:28" ht="12.75">
      <c r="A289" s="226">
        <f t="shared" si="28"/>
        <v>125</v>
      </c>
      <c r="B289" s="227" t="s">
        <v>451</v>
      </c>
      <c r="C289" s="205" t="s">
        <v>102</v>
      </c>
      <c r="D289" s="206" t="s">
        <v>452</v>
      </c>
      <c r="E289" s="207" t="s">
        <v>92</v>
      </c>
      <c r="F289" s="228">
        <v>1</v>
      </c>
      <c r="G289" s="29">
        <v>150</v>
      </c>
      <c r="H289" s="209">
        <f t="shared" si="29"/>
        <v>150</v>
      </c>
      <c r="I289" s="39" t="s">
        <v>225</v>
      </c>
      <c r="J289"/>
      <c r="K289"/>
      <c r="L289"/>
      <c r="N289" s="8"/>
      <c r="P289" s="418"/>
      <c r="Q289" s="419"/>
      <c r="R289" s="419"/>
      <c r="S289" s="419"/>
      <c r="T289" s="458"/>
      <c r="U289" s="458"/>
      <c r="V289" s="458"/>
      <c r="W289" s="458"/>
      <c r="X289" s="458"/>
      <c r="Y289" s="317">
        <v>0</v>
      </c>
      <c r="Z289" s="317">
        <v>150</v>
      </c>
      <c r="AA289" s="324">
        <v>0</v>
      </c>
      <c r="AB289" s="342">
        <f t="shared" si="27"/>
        <v>0</v>
      </c>
    </row>
    <row r="290" spans="1:28" ht="16.5">
      <c r="A290" s="226">
        <f t="shared" si="28"/>
        <v>126</v>
      </c>
      <c r="B290" s="227" t="s">
        <v>453</v>
      </c>
      <c r="C290" s="252" t="s">
        <v>101</v>
      </c>
      <c r="D290" s="262" t="s">
        <v>454</v>
      </c>
      <c r="E290" s="253" t="s">
        <v>92</v>
      </c>
      <c r="F290" s="263">
        <v>1</v>
      </c>
      <c r="G290" s="30">
        <v>130</v>
      </c>
      <c r="H290" s="256">
        <f t="shared" si="29"/>
        <v>130</v>
      </c>
      <c r="I290" s="39" t="s">
        <v>225</v>
      </c>
      <c r="J290" s="45"/>
      <c r="K290"/>
      <c r="L290"/>
      <c r="N290" s="8"/>
      <c r="P290" s="418"/>
      <c r="Q290" s="419"/>
      <c r="R290" s="419"/>
      <c r="S290" s="421"/>
      <c r="T290" s="458"/>
      <c r="U290" s="458"/>
      <c r="V290" s="458"/>
      <c r="W290" s="458"/>
      <c r="X290" s="458"/>
      <c r="Y290" s="317">
        <v>0</v>
      </c>
      <c r="Z290" s="317">
        <v>130</v>
      </c>
      <c r="AA290" s="324">
        <v>0</v>
      </c>
      <c r="AB290" s="342">
        <f t="shared" si="27"/>
        <v>0</v>
      </c>
    </row>
    <row r="291" spans="1:28" ht="12.75">
      <c r="A291" s="226">
        <f t="shared" si="28"/>
        <v>127</v>
      </c>
      <c r="B291" s="227" t="s">
        <v>455</v>
      </c>
      <c r="C291" s="205" t="s">
        <v>102</v>
      </c>
      <c r="D291" s="206" t="s">
        <v>456</v>
      </c>
      <c r="E291" s="207" t="s">
        <v>92</v>
      </c>
      <c r="F291" s="228">
        <v>1</v>
      </c>
      <c r="G291" s="29">
        <v>176</v>
      </c>
      <c r="H291" s="209">
        <f t="shared" si="29"/>
        <v>176</v>
      </c>
      <c r="I291" s="39" t="s">
        <v>225</v>
      </c>
      <c r="J291"/>
      <c r="K291"/>
      <c r="L291"/>
      <c r="N291" s="8"/>
      <c r="P291" s="418"/>
      <c r="Q291" s="419"/>
      <c r="R291" s="419"/>
      <c r="S291" s="419"/>
      <c r="T291" s="458"/>
      <c r="U291" s="458"/>
      <c r="V291" s="458"/>
      <c r="W291" s="458"/>
      <c r="X291" s="458"/>
      <c r="Y291" s="317">
        <v>0</v>
      </c>
      <c r="Z291" s="317">
        <v>176</v>
      </c>
      <c r="AA291" s="324">
        <v>0</v>
      </c>
      <c r="AB291" s="342">
        <f t="shared" si="27"/>
        <v>0</v>
      </c>
    </row>
    <row r="292" spans="1:28" ht="12.75">
      <c r="A292" s="226">
        <f t="shared" si="28"/>
        <v>128</v>
      </c>
      <c r="B292" s="227" t="s">
        <v>457</v>
      </c>
      <c r="C292" s="252" t="s">
        <v>101</v>
      </c>
      <c r="D292" s="262" t="s">
        <v>458</v>
      </c>
      <c r="E292" s="253" t="s">
        <v>92</v>
      </c>
      <c r="F292" s="263">
        <v>1</v>
      </c>
      <c r="G292" s="30">
        <v>151.5</v>
      </c>
      <c r="H292" s="256">
        <f t="shared" si="29"/>
        <v>151.5</v>
      </c>
      <c r="I292" s="39" t="s">
        <v>225</v>
      </c>
      <c r="J292"/>
      <c r="K292"/>
      <c r="L292"/>
      <c r="N292" s="8"/>
      <c r="P292" s="418"/>
      <c r="Q292" s="419"/>
      <c r="R292" s="419"/>
      <c r="S292" s="419"/>
      <c r="T292" s="458"/>
      <c r="U292" s="458"/>
      <c r="V292" s="458"/>
      <c r="W292" s="458"/>
      <c r="X292" s="458"/>
      <c r="Y292" s="317">
        <v>0</v>
      </c>
      <c r="Z292" s="317">
        <v>151.5</v>
      </c>
      <c r="AA292" s="324">
        <v>0</v>
      </c>
      <c r="AB292" s="342">
        <f t="shared" si="27"/>
        <v>0</v>
      </c>
    </row>
    <row r="293" spans="1:28" ht="12.75">
      <c r="A293" s="226">
        <f t="shared" si="28"/>
        <v>129</v>
      </c>
      <c r="B293" s="227" t="s">
        <v>459</v>
      </c>
      <c r="C293" s="205" t="s">
        <v>102</v>
      </c>
      <c r="D293" s="206" t="s">
        <v>460</v>
      </c>
      <c r="E293" s="207" t="s">
        <v>92</v>
      </c>
      <c r="F293" s="228">
        <v>2</v>
      </c>
      <c r="G293" s="29">
        <v>245</v>
      </c>
      <c r="H293" s="209">
        <f t="shared" si="29"/>
        <v>490</v>
      </c>
      <c r="I293" s="39" t="s">
        <v>225</v>
      </c>
      <c r="J293"/>
      <c r="K293"/>
      <c r="L293"/>
      <c r="N293" s="8"/>
      <c r="P293" s="418"/>
      <c r="Q293" s="419"/>
      <c r="R293" s="419"/>
      <c r="S293" s="419"/>
      <c r="T293" s="458"/>
      <c r="U293" s="458"/>
      <c r="V293" s="458"/>
      <c r="W293" s="458"/>
      <c r="X293" s="458"/>
      <c r="Y293" s="317">
        <v>0</v>
      </c>
      <c r="Z293" s="317">
        <v>490</v>
      </c>
      <c r="AA293" s="324">
        <v>0</v>
      </c>
      <c r="AB293" s="342">
        <f t="shared" si="27"/>
        <v>0</v>
      </c>
    </row>
    <row r="294" spans="1:28" ht="38.25">
      <c r="A294" s="226">
        <f t="shared" si="28"/>
        <v>130</v>
      </c>
      <c r="B294" s="42" t="s">
        <v>461</v>
      </c>
      <c r="C294" s="46" t="s">
        <v>101</v>
      </c>
      <c r="D294" s="47" t="s">
        <v>481</v>
      </c>
      <c r="E294" s="48" t="s">
        <v>92</v>
      </c>
      <c r="F294" s="49">
        <v>1</v>
      </c>
      <c r="G294" s="30">
        <v>1120</v>
      </c>
      <c r="H294" s="256">
        <f t="shared" si="29"/>
        <v>1120</v>
      </c>
      <c r="I294" s="39" t="s">
        <v>225</v>
      </c>
      <c r="J294" s="45"/>
      <c r="K294"/>
      <c r="L294"/>
      <c r="N294" s="8"/>
      <c r="P294" s="418"/>
      <c r="Q294" s="419"/>
      <c r="R294" s="425"/>
      <c r="S294" s="421"/>
      <c r="T294" s="458"/>
      <c r="U294" s="458"/>
      <c r="V294" s="458"/>
      <c r="W294" s="458"/>
      <c r="X294" s="458"/>
      <c r="Y294" s="317">
        <v>0</v>
      </c>
      <c r="Z294" s="317">
        <v>1120</v>
      </c>
      <c r="AA294" s="324">
        <v>0</v>
      </c>
      <c r="AB294" s="342">
        <f t="shared" si="27"/>
        <v>0</v>
      </c>
    </row>
    <row r="295" spans="1:28" ht="38.25">
      <c r="A295" s="226">
        <f t="shared" si="28"/>
        <v>131</v>
      </c>
      <c r="B295" s="227" t="s">
        <v>462</v>
      </c>
      <c r="C295" s="252" t="s">
        <v>101</v>
      </c>
      <c r="D295" s="262" t="s">
        <v>482</v>
      </c>
      <c r="E295" s="253" t="s">
        <v>92</v>
      </c>
      <c r="F295" s="263">
        <v>1</v>
      </c>
      <c r="G295" s="30">
        <v>1500</v>
      </c>
      <c r="H295" s="256">
        <f t="shared" si="29"/>
        <v>1500</v>
      </c>
      <c r="I295" s="39" t="s">
        <v>225</v>
      </c>
      <c r="J295"/>
      <c r="K295"/>
      <c r="L295"/>
      <c r="N295" s="8"/>
      <c r="P295" s="460"/>
      <c r="Q295" s="461"/>
      <c r="R295" s="461"/>
      <c r="S295" s="461"/>
      <c r="T295" s="458"/>
      <c r="U295" s="458"/>
      <c r="V295" s="458"/>
      <c r="W295" s="458"/>
      <c r="X295" s="458"/>
      <c r="Y295" s="317">
        <v>0</v>
      </c>
      <c r="Z295" s="317">
        <v>1500</v>
      </c>
      <c r="AA295" s="324">
        <v>0</v>
      </c>
      <c r="AB295" s="342">
        <f t="shared" si="27"/>
        <v>0</v>
      </c>
    </row>
    <row r="296" spans="1:28" ht="25.5">
      <c r="A296" s="226">
        <f t="shared" si="28"/>
        <v>132</v>
      </c>
      <c r="B296" s="227" t="s">
        <v>463</v>
      </c>
      <c r="C296" s="205" t="s">
        <v>102</v>
      </c>
      <c r="D296" s="206" t="s">
        <v>464</v>
      </c>
      <c r="E296" s="207" t="s">
        <v>92</v>
      </c>
      <c r="F296" s="228">
        <v>1</v>
      </c>
      <c r="G296" s="29">
        <v>1610</v>
      </c>
      <c r="H296" s="209">
        <f t="shared" si="29"/>
        <v>1610</v>
      </c>
      <c r="I296" s="39" t="s">
        <v>225</v>
      </c>
      <c r="J296"/>
      <c r="K296"/>
      <c r="L296"/>
      <c r="N296" s="8"/>
      <c r="P296" s="418"/>
      <c r="Q296" s="419"/>
      <c r="R296" s="419"/>
      <c r="S296" s="419"/>
      <c r="T296" s="458"/>
      <c r="U296" s="458"/>
      <c r="V296" s="458"/>
      <c r="W296" s="458"/>
      <c r="X296" s="458"/>
      <c r="Y296" s="317">
        <v>0</v>
      </c>
      <c r="Z296" s="317">
        <v>1610</v>
      </c>
      <c r="AA296" s="324">
        <v>0</v>
      </c>
      <c r="AB296" s="342">
        <f t="shared" si="27"/>
        <v>0</v>
      </c>
    </row>
    <row r="297" spans="1:28" ht="25.5">
      <c r="A297" s="226">
        <f t="shared" si="28"/>
        <v>133</v>
      </c>
      <c r="B297" s="282" t="s">
        <v>483</v>
      </c>
      <c r="C297" s="252" t="s">
        <v>101</v>
      </c>
      <c r="D297" s="262" t="s">
        <v>465</v>
      </c>
      <c r="E297" s="253" t="s">
        <v>92</v>
      </c>
      <c r="F297" s="263">
        <v>1</v>
      </c>
      <c r="G297" s="30">
        <v>15600</v>
      </c>
      <c r="H297" s="256">
        <f t="shared" si="29"/>
        <v>15600</v>
      </c>
      <c r="I297" s="39" t="s">
        <v>225</v>
      </c>
      <c r="J297" s="45"/>
      <c r="K297"/>
      <c r="L297"/>
      <c r="N297" s="8"/>
      <c r="P297" s="418"/>
      <c r="Q297" s="419"/>
      <c r="R297" s="419"/>
      <c r="S297" s="419"/>
      <c r="T297" s="458"/>
      <c r="U297" s="458"/>
      <c r="V297" s="458"/>
      <c r="W297" s="458"/>
      <c r="X297" s="458"/>
      <c r="Y297" s="317">
        <v>0</v>
      </c>
      <c r="Z297" s="317">
        <v>15600</v>
      </c>
      <c r="AA297" s="324">
        <v>0</v>
      </c>
      <c r="AB297" s="342">
        <f t="shared" si="27"/>
        <v>0</v>
      </c>
    </row>
    <row r="298" spans="1:28" ht="38.25">
      <c r="A298" s="226">
        <f t="shared" si="28"/>
        <v>134</v>
      </c>
      <c r="B298" s="282" t="s">
        <v>484</v>
      </c>
      <c r="C298" s="252" t="s">
        <v>101</v>
      </c>
      <c r="D298" s="262" t="s">
        <v>466</v>
      </c>
      <c r="E298" s="253" t="s">
        <v>92</v>
      </c>
      <c r="F298" s="263">
        <v>1</v>
      </c>
      <c r="G298" s="30">
        <v>444</v>
      </c>
      <c r="H298" s="256">
        <f t="shared" si="29"/>
        <v>444</v>
      </c>
      <c r="I298" s="39" t="s">
        <v>225</v>
      </c>
      <c r="J298"/>
      <c r="K298"/>
      <c r="L298"/>
      <c r="N298" s="8"/>
      <c r="P298" s="418"/>
      <c r="Q298" s="419"/>
      <c r="R298" s="419"/>
      <c r="S298" s="419"/>
      <c r="T298" s="458"/>
      <c r="U298" s="458"/>
      <c r="V298" s="458"/>
      <c r="W298" s="458"/>
      <c r="X298" s="458"/>
      <c r="Y298" s="317">
        <v>0</v>
      </c>
      <c r="Z298" s="317">
        <v>444</v>
      </c>
      <c r="AA298" s="324">
        <v>0</v>
      </c>
      <c r="AB298" s="342">
        <f t="shared" si="27"/>
        <v>0</v>
      </c>
    </row>
    <row r="299" spans="1:28" ht="38.25">
      <c r="A299" s="226">
        <f t="shared" si="28"/>
        <v>135</v>
      </c>
      <c r="B299" s="227" t="s">
        <v>467</v>
      </c>
      <c r="C299" s="252" t="s">
        <v>101</v>
      </c>
      <c r="D299" s="47" t="s">
        <v>486</v>
      </c>
      <c r="E299" s="253" t="s">
        <v>92</v>
      </c>
      <c r="F299" s="263">
        <v>1</v>
      </c>
      <c r="G299" s="30">
        <v>13000</v>
      </c>
      <c r="H299" s="256">
        <f t="shared" si="29"/>
        <v>13000</v>
      </c>
      <c r="I299" s="39" t="s">
        <v>225</v>
      </c>
      <c r="J299" s="45"/>
      <c r="K299"/>
      <c r="L299"/>
      <c r="N299" s="8"/>
      <c r="P299" s="418"/>
      <c r="Q299" s="419"/>
      <c r="R299" s="419"/>
      <c r="S299" s="421"/>
      <c r="T299" s="458"/>
      <c r="U299" s="458"/>
      <c r="V299" s="458"/>
      <c r="W299" s="458"/>
      <c r="X299" s="458"/>
      <c r="Y299" s="317">
        <v>0</v>
      </c>
      <c r="Z299" s="317">
        <v>13000</v>
      </c>
      <c r="AA299" s="324">
        <v>0</v>
      </c>
      <c r="AB299" s="342">
        <f t="shared" si="27"/>
        <v>0</v>
      </c>
    </row>
    <row r="300" spans="1:28" ht="12.75">
      <c r="A300" s="226">
        <f t="shared" si="28"/>
        <v>136</v>
      </c>
      <c r="B300" s="227" t="s">
        <v>468</v>
      </c>
      <c r="C300" s="205" t="s">
        <v>102</v>
      </c>
      <c r="D300" s="206" t="s">
        <v>469</v>
      </c>
      <c r="E300" s="207" t="s">
        <v>92</v>
      </c>
      <c r="F300" s="228">
        <v>1</v>
      </c>
      <c r="G300" s="29">
        <v>418</v>
      </c>
      <c r="H300" s="209">
        <f t="shared" si="29"/>
        <v>418</v>
      </c>
      <c r="I300" s="50" t="s">
        <v>225</v>
      </c>
      <c r="J300"/>
      <c r="K300"/>
      <c r="L300"/>
      <c r="N300" s="8"/>
      <c r="P300" s="418"/>
      <c r="Q300" s="419"/>
      <c r="R300" s="419"/>
      <c r="S300" s="421"/>
      <c r="T300" s="458"/>
      <c r="U300" s="458"/>
      <c r="V300" s="458"/>
      <c r="W300" s="458"/>
      <c r="X300" s="458"/>
      <c r="Y300" s="317">
        <v>0</v>
      </c>
      <c r="Z300" s="317">
        <v>418</v>
      </c>
      <c r="AA300" s="324">
        <v>0</v>
      </c>
      <c r="AB300" s="342">
        <f t="shared" si="27"/>
        <v>0</v>
      </c>
    </row>
    <row r="301" spans="1:28" ht="12.75">
      <c r="A301" s="226">
        <f t="shared" si="28"/>
        <v>137</v>
      </c>
      <c r="B301" s="227" t="s">
        <v>470</v>
      </c>
      <c r="C301" s="205" t="s">
        <v>102</v>
      </c>
      <c r="D301" s="206" t="s">
        <v>471</v>
      </c>
      <c r="E301" s="207" t="s">
        <v>92</v>
      </c>
      <c r="F301" s="228">
        <v>1</v>
      </c>
      <c r="G301" s="29">
        <v>435</v>
      </c>
      <c r="H301" s="209">
        <f t="shared" si="29"/>
        <v>435</v>
      </c>
      <c r="I301" s="50" t="s">
        <v>225</v>
      </c>
      <c r="J301"/>
      <c r="K301"/>
      <c r="L301"/>
      <c r="N301" s="8"/>
      <c r="P301" s="418"/>
      <c r="Q301" s="419"/>
      <c r="R301" s="419"/>
      <c r="S301" s="421"/>
      <c r="T301" s="458"/>
      <c r="U301" s="458"/>
      <c r="V301" s="458"/>
      <c r="W301" s="458"/>
      <c r="X301" s="458"/>
      <c r="Y301" s="317">
        <v>0</v>
      </c>
      <c r="Z301" s="317">
        <v>435</v>
      </c>
      <c r="AA301" s="324">
        <v>0</v>
      </c>
      <c r="AB301" s="342">
        <f t="shared" si="27"/>
        <v>0</v>
      </c>
    </row>
    <row r="302" spans="1:28" ht="25.5">
      <c r="A302" s="226">
        <f t="shared" si="28"/>
        <v>138</v>
      </c>
      <c r="B302" s="227" t="s">
        <v>472</v>
      </c>
      <c r="C302" s="252" t="s">
        <v>101</v>
      </c>
      <c r="D302" s="289" t="s">
        <v>473</v>
      </c>
      <c r="E302" s="253" t="s">
        <v>92</v>
      </c>
      <c r="F302" s="263">
        <v>1</v>
      </c>
      <c r="G302" s="30">
        <v>1761</v>
      </c>
      <c r="H302" s="256">
        <f t="shared" si="29"/>
        <v>1761</v>
      </c>
      <c r="I302" s="39" t="s">
        <v>225</v>
      </c>
      <c r="J302"/>
      <c r="K302"/>
      <c r="L302"/>
      <c r="N302" s="8"/>
      <c r="P302" s="418" t="s">
        <v>746</v>
      </c>
      <c r="Q302" s="419">
        <v>-1</v>
      </c>
      <c r="R302" s="419">
        <v>1761</v>
      </c>
      <c r="S302" s="421">
        <v>-1761</v>
      </c>
      <c r="T302" s="458"/>
      <c r="U302" s="458"/>
      <c r="V302" s="458"/>
      <c r="W302" s="458" t="s">
        <v>778</v>
      </c>
      <c r="X302" s="458"/>
      <c r="Y302" s="317">
        <v>0</v>
      </c>
      <c r="Z302" s="317">
        <v>0</v>
      </c>
      <c r="AA302" s="324">
        <v>1761</v>
      </c>
      <c r="AB302" s="328" t="s">
        <v>764</v>
      </c>
    </row>
    <row r="303" spans="1:28" ht="25.5">
      <c r="A303" s="226" t="s">
        <v>756</v>
      </c>
      <c r="B303" s="314" t="s">
        <v>749</v>
      </c>
      <c r="C303" s="252"/>
      <c r="D303" s="350" t="s">
        <v>757</v>
      </c>
      <c r="E303" s="253"/>
      <c r="F303" s="263"/>
      <c r="G303" s="30"/>
      <c r="H303" s="256"/>
      <c r="I303" s="39" t="s">
        <v>225</v>
      </c>
      <c r="J303"/>
      <c r="K303"/>
      <c r="L303"/>
      <c r="N303" s="8"/>
      <c r="P303" s="418" t="s">
        <v>751</v>
      </c>
      <c r="Q303" s="419">
        <v>1</v>
      </c>
      <c r="R303" s="419">
        <v>1350</v>
      </c>
      <c r="S303" s="419">
        <v>1350</v>
      </c>
      <c r="T303" s="458"/>
      <c r="U303" s="458"/>
      <c r="V303" s="458"/>
      <c r="W303" s="458" t="s">
        <v>778</v>
      </c>
      <c r="X303" s="458"/>
      <c r="Y303" s="317">
        <v>0</v>
      </c>
      <c r="Z303" s="317">
        <v>0</v>
      </c>
      <c r="AA303" s="324">
        <v>0</v>
      </c>
      <c r="AB303" s="342">
        <f>H303-Y303-Z303</f>
        <v>0</v>
      </c>
    </row>
    <row r="304" spans="1:28" ht="12.75">
      <c r="A304" s="226">
        <f>+A302+1</f>
        <v>139</v>
      </c>
      <c r="B304" s="227" t="s">
        <v>474</v>
      </c>
      <c r="C304" s="205" t="s">
        <v>102</v>
      </c>
      <c r="D304" s="265" t="s">
        <v>475</v>
      </c>
      <c r="E304" s="207" t="s">
        <v>92</v>
      </c>
      <c r="F304" s="228">
        <v>1</v>
      </c>
      <c r="G304" s="29">
        <v>920</v>
      </c>
      <c r="H304" s="209">
        <f t="shared" si="29"/>
        <v>920</v>
      </c>
      <c r="I304" s="39" t="s">
        <v>225</v>
      </c>
      <c r="J304"/>
      <c r="K304"/>
      <c r="L304"/>
      <c r="N304" s="8"/>
      <c r="P304" s="418"/>
      <c r="Q304" s="419"/>
      <c r="R304" s="419"/>
      <c r="S304" s="419"/>
      <c r="T304" s="458"/>
      <c r="U304" s="458"/>
      <c r="V304" s="458"/>
      <c r="W304" s="458"/>
      <c r="X304" s="458"/>
      <c r="Y304" s="317">
        <v>0</v>
      </c>
      <c r="Z304" s="317">
        <v>920</v>
      </c>
      <c r="AA304" s="324">
        <v>0</v>
      </c>
      <c r="AB304" s="342">
        <f>H304-Y304-Z304</f>
        <v>0</v>
      </c>
    </row>
    <row r="305" spans="1:28" ht="38.25">
      <c r="A305" s="226">
        <f t="shared" si="28"/>
        <v>140</v>
      </c>
      <c r="B305" s="42" t="s">
        <v>476</v>
      </c>
      <c r="C305" s="46" t="s">
        <v>101</v>
      </c>
      <c r="D305" s="350" t="s">
        <v>485</v>
      </c>
      <c r="E305" s="48" t="s">
        <v>92</v>
      </c>
      <c r="F305" s="49">
        <v>1</v>
      </c>
      <c r="G305" s="30">
        <v>1401</v>
      </c>
      <c r="H305" s="256">
        <f t="shared" si="29"/>
        <v>1401</v>
      </c>
      <c r="I305" s="39" t="s">
        <v>225</v>
      </c>
      <c r="J305" s="45"/>
      <c r="K305"/>
      <c r="L305"/>
      <c r="N305" s="8"/>
      <c r="P305" s="418"/>
      <c r="Q305" s="419"/>
      <c r="R305" s="419"/>
      <c r="S305" s="419"/>
      <c r="T305" s="458"/>
      <c r="U305" s="458"/>
      <c r="V305" s="458"/>
      <c r="W305" s="458"/>
      <c r="X305" s="458"/>
      <c r="Y305" s="317">
        <v>0</v>
      </c>
      <c r="Z305" s="317">
        <v>1401</v>
      </c>
      <c r="AA305" s="324">
        <v>0</v>
      </c>
      <c r="AB305" s="342">
        <f>H305-Y305-Z305</f>
        <v>0</v>
      </c>
    </row>
    <row r="306" spans="1:28" ht="12.75">
      <c r="A306" s="226">
        <f t="shared" si="28"/>
        <v>141</v>
      </c>
      <c r="B306" s="227" t="s">
        <v>477</v>
      </c>
      <c r="C306" s="235" t="s">
        <v>102</v>
      </c>
      <c r="D306" s="265" t="s">
        <v>478</v>
      </c>
      <c r="E306" s="207" t="s">
        <v>92</v>
      </c>
      <c r="F306" s="228">
        <v>1</v>
      </c>
      <c r="G306" s="29">
        <v>180</v>
      </c>
      <c r="H306" s="209">
        <f t="shared" si="29"/>
        <v>180</v>
      </c>
      <c r="I306" s="39" t="s">
        <v>225</v>
      </c>
      <c r="J306"/>
      <c r="K306"/>
      <c r="L306"/>
      <c r="N306" s="8"/>
      <c r="P306" s="418"/>
      <c r="Q306" s="419"/>
      <c r="R306" s="419"/>
      <c r="S306" s="419"/>
      <c r="T306" s="458"/>
      <c r="U306" s="458"/>
      <c r="V306" s="458"/>
      <c r="W306" s="458"/>
      <c r="X306" s="458"/>
      <c r="Y306" s="317">
        <v>0</v>
      </c>
      <c r="Z306" s="317">
        <v>180</v>
      </c>
      <c r="AA306" s="324">
        <v>0</v>
      </c>
      <c r="AB306" s="342">
        <f>H306-Y306-Z306</f>
        <v>0</v>
      </c>
    </row>
    <row r="307" spans="1:28" ht="25.5">
      <c r="A307" s="226">
        <f t="shared" si="28"/>
        <v>142</v>
      </c>
      <c r="B307" s="227" t="s">
        <v>479</v>
      </c>
      <c r="C307" s="252" t="s">
        <v>101</v>
      </c>
      <c r="D307" s="289" t="s">
        <v>157</v>
      </c>
      <c r="E307" s="253" t="s">
        <v>92</v>
      </c>
      <c r="F307" s="263">
        <v>1</v>
      </c>
      <c r="G307" s="30">
        <v>4131</v>
      </c>
      <c r="H307" s="256">
        <f t="shared" si="29"/>
        <v>4131</v>
      </c>
      <c r="I307" s="39" t="s">
        <v>225</v>
      </c>
      <c r="J307" s="45"/>
      <c r="K307"/>
      <c r="L307"/>
      <c r="N307" s="8"/>
      <c r="P307" s="418" t="s">
        <v>746</v>
      </c>
      <c r="Q307" s="419">
        <v>-1</v>
      </c>
      <c r="R307" s="419">
        <v>4131</v>
      </c>
      <c r="S307" s="419">
        <v>-4131</v>
      </c>
      <c r="T307" s="458"/>
      <c r="U307" s="458"/>
      <c r="V307" s="458"/>
      <c r="W307" s="458" t="s">
        <v>778</v>
      </c>
      <c r="X307" s="458"/>
      <c r="Y307" s="317">
        <v>0</v>
      </c>
      <c r="Z307" s="317">
        <v>0</v>
      </c>
      <c r="AA307" s="324">
        <v>4131</v>
      </c>
      <c r="AB307" s="328" t="s">
        <v>764</v>
      </c>
    </row>
    <row r="308" spans="1:28" ht="16.5">
      <c r="A308" s="226" t="s">
        <v>759</v>
      </c>
      <c r="B308" s="314" t="s">
        <v>749</v>
      </c>
      <c r="C308" s="252"/>
      <c r="D308" s="350" t="s">
        <v>758</v>
      </c>
      <c r="E308" s="253"/>
      <c r="F308" s="263"/>
      <c r="G308" s="30"/>
      <c r="H308" s="256"/>
      <c r="I308" s="39" t="s">
        <v>225</v>
      </c>
      <c r="J308" s="45"/>
      <c r="K308"/>
      <c r="L308"/>
      <c r="N308" s="8"/>
      <c r="P308" s="418" t="s">
        <v>751</v>
      </c>
      <c r="Q308" s="419">
        <v>2</v>
      </c>
      <c r="R308" s="419">
        <v>875</v>
      </c>
      <c r="S308" s="419">
        <f>R308*Q308</f>
        <v>1750</v>
      </c>
      <c r="T308" s="458"/>
      <c r="U308" s="458"/>
      <c r="V308" s="458"/>
      <c r="W308" s="458" t="s">
        <v>778</v>
      </c>
      <c r="X308" s="458"/>
      <c r="Y308" s="317">
        <v>0</v>
      </c>
      <c r="Z308" s="317">
        <v>0</v>
      </c>
      <c r="AA308" s="324">
        <v>0</v>
      </c>
      <c r="AB308" s="342">
        <f>H308-Y308-Z308</f>
        <v>0</v>
      </c>
    </row>
    <row r="309" spans="1:27" ht="16.5">
      <c r="A309" s="226"/>
      <c r="B309" s="227"/>
      <c r="C309" s="252"/>
      <c r="D309" s="289"/>
      <c r="E309" s="253"/>
      <c r="F309" s="263"/>
      <c r="G309" s="30"/>
      <c r="H309" s="256"/>
      <c r="I309" s="39"/>
      <c r="J309" s="45"/>
      <c r="K309"/>
      <c r="L309"/>
      <c r="N309" s="8"/>
      <c r="P309" s="418"/>
      <c r="Q309" s="419"/>
      <c r="R309" s="419"/>
      <c r="S309" s="419"/>
      <c r="T309" s="458"/>
      <c r="U309" s="458"/>
      <c r="V309" s="458"/>
      <c r="W309" s="458"/>
      <c r="X309" s="458"/>
      <c r="Y309" s="317"/>
      <c r="Z309" s="317"/>
      <c r="AA309" s="324"/>
    </row>
    <row r="310" spans="1:27" ht="16.5">
      <c r="A310" s="226"/>
      <c r="B310" s="227"/>
      <c r="C310" s="252"/>
      <c r="D310" s="289"/>
      <c r="E310" s="253"/>
      <c r="F310" s="263"/>
      <c r="G310" s="30"/>
      <c r="H310" s="256"/>
      <c r="I310" s="39"/>
      <c r="J310" s="45"/>
      <c r="K310"/>
      <c r="L310"/>
      <c r="N310" s="8"/>
      <c r="P310" s="418"/>
      <c r="Q310" s="419"/>
      <c r="R310" s="419"/>
      <c r="S310" s="419"/>
      <c r="T310" s="458"/>
      <c r="U310" s="458"/>
      <c r="V310" s="458"/>
      <c r="W310" s="458"/>
      <c r="X310" s="458"/>
      <c r="Y310" s="317"/>
      <c r="Z310" s="317"/>
      <c r="AA310" s="324"/>
    </row>
    <row r="311" spans="1:28" ht="12.75">
      <c r="A311" s="226">
        <f>+A307+1</f>
        <v>143</v>
      </c>
      <c r="B311" s="227" t="s">
        <v>480</v>
      </c>
      <c r="C311" s="235"/>
      <c r="D311" s="206" t="s">
        <v>167</v>
      </c>
      <c r="E311" s="207" t="s">
        <v>92</v>
      </c>
      <c r="F311" s="228">
        <v>5</v>
      </c>
      <c r="G311" s="29">
        <v>260</v>
      </c>
      <c r="H311" s="209">
        <f t="shared" si="29"/>
        <v>1300</v>
      </c>
      <c r="I311" s="39" t="s">
        <v>225</v>
      </c>
      <c r="J311"/>
      <c r="K311"/>
      <c r="L311"/>
      <c r="N311" s="8"/>
      <c r="P311" s="418"/>
      <c r="Q311" s="419"/>
      <c r="R311" s="419"/>
      <c r="S311" s="419"/>
      <c r="T311" s="458"/>
      <c r="U311" s="458"/>
      <c r="V311" s="458"/>
      <c r="W311" s="458"/>
      <c r="X311" s="458"/>
      <c r="Y311" s="317">
        <v>0</v>
      </c>
      <c r="Z311" s="317">
        <v>1300</v>
      </c>
      <c r="AA311" s="324">
        <v>0</v>
      </c>
      <c r="AB311" s="342">
        <f>H311-Y311-Z311</f>
        <v>0</v>
      </c>
    </row>
    <row r="312" spans="1:28" ht="12.75" customHeight="1" thickBot="1">
      <c r="A312" s="226">
        <f t="shared" si="28"/>
        <v>144</v>
      </c>
      <c r="B312" s="227" t="s">
        <v>393</v>
      </c>
      <c r="C312" s="241"/>
      <c r="D312" s="265" t="s">
        <v>117</v>
      </c>
      <c r="E312" s="266" t="s">
        <v>98</v>
      </c>
      <c r="F312" s="259">
        <f>+H284+H286+H288+H290+H292+H294+H295+H297+H298+H299+H302+H305+H307+H311</f>
        <v>59428.5</v>
      </c>
      <c r="G312" s="31">
        <v>0.05</v>
      </c>
      <c r="H312" s="267">
        <f>F312*G312</f>
        <v>2971.425</v>
      </c>
      <c r="I312" s="302" t="s">
        <v>225</v>
      </c>
      <c r="P312" s="418" t="s">
        <v>746</v>
      </c>
      <c r="Q312" s="419">
        <f>S308+S307+S303+S302</f>
        <v>-2792</v>
      </c>
      <c r="R312" s="419">
        <v>0.05</v>
      </c>
      <c r="S312" s="419">
        <f>Q312/100*5</f>
        <v>-139.60000000000002</v>
      </c>
      <c r="T312" s="458"/>
      <c r="U312" s="458"/>
      <c r="V312" s="458"/>
      <c r="W312" s="458" t="s">
        <v>778</v>
      </c>
      <c r="X312" s="458"/>
      <c r="Y312" s="317">
        <v>0</v>
      </c>
      <c r="Z312" s="317">
        <v>2831.8</v>
      </c>
      <c r="AA312" s="324">
        <v>139.6</v>
      </c>
      <c r="AB312" s="328" t="s">
        <v>764</v>
      </c>
    </row>
    <row r="313" spans="1:27" ht="13.5" thickBot="1">
      <c r="A313" s="226"/>
      <c r="B313" s="226"/>
      <c r="C313" s="241"/>
      <c r="D313" s="215" t="s">
        <v>91</v>
      </c>
      <c r="E313" s="260"/>
      <c r="F313" s="261"/>
      <c r="G313" s="261"/>
      <c r="H313" s="246">
        <f>SUBTOTAL(9,H283:H312)</f>
        <v>71988.925</v>
      </c>
      <c r="I313" s="302"/>
      <c r="P313" s="418"/>
      <c r="Q313" s="419"/>
      <c r="R313" s="419"/>
      <c r="S313" s="419"/>
      <c r="T313" s="458"/>
      <c r="U313" s="458"/>
      <c r="V313" s="458"/>
      <c r="W313" s="458"/>
      <c r="X313" s="458"/>
      <c r="Y313" s="317"/>
      <c r="Z313" s="317"/>
      <c r="AA313" s="324"/>
    </row>
    <row r="314" spans="1:27" ht="12.75">
      <c r="A314" s="226"/>
      <c r="B314" s="226"/>
      <c r="C314" s="241"/>
      <c r="D314" s="247"/>
      <c r="E314" s="248"/>
      <c r="F314" s="141"/>
      <c r="G314" s="141"/>
      <c r="H314" s="249"/>
      <c r="I314" s="302"/>
      <c r="P314" s="418"/>
      <c r="Q314" s="419"/>
      <c r="R314" s="419"/>
      <c r="S314" s="419"/>
      <c r="T314" s="458"/>
      <c r="U314" s="458"/>
      <c r="V314" s="458"/>
      <c r="W314" s="458"/>
      <c r="X314" s="458"/>
      <c r="Y314" s="317"/>
      <c r="Z314" s="317"/>
      <c r="AA314" s="324"/>
    </row>
    <row r="315" spans="1:27" ht="16.5">
      <c r="A315" s="226"/>
      <c r="B315" s="226"/>
      <c r="C315" s="250" t="s">
        <v>121</v>
      </c>
      <c r="D315" s="481" t="s">
        <v>262</v>
      </c>
      <c r="E315" s="481"/>
      <c r="F315" s="481"/>
      <c r="G315" s="481"/>
      <c r="H315" s="481"/>
      <c r="I315" s="302"/>
      <c r="P315" s="418"/>
      <c r="Q315" s="419"/>
      <c r="R315" s="419"/>
      <c r="S315" s="419"/>
      <c r="T315" s="458"/>
      <c r="U315" s="458"/>
      <c r="V315" s="458"/>
      <c r="W315" s="458"/>
      <c r="X315" s="458"/>
      <c r="Y315" s="317"/>
      <c r="Z315" s="317"/>
      <c r="AA315" s="324"/>
    </row>
    <row r="316" spans="1:27" ht="38.25" customHeight="1">
      <c r="A316" s="226"/>
      <c r="B316" s="226"/>
      <c r="C316" s="225"/>
      <c r="D316" s="495" t="s">
        <v>161</v>
      </c>
      <c r="E316" s="497"/>
      <c r="F316" s="497"/>
      <c r="G316" s="497"/>
      <c r="H316" s="497"/>
      <c r="I316" s="302"/>
      <c r="P316" s="418"/>
      <c r="Q316" s="419"/>
      <c r="R316" s="419"/>
      <c r="S316" s="419"/>
      <c r="T316" s="458"/>
      <c r="U316" s="458"/>
      <c r="V316" s="458"/>
      <c r="W316" s="458"/>
      <c r="X316" s="458"/>
      <c r="Y316" s="317"/>
      <c r="Z316" s="317"/>
      <c r="AA316" s="324"/>
    </row>
    <row r="317" spans="1:28" ht="12.75">
      <c r="A317" s="226">
        <f>+A312+1</f>
        <v>145</v>
      </c>
      <c r="B317" s="226"/>
      <c r="C317" s="241"/>
      <c r="D317" s="265" t="s">
        <v>158</v>
      </c>
      <c r="E317" s="258" t="s">
        <v>163</v>
      </c>
      <c r="F317" s="259">
        <v>1</v>
      </c>
      <c r="G317" s="229">
        <f>+ESA_ESI!H44</f>
        <v>114770</v>
      </c>
      <c r="H317" s="229">
        <f>F317*G317</f>
        <v>114770</v>
      </c>
      <c r="I317" s="302" t="s">
        <v>225</v>
      </c>
      <c r="P317" s="418" t="s">
        <v>746</v>
      </c>
      <c r="Q317" s="419">
        <v>-1</v>
      </c>
      <c r="R317" s="419">
        <v>57135</v>
      </c>
      <c r="S317" s="419">
        <f>ESA_ESI!M44</f>
        <v>-57135</v>
      </c>
      <c r="T317" s="458"/>
      <c r="U317" s="458"/>
      <c r="V317" s="458"/>
      <c r="W317" s="458" t="s">
        <v>788</v>
      </c>
      <c r="X317" s="458"/>
      <c r="Y317" s="329">
        <v>40955</v>
      </c>
      <c r="Z317" s="329">
        <v>0</v>
      </c>
      <c r="AA317" s="330">
        <f>H317-Z317-Y317</f>
        <v>73815</v>
      </c>
      <c r="AB317" s="331" t="s">
        <v>765</v>
      </c>
    </row>
    <row r="318" spans="1:28" ht="12.75">
      <c r="A318" s="226">
        <f>+A317+1</f>
        <v>146</v>
      </c>
      <c r="B318" s="226"/>
      <c r="C318" s="241"/>
      <c r="D318" s="265" t="s">
        <v>159</v>
      </c>
      <c r="E318" s="258" t="s">
        <v>163</v>
      </c>
      <c r="F318" s="259">
        <v>1</v>
      </c>
      <c r="G318" s="229">
        <f>+ESA_ESI!H58</f>
        <v>9075</v>
      </c>
      <c r="H318" s="229">
        <f>F318*G318</f>
        <v>9075</v>
      </c>
      <c r="I318" s="302" t="s">
        <v>225</v>
      </c>
      <c r="P318" s="418" t="s">
        <v>746</v>
      </c>
      <c r="Q318" s="419">
        <v>-1</v>
      </c>
      <c r="R318" s="419">
        <v>270</v>
      </c>
      <c r="S318" s="419">
        <f>ESA_ESI!M58</f>
        <v>-270</v>
      </c>
      <c r="T318" s="458"/>
      <c r="U318" s="458"/>
      <c r="V318" s="458"/>
      <c r="W318" s="458" t="s">
        <v>788</v>
      </c>
      <c r="X318" s="458"/>
      <c r="Y318" s="317">
        <v>0</v>
      </c>
      <c r="Z318" s="317">
        <v>0</v>
      </c>
      <c r="AA318" s="324">
        <f>H318-Z318-Y318</f>
        <v>9075</v>
      </c>
      <c r="AB318" s="331" t="s">
        <v>765</v>
      </c>
    </row>
    <row r="319" spans="1:28" ht="13.5" thickBot="1">
      <c r="A319" s="226">
        <f>+A318+1</f>
        <v>147</v>
      </c>
      <c r="B319" s="226"/>
      <c r="C319" s="241"/>
      <c r="D319" s="265" t="s">
        <v>593</v>
      </c>
      <c r="E319" s="258" t="s">
        <v>163</v>
      </c>
      <c r="F319" s="259">
        <v>1</v>
      </c>
      <c r="G319" s="229">
        <f>+ESA_ESI!H63</f>
        <v>6192.25</v>
      </c>
      <c r="H319" s="229">
        <f>F319*G319</f>
        <v>6192.25</v>
      </c>
      <c r="I319" s="302" t="s">
        <v>225</v>
      </c>
      <c r="P319" s="418" t="s">
        <v>746</v>
      </c>
      <c r="Q319" s="419">
        <v>-1</v>
      </c>
      <c r="R319" s="419">
        <v>2870.25</v>
      </c>
      <c r="S319" s="419">
        <f>ESA_ESI!M63</f>
        <v>-2870.25</v>
      </c>
      <c r="T319" s="458"/>
      <c r="U319" s="458"/>
      <c r="V319" s="458"/>
      <c r="W319" s="458"/>
      <c r="X319" s="458"/>
      <c r="Y319" s="317">
        <v>0</v>
      </c>
      <c r="Z319" s="317">
        <v>0</v>
      </c>
      <c r="AA319" s="324">
        <f>H319-Z319-Y319</f>
        <v>6192.25</v>
      </c>
      <c r="AB319" s="331" t="s">
        <v>765</v>
      </c>
    </row>
    <row r="320" spans="1:28" ht="13.5" thickBot="1">
      <c r="A320" s="226"/>
      <c r="B320" s="226"/>
      <c r="C320" s="241"/>
      <c r="D320" s="215" t="s">
        <v>91</v>
      </c>
      <c r="E320" s="260"/>
      <c r="F320" s="261"/>
      <c r="G320" s="261"/>
      <c r="H320" s="246">
        <f>SUBTOTAL(9,H317:H319)</f>
        <v>130037.25</v>
      </c>
      <c r="P320" s="418"/>
      <c r="Q320" s="419"/>
      <c r="R320" s="419"/>
      <c r="S320" s="419"/>
      <c r="T320" s="458"/>
      <c r="U320" s="458"/>
      <c r="V320" s="458"/>
      <c r="W320" s="458"/>
      <c r="X320" s="458"/>
      <c r="Y320" s="317"/>
      <c r="Z320" s="317"/>
      <c r="AA320" s="324"/>
      <c r="AB320" s="342"/>
    </row>
    <row r="321" spans="1:28" ht="12.75">
      <c r="A321" s="226"/>
      <c r="B321" s="226"/>
      <c r="C321" s="241"/>
      <c r="D321" s="247"/>
      <c r="E321" s="248"/>
      <c r="F321" s="141"/>
      <c r="G321" s="141"/>
      <c r="H321" s="249"/>
      <c r="I321" s="302"/>
      <c r="P321" s="418"/>
      <c r="Q321" s="419"/>
      <c r="R321" s="419"/>
      <c r="S321" s="419"/>
      <c r="T321" s="458"/>
      <c r="U321" s="458"/>
      <c r="V321" s="458"/>
      <c r="W321" s="458"/>
      <c r="X321" s="458"/>
      <c r="Y321" s="317"/>
      <c r="Z321" s="317"/>
      <c r="AA321" s="324"/>
      <c r="AB321" s="342"/>
    </row>
    <row r="322" spans="1:28" ht="16.5">
      <c r="A322" s="226"/>
      <c r="B322" s="226"/>
      <c r="C322" s="250" t="s">
        <v>151</v>
      </c>
      <c r="D322" s="481" t="s">
        <v>263</v>
      </c>
      <c r="E322" s="481"/>
      <c r="F322" s="481"/>
      <c r="G322" s="481"/>
      <c r="H322" s="481"/>
      <c r="I322" s="302"/>
      <c r="P322" s="418"/>
      <c r="Q322" s="419"/>
      <c r="R322" s="425"/>
      <c r="S322" s="421"/>
      <c r="T322" s="458"/>
      <c r="U322" s="458"/>
      <c r="V322" s="458"/>
      <c r="W322" s="458"/>
      <c r="X322" s="458"/>
      <c r="Y322" s="317"/>
      <c r="Z322" s="317"/>
      <c r="AA322" s="324"/>
      <c r="AB322" s="342"/>
    </row>
    <row r="323" spans="1:28" ht="38.25" customHeight="1">
      <c r="A323" s="226"/>
      <c r="B323" s="226"/>
      <c r="C323" s="225"/>
      <c r="D323" s="495" t="s">
        <v>162</v>
      </c>
      <c r="E323" s="497"/>
      <c r="F323" s="497"/>
      <c r="G323" s="497"/>
      <c r="H323" s="497"/>
      <c r="I323" s="302"/>
      <c r="P323" s="460"/>
      <c r="Q323" s="461"/>
      <c r="R323" s="461"/>
      <c r="S323" s="461"/>
      <c r="T323" s="458"/>
      <c r="U323" s="458"/>
      <c r="V323" s="458"/>
      <c r="W323" s="458"/>
      <c r="X323" s="458"/>
      <c r="Y323" s="317"/>
      <c r="Z323" s="317"/>
      <c r="AA323" s="324"/>
      <c r="AB323" s="342"/>
    </row>
    <row r="324" spans="1:28" ht="12.75">
      <c r="A324" s="226">
        <f>+A319+1</f>
        <v>148</v>
      </c>
      <c r="B324" s="226"/>
      <c r="C324" s="241"/>
      <c r="D324" s="265" t="s">
        <v>214</v>
      </c>
      <c r="E324" s="258" t="s">
        <v>163</v>
      </c>
      <c r="F324" s="259">
        <v>1</v>
      </c>
      <c r="G324" s="229">
        <f>+ESA_ESI!H81</f>
        <v>7510</v>
      </c>
      <c r="H324" s="229">
        <f>F324*G324</f>
        <v>7510</v>
      </c>
      <c r="I324" s="302" t="s">
        <v>225</v>
      </c>
      <c r="P324" s="418"/>
      <c r="Q324" s="419"/>
      <c r="R324" s="419"/>
      <c r="S324" s="419"/>
      <c r="T324" s="458"/>
      <c r="U324" s="458"/>
      <c r="V324" s="458"/>
      <c r="W324" s="458"/>
      <c r="X324" s="458"/>
      <c r="Y324" s="329">
        <v>4754</v>
      </c>
      <c r="Z324" s="329">
        <v>0</v>
      </c>
      <c r="AA324" s="330">
        <f>H324-Z324-Y324</f>
        <v>2756</v>
      </c>
      <c r="AB324" s="331" t="s">
        <v>765</v>
      </c>
    </row>
    <row r="325" spans="1:28" ht="13.5" thickBot="1">
      <c r="A325" s="226">
        <f>A324+1</f>
        <v>149</v>
      </c>
      <c r="B325" s="226"/>
      <c r="C325" s="241"/>
      <c r="D325" s="265" t="s">
        <v>160</v>
      </c>
      <c r="E325" s="258" t="s">
        <v>163</v>
      </c>
      <c r="F325" s="259">
        <v>1</v>
      </c>
      <c r="G325" s="229">
        <f>+ESA_ESI!H86</f>
        <v>375.5</v>
      </c>
      <c r="H325" s="229">
        <f>F325*G325</f>
        <v>375.5</v>
      </c>
      <c r="I325" s="302" t="s">
        <v>225</v>
      </c>
      <c r="P325" s="418"/>
      <c r="Q325" s="419"/>
      <c r="R325" s="419"/>
      <c r="S325" s="419"/>
      <c r="T325" s="458"/>
      <c r="U325" s="458"/>
      <c r="V325" s="458"/>
      <c r="W325" s="458"/>
      <c r="X325" s="458"/>
      <c r="Y325" s="317">
        <v>0</v>
      </c>
      <c r="Z325" s="317">
        <v>0</v>
      </c>
      <c r="AA325" s="324">
        <f>H325-Z325-Y325</f>
        <v>375.5</v>
      </c>
      <c r="AB325" s="331" t="s">
        <v>765</v>
      </c>
    </row>
    <row r="326" spans="1:27" ht="13.5" thickBot="1">
      <c r="A326" s="226"/>
      <c r="B326" s="226"/>
      <c r="C326" s="241"/>
      <c r="D326" s="215" t="s">
        <v>91</v>
      </c>
      <c r="E326" s="260"/>
      <c r="F326" s="261"/>
      <c r="G326" s="261"/>
      <c r="H326" s="246">
        <f>SUBTOTAL(9,H324:H325)</f>
        <v>7885.5</v>
      </c>
      <c r="P326" s="418"/>
      <c r="Q326" s="419"/>
      <c r="R326" s="419"/>
      <c r="S326" s="419"/>
      <c r="T326" s="458"/>
      <c r="U326" s="458"/>
      <c r="V326" s="458"/>
      <c r="W326" s="458"/>
      <c r="X326" s="458"/>
      <c r="Y326" s="317"/>
      <c r="Z326" s="317"/>
      <c r="AA326" s="324"/>
    </row>
    <row r="327" spans="1:27" ht="14.25" customHeight="1" thickBot="1">
      <c r="A327" s="226"/>
      <c r="B327" s="226"/>
      <c r="C327" s="241"/>
      <c r="D327" s="247"/>
      <c r="E327" s="248"/>
      <c r="F327" s="141"/>
      <c r="G327" s="141"/>
      <c r="H327" s="249"/>
      <c r="I327" s="302"/>
      <c r="P327" s="418"/>
      <c r="Q327" s="419"/>
      <c r="R327" s="419"/>
      <c r="S327" s="419"/>
      <c r="T327" s="458"/>
      <c r="U327" s="458"/>
      <c r="V327" s="458"/>
      <c r="W327" s="458"/>
      <c r="X327" s="458"/>
      <c r="Y327" s="317"/>
      <c r="Z327" s="317"/>
      <c r="AA327" s="324"/>
    </row>
    <row r="328" spans="1:27" ht="16.5">
      <c r="A328" s="226"/>
      <c r="B328" s="226"/>
      <c r="C328" s="250" t="s">
        <v>152</v>
      </c>
      <c r="D328" s="501" t="s">
        <v>129</v>
      </c>
      <c r="E328" s="501"/>
      <c r="F328" s="501"/>
      <c r="G328" s="501"/>
      <c r="H328" s="501"/>
      <c r="I328" s="302"/>
      <c r="P328" s="418"/>
      <c r="Q328" s="419"/>
      <c r="R328" s="419"/>
      <c r="S328" s="419"/>
      <c r="T328" s="458"/>
      <c r="U328" s="458"/>
      <c r="V328" s="458"/>
      <c r="W328" s="458"/>
      <c r="X328" s="458"/>
      <c r="Y328" s="317"/>
      <c r="Z328" s="317"/>
      <c r="AA328" s="324"/>
    </row>
    <row r="329" spans="1:27" ht="63" customHeight="1">
      <c r="A329" s="226"/>
      <c r="B329" s="226"/>
      <c r="C329" s="225"/>
      <c r="D329" s="495" t="s">
        <v>165</v>
      </c>
      <c r="E329" s="495"/>
      <c r="F329" s="495"/>
      <c r="G329" s="495"/>
      <c r="H329" s="495"/>
      <c r="I329" s="302"/>
      <c r="P329" s="418"/>
      <c r="Q329" s="419"/>
      <c r="R329" s="419"/>
      <c r="S329" s="419"/>
      <c r="T329" s="458"/>
      <c r="U329" s="458"/>
      <c r="V329" s="458"/>
      <c r="W329" s="458"/>
      <c r="X329" s="458"/>
      <c r="Y329" s="317"/>
      <c r="Z329" s="317"/>
      <c r="AA329" s="324"/>
    </row>
    <row r="330" spans="1:28" ht="12.75">
      <c r="A330" s="226">
        <f>+A325+1</f>
        <v>150</v>
      </c>
      <c r="B330" s="42" t="s">
        <v>599</v>
      </c>
      <c r="C330" s="58" t="s">
        <v>102</v>
      </c>
      <c r="D330" s="41" t="s">
        <v>600</v>
      </c>
      <c r="E330" s="35" t="s">
        <v>93</v>
      </c>
      <c r="F330" s="44">
        <f>+F331</f>
        <v>5.7</v>
      </c>
      <c r="G330" s="29">
        <v>210</v>
      </c>
      <c r="H330" s="209">
        <f aca="true" t="shared" si="30" ref="H330:H350">F330*G330</f>
        <v>1197</v>
      </c>
      <c r="I330" s="39" t="s">
        <v>231</v>
      </c>
      <c r="P330" s="418"/>
      <c r="Q330" s="419"/>
      <c r="R330" s="419"/>
      <c r="S330" s="419"/>
      <c r="T330" s="458"/>
      <c r="U330" s="458"/>
      <c r="V330" s="458"/>
      <c r="W330" s="458"/>
      <c r="X330" s="458"/>
      <c r="Y330" s="316">
        <v>1197</v>
      </c>
      <c r="Z330" s="316">
        <v>0</v>
      </c>
      <c r="AA330" s="325">
        <v>0</v>
      </c>
      <c r="AB330" s="342">
        <f aca="true" t="shared" si="31" ref="AB330:AB343">H330-Y330-Z330</f>
        <v>0</v>
      </c>
    </row>
    <row r="331" spans="1:28" ht="25.5">
      <c r="A331" s="226">
        <f>+A330+1</f>
        <v>151</v>
      </c>
      <c r="B331" s="42" t="s">
        <v>601</v>
      </c>
      <c r="C331" s="46" t="s">
        <v>101</v>
      </c>
      <c r="D331" s="47" t="s">
        <v>602</v>
      </c>
      <c r="E331" s="48" t="s">
        <v>93</v>
      </c>
      <c r="F331" s="49">
        <f>1.7+4</f>
        <v>5.7</v>
      </c>
      <c r="G331" s="30">
        <v>198</v>
      </c>
      <c r="H331" s="256">
        <f t="shared" si="30"/>
        <v>1128.6000000000001</v>
      </c>
      <c r="I331" s="39" t="s">
        <v>231</v>
      </c>
      <c r="P331" s="418"/>
      <c r="Q331" s="419"/>
      <c r="R331" s="419"/>
      <c r="S331" s="419"/>
      <c r="T331" s="458"/>
      <c r="U331" s="458"/>
      <c r="V331" s="458"/>
      <c r="W331" s="458"/>
      <c r="X331" s="458"/>
      <c r="Y331" s="316">
        <v>1128.6</v>
      </c>
      <c r="Z331" s="316">
        <v>0</v>
      </c>
      <c r="AA331" s="325">
        <v>0</v>
      </c>
      <c r="AB331" s="342">
        <f t="shared" si="31"/>
        <v>2.2737367544323206E-13</v>
      </c>
    </row>
    <row r="332" spans="1:28" ht="12.75">
      <c r="A332" s="226">
        <f aca="true" t="shared" si="32" ref="A332:A351">+A331+1</f>
        <v>152</v>
      </c>
      <c r="B332" s="42" t="s">
        <v>603</v>
      </c>
      <c r="C332" s="46" t="s">
        <v>101</v>
      </c>
      <c r="D332" s="47" t="s">
        <v>604</v>
      </c>
      <c r="E332" s="48" t="s">
        <v>92</v>
      </c>
      <c r="F332" s="49">
        <v>2</v>
      </c>
      <c r="G332" s="30">
        <v>208</v>
      </c>
      <c r="H332" s="256">
        <f t="shared" si="30"/>
        <v>416</v>
      </c>
      <c r="I332" s="39" t="s">
        <v>231</v>
      </c>
      <c r="P332" s="418"/>
      <c r="Q332" s="419"/>
      <c r="R332" s="419"/>
      <c r="S332" s="419"/>
      <c r="T332" s="458"/>
      <c r="U332" s="458"/>
      <c r="V332" s="458"/>
      <c r="W332" s="458"/>
      <c r="X332" s="458"/>
      <c r="Y332" s="316">
        <v>416</v>
      </c>
      <c r="Z332" s="316">
        <v>0</v>
      </c>
      <c r="AA332" s="325">
        <v>0</v>
      </c>
      <c r="AB332" s="342">
        <f t="shared" si="31"/>
        <v>0</v>
      </c>
    </row>
    <row r="333" spans="1:28" ht="12.75">
      <c r="A333" s="226">
        <f t="shared" si="32"/>
        <v>153</v>
      </c>
      <c r="B333" s="42" t="s">
        <v>605</v>
      </c>
      <c r="C333" s="46" t="s">
        <v>101</v>
      </c>
      <c r="D333" s="47" t="s">
        <v>606</v>
      </c>
      <c r="E333" s="48" t="s">
        <v>92</v>
      </c>
      <c r="F333" s="49">
        <v>2</v>
      </c>
      <c r="G333" s="30">
        <v>312</v>
      </c>
      <c r="H333" s="256">
        <f t="shared" si="30"/>
        <v>624</v>
      </c>
      <c r="I333" s="39" t="s">
        <v>231</v>
      </c>
      <c r="P333" s="418"/>
      <c r="Q333" s="419"/>
      <c r="R333" s="419"/>
      <c r="S333" s="419"/>
      <c r="T333" s="458"/>
      <c r="U333" s="458"/>
      <c r="V333" s="458"/>
      <c r="W333" s="458"/>
      <c r="X333" s="458"/>
      <c r="Y333" s="316">
        <v>624</v>
      </c>
      <c r="Z333" s="316">
        <v>0</v>
      </c>
      <c r="AA333" s="325">
        <v>0</v>
      </c>
      <c r="AB333" s="342">
        <f t="shared" si="31"/>
        <v>0</v>
      </c>
    </row>
    <row r="334" spans="1:28" ht="12.75">
      <c r="A334" s="226">
        <f t="shared" si="32"/>
        <v>154</v>
      </c>
      <c r="B334" s="42" t="s">
        <v>607</v>
      </c>
      <c r="C334" s="46" t="s">
        <v>101</v>
      </c>
      <c r="D334" s="47" t="s">
        <v>608</v>
      </c>
      <c r="E334" s="48" t="s">
        <v>92</v>
      </c>
      <c r="F334" s="49">
        <v>1</v>
      </c>
      <c r="G334" s="30">
        <v>238</v>
      </c>
      <c r="H334" s="256">
        <f t="shared" si="30"/>
        <v>238</v>
      </c>
      <c r="I334" s="39" t="s">
        <v>231</v>
      </c>
      <c r="P334" s="418"/>
      <c r="Q334" s="419"/>
      <c r="R334" s="419"/>
      <c r="S334" s="419"/>
      <c r="T334" s="458"/>
      <c r="U334" s="458"/>
      <c r="V334" s="458"/>
      <c r="W334" s="458"/>
      <c r="X334" s="458"/>
      <c r="Y334" s="316">
        <v>238</v>
      </c>
      <c r="Z334" s="316">
        <v>0</v>
      </c>
      <c r="AA334" s="325">
        <v>0</v>
      </c>
      <c r="AB334" s="342">
        <f t="shared" si="31"/>
        <v>0</v>
      </c>
    </row>
    <row r="335" spans="1:28" ht="12.75">
      <c r="A335" s="226">
        <f t="shared" si="32"/>
        <v>155</v>
      </c>
      <c r="B335" s="42" t="s">
        <v>609</v>
      </c>
      <c r="C335" s="46" t="s">
        <v>101</v>
      </c>
      <c r="D335" s="47" t="s">
        <v>610</v>
      </c>
      <c r="E335" s="48" t="s">
        <v>92</v>
      </c>
      <c r="F335" s="49">
        <v>1</v>
      </c>
      <c r="G335" s="30">
        <v>151</v>
      </c>
      <c r="H335" s="256">
        <f t="shared" si="30"/>
        <v>151</v>
      </c>
      <c r="I335" s="39" t="s">
        <v>231</v>
      </c>
      <c r="P335" s="418"/>
      <c r="Q335" s="419"/>
      <c r="R335" s="419"/>
      <c r="S335" s="419"/>
      <c r="T335" s="458"/>
      <c r="U335" s="458"/>
      <c r="V335" s="458"/>
      <c r="W335" s="458"/>
      <c r="X335" s="458"/>
      <c r="Y335" s="316">
        <v>151</v>
      </c>
      <c r="Z335" s="316">
        <v>0</v>
      </c>
      <c r="AA335" s="325">
        <v>0</v>
      </c>
      <c r="AB335" s="342">
        <f t="shared" si="31"/>
        <v>0</v>
      </c>
    </row>
    <row r="336" spans="1:28" ht="12.75">
      <c r="A336" s="226">
        <f t="shared" si="32"/>
        <v>156</v>
      </c>
      <c r="B336" s="42" t="s">
        <v>611</v>
      </c>
      <c r="C336" s="46" t="s">
        <v>101</v>
      </c>
      <c r="D336" s="47" t="s">
        <v>612</v>
      </c>
      <c r="E336" s="48" t="s">
        <v>92</v>
      </c>
      <c r="F336" s="49">
        <v>1</v>
      </c>
      <c r="G336" s="30">
        <v>446</v>
      </c>
      <c r="H336" s="256">
        <f>F336*G336</f>
        <v>446</v>
      </c>
      <c r="I336" s="39" t="s">
        <v>231</v>
      </c>
      <c r="P336" s="418"/>
      <c r="Q336" s="419"/>
      <c r="R336" s="419"/>
      <c r="S336" s="419"/>
      <c r="T336" s="458"/>
      <c r="U336" s="458"/>
      <c r="V336" s="458"/>
      <c r="W336" s="458"/>
      <c r="X336" s="458"/>
      <c r="Y336" s="316">
        <v>446</v>
      </c>
      <c r="Z336" s="316">
        <v>0</v>
      </c>
      <c r="AA336" s="325">
        <v>0</v>
      </c>
      <c r="AB336" s="342">
        <f t="shared" si="31"/>
        <v>0</v>
      </c>
    </row>
    <row r="337" spans="1:28" ht="12.75">
      <c r="A337" s="226">
        <f t="shared" si="32"/>
        <v>157</v>
      </c>
      <c r="B337" s="42">
        <v>429853256</v>
      </c>
      <c r="C337" s="46" t="s">
        <v>101</v>
      </c>
      <c r="D337" s="47" t="s">
        <v>147</v>
      </c>
      <c r="E337" s="48" t="s">
        <v>92</v>
      </c>
      <c r="F337" s="49">
        <v>1</v>
      </c>
      <c r="G337" s="30">
        <v>889</v>
      </c>
      <c r="H337" s="256">
        <f>F337*G337</f>
        <v>889</v>
      </c>
      <c r="I337" s="39" t="s">
        <v>231</v>
      </c>
      <c r="P337" s="418"/>
      <c r="Q337" s="419"/>
      <c r="R337" s="419"/>
      <c r="S337" s="419"/>
      <c r="T337" s="458"/>
      <c r="U337" s="458"/>
      <c r="V337" s="458"/>
      <c r="W337" s="458"/>
      <c r="X337" s="458"/>
      <c r="Y337" s="316">
        <v>889</v>
      </c>
      <c r="Z337" s="316">
        <v>0</v>
      </c>
      <c r="AA337" s="325">
        <v>0</v>
      </c>
      <c r="AB337" s="342">
        <f t="shared" si="31"/>
        <v>0</v>
      </c>
    </row>
    <row r="338" spans="1:28" ht="25.5">
      <c r="A338" s="226">
        <f t="shared" si="32"/>
        <v>158</v>
      </c>
      <c r="B338" s="42" t="s">
        <v>613</v>
      </c>
      <c r="C338" s="46" t="s">
        <v>101</v>
      </c>
      <c r="D338" s="47" t="s">
        <v>614</v>
      </c>
      <c r="E338" s="48" t="s">
        <v>92</v>
      </c>
      <c r="F338" s="49">
        <v>2</v>
      </c>
      <c r="G338" s="30">
        <v>645</v>
      </c>
      <c r="H338" s="256">
        <f t="shared" si="30"/>
        <v>1290</v>
      </c>
      <c r="I338" s="39" t="s">
        <v>231</v>
      </c>
      <c r="P338" s="418"/>
      <c r="Q338" s="419"/>
      <c r="R338" s="419"/>
      <c r="S338" s="419"/>
      <c r="T338" s="458"/>
      <c r="U338" s="458"/>
      <c r="V338" s="458"/>
      <c r="W338" s="458"/>
      <c r="X338" s="458"/>
      <c r="Y338" s="316">
        <v>1290</v>
      </c>
      <c r="Z338" s="316">
        <v>0</v>
      </c>
      <c r="AA338" s="325">
        <v>0</v>
      </c>
      <c r="AB338" s="342">
        <f t="shared" si="31"/>
        <v>0</v>
      </c>
    </row>
    <row r="339" spans="1:28" ht="25.5">
      <c r="A339" s="226">
        <f t="shared" si="32"/>
        <v>159</v>
      </c>
      <c r="B339" s="42" t="s">
        <v>615</v>
      </c>
      <c r="C339" s="34" t="s">
        <v>102</v>
      </c>
      <c r="D339" s="41" t="s">
        <v>741</v>
      </c>
      <c r="E339" s="35" t="s">
        <v>92</v>
      </c>
      <c r="F339" s="44">
        <v>1</v>
      </c>
      <c r="G339" s="29">
        <v>830</v>
      </c>
      <c r="H339" s="209">
        <f t="shared" si="30"/>
        <v>830</v>
      </c>
      <c r="I339" s="39" t="s">
        <v>231</v>
      </c>
      <c r="P339" s="418"/>
      <c r="Q339" s="419"/>
      <c r="R339" s="419"/>
      <c r="S339" s="419"/>
      <c r="T339" s="458"/>
      <c r="U339" s="458"/>
      <c r="V339" s="458"/>
      <c r="W339" s="458"/>
      <c r="X339" s="458"/>
      <c r="Y339" s="316">
        <v>830</v>
      </c>
      <c r="Z339" s="316">
        <v>0</v>
      </c>
      <c r="AA339" s="325">
        <v>0</v>
      </c>
      <c r="AB339" s="342">
        <f t="shared" si="31"/>
        <v>0</v>
      </c>
    </row>
    <row r="340" spans="1:28" ht="25.5">
      <c r="A340" s="226">
        <f t="shared" si="32"/>
        <v>160</v>
      </c>
      <c r="B340" s="42" t="s">
        <v>616</v>
      </c>
      <c r="C340" s="46" t="s">
        <v>101</v>
      </c>
      <c r="D340" s="47" t="s">
        <v>617</v>
      </c>
      <c r="E340" s="48" t="s">
        <v>92</v>
      </c>
      <c r="F340" s="49">
        <v>1</v>
      </c>
      <c r="G340" s="30">
        <v>1060</v>
      </c>
      <c r="H340" s="256">
        <f t="shared" si="30"/>
        <v>1060</v>
      </c>
      <c r="I340" s="39" t="s">
        <v>231</v>
      </c>
      <c r="P340" s="418"/>
      <c r="Q340" s="419"/>
      <c r="R340" s="419"/>
      <c r="S340" s="419"/>
      <c r="T340" s="458"/>
      <c r="U340" s="458"/>
      <c r="V340" s="458"/>
      <c r="W340" s="458"/>
      <c r="X340" s="458"/>
      <c r="Y340" s="316">
        <v>1060</v>
      </c>
      <c r="Z340" s="316">
        <v>0</v>
      </c>
      <c r="AA340" s="325">
        <v>0</v>
      </c>
      <c r="AB340" s="342">
        <f t="shared" si="31"/>
        <v>0</v>
      </c>
    </row>
    <row r="341" spans="1:28" ht="25.5">
      <c r="A341" s="226">
        <f t="shared" si="32"/>
        <v>161</v>
      </c>
      <c r="B341" s="42" t="s">
        <v>620</v>
      </c>
      <c r="C341" s="34"/>
      <c r="D341" s="351" t="s">
        <v>621</v>
      </c>
      <c r="E341" s="35" t="s">
        <v>93</v>
      </c>
      <c r="F341" s="44">
        <v>2</v>
      </c>
      <c r="G341" s="29">
        <v>609</v>
      </c>
      <c r="H341" s="209">
        <f t="shared" si="30"/>
        <v>1218</v>
      </c>
      <c r="I341" s="39" t="s">
        <v>231</v>
      </c>
      <c r="P341" s="418"/>
      <c r="Q341" s="419"/>
      <c r="R341" s="419"/>
      <c r="S341" s="419"/>
      <c r="T341" s="458"/>
      <c r="U341" s="458"/>
      <c r="V341" s="458"/>
      <c r="W341" s="458"/>
      <c r="X341" s="458"/>
      <c r="Y341" s="316">
        <v>1218</v>
      </c>
      <c r="Z341" s="316">
        <v>0</v>
      </c>
      <c r="AA341" s="325">
        <v>0</v>
      </c>
      <c r="AB341" s="342">
        <f t="shared" si="31"/>
        <v>0</v>
      </c>
    </row>
    <row r="342" spans="1:28" ht="25.5">
      <c r="A342" s="226">
        <f t="shared" si="32"/>
        <v>162</v>
      </c>
      <c r="B342" s="42" t="s">
        <v>622</v>
      </c>
      <c r="C342" s="34"/>
      <c r="D342" s="41" t="s">
        <v>742</v>
      </c>
      <c r="E342" s="35" t="s">
        <v>92</v>
      </c>
      <c r="F342" s="44">
        <v>2</v>
      </c>
      <c r="G342" s="29">
        <v>191</v>
      </c>
      <c r="H342" s="209">
        <f>F342*G342</f>
        <v>382</v>
      </c>
      <c r="I342" s="39" t="s">
        <v>231</v>
      </c>
      <c r="N342" s="26"/>
      <c r="P342" s="418"/>
      <c r="Q342" s="419"/>
      <c r="R342" s="419"/>
      <c r="S342" s="419"/>
      <c r="T342" s="458"/>
      <c r="U342" s="458"/>
      <c r="V342" s="458"/>
      <c r="W342" s="458"/>
      <c r="X342" s="458"/>
      <c r="Y342" s="316">
        <v>0</v>
      </c>
      <c r="Z342" s="316">
        <v>382</v>
      </c>
      <c r="AA342" s="325">
        <v>0</v>
      </c>
      <c r="AB342" s="342">
        <f t="shared" si="31"/>
        <v>0</v>
      </c>
    </row>
    <row r="343" spans="1:28" ht="16.5">
      <c r="A343" s="226">
        <f t="shared" si="32"/>
        <v>163</v>
      </c>
      <c r="B343" s="42" t="s">
        <v>623</v>
      </c>
      <c r="C343" s="46"/>
      <c r="D343" s="47" t="s">
        <v>731</v>
      </c>
      <c r="E343" s="48" t="s">
        <v>92</v>
      </c>
      <c r="F343" s="49">
        <v>2</v>
      </c>
      <c r="G343" s="30">
        <v>2800</v>
      </c>
      <c r="H343" s="256">
        <f>F343*G343</f>
        <v>5600</v>
      </c>
      <c r="I343" s="39" t="s">
        <v>231</v>
      </c>
      <c r="J343"/>
      <c r="K343"/>
      <c r="N343" s="28"/>
      <c r="O343" s="27"/>
      <c r="P343" s="418"/>
      <c r="Q343" s="419"/>
      <c r="R343" s="419"/>
      <c r="S343" s="419"/>
      <c r="T343" s="458"/>
      <c r="U343" s="458"/>
      <c r="V343" s="458"/>
      <c r="W343" s="458"/>
      <c r="X343" s="458"/>
      <c r="Y343" s="317">
        <v>0</v>
      </c>
      <c r="Z343" s="317">
        <v>5600</v>
      </c>
      <c r="AA343" s="324">
        <v>0</v>
      </c>
      <c r="AB343" s="342">
        <f t="shared" si="31"/>
        <v>0</v>
      </c>
    </row>
    <row r="344" spans="1:28" ht="25.5">
      <c r="A344" s="226">
        <f t="shared" si="32"/>
        <v>164</v>
      </c>
      <c r="B344" s="42" t="s">
        <v>624</v>
      </c>
      <c r="C344" s="34" t="s">
        <v>102</v>
      </c>
      <c r="D344" s="41" t="s">
        <v>625</v>
      </c>
      <c r="E344" s="35" t="s">
        <v>93</v>
      </c>
      <c r="F344" s="44">
        <v>4</v>
      </c>
      <c r="G344" s="29">
        <v>1680</v>
      </c>
      <c r="H344" s="209">
        <f t="shared" si="30"/>
        <v>6720</v>
      </c>
      <c r="I344" s="39" t="s">
        <v>231</v>
      </c>
      <c r="J344"/>
      <c r="K344"/>
      <c r="P344" s="418" t="s">
        <v>751</v>
      </c>
      <c r="Q344" s="419">
        <v>11</v>
      </c>
      <c r="R344" s="419">
        <v>1680</v>
      </c>
      <c r="S344" s="419">
        <f>R344*Q344</f>
        <v>18480</v>
      </c>
      <c r="T344" s="458"/>
      <c r="U344" s="458"/>
      <c r="V344" s="458"/>
      <c r="W344" s="458" t="s">
        <v>778</v>
      </c>
      <c r="X344" s="458"/>
      <c r="Y344" s="317">
        <v>6720</v>
      </c>
      <c r="Z344" s="329">
        <v>0</v>
      </c>
      <c r="AA344" s="330">
        <v>0</v>
      </c>
      <c r="AB344" s="1" t="s">
        <v>766</v>
      </c>
    </row>
    <row r="345" spans="1:28" ht="25.5">
      <c r="A345" s="226">
        <f t="shared" si="32"/>
        <v>165</v>
      </c>
      <c r="B345" s="74" t="s">
        <v>626</v>
      </c>
      <c r="C345" s="75" t="s">
        <v>101</v>
      </c>
      <c r="D345" s="76" t="s">
        <v>627</v>
      </c>
      <c r="E345" s="77" t="s">
        <v>93</v>
      </c>
      <c r="F345" s="78">
        <v>4</v>
      </c>
      <c r="G345" s="30">
        <v>593</v>
      </c>
      <c r="H345" s="256">
        <f t="shared" si="30"/>
        <v>2372</v>
      </c>
      <c r="I345" s="39" t="s">
        <v>231</v>
      </c>
      <c r="J345"/>
      <c r="K345"/>
      <c r="P345" s="418" t="s">
        <v>751</v>
      </c>
      <c r="Q345" s="419">
        <v>3.5</v>
      </c>
      <c r="R345" s="419">
        <v>593</v>
      </c>
      <c r="S345" s="419">
        <f>R345*Q345</f>
        <v>2075.5</v>
      </c>
      <c r="T345" s="458"/>
      <c r="U345" s="458"/>
      <c r="V345" s="458"/>
      <c r="W345" s="458" t="s">
        <v>778</v>
      </c>
      <c r="X345" s="458"/>
      <c r="Y345" s="317">
        <v>2372</v>
      </c>
      <c r="Z345" s="329">
        <v>0</v>
      </c>
      <c r="AA345" s="330">
        <v>0</v>
      </c>
      <c r="AB345" s="1" t="s">
        <v>766</v>
      </c>
    </row>
    <row r="346" spans="1:28" ht="25.5">
      <c r="A346" s="226">
        <f t="shared" si="32"/>
        <v>166</v>
      </c>
      <c r="B346" s="74" t="s">
        <v>626</v>
      </c>
      <c r="C346" s="75" t="s">
        <v>101</v>
      </c>
      <c r="D346" s="76" t="s">
        <v>628</v>
      </c>
      <c r="E346" s="77" t="s">
        <v>93</v>
      </c>
      <c r="F346" s="70">
        <v>70</v>
      </c>
      <c r="G346" s="30">
        <v>890</v>
      </c>
      <c r="H346" s="256">
        <f t="shared" si="30"/>
        <v>62300</v>
      </c>
      <c r="I346" s="39" t="s">
        <v>231</v>
      </c>
      <c r="J346"/>
      <c r="K346"/>
      <c r="P346" s="418" t="s">
        <v>746</v>
      </c>
      <c r="Q346" s="419">
        <v>-62.5</v>
      </c>
      <c r="R346" s="419">
        <v>890</v>
      </c>
      <c r="S346" s="421">
        <f>Q346*R346</f>
        <v>-55625</v>
      </c>
      <c r="T346" s="458"/>
      <c r="U346" s="458"/>
      <c r="V346" s="458"/>
      <c r="W346" s="458" t="s">
        <v>778</v>
      </c>
      <c r="X346" s="458"/>
      <c r="Y346" s="317">
        <v>0</v>
      </c>
      <c r="Z346" s="317">
        <v>6675</v>
      </c>
      <c r="AA346" s="324">
        <v>55625</v>
      </c>
      <c r="AB346" s="328" t="s">
        <v>764</v>
      </c>
    </row>
    <row r="347" spans="1:28" ht="12.75">
      <c r="A347" s="226">
        <f t="shared" si="32"/>
        <v>167</v>
      </c>
      <c r="B347" s="74" t="s">
        <v>629</v>
      </c>
      <c r="C347" s="79" t="s">
        <v>630</v>
      </c>
      <c r="D347" s="351" t="s">
        <v>631</v>
      </c>
      <c r="E347" s="80" t="s">
        <v>92</v>
      </c>
      <c r="F347" s="81">
        <v>1</v>
      </c>
      <c r="G347" s="29">
        <v>287.5</v>
      </c>
      <c r="H347" s="209">
        <f t="shared" si="30"/>
        <v>287.5</v>
      </c>
      <c r="I347" s="39" t="s">
        <v>231</v>
      </c>
      <c r="J347"/>
      <c r="K347"/>
      <c r="P347" s="418"/>
      <c r="Q347" s="419"/>
      <c r="R347" s="419"/>
      <c r="S347" s="421"/>
      <c r="T347" s="458"/>
      <c r="U347" s="458"/>
      <c r="V347" s="458"/>
      <c r="W347" s="458" t="s">
        <v>811</v>
      </c>
      <c r="X347" s="458"/>
      <c r="Y347" s="317">
        <v>287.5</v>
      </c>
      <c r="Z347" s="317">
        <v>0</v>
      </c>
      <c r="AA347" s="324">
        <v>0</v>
      </c>
      <c r="AB347" s="342">
        <f>H347-Y347-Z347</f>
        <v>0</v>
      </c>
    </row>
    <row r="348" spans="1:28" ht="25.5">
      <c r="A348" s="226">
        <f t="shared" si="32"/>
        <v>168</v>
      </c>
      <c r="B348" s="74" t="s">
        <v>632</v>
      </c>
      <c r="C348" s="75" t="s">
        <v>101</v>
      </c>
      <c r="D348" s="350" t="s">
        <v>744</v>
      </c>
      <c r="E348" s="77" t="s">
        <v>89</v>
      </c>
      <c r="F348" s="78">
        <v>1</v>
      </c>
      <c r="G348" s="30">
        <v>888</v>
      </c>
      <c r="H348" s="256">
        <f t="shared" si="30"/>
        <v>888</v>
      </c>
      <c r="I348" s="39" t="s">
        <v>231</v>
      </c>
      <c r="J348"/>
      <c r="K348"/>
      <c r="P348" s="418"/>
      <c r="Q348" s="419"/>
      <c r="R348" s="419"/>
      <c r="S348" s="419"/>
      <c r="T348" s="458"/>
      <c r="U348" s="458"/>
      <c r="V348" s="458"/>
      <c r="W348" s="458" t="s">
        <v>789</v>
      </c>
      <c r="X348" s="458"/>
      <c r="Y348" s="317">
        <v>888</v>
      </c>
      <c r="Z348" s="317">
        <v>0</v>
      </c>
      <c r="AA348" s="324">
        <v>0</v>
      </c>
      <c r="AB348" s="342">
        <f>H348-Y348-Z348</f>
        <v>0</v>
      </c>
    </row>
    <row r="349" spans="1:28" ht="25.5">
      <c r="A349" s="226">
        <f t="shared" si="32"/>
        <v>169</v>
      </c>
      <c r="B349" s="42" t="s">
        <v>177</v>
      </c>
      <c r="C349" s="58"/>
      <c r="D349" s="41" t="s">
        <v>633</v>
      </c>
      <c r="E349" s="35" t="s">
        <v>89</v>
      </c>
      <c r="F349" s="44">
        <v>1</v>
      </c>
      <c r="G349" s="29">
        <v>1500</v>
      </c>
      <c r="H349" s="209">
        <f t="shared" si="30"/>
        <v>1500</v>
      </c>
      <c r="I349" s="39" t="s">
        <v>231</v>
      </c>
      <c r="N349" s="3" t="s">
        <v>248</v>
      </c>
      <c r="P349" s="418"/>
      <c r="Q349" s="419"/>
      <c r="R349" s="419"/>
      <c r="S349" s="419"/>
      <c r="T349" s="458"/>
      <c r="U349" s="458"/>
      <c r="V349" s="458"/>
      <c r="W349" s="458"/>
      <c r="X349" s="458"/>
      <c r="Y349" s="317">
        <v>1500</v>
      </c>
      <c r="Z349" s="317">
        <v>0</v>
      </c>
      <c r="AA349" s="324">
        <v>0</v>
      </c>
      <c r="AB349" s="342">
        <f>H349-Y349-Z349</f>
        <v>0</v>
      </c>
    </row>
    <row r="350" spans="1:28" ht="12.75">
      <c r="A350" s="226">
        <f t="shared" si="32"/>
        <v>170</v>
      </c>
      <c r="B350" s="42" t="s">
        <v>634</v>
      </c>
      <c r="C350" s="58"/>
      <c r="D350" s="41" t="s">
        <v>635</v>
      </c>
      <c r="E350" s="35" t="s">
        <v>89</v>
      </c>
      <c r="F350" s="44">
        <v>1</v>
      </c>
      <c r="G350" s="29">
        <v>2000</v>
      </c>
      <c r="H350" s="209">
        <f t="shared" si="30"/>
        <v>2000</v>
      </c>
      <c r="I350" s="39" t="s">
        <v>231</v>
      </c>
      <c r="P350" s="418"/>
      <c r="Q350" s="419"/>
      <c r="R350" s="419"/>
      <c r="S350" s="419"/>
      <c r="T350" s="458"/>
      <c r="U350" s="458"/>
      <c r="V350" s="458"/>
      <c r="W350" s="458"/>
      <c r="X350" s="458"/>
      <c r="Y350" s="317">
        <v>2000</v>
      </c>
      <c r="Z350" s="317">
        <v>0</v>
      </c>
      <c r="AA350" s="324">
        <v>0</v>
      </c>
      <c r="AB350" s="342">
        <f>H350-Y350-Z350</f>
        <v>0</v>
      </c>
    </row>
    <row r="351" spans="1:28" ht="13.5" thickBot="1">
      <c r="A351" s="226">
        <f t="shared" si="32"/>
        <v>171</v>
      </c>
      <c r="B351" s="227" t="s">
        <v>393</v>
      </c>
      <c r="C351" s="241"/>
      <c r="D351" s="265" t="s">
        <v>117</v>
      </c>
      <c r="E351" s="266" t="s">
        <v>98</v>
      </c>
      <c r="F351" s="259">
        <f>+H331+H332+H333+H334+H335+H336+H337+H338+H340+H343+H345+H346+H348</f>
        <v>77402.6</v>
      </c>
      <c r="G351" s="31">
        <v>0.05</v>
      </c>
      <c r="H351" s="267">
        <f>F351*G351</f>
        <v>3870.1300000000006</v>
      </c>
      <c r="I351" s="302" t="s">
        <v>231</v>
      </c>
      <c r="P351" s="418" t="s">
        <v>746</v>
      </c>
      <c r="Q351" s="419">
        <f>S346+S345+S344</f>
        <v>-35069.5</v>
      </c>
      <c r="R351" s="419">
        <v>0.05</v>
      </c>
      <c r="S351" s="421">
        <f>Q351/100*5</f>
        <v>-1753.475</v>
      </c>
      <c r="T351" s="458"/>
      <c r="U351" s="458"/>
      <c r="V351" s="458"/>
      <c r="W351" s="458" t="s">
        <v>778</v>
      </c>
      <c r="X351" s="458"/>
      <c r="Y351" s="317">
        <v>0</v>
      </c>
      <c r="Z351" s="317">
        <v>2116.6</v>
      </c>
      <c r="AA351" s="324">
        <v>1753.5</v>
      </c>
      <c r="AB351" s="328" t="s">
        <v>764</v>
      </c>
    </row>
    <row r="352" spans="1:27" ht="13.5" thickBot="1">
      <c r="A352" s="226"/>
      <c r="B352" s="226"/>
      <c r="C352" s="241"/>
      <c r="D352" s="215" t="s">
        <v>91</v>
      </c>
      <c r="E352" s="260"/>
      <c r="F352" s="261"/>
      <c r="G352" s="261"/>
      <c r="H352" s="246">
        <f>SUBTOTAL(9,H330:H351)</f>
        <v>95407.23000000001</v>
      </c>
      <c r="P352" s="418"/>
      <c r="Q352" s="419"/>
      <c r="R352" s="419"/>
      <c r="S352" s="421"/>
      <c r="T352" s="458"/>
      <c r="U352" s="458"/>
      <c r="V352" s="458"/>
      <c r="W352" s="458"/>
      <c r="X352" s="458"/>
      <c r="Y352" s="317"/>
      <c r="Z352" s="317"/>
      <c r="AA352" s="324"/>
    </row>
    <row r="353" spans="1:27" ht="12.75">
      <c r="A353" s="226"/>
      <c r="B353" s="226"/>
      <c r="C353" s="241"/>
      <c r="D353" s="247"/>
      <c r="E353" s="248"/>
      <c r="F353" s="141"/>
      <c r="G353" s="141"/>
      <c r="H353" s="249"/>
      <c r="I353" s="302"/>
      <c r="P353" s="418"/>
      <c r="Q353" s="419"/>
      <c r="R353" s="419"/>
      <c r="S353" s="421"/>
      <c r="T353" s="458"/>
      <c r="U353" s="458"/>
      <c r="V353" s="458"/>
      <c r="W353" s="458"/>
      <c r="X353" s="458"/>
      <c r="Y353" s="317"/>
      <c r="Z353" s="317"/>
      <c r="AA353" s="324"/>
    </row>
    <row r="354" spans="1:27" ht="16.5">
      <c r="A354" s="226"/>
      <c r="B354" s="226"/>
      <c r="C354" s="250" t="s">
        <v>153</v>
      </c>
      <c r="D354" s="481" t="s">
        <v>130</v>
      </c>
      <c r="E354" s="481"/>
      <c r="F354" s="481"/>
      <c r="G354" s="481"/>
      <c r="H354" s="481"/>
      <c r="I354" s="302"/>
      <c r="O354" s="3"/>
      <c r="P354" s="460"/>
      <c r="Q354" s="461"/>
      <c r="R354" s="473"/>
      <c r="S354" s="474"/>
      <c r="T354" s="458"/>
      <c r="U354" s="458"/>
      <c r="V354" s="458"/>
      <c r="W354" s="458"/>
      <c r="X354" s="458"/>
      <c r="Y354" s="317"/>
      <c r="Z354" s="317"/>
      <c r="AA354" s="324"/>
    </row>
    <row r="355" spans="1:27" ht="66.75" customHeight="1">
      <c r="A355" s="226"/>
      <c r="B355" s="226"/>
      <c r="C355" s="225"/>
      <c r="D355" s="495" t="s">
        <v>143</v>
      </c>
      <c r="E355" s="497"/>
      <c r="F355" s="497"/>
      <c r="G355" s="497"/>
      <c r="H355" s="497"/>
      <c r="I355" s="302"/>
      <c r="O355" s="3"/>
      <c r="P355" s="460"/>
      <c r="Q355" s="461"/>
      <c r="R355" s="461"/>
      <c r="S355" s="461"/>
      <c r="T355" s="458"/>
      <c r="U355" s="458"/>
      <c r="V355" s="458"/>
      <c r="W355" s="458"/>
      <c r="X355" s="458"/>
      <c r="Y355" s="317"/>
      <c r="Z355" s="317"/>
      <c r="AA355" s="324"/>
    </row>
    <row r="356" spans="1:28" ht="12.75">
      <c r="A356" s="226">
        <f>A351+1</f>
        <v>172</v>
      </c>
      <c r="B356" s="43" t="s">
        <v>636</v>
      </c>
      <c r="C356" s="205" t="s">
        <v>286</v>
      </c>
      <c r="D356" s="41" t="s">
        <v>637</v>
      </c>
      <c r="E356" s="207" t="s">
        <v>92</v>
      </c>
      <c r="F356" s="228">
        <v>4</v>
      </c>
      <c r="G356" s="29">
        <v>990</v>
      </c>
      <c r="H356" s="209">
        <f>F356*G356</f>
        <v>3960</v>
      </c>
      <c r="I356" s="39" t="s">
        <v>225</v>
      </c>
      <c r="J356"/>
      <c r="K356"/>
      <c r="O356" s="3"/>
      <c r="P356" s="460"/>
      <c r="Q356" s="461"/>
      <c r="R356" s="461"/>
      <c r="S356" s="461"/>
      <c r="T356" s="458"/>
      <c r="U356" s="458"/>
      <c r="V356" s="458"/>
      <c r="W356" s="458"/>
      <c r="X356" s="458"/>
      <c r="Y356" s="317">
        <v>0</v>
      </c>
      <c r="Z356" s="317">
        <v>0</v>
      </c>
      <c r="AA356" s="324">
        <v>3960</v>
      </c>
      <c r="AB356" s="342">
        <f aca="true" t="shared" si="33" ref="AB356:AB365">H356-Y356-Z356</f>
        <v>3960</v>
      </c>
    </row>
    <row r="357" spans="1:28" ht="12.75">
      <c r="A357" s="226"/>
      <c r="B357" s="43"/>
      <c r="C357" s="205"/>
      <c r="D357" s="62" t="s">
        <v>638</v>
      </c>
      <c r="E357" s="283">
        <v>3450</v>
      </c>
      <c r="F357" s="228"/>
      <c r="G357" s="29"/>
      <c r="H357" s="209"/>
      <c r="I357" s="39"/>
      <c r="J357"/>
      <c r="K357"/>
      <c r="O357" s="3"/>
      <c r="P357" s="460"/>
      <c r="Q357" s="461"/>
      <c r="R357" s="461"/>
      <c r="S357" s="461"/>
      <c r="T357" s="458"/>
      <c r="U357" s="458"/>
      <c r="V357" s="458"/>
      <c r="W357" s="458"/>
      <c r="X357" s="458"/>
      <c r="Y357" s="317"/>
      <c r="Z357" s="317"/>
      <c r="AA357" s="324"/>
      <c r="AB357" s="342">
        <f t="shared" si="33"/>
        <v>0</v>
      </c>
    </row>
    <row r="358" spans="1:28" ht="12.75">
      <c r="A358" s="226"/>
      <c r="B358" s="43"/>
      <c r="C358" s="205"/>
      <c r="D358" s="62" t="s">
        <v>639</v>
      </c>
      <c r="E358" s="283">
        <v>1030</v>
      </c>
      <c r="F358" s="228"/>
      <c r="G358" s="29"/>
      <c r="H358" s="209"/>
      <c r="I358" s="39"/>
      <c r="J358" s="63"/>
      <c r="K358"/>
      <c r="O358" s="3"/>
      <c r="P358" s="460"/>
      <c r="Q358" s="461"/>
      <c r="R358" s="461"/>
      <c r="S358" s="461"/>
      <c r="T358" s="458"/>
      <c r="U358" s="458"/>
      <c r="V358" s="458"/>
      <c r="W358" s="458"/>
      <c r="X358" s="458"/>
      <c r="Y358" s="317"/>
      <c r="Z358" s="317"/>
      <c r="AA358" s="324"/>
      <c r="AB358" s="342">
        <f t="shared" si="33"/>
        <v>0</v>
      </c>
    </row>
    <row r="359" spans="1:28" ht="12.75">
      <c r="A359" s="226"/>
      <c r="B359" s="43"/>
      <c r="C359" s="205"/>
      <c r="D359" s="62" t="s">
        <v>640</v>
      </c>
      <c r="E359" s="283">
        <v>600</v>
      </c>
      <c r="F359" s="228"/>
      <c r="G359" s="29"/>
      <c r="H359" s="209"/>
      <c r="I359" s="39"/>
      <c r="J359" s="63"/>
      <c r="K359"/>
      <c r="O359" s="3"/>
      <c r="P359" s="460"/>
      <c r="Q359" s="461"/>
      <c r="R359" s="461"/>
      <c r="S359" s="474"/>
      <c r="T359" s="458"/>
      <c r="U359" s="458"/>
      <c r="V359" s="458"/>
      <c r="W359" s="458"/>
      <c r="X359" s="458"/>
      <c r="Y359" s="317"/>
      <c r="Z359" s="317"/>
      <c r="AA359" s="324"/>
      <c r="AB359" s="342">
        <f t="shared" si="33"/>
        <v>0</v>
      </c>
    </row>
    <row r="360" spans="1:28" ht="12.75">
      <c r="A360" s="226"/>
      <c r="B360" s="43"/>
      <c r="C360" s="205"/>
      <c r="D360" s="62" t="s">
        <v>641</v>
      </c>
      <c r="E360" s="283">
        <v>200</v>
      </c>
      <c r="F360" s="228"/>
      <c r="G360" s="29"/>
      <c r="H360" s="209"/>
      <c r="I360" s="39"/>
      <c r="J360"/>
      <c r="K360"/>
      <c r="O360" s="3"/>
      <c r="P360" s="460"/>
      <c r="Q360" s="461"/>
      <c r="R360" s="461"/>
      <c r="S360" s="474"/>
      <c r="T360" s="458"/>
      <c r="U360" s="458"/>
      <c r="V360" s="458"/>
      <c r="W360" s="458"/>
      <c r="X360" s="458"/>
      <c r="Y360" s="317"/>
      <c r="Z360" s="317"/>
      <c r="AA360" s="324"/>
      <c r="AB360" s="342">
        <f t="shared" si="33"/>
        <v>0</v>
      </c>
    </row>
    <row r="361" spans="1:28" ht="12.75">
      <c r="A361" s="226"/>
      <c r="B361" s="43"/>
      <c r="C361" s="205"/>
      <c r="D361" s="62" t="s">
        <v>642</v>
      </c>
      <c r="E361" s="283">
        <v>750</v>
      </c>
      <c r="F361" s="228"/>
      <c r="G361" s="29"/>
      <c r="H361" s="209"/>
      <c r="I361" s="39"/>
      <c r="J361"/>
      <c r="K361"/>
      <c r="O361" s="3"/>
      <c r="P361" s="460"/>
      <c r="Q361" s="461"/>
      <c r="R361" s="461"/>
      <c r="S361" s="474"/>
      <c r="T361" s="458"/>
      <c r="U361" s="458"/>
      <c r="V361" s="458"/>
      <c r="W361" s="458"/>
      <c r="X361" s="458"/>
      <c r="Y361" s="317"/>
      <c r="Z361" s="317"/>
      <c r="AA361" s="324"/>
      <c r="AB361" s="342">
        <f t="shared" si="33"/>
        <v>0</v>
      </c>
    </row>
    <row r="362" spans="1:28" ht="25.5">
      <c r="A362" s="226">
        <f>+A356+1</f>
        <v>173</v>
      </c>
      <c r="B362" s="237" t="s">
        <v>643</v>
      </c>
      <c r="C362" s="252" t="s">
        <v>145</v>
      </c>
      <c r="D362" s="262" t="s">
        <v>284</v>
      </c>
      <c r="E362" s="253" t="s">
        <v>92</v>
      </c>
      <c r="F362" s="263">
        <v>1</v>
      </c>
      <c r="G362" s="30">
        <v>3525</v>
      </c>
      <c r="H362" s="256">
        <f aca="true" t="shared" si="34" ref="H362:H376">F362*G362</f>
        <v>3525</v>
      </c>
      <c r="I362" s="39" t="s">
        <v>225</v>
      </c>
      <c r="J362"/>
      <c r="K362"/>
      <c r="O362" s="3"/>
      <c r="P362" s="460"/>
      <c r="Q362" s="461"/>
      <c r="R362" s="461"/>
      <c r="S362" s="461"/>
      <c r="T362" s="458"/>
      <c r="U362" s="458"/>
      <c r="V362" s="458"/>
      <c r="W362" s="458"/>
      <c r="X362" s="458"/>
      <c r="Y362" s="317">
        <v>0</v>
      </c>
      <c r="Z362" s="317">
        <v>0</v>
      </c>
      <c r="AA362" s="324">
        <v>3525</v>
      </c>
      <c r="AB362" s="342">
        <f t="shared" si="33"/>
        <v>3525</v>
      </c>
    </row>
    <row r="363" spans="1:28" ht="25.5">
      <c r="A363" s="226">
        <f>+A362+1</f>
        <v>174</v>
      </c>
      <c r="B363" s="237" t="s">
        <v>644</v>
      </c>
      <c r="C363" s="252" t="s">
        <v>217</v>
      </c>
      <c r="D363" s="262" t="s">
        <v>285</v>
      </c>
      <c r="E363" s="253" t="s">
        <v>92</v>
      </c>
      <c r="F363" s="263">
        <v>1</v>
      </c>
      <c r="G363" s="30">
        <v>3526</v>
      </c>
      <c r="H363" s="256">
        <f t="shared" si="34"/>
        <v>3526</v>
      </c>
      <c r="I363" s="39" t="s">
        <v>225</v>
      </c>
      <c r="J363"/>
      <c r="K363"/>
      <c r="O363" s="3"/>
      <c r="P363" s="460"/>
      <c r="Q363" s="461"/>
      <c r="R363" s="461"/>
      <c r="S363" s="461"/>
      <c r="T363" s="458"/>
      <c r="U363" s="458"/>
      <c r="V363" s="458"/>
      <c r="W363" s="458"/>
      <c r="X363" s="458"/>
      <c r="Y363" s="317">
        <v>0</v>
      </c>
      <c r="Z363" s="317">
        <v>0</v>
      </c>
      <c r="AA363" s="324">
        <v>3526</v>
      </c>
      <c r="AB363" s="342">
        <f t="shared" si="33"/>
        <v>3526</v>
      </c>
    </row>
    <row r="364" spans="1:28" ht="25.5">
      <c r="A364" s="226">
        <f aca="true" t="shared" si="35" ref="A364:A377">+A363+1</f>
        <v>175</v>
      </c>
      <c r="B364" s="237" t="s">
        <v>643</v>
      </c>
      <c r="C364" s="252" t="s">
        <v>251</v>
      </c>
      <c r="D364" s="262" t="s">
        <v>284</v>
      </c>
      <c r="E364" s="253" t="s">
        <v>92</v>
      </c>
      <c r="F364" s="263">
        <v>1</v>
      </c>
      <c r="G364" s="30">
        <v>3525</v>
      </c>
      <c r="H364" s="256">
        <f t="shared" si="34"/>
        <v>3525</v>
      </c>
      <c r="I364" s="39" t="s">
        <v>225</v>
      </c>
      <c r="J364"/>
      <c r="K364"/>
      <c r="O364" s="3"/>
      <c r="P364" s="460"/>
      <c r="Q364" s="461"/>
      <c r="R364" s="461"/>
      <c r="S364" s="461"/>
      <c r="T364" s="458"/>
      <c r="U364" s="458"/>
      <c r="V364" s="458"/>
      <c r="W364" s="458"/>
      <c r="X364" s="458"/>
      <c r="Y364" s="317">
        <v>0</v>
      </c>
      <c r="Z364" s="317">
        <v>0</v>
      </c>
      <c r="AA364" s="324">
        <v>3525</v>
      </c>
      <c r="AB364" s="342">
        <f t="shared" si="33"/>
        <v>3525</v>
      </c>
    </row>
    <row r="365" spans="1:28" ht="12.75">
      <c r="A365" s="226">
        <f t="shared" si="35"/>
        <v>176</v>
      </c>
      <c r="B365" s="227" t="s">
        <v>645</v>
      </c>
      <c r="C365" s="252" t="s">
        <v>144</v>
      </c>
      <c r="D365" s="262" t="s">
        <v>646</v>
      </c>
      <c r="E365" s="253" t="s">
        <v>92</v>
      </c>
      <c r="F365" s="263">
        <v>1</v>
      </c>
      <c r="G365" s="30">
        <v>2500</v>
      </c>
      <c r="H365" s="256">
        <f t="shared" si="34"/>
        <v>2500</v>
      </c>
      <c r="I365" s="39" t="s">
        <v>225</v>
      </c>
      <c r="J365"/>
      <c r="K365"/>
      <c r="O365" s="3"/>
      <c r="P365" s="460"/>
      <c r="Q365" s="461"/>
      <c r="R365" s="461"/>
      <c r="S365" s="461"/>
      <c r="T365" s="458"/>
      <c r="U365" s="458"/>
      <c r="V365" s="458"/>
      <c r="W365" s="458"/>
      <c r="X365" s="458"/>
      <c r="Y365" s="317">
        <v>0</v>
      </c>
      <c r="Z365" s="317">
        <v>0</v>
      </c>
      <c r="AA365" s="324">
        <v>2500</v>
      </c>
      <c r="AB365" s="342">
        <f t="shared" si="33"/>
        <v>2500</v>
      </c>
    </row>
    <row r="366" spans="1:28" ht="25.5">
      <c r="A366" s="226">
        <f t="shared" si="35"/>
        <v>177</v>
      </c>
      <c r="B366" s="227" t="s">
        <v>647</v>
      </c>
      <c r="C366" s="252" t="s">
        <v>144</v>
      </c>
      <c r="D366" s="262" t="s">
        <v>648</v>
      </c>
      <c r="E366" s="253" t="s">
        <v>92</v>
      </c>
      <c r="F366" s="263">
        <v>1</v>
      </c>
      <c r="G366" s="30">
        <v>25000</v>
      </c>
      <c r="H366" s="256">
        <f t="shared" si="34"/>
        <v>25000</v>
      </c>
      <c r="I366" s="39" t="s">
        <v>225</v>
      </c>
      <c r="J366"/>
      <c r="K366"/>
      <c r="O366" s="3"/>
      <c r="P366" s="460"/>
      <c r="Q366" s="461"/>
      <c r="R366" s="461"/>
      <c r="S366" s="461"/>
      <c r="T366" s="458"/>
      <c r="U366" s="458"/>
      <c r="V366" s="458"/>
      <c r="W366" s="458"/>
      <c r="X366" s="458"/>
      <c r="Y366" s="317">
        <v>0</v>
      </c>
      <c r="Z366" s="317">
        <v>0</v>
      </c>
      <c r="AA366" s="324">
        <v>25000</v>
      </c>
      <c r="AB366" s="331" t="s">
        <v>765</v>
      </c>
    </row>
    <row r="367" spans="1:28" ht="38.25">
      <c r="A367" s="226">
        <f t="shared" si="35"/>
        <v>178</v>
      </c>
      <c r="B367" s="227" t="s">
        <v>649</v>
      </c>
      <c r="C367" s="252" t="s">
        <v>144</v>
      </c>
      <c r="D367" s="262" t="s">
        <v>650</v>
      </c>
      <c r="E367" s="253" t="s">
        <v>92</v>
      </c>
      <c r="F367" s="263">
        <v>1</v>
      </c>
      <c r="G367" s="30">
        <v>25000</v>
      </c>
      <c r="H367" s="256">
        <f t="shared" si="34"/>
        <v>25000</v>
      </c>
      <c r="I367" s="39" t="s">
        <v>225</v>
      </c>
      <c r="J367" s="26"/>
      <c r="K367"/>
      <c r="O367" s="3"/>
      <c r="P367" s="460" t="s">
        <v>746</v>
      </c>
      <c r="Q367" s="461">
        <v>-1</v>
      </c>
      <c r="R367" s="461">
        <v>25000</v>
      </c>
      <c r="S367" s="461">
        <v>-25000</v>
      </c>
      <c r="T367" s="458"/>
      <c r="U367" s="458"/>
      <c r="V367" s="458"/>
      <c r="W367" s="458" t="s">
        <v>745</v>
      </c>
      <c r="X367" s="458"/>
      <c r="Y367" s="317">
        <v>0</v>
      </c>
      <c r="Z367" s="317">
        <v>0</v>
      </c>
      <c r="AA367" s="324">
        <v>25000</v>
      </c>
      <c r="AB367" s="331" t="s">
        <v>765</v>
      </c>
    </row>
    <row r="368" spans="1:28" ht="12.75">
      <c r="A368" s="226">
        <f>+A367+1</f>
        <v>179</v>
      </c>
      <c r="B368" s="227" t="s">
        <v>651</v>
      </c>
      <c r="C368" s="205" t="s">
        <v>652</v>
      </c>
      <c r="D368" s="206" t="s">
        <v>653</v>
      </c>
      <c r="E368" s="207" t="s">
        <v>92</v>
      </c>
      <c r="F368" s="228">
        <v>1</v>
      </c>
      <c r="G368" s="29">
        <v>237</v>
      </c>
      <c r="H368" s="209">
        <f t="shared" si="34"/>
        <v>237</v>
      </c>
      <c r="I368" s="39" t="s">
        <v>231</v>
      </c>
      <c r="J368"/>
      <c r="K368"/>
      <c r="O368" s="3"/>
      <c r="P368" s="460"/>
      <c r="Q368" s="461"/>
      <c r="R368" s="461"/>
      <c r="S368" s="461"/>
      <c r="T368" s="458"/>
      <c r="U368" s="458"/>
      <c r="V368" s="458"/>
      <c r="W368" s="458"/>
      <c r="X368" s="458"/>
      <c r="Y368" s="317">
        <v>0</v>
      </c>
      <c r="Z368" s="317">
        <v>237</v>
      </c>
      <c r="AA368" s="324">
        <v>0</v>
      </c>
      <c r="AB368" s="342">
        <f aca="true" t="shared" si="36" ref="AB368:AB377">H368-Y368-Z368</f>
        <v>0</v>
      </c>
    </row>
    <row r="369" spans="1:28" ht="12.75">
      <c r="A369" s="226">
        <f t="shared" si="35"/>
        <v>180</v>
      </c>
      <c r="B369" s="227" t="s">
        <v>654</v>
      </c>
      <c r="C369" s="252" t="s">
        <v>287</v>
      </c>
      <c r="D369" s="262" t="s">
        <v>288</v>
      </c>
      <c r="E369" s="253" t="s">
        <v>92</v>
      </c>
      <c r="F369" s="263">
        <v>1</v>
      </c>
      <c r="G369" s="30">
        <v>9100</v>
      </c>
      <c r="H369" s="256">
        <f t="shared" si="34"/>
        <v>9100</v>
      </c>
      <c r="I369" s="39" t="s">
        <v>231</v>
      </c>
      <c r="J369"/>
      <c r="K369"/>
      <c r="O369" s="3"/>
      <c r="P369" s="460"/>
      <c r="Q369" s="461"/>
      <c r="R369" s="461"/>
      <c r="S369" s="461"/>
      <c r="T369" s="458"/>
      <c r="U369" s="458"/>
      <c r="V369" s="458"/>
      <c r="W369" s="458"/>
      <c r="X369" s="458"/>
      <c r="Y369" s="317">
        <v>0</v>
      </c>
      <c r="Z369" s="317">
        <v>9100</v>
      </c>
      <c r="AA369" s="324">
        <v>0</v>
      </c>
      <c r="AB369" s="342">
        <f t="shared" si="36"/>
        <v>0</v>
      </c>
    </row>
    <row r="370" spans="1:28" ht="63.75">
      <c r="A370" s="226">
        <f t="shared" si="35"/>
        <v>181</v>
      </c>
      <c r="B370" s="227" t="s">
        <v>655</v>
      </c>
      <c r="C370" s="205"/>
      <c r="D370" s="265" t="s">
        <v>656</v>
      </c>
      <c r="E370" s="207" t="s">
        <v>90</v>
      </c>
      <c r="F370" s="228">
        <f>3*(1.2*2.25)</f>
        <v>8.1</v>
      </c>
      <c r="G370" s="29">
        <v>4800</v>
      </c>
      <c r="H370" s="209">
        <f t="shared" si="34"/>
        <v>38880</v>
      </c>
      <c r="I370" s="39" t="s">
        <v>225</v>
      </c>
      <c r="J370"/>
      <c r="K370"/>
      <c r="O370" s="3"/>
      <c r="P370" s="460"/>
      <c r="Q370" s="461"/>
      <c r="R370" s="461"/>
      <c r="S370" s="461"/>
      <c r="T370" s="458"/>
      <c r="U370" s="458"/>
      <c r="V370" s="458"/>
      <c r="W370" s="458"/>
      <c r="X370" s="458"/>
      <c r="Y370" s="317">
        <v>0</v>
      </c>
      <c r="Z370" s="317">
        <v>38880</v>
      </c>
      <c r="AA370" s="324">
        <v>0</v>
      </c>
      <c r="AB370" s="342">
        <f t="shared" si="36"/>
        <v>0</v>
      </c>
    </row>
    <row r="371" spans="1:28" ht="25.5">
      <c r="A371" s="226">
        <f t="shared" si="35"/>
        <v>182</v>
      </c>
      <c r="B371" s="227" t="s">
        <v>657</v>
      </c>
      <c r="C371" s="205"/>
      <c r="D371" s="206" t="s">
        <v>658</v>
      </c>
      <c r="E371" s="207" t="s">
        <v>92</v>
      </c>
      <c r="F371" s="228">
        <f>+G372</f>
        <v>28317</v>
      </c>
      <c r="G371" s="32">
        <v>0.5</v>
      </c>
      <c r="H371" s="209">
        <f t="shared" si="34"/>
        <v>14158.5</v>
      </c>
      <c r="I371" s="39" t="s">
        <v>231</v>
      </c>
      <c r="J371"/>
      <c r="K371"/>
      <c r="O371" s="3"/>
      <c r="P371" s="460"/>
      <c r="Q371" s="461"/>
      <c r="R371" s="461"/>
      <c r="S371" s="461"/>
      <c r="T371" s="458"/>
      <c r="U371" s="458"/>
      <c r="V371" s="458"/>
      <c r="W371" s="458" t="s">
        <v>791</v>
      </c>
      <c r="X371" s="458"/>
      <c r="Y371" s="317">
        <v>0</v>
      </c>
      <c r="Z371" s="317">
        <v>14158.5</v>
      </c>
      <c r="AA371" s="324">
        <v>0</v>
      </c>
      <c r="AB371" s="342">
        <f t="shared" si="36"/>
        <v>0</v>
      </c>
    </row>
    <row r="372" spans="1:28" ht="38.25">
      <c r="A372" s="226">
        <f t="shared" si="35"/>
        <v>183</v>
      </c>
      <c r="B372" s="227" t="s">
        <v>659</v>
      </c>
      <c r="C372" s="252" t="s">
        <v>101</v>
      </c>
      <c r="D372" s="262" t="s">
        <v>813</v>
      </c>
      <c r="E372" s="253" t="s">
        <v>89</v>
      </c>
      <c r="F372" s="70">
        <v>1</v>
      </c>
      <c r="G372" s="30">
        <v>28317</v>
      </c>
      <c r="H372" s="256">
        <f t="shared" si="34"/>
        <v>28317</v>
      </c>
      <c r="I372" s="39" t="s">
        <v>231</v>
      </c>
      <c r="J372"/>
      <c r="K372"/>
      <c r="O372" s="3"/>
      <c r="P372" s="460" t="s">
        <v>746</v>
      </c>
      <c r="Q372" s="461">
        <v>-1</v>
      </c>
      <c r="R372" s="461">
        <v>2317</v>
      </c>
      <c r="S372" s="461">
        <f>Q372*R372</f>
        <v>-2317</v>
      </c>
      <c r="T372" s="458"/>
      <c r="U372" s="458"/>
      <c r="V372" s="458"/>
      <c r="W372" s="458" t="s">
        <v>790</v>
      </c>
      <c r="X372" s="458"/>
      <c r="Y372" s="317">
        <v>0</v>
      </c>
      <c r="Z372" s="317">
        <v>28317</v>
      </c>
      <c r="AA372" s="324">
        <v>0</v>
      </c>
      <c r="AB372" s="342">
        <f t="shared" si="36"/>
        <v>0</v>
      </c>
    </row>
    <row r="373" spans="1:28" ht="25.5">
      <c r="A373" s="226">
        <f>+A372+1</f>
        <v>184</v>
      </c>
      <c r="B373" s="227" t="s">
        <v>660</v>
      </c>
      <c r="C373" s="252" t="s">
        <v>101</v>
      </c>
      <c r="D373" s="262" t="s">
        <v>661</v>
      </c>
      <c r="E373" s="253" t="s">
        <v>92</v>
      </c>
      <c r="F373" s="263">
        <v>1</v>
      </c>
      <c r="G373" s="30">
        <v>3269</v>
      </c>
      <c r="H373" s="256">
        <f t="shared" si="34"/>
        <v>3269</v>
      </c>
      <c r="I373" s="39" t="s">
        <v>231</v>
      </c>
      <c r="J373"/>
      <c r="K373"/>
      <c r="O373" s="3"/>
      <c r="P373" s="460"/>
      <c r="Q373" s="461"/>
      <c r="R373" s="461"/>
      <c r="S373" s="461"/>
      <c r="T373" s="458"/>
      <c r="U373" s="458"/>
      <c r="V373" s="458"/>
      <c r="W373" s="458"/>
      <c r="X373" s="458"/>
      <c r="Y373" s="317">
        <v>0</v>
      </c>
      <c r="Z373" s="317">
        <v>3269</v>
      </c>
      <c r="AA373" s="324">
        <v>0</v>
      </c>
      <c r="AB373" s="342">
        <f t="shared" si="36"/>
        <v>0</v>
      </c>
    </row>
    <row r="374" spans="1:28" ht="12.75">
      <c r="A374" s="226">
        <f t="shared" si="35"/>
        <v>185</v>
      </c>
      <c r="B374" s="227" t="s">
        <v>662</v>
      </c>
      <c r="C374" s="252" t="s">
        <v>101</v>
      </c>
      <c r="D374" s="262" t="s">
        <v>283</v>
      </c>
      <c r="E374" s="253" t="s">
        <v>92</v>
      </c>
      <c r="F374" s="263">
        <v>1</v>
      </c>
      <c r="G374" s="30">
        <v>5350</v>
      </c>
      <c r="H374" s="256">
        <f t="shared" si="34"/>
        <v>5350</v>
      </c>
      <c r="I374" s="39" t="s">
        <v>231</v>
      </c>
      <c r="J374"/>
      <c r="K374"/>
      <c r="O374" s="3"/>
      <c r="P374" s="460"/>
      <c r="Q374" s="461"/>
      <c r="R374" s="461"/>
      <c r="S374" s="461"/>
      <c r="T374" s="458"/>
      <c r="U374" s="458"/>
      <c r="V374" s="458"/>
      <c r="W374" s="458"/>
      <c r="X374" s="458"/>
      <c r="Y374" s="317">
        <v>0</v>
      </c>
      <c r="Z374" s="317">
        <v>5350</v>
      </c>
      <c r="AA374" s="324">
        <v>0</v>
      </c>
      <c r="AB374" s="342">
        <f t="shared" si="36"/>
        <v>0</v>
      </c>
    </row>
    <row r="375" spans="1:28" ht="39.75" customHeight="1">
      <c r="A375" s="226">
        <f t="shared" si="35"/>
        <v>186</v>
      </c>
      <c r="B375" s="227" t="s">
        <v>663</v>
      </c>
      <c r="C375" s="252" t="s">
        <v>101</v>
      </c>
      <c r="D375" s="262" t="s">
        <v>730</v>
      </c>
      <c r="E375" s="253" t="s">
        <v>92</v>
      </c>
      <c r="F375" s="49">
        <v>1</v>
      </c>
      <c r="G375" s="30">
        <v>18000</v>
      </c>
      <c r="H375" s="68">
        <f t="shared" si="34"/>
        <v>18000</v>
      </c>
      <c r="I375" s="69" t="s">
        <v>231</v>
      </c>
      <c r="J375" s="40"/>
      <c r="K375" s="45"/>
      <c r="O375" s="3"/>
      <c r="P375" s="460"/>
      <c r="Q375" s="461"/>
      <c r="R375" s="461"/>
      <c r="S375" s="461"/>
      <c r="T375" s="458"/>
      <c r="U375" s="458"/>
      <c r="V375" s="458"/>
      <c r="W375" s="458"/>
      <c r="X375" s="458"/>
      <c r="Y375" s="317">
        <v>0</v>
      </c>
      <c r="Z375" s="317">
        <v>18000</v>
      </c>
      <c r="AA375" s="324">
        <v>0</v>
      </c>
      <c r="AB375" s="342">
        <f t="shared" si="36"/>
        <v>0</v>
      </c>
    </row>
    <row r="376" spans="1:28" ht="25.5">
      <c r="A376" s="226">
        <f t="shared" si="35"/>
        <v>187</v>
      </c>
      <c r="B376" s="227" t="s">
        <v>664</v>
      </c>
      <c r="C376" s="205" t="s">
        <v>156</v>
      </c>
      <c r="D376" s="206" t="s">
        <v>311</v>
      </c>
      <c r="E376" s="207" t="s">
        <v>92</v>
      </c>
      <c r="F376" s="228">
        <v>1</v>
      </c>
      <c r="G376" s="29">
        <v>3100</v>
      </c>
      <c r="H376" s="209">
        <f t="shared" si="34"/>
        <v>3100</v>
      </c>
      <c r="I376" s="39" t="s">
        <v>231</v>
      </c>
      <c r="J376"/>
      <c r="K376"/>
      <c r="O376" s="3"/>
      <c r="P376" s="460"/>
      <c r="Q376" s="461"/>
      <c r="R376" s="461"/>
      <c r="S376" s="461"/>
      <c r="T376" s="458"/>
      <c r="U376" s="458"/>
      <c r="V376" s="458"/>
      <c r="W376" s="458"/>
      <c r="X376" s="458"/>
      <c r="Y376" s="317">
        <v>0</v>
      </c>
      <c r="Z376" s="317">
        <v>3100</v>
      </c>
      <c r="AA376" s="324">
        <v>0</v>
      </c>
      <c r="AB376" s="342">
        <f t="shared" si="36"/>
        <v>0</v>
      </c>
    </row>
    <row r="377" spans="1:28" ht="13.5" thickBot="1">
      <c r="A377" s="226">
        <f t="shared" si="35"/>
        <v>188</v>
      </c>
      <c r="B377" s="227" t="s">
        <v>393</v>
      </c>
      <c r="C377" s="241"/>
      <c r="D377" s="265" t="s">
        <v>117</v>
      </c>
      <c r="E377" s="266" t="s">
        <v>98</v>
      </c>
      <c r="F377" s="259">
        <f>+H362+H363+H364+H365+H366+H367+H369+H372+H373+H374+H375+H376</f>
        <v>130212</v>
      </c>
      <c r="G377" s="31">
        <v>0.05</v>
      </c>
      <c r="H377" s="267">
        <f>F377*G377</f>
        <v>6510.6</v>
      </c>
      <c r="I377" s="302" t="s">
        <v>231</v>
      </c>
      <c r="O377" s="3"/>
      <c r="P377" s="460" t="s">
        <v>746</v>
      </c>
      <c r="Q377" s="461">
        <f>S367+S372</f>
        <v>-27317</v>
      </c>
      <c r="R377" s="461">
        <v>0.05</v>
      </c>
      <c r="S377" s="461">
        <v>-1365.85</v>
      </c>
      <c r="T377" s="458"/>
      <c r="U377" s="458"/>
      <c r="V377" s="458"/>
      <c r="W377" s="458"/>
      <c r="X377" s="458"/>
      <c r="Y377" s="317">
        <v>0</v>
      </c>
      <c r="Z377" s="317">
        <v>6510.6</v>
      </c>
      <c r="AA377" s="324">
        <v>0</v>
      </c>
      <c r="AB377" s="342">
        <f t="shared" si="36"/>
        <v>0</v>
      </c>
    </row>
    <row r="378" spans="1:27" ht="13.5" thickBot="1">
      <c r="A378" s="226"/>
      <c r="B378" s="226"/>
      <c r="C378" s="241"/>
      <c r="D378" s="215" t="s">
        <v>91</v>
      </c>
      <c r="E378" s="260"/>
      <c r="F378" s="261"/>
      <c r="G378" s="261"/>
      <c r="H378" s="246">
        <f>SUBTOTAL(9,H356:H377)</f>
        <v>193958.1</v>
      </c>
      <c r="O378" s="3"/>
      <c r="P378" s="460"/>
      <c r="Q378" s="461"/>
      <c r="R378" s="461"/>
      <c r="S378" s="461"/>
      <c r="T378" s="458"/>
      <c r="U378" s="458"/>
      <c r="V378" s="458"/>
      <c r="W378" s="458"/>
      <c r="X378" s="458"/>
      <c r="Y378" s="317"/>
      <c r="Z378" s="317"/>
      <c r="AA378" s="324"/>
    </row>
    <row r="379" spans="1:27" ht="12.75">
      <c r="A379" s="226"/>
      <c r="B379" s="226"/>
      <c r="C379" s="241"/>
      <c r="D379" s="247"/>
      <c r="E379" s="248"/>
      <c r="F379" s="141"/>
      <c r="G379" s="141"/>
      <c r="H379" s="249"/>
      <c r="I379" s="302"/>
      <c r="N379" s="3" t="s">
        <v>248</v>
      </c>
      <c r="O379" s="3"/>
      <c r="P379" s="460"/>
      <c r="Q379" s="461"/>
      <c r="R379" s="461"/>
      <c r="S379" s="461"/>
      <c r="T379" s="458"/>
      <c r="U379" s="458"/>
      <c r="V379" s="458"/>
      <c r="W379" s="458"/>
      <c r="X379" s="458"/>
      <c r="Y379" s="317"/>
      <c r="Z379" s="317"/>
      <c r="AA379" s="324"/>
    </row>
    <row r="380" spans="1:27" ht="16.5">
      <c r="A380" s="226"/>
      <c r="B380" s="226"/>
      <c r="C380" s="250" t="s">
        <v>154</v>
      </c>
      <c r="D380" s="481" t="s">
        <v>116</v>
      </c>
      <c r="E380" s="481"/>
      <c r="F380" s="481"/>
      <c r="G380" s="481"/>
      <c r="H380" s="481"/>
      <c r="I380" s="302"/>
      <c r="O380" s="3"/>
      <c r="P380" s="460"/>
      <c r="Q380" s="461"/>
      <c r="R380" s="461"/>
      <c r="S380" s="461"/>
      <c r="T380" s="458"/>
      <c r="U380" s="458"/>
      <c r="V380" s="458"/>
      <c r="W380" s="458"/>
      <c r="X380" s="458"/>
      <c r="Y380" s="317"/>
      <c r="Z380" s="317"/>
      <c r="AA380" s="324"/>
    </row>
    <row r="381" spans="1:27" ht="66.75" customHeight="1">
      <c r="A381" s="226"/>
      <c r="B381" s="226"/>
      <c r="C381" s="225"/>
      <c r="D381" s="495" t="s">
        <v>143</v>
      </c>
      <c r="E381" s="495"/>
      <c r="F381" s="495"/>
      <c r="G381" s="495"/>
      <c r="H381" s="495"/>
      <c r="I381" s="302"/>
      <c r="O381" s="3"/>
      <c r="P381" s="460"/>
      <c r="Q381" s="461"/>
      <c r="R381" s="461"/>
      <c r="S381" s="461"/>
      <c r="T381" s="458"/>
      <c r="U381" s="458"/>
      <c r="V381" s="458"/>
      <c r="W381" s="458"/>
      <c r="X381" s="458"/>
      <c r="Y381" s="317"/>
      <c r="Z381" s="317"/>
      <c r="AA381" s="324"/>
    </row>
    <row r="382" spans="1:28" ht="12.75">
      <c r="A382" s="226">
        <f>A377+1</f>
        <v>189</v>
      </c>
      <c r="B382" s="42" t="s">
        <v>665</v>
      </c>
      <c r="C382" s="58" t="s">
        <v>102</v>
      </c>
      <c r="D382" s="41" t="s">
        <v>666</v>
      </c>
      <c r="E382" s="35" t="s">
        <v>104</v>
      </c>
      <c r="F382" s="228">
        <f>+F383</f>
        <v>10.633000000000001</v>
      </c>
      <c r="G382" s="29">
        <v>15</v>
      </c>
      <c r="H382" s="209">
        <f>F382*G382</f>
        <v>159.495</v>
      </c>
      <c r="I382" s="39" t="s">
        <v>225</v>
      </c>
      <c r="P382" s="418"/>
      <c r="Q382" s="419"/>
      <c r="R382" s="419"/>
      <c r="S382" s="419"/>
      <c r="T382" s="458"/>
      <c r="U382" s="458"/>
      <c r="V382" s="458"/>
      <c r="W382" s="458"/>
      <c r="X382" s="458"/>
      <c r="Y382" s="317">
        <v>159.5</v>
      </c>
      <c r="Z382" s="317">
        <v>0</v>
      </c>
      <c r="AA382" s="324">
        <v>0</v>
      </c>
      <c r="AB382" s="342">
        <f aca="true" t="shared" si="37" ref="AB382:AB390">H382-Y382-Z382</f>
        <v>-0.0049999999999954525</v>
      </c>
    </row>
    <row r="383" spans="1:28" ht="12.75">
      <c r="A383" s="226">
        <f>A382+1</f>
        <v>190</v>
      </c>
      <c r="B383" s="64" t="s">
        <v>667</v>
      </c>
      <c r="C383" s="252" t="s">
        <v>668</v>
      </c>
      <c r="D383" s="262" t="s">
        <v>491</v>
      </c>
      <c r="E383" s="253" t="s">
        <v>104</v>
      </c>
      <c r="F383" s="263">
        <f>3.1*3.43</f>
        <v>10.633000000000001</v>
      </c>
      <c r="G383" s="65">
        <v>50</v>
      </c>
      <c r="H383" s="256">
        <f>F383*G383</f>
        <v>531.6500000000001</v>
      </c>
      <c r="I383" s="39" t="s">
        <v>225</v>
      </c>
      <c r="P383" s="418"/>
      <c r="Q383" s="419"/>
      <c r="R383" s="419"/>
      <c r="S383" s="419"/>
      <c r="T383" s="458"/>
      <c r="U383" s="458"/>
      <c r="V383" s="458"/>
      <c r="W383" s="458"/>
      <c r="X383" s="458"/>
      <c r="Y383" s="317">
        <v>531.7</v>
      </c>
      <c r="Z383" s="317">
        <v>0</v>
      </c>
      <c r="AA383" s="324">
        <v>0</v>
      </c>
      <c r="AB383" s="342">
        <f t="shared" si="37"/>
        <v>-0.049999999999954525</v>
      </c>
    </row>
    <row r="384" spans="1:28" ht="12.75">
      <c r="A384" s="226">
        <f>A383+1</f>
        <v>191</v>
      </c>
      <c r="B384" s="240" t="s">
        <v>677</v>
      </c>
      <c r="C384" s="205" t="s">
        <v>156</v>
      </c>
      <c r="D384" s="206" t="s">
        <v>678</v>
      </c>
      <c r="E384" s="207" t="s">
        <v>90</v>
      </c>
      <c r="F384" s="228">
        <f>+E385</f>
        <v>0.6448</v>
      </c>
      <c r="G384" s="29">
        <v>30</v>
      </c>
      <c r="H384" s="209">
        <f>F384*G384</f>
        <v>19.344</v>
      </c>
      <c r="I384" s="39" t="s">
        <v>225</v>
      </c>
      <c r="P384" s="418"/>
      <c r="Q384" s="419"/>
      <c r="R384" s="419"/>
      <c r="S384" s="419"/>
      <c r="T384" s="458"/>
      <c r="U384" s="458"/>
      <c r="V384" s="458"/>
      <c r="W384" s="458"/>
      <c r="X384" s="458"/>
      <c r="Y384" s="317">
        <v>19.3</v>
      </c>
      <c r="Z384" s="317">
        <v>0</v>
      </c>
      <c r="AA384" s="324">
        <v>0</v>
      </c>
      <c r="AB384" s="342">
        <f t="shared" si="37"/>
        <v>0.04400000000000048</v>
      </c>
    </row>
    <row r="385" spans="1:28" ht="12.75">
      <c r="A385" s="226"/>
      <c r="B385" s="240"/>
      <c r="C385" s="205"/>
      <c r="D385" s="284" t="s">
        <v>679</v>
      </c>
      <c r="E385" s="285">
        <f>3.1*0.208</f>
        <v>0.6448</v>
      </c>
      <c r="F385" s="228"/>
      <c r="G385" s="228"/>
      <c r="H385" s="228"/>
      <c r="I385" s="39"/>
      <c r="P385" s="418"/>
      <c r="Q385" s="419"/>
      <c r="R385" s="419"/>
      <c r="S385" s="419"/>
      <c r="T385" s="458"/>
      <c r="U385" s="458"/>
      <c r="V385" s="458"/>
      <c r="W385" s="458"/>
      <c r="X385" s="458"/>
      <c r="Y385" s="317"/>
      <c r="Z385" s="317"/>
      <c r="AA385" s="324"/>
      <c r="AB385" s="342">
        <f t="shared" si="37"/>
        <v>0</v>
      </c>
    </row>
    <row r="386" spans="1:28" ht="25.5">
      <c r="A386" s="226">
        <f>A384+1</f>
        <v>192</v>
      </c>
      <c r="B386" s="43" t="s">
        <v>669</v>
      </c>
      <c r="C386" s="34" t="s">
        <v>102</v>
      </c>
      <c r="D386" s="41" t="s">
        <v>670</v>
      </c>
      <c r="E386" s="35" t="s">
        <v>92</v>
      </c>
      <c r="F386" s="44">
        <v>3</v>
      </c>
      <c r="G386" s="29">
        <v>1350</v>
      </c>
      <c r="H386" s="209">
        <f>F386*G386</f>
        <v>4050</v>
      </c>
      <c r="I386" s="39" t="s">
        <v>225</v>
      </c>
      <c r="J386"/>
      <c r="P386" s="418"/>
      <c r="Q386" s="419"/>
      <c r="R386" s="419"/>
      <c r="S386" s="421"/>
      <c r="T386" s="459"/>
      <c r="U386" s="459"/>
      <c r="V386" s="459"/>
      <c r="W386" s="459"/>
      <c r="X386" s="459"/>
      <c r="Y386" s="317">
        <v>4050</v>
      </c>
      <c r="Z386" s="317">
        <v>0</v>
      </c>
      <c r="AA386" s="324">
        <v>0</v>
      </c>
      <c r="AB386" s="342">
        <f t="shared" si="37"/>
        <v>0</v>
      </c>
    </row>
    <row r="387" spans="1:28" ht="38.25">
      <c r="A387" s="226">
        <f>A386+1</f>
        <v>193</v>
      </c>
      <c r="B387" s="42" t="s">
        <v>671</v>
      </c>
      <c r="C387" s="46" t="s">
        <v>101</v>
      </c>
      <c r="D387" s="47" t="s">
        <v>672</v>
      </c>
      <c r="E387" s="48" t="s">
        <v>92</v>
      </c>
      <c r="F387" s="49">
        <v>1</v>
      </c>
      <c r="G387" s="65">
        <v>5700</v>
      </c>
      <c r="H387" s="256">
        <f>F387*G387</f>
        <v>5700</v>
      </c>
      <c r="I387" s="39" t="s">
        <v>225</v>
      </c>
      <c r="J387" s="45"/>
      <c r="P387" s="418"/>
      <c r="Q387" s="419"/>
      <c r="R387" s="419"/>
      <c r="S387" s="421"/>
      <c r="T387" s="458"/>
      <c r="U387" s="458"/>
      <c r="V387" s="458"/>
      <c r="W387" s="458"/>
      <c r="X387" s="458"/>
      <c r="Y387" s="317">
        <v>5700</v>
      </c>
      <c r="Z387" s="317">
        <v>0</v>
      </c>
      <c r="AA387" s="324">
        <v>0</v>
      </c>
      <c r="AB387" s="342">
        <f t="shared" si="37"/>
        <v>0</v>
      </c>
    </row>
    <row r="388" spans="1:28" ht="38.25">
      <c r="A388" s="226">
        <f>A387+1</f>
        <v>194</v>
      </c>
      <c r="B388" s="42" t="s">
        <v>673</v>
      </c>
      <c r="C388" s="46" t="s">
        <v>101</v>
      </c>
      <c r="D388" s="47" t="s">
        <v>674</v>
      </c>
      <c r="E388" s="48" t="s">
        <v>92</v>
      </c>
      <c r="F388" s="49">
        <v>1</v>
      </c>
      <c r="G388" s="65">
        <v>5700</v>
      </c>
      <c r="H388" s="256">
        <f>F388*G388</f>
        <v>5700</v>
      </c>
      <c r="I388" s="39" t="s">
        <v>225</v>
      </c>
      <c r="J388" s="60"/>
      <c r="P388" s="418"/>
      <c r="Q388" s="419"/>
      <c r="R388" s="419"/>
      <c r="S388" s="421"/>
      <c r="T388" s="458"/>
      <c r="U388" s="458"/>
      <c r="V388" s="458"/>
      <c r="W388" s="458"/>
      <c r="X388" s="458"/>
      <c r="Y388" s="317">
        <v>5700</v>
      </c>
      <c r="Z388" s="317">
        <v>0</v>
      </c>
      <c r="AA388" s="324">
        <v>0</v>
      </c>
      <c r="AB388" s="342">
        <f t="shared" si="37"/>
        <v>0</v>
      </c>
    </row>
    <row r="389" spans="1:28" ht="38.25">
      <c r="A389" s="226">
        <f>A388+1</f>
        <v>195</v>
      </c>
      <c r="B389" s="42" t="s">
        <v>675</v>
      </c>
      <c r="C389" s="46" t="s">
        <v>101</v>
      </c>
      <c r="D389" s="47" t="s">
        <v>676</v>
      </c>
      <c r="E389" s="48" t="s">
        <v>92</v>
      </c>
      <c r="F389" s="49">
        <v>1</v>
      </c>
      <c r="G389" s="65">
        <v>4200</v>
      </c>
      <c r="H389" s="256">
        <f>F389*G389</f>
        <v>4200</v>
      </c>
      <c r="I389" s="39" t="s">
        <v>225</v>
      </c>
      <c r="J389"/>
      <c r="P389" s="418"/>
      <c r="Q389" s="419"/>
      <c r="R389" s="419"/>
      <c r="S389" s="419"/>
      <c r="T389" s="458"/>
      <c r="U389" s="458"/>
      <c r="V389" s="458"/>
      <c r="W389" s="458"/>
      <c r="X389" s="458"/>
      <c r="Y389" s="317">
        <v>4200</v>
      </c>
      <c r="Z389" s="317">
        <v>0</v>
      </c>
      <c r="AA389" s="324">
        <v>0</v>
      </c>
      <c r="AB389" s="342">
        <f t="shared" si="37"/>
        <v>0</v>
      </c>
    </row>
    <row r="390" spans="1:28" ht="13.5" thickBot="1">
      <c r="A390" s="226">
        <f>A389+1</f>
        <v>196</v>
      </c>
      <c r="B390" s="227" t="s">
        <v>393</v>
      </c>
      <c r="C390" s="241"/>
      <c r="D390" s="265" t="s">
        <v>117</v>
      </c>
      <c r="E390" s="266" t="s">
        <v>98</v>
      </c>
      <c r="F390" s="259">
        <f>+H383+H387+H388+H389</f>
        <v>16131.65</v>
      </c>
      <c r="G390" s="31">
        <v>0.05</v>
      </c>
      <c r="H390" s="267">
        <f>F390*G390</f>
        <v>806.5825</v>
      </c>
      <c r="I390" s="302" t="s">
        <v>231</v>
      </c>
      <c r="P390" s="418"/>
      <c r="Q390" s="419"/>
      <c r="R390" s="419"/>
      <c r="S390" s="419"/>
      <c r="T390" s="458"/>
      <c r="U390" s="458"/>
      <c r="V390" s="458"/>
      <c r="W390" s="458"/>
      <c r="X390" s="458"/>
      <c r="Y390" s="317">
        <v>806.6</v>
      </c>
      <c r="Z390" s="317">
        <v>0</v>
      </c>
      <c r="AA390" s="324">
        <v>0</v>
      </c>
      <c r="AB390" s="342">
        <f t="shared" si="37"/>
        <v>-0.017500000000040927</v>
      </c>
    </row>
    <row r="391" spans="1:27" ht="13.5" thickBot="1">
      <c r="A391" s="226"/>
      <c r="B391" s="226"/>
      <c r="C391" s="241"/>
      <c r="D391" s="215" t="s">
        <v>91</v>
      </c>
      <c r="E391" s="260"/>
      <c r="F391" s="261"/>
      <c r="G391" s="261"/>
      <c r="H391" s="246">
        <f>SUBTOTAL(9,H382:H390)</f>
        <v>21167.071500000002</v>
      </c>
      <c r="P391" s="418"/>
      <c r="Q391" s="419"/>
      <c r="R391" s="419"/>
      <c r="S391" s="419"/>
      <c r="T391" s="458"/>
      <c r="U391" s="458"/>
      <c r="V391" s="458"/>
      <c r="W391" s="458"/>
      <c r="X391" s="458"/>
      <c r="Y391" s="317"/>
      <c r="Z391" s="317"/>
      <c r="AA391" s="324"/>
    </row>
    <row r="392" spans="1:27" ht="12.75">
      <c r="A392" s="226"/>
      <c r="B392" s="226"/>
      <c r="C392" s="241"/>
      <c r="D392" s="247"/>
      <c r="E392" s="248"/>
      <c r="F392" s="141"/>
      <c r="G392" s="141"/>
      <c r="H392" s="249"/>
      <c r="I392" s="302"/>
      <c r="P392" s="418"/>
      <c r="Q392" s="419"/>
      <c r="R392" s="419"/>
      <c r="S392" s="419"/>
      <c r="T392" s="458"/>
      <c r="U392" s="458"/>
      <c r="V392" s="458"/>
      <c r="W392" s="458"/>
      <c r="X392" s="458"/>
      <c r="Y392" s="317"/>
      <c r="Z392" s="317"/>
      <c r="AA392" s="324"/>
    </row>
    <row r="393" spans="1:27" ht="16.5">
      <c r="A393" s="226"/>
      <c r="B393" s="226"/>
      <c r="C393" s="250" t="s">
        <v>155</v>
      </c>
      <c r="D393" s="481" t="s">
        <v>131</v>
      </c>
      <c r="E393" s="481"/>
      <c r="F393" s="481"/>
      <c r="G393" s="481"/>
      <c r="H393" s="481"/>
      <c r="I393" s="302"/>
      <c r="P393" s="418"/>
      <c r="Q393" s="419"/>
      <c r="R393" s="425"/>
      <c r="S393" s="421"/>
      <c r="T393" s="458"/>
      <c r="U393" s="458"/>
      <c r="V393" s="458"/>
      <c r="W393" s="458"/>
      <c r="X393" s="458"/>
      <c r="Y393" s="317"/>
      <c r="Z393" s="317"/>
      <c r="AA393" s="324"/>
    </row>
    <row r="394" spans="1:27" ht="52.5" customHeight="1">
      <c r="A394" s="226"/>
      <c r="B394" s="226"/>
      <c r="C394" s="225"/>
      <c r="D394" s="495" t="s">
        <v>139</v>
      </c>
      <c r="E394" s="497"/>
      <c r="F394" s="497"/>
      <c r="G394" s="497"/>
      <c r="H394" s="497"/>
      <c r="I394" s="302"/>
      <c r="P394" s="460"/>
      <c r="Q394" s="461"/>
      <c r="R394" s="461"/>
      <c r="S394" s="461"/>
      <c r="T394" s="458"/>
      <c r="U394" s="458"/>
      <c r="V394" s="458"/>
      <c r="W394" s="458"/>
      <c r="X394" s="458"/>
      <c r="Y394" s="317"/>
      <c r="Z394" s="317"/>
      <c r="AA394" s="324"/>
    </row>
    <row r="395" spans="1:28" ht="12.75">
      <c r="A395" s="226">
        <f>+A390+1</f>
        <v>197</v>
      </c>
      <c r="B395" s="240" t="s">
        <v>680</v>
      </c>
      <c r="C395" s="286"/>
      <c r="D395" s="206" t="s">
        <v>253</v>
      </c>
      <c r="E395" s="206" t="s">
        <v>90</v>
      </c>
      <c r="F395" s="228">
        <f>4.8+4.7</f>
        <v>9.5</v>
      </c>
      <c r="G395" s="29">
        <v>1575</v>
      </c>
      <c r="H395" s="209">
        <f aca="true" t="shared" si="38" ref="H395:H406">F395*G395</f>
        <v>14962.5</v>
      </c>
      <c r="I395" s="39" t="s">
        <v>225</v>
      </c>
      <c r="P395" s="418"/>
      <c r="Q395" s="419"/>
      <c r="R395" s="419"/>
      <c r="S395" s="419"/>
      <c r="T395" s="458"/>
      <c r="U395" s="458"/>
      <c r="V395" s="458"/>
      <c r="W395" s="458"/>
      <c r="X395" s="458"/>
      <c r="Y395" s="317">
        <v>0</v>
      </c>
      <c r="Z395" s="317">
        <v>14962.5</v>
      </c>
      <c r="AA395" s="324">
        <v>0</v>
      </c>
      <c r="AB395" s="342">
        <f aca="true" t="shared" si="39" ref="AB395:AB407">H395-Y395-Z395</f>
        <v>0</v>
      </c>
    </row>
    <row r="396" spans="1:28" ht="25.5">
      <c r="A396" s="226">
        <f>+A395+1</f>
        <v>198</v>
      </c>
      <c r="B396" s="227" t="s">
        <v>681</v>
      </c>
      <c r="C396" s="205" t="s">
        <v>134</v>
      </c>
      <c r="D396" s="272" t="s">
        <v>682</v>
      </c>
      <c r="E396" s="207" t="s">
        <v>90</v>
      </c>
      <c r="F396" s="228">
        <v>4.7</v>
      </c>
      <c r="G396" s="29">
        <v>260</v>
      </c>
      <c r="H396" s="209">
        <f t="shared" si="38"/>
        <v>1222</v>
      </c>
      <c r="I396" s="39" t="s">
        <v>225</v>
      </c>
      <c r="J396"/>
      <c r="L396" s="24"/>
      <c r="P396" s="418"/>
      <c r="Q396" s="419"/>
      <c r="R396" s="419"/>
      <c r="S396" s="419"/>
      <c r="T396" s="458"/>
      <c r="U396" s="458"/>
      <c r="V396" s="458"/>
      <c r="W396" s="458"/>
      <c r="X396" s="458"/>
      <c r="Y396" s="317">
        <v>0</v>
      </c>
      <c r="Z396" s="317">
        <v>1222</v>
      </c>
      <c r="AA396" s="324">
        <v>0</v>
      </c>
      <c r="AB396" s="342">
        <f t="shared" si="39"/>
        <v>0</v>
      </c>
    </row>
    <row r="397" spans="1:28" ht="12.75">
      <c r="A397" s="226">
        <f>+A396+1</f>
        <v>199</v>
      </c>
      <c r="B397" s="227" t="s">
        <v>427</v>
      </c>
      <c r="C397" s="252" t="s">
        <v>135</v>
      </c>
      <c r="D397" s="262" t="s">
        <v>136</v>
      </c>
      <c r="E397" s="253" t="s">
        <v>104</v>
      </c>
      <c r="F397" s="263">
        <f>1.2*F396</f>
        <v>5.64</v>
      </c>
      <c r="G397" s="30">
        <v>116</v>
      </c>
      <c r="H397" s="256">
        <f t="shared" si="38"/>
        <v>654.24</v>
      </c>
      <c r="I397" s="39" t="s">
        <v>225</v>
      </c>
      <c r="J397"/>
      <c r="L397" s="24"/>
      <c r="P397" s="418"/>
      <c r="Q397" s="419"/>
      <c r="R397" s="419"/>
      <c r="S397" s="419"/>
      <c r="T397" s="458"/>
      <c r="U397" s="458"/>
      <c r="V397" s="458"/>
      <c r="W397" s="458"/>
      <c r="X397" s="458"/>
      <c r="Y397" s="317">
        <v>0</v>
      </c>
      <c r="Z397" s="317">
        <v>654.2</v>
      </c>
      <c r="AA397" s="324">
        <v>0</v>
      </c>
      <c r="AB397" s="342">
        <f t="shared" si="39"/>
        <v>0.03999999999996362</v>
      </c>
    </row>
    <row r="398" spans="1:28" ht="12.75">
      <c r="A398" s="226">
        <f>A397+1</f>
        <v>200</v>
      </c>
      <c r="B398" s="227" t="s">
        <v>428</v>
      </c>
      <c r="C398" s="205"/>
      <c r="D398" s="272" t="s">
        <v>429</v>
      </c>
      <c r="E398" s="207" t="s">
        <v>93</v>
      </c>
      <c r="F398" s="228">
        <f>+F399</f>
        <v>10.5</v>
      </c>
      <c r="G398" s="29">
        <v>60</v>
      </c>
      <c r="H398" s="209">
        <f t="shared" si="38"/>
        <v>630</v>
      </c>
      <c r="I398" s="39" t="s">
        <v>225</v>
      </c>
      <c r="J398"/>
      <c r="L398" s="24"/>
      <c r="P398" s="418"/>
      <c r="Q398" s="419"/>
      <c r="R398" s="419"/>
      <c r="S398" s="419"/>
      <c r="T398" s="458"/>
      <c r="U398" s="458"/>
      <c r="V398" s="458"/>
      <c r="W398" s="458"/>
      <c r="X398" s="458"/>
      <c r="Y398" s="317">
        <v>0</v>
      </c>
      <c r="Z398" s="317">
        <v>630</v>
      </c>
      <c r="AA398" s="324">
        <v>0</v>
      </c>
      <c r="AB398" s="342">
        <f t="shared" si="39"/>
        <v>0</v>
      </c>
    </row>
    <row r="399" spans="1:28" ht="25.5">
      <c r="A399" s="226">
        <f>A398+1</f>
        <v>201</v>
      </c>
      <c r="B399" s="227">
        <v>28355360</v>
      </c>
      <c r="C399" s="252" t="s">
        <v>135</v>
      </c>
      <c r="D399" s="287" t="s">
        <v>241</v>
      </c>
      <c r="E399" s="253" t="s">
        <v>93</v>
      </c>
      <c r="F399" s="263">
        <f>11.3-0.8</f>
        <v>10.5</v>
      </c>
      <c r="G399" s="30">
        <v>75</v>
      </c>
      <c r="H399" s="256">
        <f t="shared" si="38"/>
        <v>787.5</v>
      </c>
      <c r="I399" s="39" t="s">
        <v>225</v>
      </c>
      <c r="J399"/>
      <c r="L399" s="24"/>
      <c r="P399" s="418"/>
      <c r="Q399" s="419"/>
      <c r="R399" s="419"/>
      <c r="S399" s="419"/>
      <c r="T399" s="458"/>
      <c r="U399" s="458"/>
      <c r="V399" s="458"/>
      <c r="W399" s="458"/>
      <c r="X399" s="458"/>
      <c r="Y399" s="317">
        <v>0</v>
      </c>
      <c r="Z399" s="317">
        <v>787.5</v>
      </c>
      <c r="AA399" s="324">
        <v>0</v>
      </c>
      <c r="AB399" s="342">
        <f t="shared" si="39"/>
        <v>0</v>
      </c>
    </row>
    <row r="400" spans="1:28" ht="12.75">
      <c r="A400" s="226">
        <f>A399+1</f>
        <v>202</v>
      </c>
      <c r="B400" s="227" t="s">
        <v>683</v>
      </c>
      <c r="C400" s="205" t="s">
        <v>235</v>
      </c>
      <c r="D400" s="206" t="s">
        <v>684</v>
      </c>
      <c r="E400" s="207" t="s">
        <v>90</v>
      </c>
      <c r="F400" s="228">
        <f>4.7+4.8-0.9*0.9</f>
        <v>8.69</v>
      </c>
      <c r="G400" s="29">
        <v>1248</v>
      </c>
      <c r="H400" s="209">
        <f t="shared" si="38"/>
        <v>10845.119999999999</v>
      </c>
      <c r="I400" s="39" t="s">
        <v>225</v>
      </c>
      <c r="J400"/>
      <c r="P400" s="418"/>
      <c r="Q400" s="419"/>
      <c r="R400" s="419"/>
      <c r="S400" s="419"/>
      <c r="T400" s="458"/>
      <c r="U400" s="458"/>
      <c r="V400" s="458"/>
      <c r="W400" s="458"/>
      <c r="X400" s="458"/>
      <c r="Y400" s="317">
        <v>0</v>
      </c>
      <c r="Z400" s="317">
        <v>10845.1</v>
      </c>
      <c r="AA400" s="324">
        <v>0</v>
      </c>
      <c r="AB400" s="342">
        <f t="shared" si="39"/>
        <v>0.019999999998617568</v>
      </c>
    </row>
    <row r="401" spans="1:28" ht="25.5">
      <c r="A401" s="226">
        <f>A400+1</f>
        <v>203</v>
      </c>
      <c r="B401" s="227" t="s">
        <v>685</v>
      </c>
      <c r="C401" s="252" t="s">
        <v>290</v>
      </c>
      <c r="D401" s="262" t="s">
        <v>234</v>
      </c>
      <c r="E401" s="253" t="s">
        <v>90</v>
      </c>
      <c r="F401" s="263">
        <f>(4.7+4.8-0.9*0.9)*1.1</f>
        <v>9.559000000000001</v>
      </c>
      <c r="G401" s="30">
        <v>500</v>
      </c>
      <c r="H401" s="256">
        <f t="shared" si="38"/>
        <v>4779.500000000001</v>
      </c>
      <c r="I401" s="39" t="s">
        <v>225</v>
      </c>
      <c r="J401"/>
      <c r="L401" s="25"/>
      <c r="P401" s="418"/>
      <c r="Q401" s="419"/>
      <c r="R401" s="419"/>
      <c r="S401" s="419"/>
      <c r="T401" s="458"/>
      <c r="U401" s="458"/>
      <c r="V401" s="458"/>
      <c r="W401" s="458"/>
      <c r="X401" s="458"/>
      <c r="Y401" s="317">
        <v>0</v>
      </c>
      <c r="Z401" s="317">
        <v>4779.5</v>
      </c>
      <c r="AA401" s="324">
        <v>0</v>
      </c>
      <c r="AB401" s="342">
        <f t="shared" si="39"/>
        <v>0</v>
      </c>
    </row>
    <row r="402" spans="1:28" ht="12.75">
      <c r="A402" s="226">
        <f aca="true" t="shared" si="40" ref="A402:A407">A401+1</f>
        <v>204</v>
      </c>
      <c r="B402" s="237" t="s">
        <v>686</v>
      </c>
      <c r="C402" s="205"/>
      <c r="D402" s="206" t="s">
        <v>687</v>
      </c>
      <c r="E402" s="207" t="s">
        <v>90</v>
      </c>
      <c r="F402" s="228">
        <f>+F400</f>
        <v>8.69</v>
      </c>
      <c r="G402" s="29">
        <v>20</v>
      </c>
      <c r="H402" s="209">
        <f t="shared" si="38"/>
        <v>173.79999999999998</v>
      </c>
      <c r="I402" s="39" t="s">
        <v>225</v>
      </c>
      <c r="J402"/>
      <c r="P402" s="418"/>
      <c r="Q402" s="419"/>
      <c r="R402" s="419"/>
      <c r="S402" s="419"/>
      <c r="T402" s="458"/>
      <c r="U402" s="458"/>
      <c r="V402" s="458"/>
      <c r="W402" s="458"/>
      <c r="X402" s="458"/>
      <c r="Y402" s="317">
        <v>0</v>
      </c>
      <c r="Z402" s="317">
        <v>173.8</v>
      </c>
      <c r="AA402" s="324">
        <v>0</v>
      </c>
      <c r="AB402" s="342">
        <f t="shared" si="39"/>
        <v>0</v>
      </c>
    </row>
    <row r="403" spans="1:28" ht="25.5">
      <c r="A403" s="226">
        <f t="shared" si="40"/>
        <v>205</v>
      </c>
      <c r="B403" s="227" t="s">
        <v>688</v>
      </c>
      <c r="C403" s="205" t="s">
        <v>142</v>
      </c>
      <c r="D403" s="206" t="s">
        <v>291</v>
      </c>
      <c r="E403" s="207" t="s">
        <v>93</v>
      </c>
      <c r="F403" s="228">
        <f>9.4-0.8-0.9-1</f>
        <v>6.699999999999999</v>
      </c>
      <c r="G403" s="29">
        <v>160</v>
      </c>
      <c r="H403" s="209">
        <f t="shared" si="38"/>
        <v>1072</v>
      </c>
      <c r="I403" s="39" t="s">
        <v>225</v>
      </c>
      <c r="J403"/>
      <c r="P403" s="418"/>
      <c r="Q403" s="419"/>
      <c r="R403" s="419"/>
      <c r="S403" s="419"/>
      <c r="T403" s="458"/>
      <c r="U403" s="458"/>
      <c r="V403" s="458"/>
      <c r="W403" s="458"/>
      <c r="X403" s="458"/>
      <c r="Y403" s="317">
        <v>0</v>
      </c>
      <c r="Z403" s="317">
        <v>1072</v>
      </c>
      <c r="AA403" s="324">
        <v>0</v>
      </c>
      <c r="AB403" s="342">
        <f t="shared" si="39"/>
        <v>0</v>
      </c>
    </row>
    <row r="404" spans="1:28" ht="12.75">
      <c r="A404" s="226">
        <f t="shared" si="40"/>
        <v>206</v>
      </c>
      <c r="B404" s="227" t="s">
        <v>689</v>
      </c>
      <c r="C404" s="205" t="s">
        <v>142</v>
      </c>
      <c r="D404" s="206" t="s">
        <v>218</v>
      </c>
      <c r="E404" s="207" t="s">
        <v>93</v>
      </c>
      <c r="F404" s="228">
        <f>+F403</f>
        <v>6.699999999999999</v>
      </c>
      <c r="G404" s="29">
        <v>100</v>
      </c>
      <c r="H404" s="209">
        <f t="shared" si="38"/>
        <v>669.9999999999999</v>
      </c>
      <c r="I404" s="39" t="s">
        <v>225</v>
      </c>
      <c r="J404"/>
      <c r="P404" s="418"/>
      <c r="Q404" s="419"/>
      <c r="R404" s="419"/>
      <c r="S404" s="419"/>
      <c r="T404" s="458"/>
      <c r="U404" s="458"/>
      <c r="V404" s="458"/>
      <c r="W404" s="458"/>
      <c r="X404" s="458"/>
      <c r="Y404" s="317">
        <v>0</v>
      </c>
      <c r="Z404" s="317">
        <v>670</v>
      </c>
      <c r="AA404" s="324">
        <v>0</v>
      </c>
      <c r="AB404" s="342">
        <f t="shared" si="39"/>
        <v>0</v>
      </c>
    </row>
    <row r="405" spans="1:28" ht="25.5">
      <c r="A405" s="226">
        <f t="shared" si="40"/>
        <v>207</v>
      </c>
      <c r="B405" s="227" t="s">
        <v>690</v>
      </c>
      <c r="C405" s="252" t="s">
        <v>141</v>
      </c>
      <c r="D405" s="262" t="s">
        <v>238</v>
      </c>
      <c r="E405" s="253" t="s">
        <v>92</v>
      </c>
      <c r="F405" s="263">
        <f>CEILING((((F404/2)/0.3)*1.2),1)/1</f>
        <v>14</v>
      </c>
      <c r="G405" s="30">
        <v>46</v>
      </c>
      <c r="H405" s="256">
        <f t="shared" si="38"/>
        <v>644</v>
      </c>
      <c r="I405" s="39" t="s">
        <v>225</v>
      </c>
      <c r="J405"/>
      <c r="P405" s="418"/>
      <c r="Q405" s="419"/>
      <c r="R405" s="419"/>
      <c r="S405" s="419"/>
      <c r="T405" s="458"/>
      <c r="U405" s="458"/>
      <c r="V405" s="458"/>
      <c r="W405" s="458"/>
      <c r="X405" s="458"/>
      <c r="Y405" s="317">
        <v>0</v>
      </c>
      <c r="Z405" s="317">
        <v>644</v>
      </c>
      <c r="AA405" s="324">
        <v>0</v>
      </c>
      <c r="AB405" s="342">
        <f t="shared" si="39"/>
        <v>0</v>
      </c>
    </row>
    <row r="406" spans="1:28" ht="25.5">
      <c r="A406" s="226">
        <f t="shared" si="40"/>
        <v>208</v>
      </c>
      <c r="B406" s="227" t="s">
        <v>691</v>
      </c>
      <c r="C406" s="205" t="s">
        <v>108</v>
      </c>
      <c r="D406" s="206" t="s">
        <v>692</v>
      </c>
      <c r="E406" s="207" t="s">
        <v>89</v>
      </c>
      <c r="F406" s="228">
        <v>1</v>
      </c>
      <c r="G406" s="29">
        <v>950</v>
      </c>
      <c r="H406" s="209">
        <f t="shared" si="38"/>
        <v>950</v>
      </c>
      <c r="I406" s="39" t="s">
        <v>225</v>
      </c>
      <c r="J406"/>
      <c r="P406" s="418"/>
      <c r="Q406" s="419"/>
      <c r="R406" s="419"/>
      <c r="S406" s="419"/>
      <c r="T406" s="458"/>
      <c r="U406" s="458"/>
      <c r="V406" s="458"/>
      <c r="W406" s="458"/>
      <c r="X406" s="458"/>
      <c r="Y406" s="317">
        <v>0</v>
      </c>
      <c r="Z406" s="317">
        <v>950</v>
      </c>
      <c r="AA406" s="324">
        <v>0</v>
      </c>
      <c r="AB406" s="342">
        <f t="shared" si="39"/>
        <v>0</v>
      </c>
    </row>
    <row r="407" spans="1:28" ht="13.5" thickBot="1">
      <c r="A407" s="226">
        <f t="shared" si="40"/>
        <v>209</v>
      </c>
      <c r="B407" s="227" t="s">
        <v>393</v>
      </c>
      <c r="C407" s="241"/>
      <c r="D407" s="265" t="s">
        <v>117</v>
      </c>
      <c r="E407" s="266" t="s">
        <v>98</v>
      </c>
      <c r="F407" s="259">
        <f>+H395+H397+H399+H401+H405+H406</f>
        <v>22777.739999999998</v>
      </c>
      <c r="G407" s="31">
        <v>0.05</v>
      </c>
      <c r="H407" s="267">
        <f>F407*G407</f>
        <v>1138.887</v>
      </c>
      <c r="I407" s="302" t="s">
        <v>225</v>
      </c>
      <c r="P407" s="418"/>
      <c r="Q407" s="419"/>
      <c r="R407" s="419"/>
      <c r="S407" s="419"/>
      <c r="T407" s="458"/>
      <c r="U407" s="458"/>
      <c r="V407" s="458"/>
      <c r="W407" s="458"/>
      <c r="X407" s="458"/>
      <c r="Y407" s="317">
        <v>0</v>
      </c>
      <c r="Z407" s="317">
        <v>1138.9</v>
      </c>
      <c r="AA407" s="324">
        <v>0</v>
      </c>
      <c r="AB407" s="342">
        <f t="shared" si="39"/>
        <v>-0.013000000000147338</v>
      </c>
    </row>
    <row r="408" spans="1:27" ht="13.5" thickBot="1">
      <c r="A408" s="226"/>
      <c r="B408" s="226"/>
      <c r="C408" s="241"/>
      <c r="D408" s="215" t="s">
        <v>91</v>
      </c>
      <c r="E408" s="260"/>
      <c r="F408" s="261"/>
      <c r="G408" s="261"/>
      <c r="H408" s="246">
        <f>SUBTOTAL(9,H395:H407)</f>
        <v>38529.547000000006</v>
      </c>
      <c r="P408" s="418"/>
      <c r="Q408" s="419"/>
      <c r="R408" s="419"/>
      <c r="S408" s="419"/>
      <c r="T408" s="458"/>
      <c r="U408" s="458"/>
      <c r="V408" s="458"/>
      <c r="W408" s="458"/>
      <c r="X408" s="458"/>
      <c r="Y408" s="317"/>
      <c r="Z408" s="317"/>
      <c r="AA408" s="324"/>
    </row>
    <row r="409" spans="1:27" ht="12.75">
      <c r="A409" s="226"/>
      <c r="B409" s="226"/>
      <c r="C409" s="241"/>
      <c r="D409" s="247"/>
      <c r="E409" s="248"/>
      <c r="F409" s="141"/>
      <c r="G409" s="141"/>
      <c r="H409" s="249"/>
      <c r="I409" s="302"/>
      <c r="P409" s="418"/>
      <c r="Q409" s="419"/>
      <c r="R409" s="419"/>
      <c r="S409" s="419"/>
      <c r="T409" s="458"/>
      <c r="U409" s="458"/>
      <c r="V409" s="458"/>
      <c r="W409" s="458"/>
      <c r="X409" s="458"/>
      <c r="Y409" s="317"/>
      <c r="Z409" s="317"/>
      <c r="AA409" s="324"/>
    </row>
    <row r="410" spans="1:27" ht="16.5">
      <c r="A410" s="226"/>
      <c r="B410" s="226"/>
      <c r="C410" s="250" t="s">
        <v>236</v>
      </c>
      <c r="D410" s="481" t="s">
        <v>279</v>
      </c>
      <c r="E410" s="481"/>
      <c r="F410" s="481"/>
      <c r="G410" s="481"/>
      <c r="H410" s="481"/>
      <c r="I410" s="302"/>
      <c r="P410" s="418"/>
      <c r="Q410" s="419"/>
      <c r="R410" s="419"/>
      <c r="S410" s="419"/>
      <c r="T410" s="458"/>
      <c r="U410" s="458"/>
      <c r="V410" s="458"/>
      <c r="W410" s="458"/>
      <c r="X410" s="458"/>
      <c r="Y410" s="317"/>
      <c r="Z410" s="317"/>
      <c r="AA410" s="324"/>
    </row>
    <row r="411" spans="1:27" ht="52.5" customHeight="1">
      <c r="A411" s="226"/>
      <c r="B411" s="226"/>
      <c r="C411" s="225"/>
      <c r="D411" s="496" t="s">
        <v>132</v>
      </c>
      <c r="E411" s="497"/>
      <c r="F411" s="497"/>
      <c r="G411" s="497"/>
      <c r="H411" s="497"/>
      <c r="I411" s="302"/>
      <c r="P411" s="418"/>
      <c r="Q411" s="419"/>
      <c r="R411" s="419"/>
      <c r="S411" s="419"/>
      <c r="T411" s="458"/>
      <c r="U411" s="458"/>
      <c r="V411" s="458"/>
      <c r="W411" s="458"/>
      <c r="X411" s="458"/>
      <c r="Y411" s="317"/>
      <c r="Z411" s="317"/>
      <c r="AA411" s="324"/>
    </row>
    <row r="412" spans="1:28" ht="38.25">
      <c r="A412" s="226">
        <f>+A407+1</f>
        <v>210</v>
      </c>
      <c r="B412" s="237" t="s">
        <v>720</v>
      </c>
      <c r="C412" s="52"/>
      <c r="D412" s="66" t="s">
        <v>709</v>
      </c>
      <c r="E412" s="207" t="s">
        <v>90</v>
      </c>
      <c r="F412" s="228">
        <f>2.85*0.22</f>
        <v>0.627</v>
      </c>
      <c r="G412" s="29">
        <v>450</v>
      </c>
      <c r="H412" s="209">
        <f aca="true" t="shared" si="41" ref="H412:H419">F412*G412</f>
        <v>282.15</v>
      </c>
      <c r="I412" s="39" t="s">
        <v>225</v>
      </c>
      <c r="P412" s="418"/>
      <c r="Q412" s="419"/>
      <c r="R412" s="419"/>
      <c r="S412" s="419"/>
      <c r="T412" s="458"/>
      <c r="U412" s="458"/>
      <c r="V412" s="458"/>
      <c r="W412" s="458"/>
      <c r="X412" s="458"/>
      <c r="Y412" s="317">
        <v>282.2</v>
      </c>
      <c r="Z412" s="317">
        <v>0</v>
      </c>
      <c r="AA412" s="324">
        <v>0</v>
      </c>
      <c r="AB412" s="342">
        <f aca="true" t="shared" si="42" ref="AB412:AB421">H412-Y412-Z412</f>
        <v>-0.05000000000001137</v>
      </c>
    </row>
    <row r="413" spans="1:28" ht="38.25">
      <c r="A413" s="226">
        <f>+A412+1</f>
        <v>211</v>
      </c>
      <c r="B413" s="237" t="s">
        <v>720</v>
      </c>
      <c r="C413" s="52"/>
      <c r="D413" s="66" t="s">
        <v>710</v>
      </c>
      <c r="E413" s="207" t="s">
        <v>90</v>
      </c>
      <c r="F413" s="228">
        <f>2.85*0.07</f>
        <v>0.19950000000000004</v>
      </c>
      <c r="G413" s="29">
        <v>450</v>
      </c>
      <c r="H413" s="209">
        <f>F413*G413</f>
        <v>89.77500000000002</v>
      </c>
      <c r="I413" s="39" t="s">
        <v>225</v>
      </c>
      <c r="P413" s="418"/>
      <c r="Q413" s="419"/>
      <c r="R413" s="419"/>
      <c r="S413" s="419"/>
      <c r="T413" s="458"/>
      <c r="U413" s="458"/>
      <c r="V413" s="458"/>
      <c r="W413" s="458"/>
      <c r="X413" s="458"/>
      <c r="Y413" s="317">
        <v>89.8</v>
      </c>
      <c r="Z413" s="317">
        <v>0</v>
      </c>
      <c r="AA413" s="324">
        <v>0</v>
      </c>
      <c r="AB413" s="342">
        <f t="shared" si="42"/>
        <v>-0.024999999999977263</v>
      </c>
    </row>
    <row r="414" spans="1:28" ht="38.25">
      <c r="A414" s="226">
        <f aca="true" t="shared" si="43" ref="A414:A421">+A413+1</f>
        <v>212</v>
      </c>
      <c r="B414" s="237" t="s">
        <v>720</v>
      </c>
      <c r="C414" s="52"/>
      <c r="D414" s="66" t="s">
        <v>711</v>
      </c>
      <c r="E414" s="207" t="s">
        <v>90</v>
      </c>
      <c r="F414" s="228">
        <f>0.98*0.27</f>
        <v>0.2646</v>
      </c>
      <c r="G414" s="29">
        <v>450</v>
      </c>
      <c r="H414" s="209">
        <f>F414*G414</f>
        <v>119.07000000000001</v>
      </c>
      <c r="I414" s="39" t="s">
        <v>225</v>
      </c>
      <c r="P414" s="418"/>
      <c r="Q414" s="419"/>
      <c r="R414" s="419"/>
      <c r="S414" s="419"/>
      <c r="T414" s="458"/>
      <c r="U414" s="458"/>
      <c r="V414" s="458"/>
      <c r="W414" s="458"/>
      <c r="X414" s="458"/>
      <c r="Y414" s="317">
        <v>119.1</v>
      </c>
      <c r="Z414" s="317">
        <v>0</v>
      </c>
      <c r="AA414" s="324">
        <v>0</v>
      </c>
      <c r="AB414" s="342">
        <f t="shared" si="42"/>
        <v>-0.029999999999986926</v>
      </c>
    </row>
    <row r="415" spans="1:28" ht="38.25">
      <c r="A415" s="226">
        <f t="shared" si="43"/>
        <v>213</v>
      </c>
      <c r="B415" s="237" t="s">
        <v>720</v>
      </c>
      <c r="C415" s="52"/>
      <c r="D415" s="66" t="s">
        <v>712</v>
      </c>
      <c r="E415" s="207" t="s">
        <v>90</v>
      </c>
      <c r="F415" s="228">
        <f>0.98*0.13</f>
        <v>0.1274</v>
      </c>
      <c r="G415" s="29">
        <v>450</v>
      </c>
      <c r="H415" s="209">
        <f t="shared" si="41"/>
        <v>57.330000000000005</v>
      </c>
      <c r="I415" s="39" t="s">
        <v>225</v>
      </c>
      <c r="P415" s="418"/>
      <c r="Q415" s="419"/>
      <c r="R415" s="419"/>
      <c r="S415" s="421"/>
      <c r="T415" s="458"/>
      <c r="U415" s="458"/>
      <c r="V415" s="458"/>
      <c r="W415" s="458"/>
      <c r="X415" s="458"/>
      <c r="Y415" s="317">
        <v>57.3</v>
      </c>
      <c r="Z415" s="317">
        <v>0</v>
      </c>
      <c r="AA415" s="324">
        <v>0</v>
      </c>
      <c r="AB415" s="342">
        <f t="shared" si="42"/>
        <v>0.030000000000008242</v>
      </c>
    </row>
    <row r="416" spans="1:28" ht="25.5">
      <c r="A416" s="226">
        <f t="shared" si="43"/>
        <v>214</v>
      </c>
      <c r="B416" s="237" t="s">
        <v>716</v>
      </c>
      <c r="C416" s="52"/>
      <c r="D416" s="206" t="s">
        <v>293</v>
      </c>
      <c r="E416" s="207" t="s">
        <v>233</v>
      </c>
      <c r="F416" s="228">
        <f>+(F413+F415)*0.035</f>
        <v>0.011441500000000004</v>
      </c>
      <c r="G416" s="29">
        <v>8500</v>
      </c>
      <c r="H416" s="209">
        <f t="shared" si="41"/>
        <v>97.25275000000003</v>
      </c>
      <c r="I416" s="39" t="s">
        <v>225</v>
      </c>
      <c r="P416" s="418"/>
      <c r="Q416" s="419"/>
      <c r="R416" s="419"/>
      <c r="S416" s="419"/>
      <c r="T416" s="458"/>
      <c r="U416" s="458"/>
      <c r="V416" s="458"/>
      <c r="W416" s="458"/>
      <c r="X416" s="458"/>
      <c r="Y416" s="317">
        <v>97.3</v>
      </c>
      <c r="Z416" s="317">
        <v>0</v>
      </c>
      <c r="AA416" s="324">
        <v>0</v>
      </c>
      <c r="AB416" s="342">
        <f t="shared" si="42"/>
        <v>-0.04724999999996271</v>
      </c>
    </row>
    <row r="417" spans="1:28" ht="12.75">
      <c r="A417" s="226">
        <f t="shared" si="43"/>
        <v>215</v>
      </c>
      <c r="B417" s="237" t="s">
        <v>718</v>
      </c>
      <c r="C417" s="52"/>
      <c r="D417" s="206" t="s">
        <v>719</v>
      </c>
      <c r="E417" s="207" t="s">
        <v>90</v>
      </c>
      <c r="F417" s="228">
        <f>+F413+F415</f>
        <v>0.3269000000000001</v>
      </c>
      <c r="G417" s="29">
        <v>45</v>
      </c>
      <c r="H417" s="209">
        <f t="shared" si="41"/>
        <v>14.710500000000003</v>
      </c>
      <c r="I417" s="39" t="s">
        <v>225</v>
      </c>
      <c r="P417" s="418"/>
      <c r="Q417" s="419"/>
      <c r="R417" s="419"/>
      <c r="S417" s="419"/>
      <c r="T417" s="458"/>
      <c r="U417" s="458"/>
      <c r="V417" s="458"/>
      <c r="W417" s="458"/>
      <c r="X417" s="458"/>
      <c r="Y417" s="317">
        <v>14.7</v>
      </c>
      <c r="Z417" s="317">
        <v>0</v>
      </c>
      <c r="AA417" s="324">
        <v>0</v>
      </c>
      <c r="AB417" s="342">
        <f t="shared" si="42"/>
        <v>0.01050000000000395</v>
      </c>
    </row>
    <row r="418" spans="1:28" ht="12.75" customHeight="1">
      <c r="A418" s="226">
        <f t="shared" si="43"/>
        <v>216</v>
      </c>
      <c r="B418" s="227" t="s">
        <v>717</v>
      </c>
      <c r="C418" s="288"/>
      <c r="D418" s="289" t="s">
        <v>714</v>
      </c>
      <c r="E418" s="290" t="s">
        <v>233</v>
      </c>
      <c r="F418" s="291">
        <f>+(F413+F415)*0.04</f>
        <v>0.013076000000000004</v>
      </c>
      <c r="G418" s="30">
        <v>6820</v>
      </c>
      <c r="H418" s="292">
        <f t="shared" si="41"/>
        <v>89.17832000000003</v>
      </c>
      <c r="I418" s="302" t="s">
        <v>225</v>
      </c>
      <c r="P418" s="418"/>
      <c r="Q418" s="419"/>
      <c r="R418" s="419"/>
      <c r="S418" s="419"/>
      <c r="T418" s="458"/>
      <c r="U418" s="458"/>
      <c r="V418" s="458"/>
      <c r="W418" s="458"/>
      <c r="X418" s="458"/>
      <c r="Y418" s="317">
        <v>89.2</v>
      </c>
      <c r="Z418" s="317">
        <v>0</v>
      </c>
      <c r="AA418" s="324">
        <v>0</v>
      </c>
      <c r="AB418" s="342">
        <f t="shared" si="42"/>
        <v>-0.021679999999975053</v>
      </c>
    </row>
    <row r="419" spans="1:28" ht="51">
      <c r="A419" s="226">
        <f t="shared" si="43"/>
        <v>217</v>
      </c>
      <c r="B419" s="237" t="s">
        <v>707</v>
      </c>
      <c r="C419" s="288"/>
      <c r="D419" s="206" t="s">
        <v>715</v>
      </c>
      <c r="E419" s="207" t="s">
        <v>90</v>
      </c>
      <c r="F419" s="259">
        <f>+(F412+F413+F414+F415)*1.1</f>
        <v>1.34035</v>
      </c>
      <c r="G419" s="29">
        <v>962</v>
      </c>
      <c r="H419" s="209">
        <f t="shared" si="41"/>
        <v>1289.4167</v>
      </c>
      <c r="I419" s="302" t="s">
        <v>225</v>
      </c>
      <c r="P419" s="418"/>
      <c r="Q419" s="419"/>
      <c r="R419" s="419"/>
      <c r="S419" s="419"/>
      <c r="T419" s="458"/>
      <c r="U419" s="458"/>
      <c r="V419" s="458"/>
      <c r="W419" s="458"/>
      <c r="X419" s="458"/>
      <c r="Y419" s="317">
        <v>1289.4</v>
      </c>
      <c r="Z419" s="317">
        <v>0</v>
      </c>
      <c r="AA419" s="324">
        <v>0</v>
      </c>
      <c r="AB419" s="342">
        <f t="shared" si="42"/>
        <v>0.016699999999900683</v>
      </c>
    </row>
    <row r="420" spans="1:28" ht="12.75">
      <c r="A420" s="226">
        <f t="shared" si="43"/>
        <v>218</v>
      </c>
      <c r="B420" s="240" t="s">
        <v>680</v>
      </c>
      <c r="C420" s="288"/>
      <c r="D420" s="265" t="s">
        <v>253</v>
      </c>
      <c r="E420" s="265" t="s">
        <v>90</v>
      </c>
      <c r="F420" s="259">
        <f>5.7+25.3</f>
        <v>31</v>
      </c>
      <c r="G420" s="29">
        <v>12.5</v>
      </c>
      <c r="H420" s="229">
        <f>F420*G420</f>
        <v>387.5</v>
      </c>
      <c r="I420" s="302" t="s">
        <v>225</v>
      </c>
      <c r="P420" s="418"/>
      <c r="Q420" s="419"/>
      <c r="R420" s="425"/>
      <c r="S420" s="419"/>
      <c r="T420" s="458"/>
      <c r="U420" s="458"/>
      <c r="V420" s="458"/>
      <c r="W420" s="458"/>
      <c r="X420" s="458"/>
      <c r="Y420" s="317">
        <v>0</v>
      </c>
      <c r="Z420" s="317">
        <v>387.5</v>
      </c>
      <c r="AA420" s="324">
        <v>0</v>
      </c>
      <c r="AB420" s="342">
        <f t="shared" si="42"/>
        <v>0</v>
      </c>
    </row>
    <row r="421" spans="1:28" ht="12.75" customHeight="1">
      <c r="A421" s="226">
        <f t="shared" si="43"/>
        <v>219</v>
      </c>
      <c r="B421" s="227" t="s">
        <v>705</v>
      </c>
      <c r="C421" s="293"/>
      <c r="D421" s="265" t="s">
        <v>706</v>
      </c>
      <c r="E421" s="265" t="s">
        <v>90</v>
      </c>
      <c r="F421" s="259">
        <f>+F420</f>
        <v>31</v>
      </c>
      <c r="G421" s="29">
        <v>431</v>
      </c>
      <c r="H421" s="229">
        <f aca="true" t="shared" si="44" ref="H421:H430">F421*G421</f>
        <v>13361</v>
      </c>
      <c r="I421" s="302" t="s">
        <v>225</v>
      </c>
      <c r="P421" s="13"/>
      <c r="Q421" s="460"/>
      <c r="R421" s="461"/>
      <c r="S421" s="461"/>
      <c r="T421" s="458"/>
      <c r="U421" s="458"/>
      <c r="V421" s="458"/>
      <c r="W421" s="458"/>
      <c r="X421" s="458"/>
      <c r="Y421" s="317">
        <v>0</v>
      </c>
      <c r="Z421" s="317">
        <v>13361</v>
      </c>
      <c r="AA421" s="324">
        <v>0</v>
      </c>
      <c r="AB421" s="342">
        <f t="shared" si="42"/>
        <v>0</v>
      </c>
    </row>
    <row r="422" spans="1:28" ht="12.75" customHeight="1">
      <c r="A422" s="226">
        <f aca="true" t="shared" si="45" ref="A422:A430">A421+1</f>
        <v>220</v>
      </c>
      <c r="B422" s="227" t="s">
        <v>693</v>
      </c>
      <c r="C422" s="268" t="s">
        <v>289</v>
      </c>
      <c r="D422" s="351" t="s">
        <v>694</v>
      </c>
      <c r="E422" s="35" t="s">
        <v>90</v>
      </c>
      <c r="F422" s="259">
        <f>+F420</f>
        <v>31</v>
      </c>
      <c r="G422" s="29">
        <v>291</v>
      </c>
      <c r="H422" s="229">
        <f t="shared" si="44"/>
        <v>9021</v>
      </c>
      <c r="I422" s="302" t="s">
        <v>225</v>
      </c>
      <c r="P422" s="418" t="s">
        <v>746</v>
      </c>
      <c r="Q422" s="419">
        <v>-31</v>
      </c>
      <c r="R422" s="419">
        <v>291</v>
      </c>
      <c r="S422" s="419">
        <f>Q422*R422</f>
        <v>-9021</v>
      </c>
      <c r="T422" s="458"/>
      <c r="U422" s="458"/>
      <c r="V422" s="458"/>
      <c r="W422" s="458" t="s">
        <v>778</v>
      </c>
      <c r="X422" s="458"/>
      <c r="Y422" s="317">
        <v>0</v>
      </c>
      <c r="Z422" s="317">
        <v>0</v>
      </c>
      <c r="AA422" s="324">
        <v>9021</v>
      </c>
      <c r="AB422" s="331" t="s">
        <v>764</v>
      </c>
    </row>
    <row r="423" spans="1:28" ht="12.75" customHeight="1">
      <c r="A423" s="226">
        <f t="shared" si="45"/>
        <v>221</v>
      </c>
      <c r="B423" s="227" t="s">
        <v>695</v>
      </c>
      <c r="C423" s="288"/>
      <c r="D423" s="289" t="s">
        <v>292</v>
      </c>
      <c r="E423" s="290" t="s">
        <v>90</v>
      </c>
      <c r="F423" s="291">
        <f>+F422*1.1</f>
        <v>34.1</v>
      </c>
      <c r="G423" s="30">
        <v>1240</v>
      </c>
      <c r="H423" s="292">
        <f t="shared" si="44"/>
        <v>42284</v>
      </c>
      <c r="I423" s="302" t="s">
        <v>225</v>
      </c>
      <c r="P423" s="418" t="s">
        <v>746</v>
      </c>
      <c r="Q423" s="419">
        <f>+Q422*1.1</f>
        <v>-34.1</v>
      </c>
      <c r="R423" s="419">
        <v>1240</v>
      </c>
      <c r="S423" s="419">
        <f>Q423*R423</f>
        <v>-42284</v>
      </c>
      <c r="T423" s="458"/>
      <c r="U423" s="458"/>
      <c r="V423" s="458"/>
      <c r="W423" s="458" t="s">
        <v>778</v>
      </c>
      <c r="X423" s="458"/>
      <c r="Y423" s="317">
        <v>0</v>
      </c>
      <c r="Z423" s="317">
        <v>0</v>
      </c>
      <c r="AA423" s="324">
        <v>42284</v>
      </c>
      <c r="AB423" s="331" t="s">
        <v>764</v>
      </c>
    </row>
    <row r="424" spans="1:28" ht="12.75" customHeight="1">
      <c r="A424" s="226" t="s">
        <v>752</v>
      </c>
      <c r="B424" s="227" t="s">
        <v>749</v>
      </c>
      <c r="C424" s="288"/>
      <c r="D424" s="289" t="s">
        <v>755</v>
      </c>
      <c r="E424" s="35"/>
      <c r="F424" s="259"/>
      <c r="G424" s="29"/>
      <c r="H424" s="229"/>
      <c r="I424" s="312" t="s">
        <v>225</v>
      </c>
      <c r="P424" s="418" t="s">
        <v>751</v>
      </c>
      <c r="Q424" s="419">
        <v>31</v>
      </c>
      <c r="R424" s="419">
        <v>291</v>
      </c>
      <c r="S424" s="419">
        <f>Q424*R424</f>
        <v>9021</v>
      </c>
      <c r="T424" s="458"/>
      <c r="U424" s="458"/>
      <c r="V424" s="458"/>
      <c r="W424" s="458" t="s">
        <v>778</v>
      </c>
      <c r="X424" s="458"/>
      <c r="Y424" s="317">
        <v>0</v>
      </c>
      <c r="Z424" s="317">
        <v>0</v>
      </c>
      <c r="AA424" s="324">
        <v>0</v>
      </c>
      <c r="AB424" s="342">
        <f aca="true" t="shared" si="46" ref="AB424:AB430">H424-Y424-Z424</f>
        <v>0</v>
      </c>
    </row>
    <row r="425" spans="1:28" ht="12.75" customHeight="1">
      <c r="A425" s="226" t="s">
        <v>753</v>
      </c>
      <c r="B425" s="227" t="s">
        <v>749</v>
      </c>
      <c r="C425" s="288"/>
      <c r="D425" s="289" t="s">
        <v>754</v>
      </c>
      <c r="E425" s="290"/>
      <c r="F425" s="291"/>
      <c r="G425" s="30"/>
      <c r="H425" s="292"/>
      <c r="I425" s="312" t="s">
        <v>225</v>
      </c>
      <c r="P425" s="418" t="s">
        <v>751</v>
      </c>
      <c r="Q425" s="419">
        <f>+Q424*1.1</f>
        <v>34.1</v>
      </c>
      <c r="R425" s="419">
        <v>1240</v>
      </c>
      <c r="S425" s="419">
        <f>Q425*R425</f>
        <v>42284</v>
      </c>
      <c r="T425" s="458"/>
      <c r="U425" s="458"/>
      <c r="V425" s="458"/>
      <c r="W425" s="458" t="s">
        <v>778</v>
      </c>
      <c r="X425" s="458"/>
      <c r="Y425" s="317">
        <v>0</v>
      </c>
      <c r="Z425" s="317">
        <v>0</v>
      </c>
      <c r="AA425" s="324">
        <v>0</v>
      </c>
      <c r="AB425" s="342">
        <f t="shared" si="46"/>
        <v>0</v>
      </c>
    </row>
    <row r="426" spans="1:28" ht="12.75">
      <c r="A426" s="226">
        <f>A423+1</f>
        <v>222</v>
      </c>
      <c r="B426" s="294" t="s">
        <v>696</v>
      </c>
      <c r="C426" s="205" t="s">
        <v>223</v>
      </c>
      <c r="D426" s="206" t="s">
        <v>252</v>
      </c>
      <c r="E426" s="207" t="s">
        <v>93</v>
      </c>
      <c r="F426" s="259">
        <f>19+20.3-0.8-0.8</f>
        <v>37.7</v>
      </c>
      <c r="G426" s="29">
        <v>102</v>
      </c>
      <c r="H426" s="229">
        <f t="shared" si="44"/>
        <v>3845.4</v>
      </c>
      <c r="I426" s="302" t="s">
        <v>225</v>
      </c>
      <c r="P426" s="418"/>
      <c r="Q426" s="419"/>
      <c r="R426" s="419"/>
      <c r="S426" s="419"/>
      <c r="T426" s="458"/>
      <c r="U426" s="458"/>
      <c r="V426" s="458"/>
      <c r="W426" s="458"/>
      <c r="X426" s="458"/>
      <c r="Y426" s="317">
        <v>0</v>
      </c>
      <c r="Z426" s="317">
        <v>3845.4</v>
      </c>
      <c r="AA426" s="324">
        <v>0</v>
      </c>
      <c r="AB426" s="342">
        <f t="shared" si="46"/>
        <v>0</v>
      </c>
    </row>
    <row r="427" spans="1:28" ht="12.75">
      <c r="A427" s="226">
        <f t="shared" si="45"/>
        <v>223</v>
      </c>
      <c r="B427" s="295" t="s">
        <v>697</v>
      </c>
      <c r="C427" s="252" t="s">
        <v>222</v>
      </c>
      <c r="D427" s="262" t="s">
        <v>698</v>
      </c>
      <c r="E427" s="253" t="s">
        <v>93</v>
      </c>
      <c r="F427" s="291">
        <f>+F426*1.1</f>
        <v>41.470000000000006</v>
      </c>
      <c r="G427" s="30">
        <v>72.5</v>
      </c>
      <c r="H427" s="292">
        <f>F427*G427</f>
        <v>3006.5750000000003</v>
      </c>
      <c r="I427" s="302" t="s">
        <v>225</v>
      </c>
      <c r="P427" s="418"/>
      <c r="Q427" s="419"/>
      <c r="R427" s="419"/>
      <c r="S427" s="419"/>
      <c r="T427" s="458"/>
      <c r="U427" s="458"/>
      <c r="V427" s="458"/>
      <c r="W427" s="458"/>
      <c r="X427" s="458"/>
      <c r="Y427" s="317">
        <v>0</v>
      </c>
      <c r="Z427" s="317">
        <v>3006.6</v>
      </c>
      <c r="AA427" s="324">
        <v>0</v>
      </c>
      <c r="AB427" s="342">
        <f t="shared" si="46"/>
        <v>-0.024999999999636202</v>
      </c>
    </row>
    <row r="428" spans="1:28" ht="12.75">
      <c r="A428" s="226">
        <f t="shared" si="45"/>
        <v>224</v>
      </c>
      <c r="B428" s="294" t="s">
        <v>699</v>
      </c>
      <c r="C428" s="205" t="s">
        <v>700</v>
      </c>
      <c r="D428" s="206" t="s">
        <v>701</v>
      </c>
      <c r="E428" s="207" t="s">
        <v>93</v>
      </c>
      <c r="F428" s="259">
        <v>0.8</v>
      </c>
      <c r="G428" s="29">
        <v>79.7</v>
      </c>
      <c r="H428" s="229">
        <f t="shared" si="44"/>
        <v>63.760000000000005</v>
      </c>
      <c r="I428" s="302" t="s">
        <v>225</v>
      </c>
      <c r="P428" s="418"/>
      <c r="Q428" s="419"/>
      <c r="R428" s="419"/>
      <c r="S428" s="419"/>
      <c r="T428" s="458"/>
      <c r="U428" s="458"/>
      <c r="V428" s="458"/>
      <c r="W428" s="458"/>
      <c r="X428" s="458"/>
      <c r="Y428" s="317">
        <v>0</v>
      </c>
      <c r="Z428" s="317">
        <v>63.8</v>
      </c>
      <c r="AA428" s="324">
        <v>0</v>
      </c>
      <c r="AB428" s="342">
        <f t="shared" si="46"/>
        <v>-0.03999999999999204</v>
      </c>
    </row>
    <row r="429" spans="1:28" ht="12.75">
      <c r="A429" s="226">
        <f t="shared" si="45"/>
        <v>225</v>
      </c>
      <c r="B429" s="295" t="s">
        <v>702</v>
      </c>
      <c r="C429" s="252" t="s">
        <v>703</v>
      </c>
      <c r="D429" s="262" t="s">
        <v>704</v>
      </c>
      <c r="E429" s="253" t="s">
        <v>93</v>
      </c>
      <c r="F429" s="259">
        <v>0.8</v>
      </c>
      <c r="G429" s="30">
        <v>108</v>
      </c>
      <c r="H429" s="256">
        <f t="shared" si="44"/>
        <v>86.4</v>
      </c>
      <c r="I429" s="39" t="s">
        <v>225</v>
      </c>
      <c r="P429" s="418"/>
      <c r="Q429" s="419"/>
      <c r="R429" s="419"/>
      <c r="S429" s="419"/>
      <c r="T429" s="458"/>
      <c r="U429" s="458"/>
      <c r="V429" s="458"/>
      <c r="W429" s="458"/>
      <c r="X429" s="458"/>
      <c r="Y429" s="317">
        <v>0</v>
      </c>
      <c r="Z429" s="317">
        <v>86.4</v>
      </c>
      <c r="AA429" s="324">
        <v>0</v>
      </c>
      <c r="AB429" s="342">
        <f t="shared" si="46"/>
        <v>0</v>
      </c>
    </row>
    <row r="430" spans="1:28" ht="13.5" thickBot="1">
      <c r="A430" s="226">
        <f t="shared" si="45"/>
        <v>226</v>
      </c>
      <c r="B430" s="227" t="s">
        <v>393</v>
      </c>
      <c r="C430" s="241"/>
      <c r="D430" s="265" t="s">
        <v>117</v>
      </c>
      <c r="E430" s="266" t="s">
        <v>98</v>
      </c>
      <c r="F430" s="259">
        <f>+H416+H418+H419+H420+H421+H423+H427+H429</f>
        <v>60601.32277</v>
      </c>
      <c r="G430" s="31">
        <v>0.05</v>
      </c>
      <c r="H430" s="267">
        <f t="shared" si="44"/>
        <v>3030.0661385000003</v>
      </c>
      <c r="I430" s="302" t="s">
        <v>225</v>
      </c>
      <c r="P430" s="418" t="s">
        <v>746</v>
      </c>
      <c r="Q430" s="419">
        <f>S422+S423+S424+S425</f>
        <v>0</v>
      </c>
      <c r="R430" s="419">
        <v>0.05</v>
      </c>
      <c r="S430" s="419">
        <f>Q430*R430</f>
        <v>0</v>
      </c>
      <c r="T430" s="458"/>
      <c r="U430" s="458"/>
      <c r="V430" s="458"/>
      <c r="W430" s="458" t="s">
        <v>778</v>
      </c>
      <c r="X430" s="458"/>
      <c r="Y430" s="317">
        <v>0</v>
      </c>
      <c r="Z430" s="317">
        <v>3030.1</v>
      </c>
      <c r="AA430" s="324">
        <v>0</v>
      </c>
      <c r="AB430" s="342">
        <f t="shared" si="46"/>
        <v>-0.03386149999960253</v>
      </c>
    </row>
    <row r="431" spans="1:28" ht="13.5" thickBot="1">
      <c r="A431" s="226"/>
      <c r="B431" s="226"/>
      <c r="C431" s="241"/>
      <c r="D431" s="215" t="s">
        <v>91</v>
      </c>
      <c r="E431" s="260"/>
      <c r="F431" s="261"/>
      <c r="G431" s="261"/>
      <c r="H431" s="246">
        <f>SUBTOTAL(9,H412:H430)</f>
        <v>77124.58440849997</v>
      </c>
      <c r="P431" s="418"/>
      <c r="Q431" s="419"/>
      <c r="R431" s="419"/>
      <c r="S431" s="419"/>
      <c r="T431" s="458"/>
      <c r="U431" s="458"/>
      <c r="V431" s="458"/>
      <c r="W431" s="458"/>
      <c r="X431" s="458"/>
      <c r="Y431" s="317"/>
      <c r="Z431" s="317"/>
      <c r="AA431" s="324"/>
      <c r="AB431" s="342"/>
    </row>
    <row r="432" spans="1:28" ht="12.75">
      <c r="A432" s="226"/>
      <c r="B432" s="226"/>
      <c r="C432" s="241"/>
      <c r="D432" s="188"/>
      <c r="E432" s="266"/>
      <c r="F432" s="296"/>
      <c r="G432" s="267"/>
      <c r="H432" s="267"/>
      <c r="I432" s="302"/>
      <c r="P432" s="418"/>
      <c r="Q432" s="419"/>
      <c r="R432" s="419"/>
      <c r="S432" s="419"/>
      <c r="T432" s="458"/>
      <c r="U432" s="458"/>
      <c r="V432" s="458"/>
      <c r="W432" s="458"/>
      <c r="X432" s="458"/>
      <c r="Y432" s="317"/>
      <c r="Z432" s="317"/>
      <c r="AA432" s="324"/>
      <c r="AB432" s="342">
        <f>H432-Y432-Z432</f>
        <v>0</v>
      </c>
    </row>
    <row r="433" spans="1:28" ht="15" customHeight="1">
      <c r="A433" s="185"/>
      <c r="B433" s="185"/>
      <c r="C433" s="225">
        <v>3</v>
      </c>
      <c r="D433" s="481" t="s">
        <v>107</v>
      </c>
      <c r="E433" s="481"/>
      <c r="F433" s="481"/>
      <c r="G433" s="481"/>
      <c r="H433" s="481"/>
      <c r="P433" s="418"/>
      <c r="Q433" s="419"/>
      <c r="R433" s="419"/>
      <c r="S433" s="419"/>
      <c r="T433" s="458"/>
      <c r="U433" s="458"/>
      <c r="V433" s="458"/>
      <c r="W433" s="458"/>
      <c r="X433" s="458"/>
      <c r="Y433" s="317"/>
      <c r="Z433" s="317"/>
      <c r="AA433" s="324"/>
      <c r="AB433" s="342">
        <f>H433-Y433-Z433</f>
        <v>0</v>
      </c>
    </row>
    <row r="434" spans="1:28" ht="13.5" thickBot="1">
      <c r="A434" s="226">
        <f>A430+1</f>
        <v>227</v>
      </c>
      <c r="B434" s="226"/>
      <c r="C434" s="241"/>
      <c r="D434" s="265" t="s">
        <v>148</v>
      </c>
      <c r="E434" s="258" t="s">
        <v>89</v>
      </c>
      <c r="F434" s="259">
        <v>1</v>
      </c>
      <c r="G434" s="29">
        <v>5600</v>
      </c>
      <c r="H434" s="229">
        <f>F434*G434</f>
        <v>5600</v>
      </c>
      <c r="I434" s="302" t="s">
        <v>225</v>
      </c>
      <c r="P434" s="418"/>
      <c r="Q434" s="419"/>
      <c r="R434" s="419"/>
      <c r="S434" s="419"/>
      <c r="T434" s="458"/>
      <c r="U434" s="458"/>
      <c r="V434" s="458"/>
      <c r="W434" s="458"/>
      <c r="X434" s="458"/>
      <c r="Y434" s="317">
        <v>0</v>
      </c>
      <c r="Z434" s="317">
        <v>5600</v>
      </c>
      <c r="AA434" s="324">
        <v>0</v>
      </c>
      <c r="AB434" s="342">
        <f>H434-Y434-Z434</f>
        <v>0</v>
      </c>
    </row>
    <row r="435" spans="4:27" ht="13.5" thickBot="1">
      <c r="D435" s="215" t="s">
        <v>91</v>
      </c>
      <c r="E435" s="260"/>
      <c r="F435" s="261"/>
      <c r="G435" s="261"/>
      <c r="H435" s="297">
        <f>SUBTOTAL(9,H434:H434)</f>
        <v>5600</v>
      </c>
      <c r="P435" s="418"/>
      <c r="Q435" s="419"/>
      <c r="R435" s="419"/>
      <c r="S435" s="419"/>
      <c r="T435" s="458"/>
      <c r="U435" s="458"/>
      <c r="V435" s="458"/>
      <c r="W435" s="458"/>
      <c r="X435" s="458"/>
      <c r="Y435" s="317"/>
      <c r="Z435" s="317"/>
      <c r="AA435" s="324"/>
    </row>
    <row r="436" spans="1:27" s="463" customFormat="1" ht="12.75">
      <c r="A436" s="116"/>
      <c r="B436" s="116"/>
      <c r="C436" s="117"/>
      <c r="D436" s="140"/>
      <c r="E436" s="116"/>
      <c r="F436" s="141"/>
      <c r="G436" s="141"/>
      <c r="H436" s="116"/>
      <c r="I436" s="462"/>
      <c r="N436" s="464"/>
      <c r="P436" s="465"/>
      <c r="Q436" s="466"/>
      <c r="R436" s="466"/>
      <c r="S436" s="466"/>
      <c r="T436" s="467"/>
      <c r="U436" s="467"/>
      <c r="V436" s="467"/>
      <c r="W436" s="467"/>
      <c r="X436" s="467"/>
      <c r="Y436" s="334"/>
      <c r="Z436" s="334"/>
      <c r="AA436" s="335"/>
    </row>
    <row r="437" spans="1:27" s="463" customFormat="1" ht="12.75">
      <c r="A437" s="116"/>
      <c r="B437" s="116"/>
      <c r="C437" s="117"/>
      <c r="D437" s="140"/>
      <c r="E437" s="116"/>
      <c r="F437" s="141"/>
      <c r="G437" s="141"/>
      <c r="H437" s="116"/>
      <c r="I437" s="462"/>
      <c r="N437" s="464"/>
      <c r="P437" s="468"/>
      <c r="Q437" s="469"/>
      <c r="R437" s="469"/>
      <c r="S437" s="469"/>
      <c r="T437" s="467"/>
      <c r="U437" s="467"/>
      <c r="V437" s="467"/>
      <c r="W437" s="467"/>
      <c r="X437" s="467"/>
      <c r="Y437" s="334"/>
      <c r="Z437" s="334"/>
      <c r="AA437" s="335"/>
    </row>
    <row r="438" spans="1:27" s="463" customFormat="1" ht="12.75">
      <c r="A438" s="116"/>
      <c r="B438" s="116"/>
      <c r="C438" s="117"/>
      <c r="D438" s="140"/>
      <c r="E438" s="116"/>
      <c r="F438" s="141"/>
      <c r="G438" s="141"/>
      <c r="H438" s="116"/>
      <c r="I438" s="462"/>
      <c r="N438" s="464"/>
      <c r="P438" s="468"/>
      <c r="Q438" s="469"/>
      <c r="R438" s="469"/>
      <c r="S438" s="469"/>
      <c r="T438" s="467"/>
      <c r="U438" s="467"/>
      <c r="V438" s="467"/>
      <c r="W438" s="467"/>
      <c r="X438" s="467"/>
      <c r="Y438" s="334"/>
      <c r="Z438" s="334"/>
      <c r="AA438" s="335"/>
    </row>
    <row r="439" spans="1:27" s="463" customFormat="1" ht="12.75">
      <c r="A439" s="116"/>
      <c r="B439" s="116"/>
      <c r="C439" s="117"/>
      <c r="D439" s="140"/>
      <c r="E439" s="116"/>
      <c r="F439" s="141"/>
      <c r="G439" s="141"/>
      <c r="H439" s="116"/>
      <c r="I439" s="462"/>
      <c r="N439" s="464"/>
      <c r="P439" s="468"/>
      <c r="Q439" s="469"/>
      <c r="R439" s="469"/>
      <c r="S439" s="469"/>
      <c r="T439" s="467"/>
      <c r="U439" s="467"/>
      <c r="V439" s="467"/>
      <c r="W439" s="467"/>
      <c r="X439" s="467"/>
      <c r="Y439" s="334"/>
      <c r="Z439" s="334"/>
      <c r="AA439" s="335"/>
    </row>
    <row r="440" spans="1:27" s="463" customFormat="1" ht="12.75">
      <c r="A440" s="116"/>
      <c r="B440" s="116"/>
      <c r="C440" s="117"/>
      <c r="D440" s="140"/>
      <c r="E440" s="116"/>
      <c r="F440" s="141"/>
      <c r="G440" s="141"/>
      <c r="H440" s="116"/>
      <c r="I440" s="462"/>
      <c r="N440" s="464"/>
      <c r="P440" s="470"/>
      <c r="Q440" s="467"/>
      <c r="R440" s="467"/>
      <c r="S440" s="467"/>
      <c r="T440" s="467"/>
      <c r="U440" s="467"/>
      <c r="V440" s="467"/>
      <c r="W440" s="467"/>
      <c r="X440" s="467"/>
      <c r="Y440" s="334"/>
      <c r="Z440" s="334"/>
      <c r="AA440" s="335"/>
    </row>
    <row r="441" spans="1:27" s="463" customFormat="1" ht="12.75">
      <c r="A441" s="116"/>
      <c r="B441" s="116"/>
      <c r="C441" s="117"/>
      <c r="D441" s="140"/>
      <c r="E441" s="116"/>
      <c r="F441" s="141"/>
      <c r="G441" s="141"/>
      <c r="H441" s="116"/>
      <c r="I441" s="462"/>
      <c r="N441" s="464"/>
      <c r="P441" s="470"/>
      <c r="Q441" s="467"/>
      <c r="R441" s="467"/>
      <c r="S441" s="467"/>
      <c r="T441" s="467"/>
      <c r="U441" s="467"/>
      <c r="V441" s="467"/>
      <c r="W441" s="467"/>
      <c r="X441" s="467"/>
      <c r="Y441" s="334"/>
      <c r="Z441" s="334"/>
      <c r="AA441" s="335"/>
    </row>
    <row r="442" spans="1:27" s="463" customFormat="1" ht="12.75">
      <c r="A442" s="116"/>
      <c r="B442" s="116"/>
      <c r="C442" s="117"/>
      <c r="D442" s="140"/>
      <c r="E442" s="116"/>
      <c r="F442" s="141"/>
      <c r="G442" s="141"/>
      <c r="H442" s="116"/>
      <c r="I442" s="462"/>
      <c r="N442" s="464"/>
      <c r="P442" s="470"/>
      <c r="Q442" s="467"/>
      <c r="R442" s="467"/>
      <c r="S442" s="467"/>
      <c r="T442" s="467"/>
      <c r="U442" s="467"/>
      <c r="V442" s="467"/>
      <c r="W442" s="467"/>
      <c r="X442" s="467"/>
      <c r="Y442" s="334"/>
      <c r="Z442" s="334"/>
      <c r="AA442" s="335"/>
    </row>
    <row r="443" spans="1:27" s="463" customFormat="1" ht="12.75">
      <c r="A443" s="116"/>
      <c r="B443" s="116"/>
      <c r="C443" s="117"/>
      <c r="D443" s="140"/>
      <c r="E443" s="116"/>
      <c r="F443" s="141"/>
      <c r="G443" s="141"/>
      <c r="H443" s="116"/>
      <c r="I443" s="462"/>
      <c r="N443" s="464"/>
      <c r="P443" s="470"/>
      <c r="Q443" s="467"/>
      <c r="R443" s="467"/>
      <c r="S443" s="467"/>
      <c r="T443" s="467"/>
      <c r="U443" s="467"/>
      <c r="V443" s="467"/>
      <c r="W443" s="467"/>
      <c r="X443" s="467"/>
      <c r="Y443" s="334"/>
      <c r="Z443" s="334"/>
      <c r="AA443" s="335"/>
    </row>
    <row r="444" spans="1:27" s="463" customFormat="1" ht="12.75">
      <c r="A444" s="116"/>
      <c r="B444" s="116"/>
      <c r="C444" s="117"/>
      <c r="D444" s="140"/>
      <c r="E444" s="116"/>
      <c r="F444" s="141"/>
      <c r="G444" s="141"/>
      <c r="H444" s="116"/>
      <c r="I444" s="462"/>
      <c r="N444" s="464"/>
      <c r="P444" s="470"/>
      <c r="Q444" s="467"/>
      <c r="R444" s="467"/>
      <c r="S444" s="467"/>
      <c r="T444" s="467"/>
      <c r="U444" s="467"/>
      <c r="V444" s="467"/>
      <c r="W444" s="467"/>
      <c r="X444" s="467"/>
      <c r="Y444" s="334"/>
      <c r="Z444" s="334"/>
      <c r="AA444" s="335"/>
    </row>
    <row r="445" spans="1:27" s="463" customFormat="1" ht="12.75">
      <c r="A445" s="116"/>
      <c r="B445" s="116"/>
      <c r="C445" s="117"/>
      <c r="D445" s="140"/>
      <c r="E445" s="116"/>
      <c r="F445" s="141"/>
      <c r="G445" s="141"/>
      <c r="H445" s="116"/>
      <c r="I445" s="462"/>
      <c r="N445" s="464"/>
      <c r="P445" s="470"/>
      <c r="Q445" s="467"/>
      <c r="R445" s="467"/>
      <c r="S445" s="467"/>
      <c r="T445" s="467"/>
      <c r="U445" s="467"/>
      <c r="V445" s="467"/>
      <c r="W445" s="467"/>
      <c r="X445" s="467"/>
      <c r="Y445" s="334"/>
      <c r="Z445" s="334"/>
      <c r="AA445" s="335"/>
    </row>
    <row r="446" spans="1:27" s="463" customFormat="1" ht="12.75">
      <c r="A446" s="116"/>
      <c r="B446" s="116"/>
      <c r="C446" s="117"/>
      <c r="D446" s="140"/>
      <c r="E446" s="116"/>
      <c r="F446" s="141"/>
      <c r="G446" s="141"/>
      <c r="H446" s="116"/>
      <c r="I446" s="462"/>
      <c r="N446" s="464"/>
      <c r="P446" s="470"/>
      <c r="Q446" s="467"/>
      <c r="R446" s="467"/>
      <c r="S446" s="467"/>
      <c r="T446" s="467"/>
      <c r="U446" s="467"/>
      <c r="V446" s="467"/>
      <c r="W446" s="467"/>
      <c r="X446" s="467"/>
      <c r="Y446" s="334"/>
      <c r="Z446" s="334"/>
      <c r="AA446" s="335"/>
    </row>
    <row r="447" spans="16:22" ht="12.75">
      <c r="P447" s="471"/>
      <c r="Q447" s="472"/>
      <c r="R447" s="472"/>
      <c r="S447" s="472"/>
      <c r="T447" s="458"/>
      <c r="U447" s="458"/>
      <c r="V447" s="458"/>
    </row>
    <row r="448" spans="16:22" ht="12.75">
      <c r="P448" s="460"/>
      <c r="Q448" s="461"/>
      <c r="R448" s="461"/>
      <c r="S448" s="461"/>
      <c r="T448" s="458"/>
      <c r="U448" s="458"/>
      <c r="V448" s="458"/>
    </row>
    <row r="449" spans="16:22" ht="12.75">
      <c r="P449" s="460"/>
      <c r="Q449" s="461"/>
      <c r="R449" s="461"/>
      <c r="S449" s="461"/>
      <c r="T449" s="458"/>
      <c r="U449" s="458"/>
      <c r="V449" s="458"/>
    </row>
    <row r="450" spans="16:22" ht="12.75">
      <c r="P450" s="460"/>
      <c r="Q450" s="461"/>
      <c r="R450" s="461"/>
      <c r="S450" s="461"/>
      <c r="T450" s="458"/>
      <c r="U450" s="458"/>
      <c r="V450" s="458"/>
    </row>
    <row r="451" spans="16:22" ht="12.75">
      <c r="P451" s="460"/>
      <c r="Q451" s="461"/>
      <c r="R451" s="461"/>
      <c r="S451" s="461"/>
      <c r="T451" s="458"/>
      <c r="U451" s="458"/>
      <c r="V451" s="458"/>
    </row>
    <row r="452" spans="16:22" ht="12.75">
      <c r="P452" s="460"/>
      <c r="Q452" s="461"/>
      <c r="R452" s="461"/>
      <c r="S452" s="461"/>
      <c r="T452" s="458"/>
      <c r="U452" s="458"/>
      <c r="V452" s="458"/>
    </row>
    <row r="453" spans="16:22" ht="12.75">
      <c r="P453" s="460"/>
      <c r="Q453" s="461"/>
      <c r="R453" s="461"/>
      <c r="S453" s="461"/>
      <c r="T453" s="458"/>
      <c r="U453" s="458"/>
      <c r="V453" s="458"/>
    </row>
    <row r="454" spans="16:22" ht="12.75">
      <c r="P454" s="460"/>
      <c r="Q454" s="461"/>
      <c r="R454" s="461"/>
      <c r="S454" s="461"/>
      <c r="T454" s="458"/>
      <c r="U454" s="458"/>
      <c r="V454" s="458"/>
    </row>
    <row r="455" spans="16:22" ht="12.75">
      <c r="P455" s="460"/>
      <c r="Q455" s="461"/>
      <c r="R455" s="461"/>
      <c r="S455" s="461"/>
      <c r="T455" s="458"/>
      <c r="U455" s="458"/>
      <c r="V455" s="458"/>
    </row>
    <row r="456" spans="16:22" ht="12.75">
      <c r="P456" s="460"/>
      <c r="Q456" s="461"/>
      <c r="R456" s="461"/>
      <c r="S456" s="461"/>
      <c r="T456" s="458"/>
      <c r="U456" s="458"/>
      <c r="V456" s="458"/>
    </row>
    <row r="457" spans="16:22" ht="12.75">
      <c r="P457" s="460"/>
      <c r="Q457" s="461"/>
      <c r="R457" s="461"/>
      <c r="S457" s="461"/>
      <c r="T457" s="458"/>
      <c r="U457" s="458"/>
      <c r="V457" s="458"/>
    </row>
    <row r="458" spans="16:22" ht="12.75">
      <c r="P458" s="460"/>
      <c r="Q458" s="461"/>
      <c r="R458" s="461"/>
      <c r="S458" s="461"/>
      <c r="T458" s="458"/>
      <c r="U458" s="458"/>
      <c r="V458" s="458"/>
    </row>
    <row r="459" spans="16:22" ht="12.75">
      <c r="P459" s="460"/>
      <c r="Q459" s="461"/>
      <c r="R459" s="461"/>
      <c r="S459" s="461"/>
      <c r="T459" s="458"/>
      <c r="U459" s="458"/>
      <c r="V459" s="458"/>
    </row>
    <row r="460" spans="16:22" ht="12.75">
      <c r="P460" s="460"/>
      <c r="Q460" s="461"/>
      <c r="R460" s="461"/>
      <c r="S460" s="461"/>
      <c r="T460" s="458"/>
      <c r="U460" s="458"/>
      <c r="V460" s="458"/>
    </row>
    <row r="461" spans="16:22" ht="12.75">
      <c r="P461" s="460"/>
      <c r="Q461" s="461"/>
      <c r="R461" s="461"/>
      <c r="S461" s="461"/>
      <c r="T461" s="458"/>
      <c r="U461" s="458"/>
      <c r="V461" s="458"/>
    </row>
    <row r="462" spans="16:22" ht="12.75">
      <c r="P462" s="460"/>
      <c r="Q462" s="461"/>
      <c r="R462" s="461"/>
      <c r="S462" s="461"/>
      <c r="T462" s="458"/>
      <c r="U462" s="458"/>
      <c r="V462" s="458"/>
    </row>
    <row r="463" spans="16:22" ht="12.75">
      <c r="P463" s="460"/>
      <c r="Q463" s="461"/>
      <c r="R463" s="461"/>
      <c r="S463" s="461"/>
      <c r="T463" s="458"/>
      <c r="U463" s="458"/>
      <c r="V463" s="458"/>
    </row>
    <row r="464" spans="16:22" ht="12.75">
      <c r="P464" s="460"/>
      <c r="Q464" s="461"/>
      <c r="R464" s="461"/>
      <c r="S464" s="461"/>
      <c r="T464" s="458"/>
      <c r="U464" s="458"/>
      <c r="V464" s="458"/>
    </row>
    <row r="465" spans="16:22" ht="12.75">
      <c r="P465" s="460"/>
      <c r="Q465" s="461"/>
      <c r="R465" s="461"/>
      <c r="S465" s="461"/>
      <c r="T465" s="458"/>
      <c r="U465" s="458"/>
      <c r="V465" s="458"/>
    </row>
    <row r="466" spans="16:22" ht="12.75">
      <c r="P466" s="460"/>
      <c r="Q466" s="461"/>
      <c r="R466" s="461"/>
      <c r="S466" s="461"/>
      <c r="T466" s="458"/>
      <c r="U466" s="458"/>
      <c r="V466" s="458"/>
    </row>
    <row r="467" spans="16:22" ht="12.75">
      <c r="P467" s="460"/>
      <c r="Q467" s="461"/>
      <c r="R467" s="461"/>
      <c r="S467" s="461"/>
      <c r="T467" s="458"/>
      <c r="U467" s="458"/>
      <c r="V467" s="458"/>
    </row>
    <row r="468" spans="16:22" ht="12.75">
      <c r="P468" s="460"/>
      <c r="Q468" s="461"/>
      <c r="R468" s="461"/>
      <c r="S468" s="461"/>
      <c r="T468" s="458"/>
      <c r="U468" s="458"/>
      <c r="V468" s="458"/>
    </row>
    <row r="469" spans="16:22" ht="12.75">
      <c r="P469" s="460"/>
      <c r="Q469" s="461"/>
      <c r="R469" s="461"/>
      <c r="S469" s="461"/>
      <c r="T469" s="458"/>
      <c r="U469" s="458"/>
      <c r="V469" s="458"/>
    </row>
    <row r="470" spans="16:22" ht="12.75">
      <c r="P470" s="460"/>
      <c r="Q470" s="461"/>
      <c r="R470" s="473"/>
      <c r="S470" s="461"/>
      <c r="T470" s="458"/>
      <c r="U470" s="458"/>
      <c r="V470" s="458"/>
    </row>
    <row r="471" spans="16:22" ht="12.75">
      <c r="P471" s="460"/>
      <c r="Q471" s="461"/>
      <c r="R471" s="461"/>
      <c r="S471" s="461"/>
      <c r="T471" s="458"/>
      <c r="U471" s="458"/>
      <c r="V471" s="458"/>
    </row>
    <row r="472" spans="16:22" ht="12.75">
      <c r="P472" s="460"/>
      <c r="Q472" s="461"/>
      <c r="R472" s="461"/>
      <c r="S472" s="461"/>
      <c r="T472" s="458"/>
      <c r="U472" s="458"/>
      <c r="V472" s="458"/>
    </row>
    <row r="473" spans="16:22" ht="12.75">
      <c r="P473" s="460"/>
      <c r="Q473" s="461"/>
      <c r="R473" s="461"/>
      <c r="S473" s="461"/>
      <c r="T473" s="458"/>
      <c r="U473" s="458"/>
      <c r="V473" s="458"/>
    </row>
    <row r="474" spans="16:22" ht="12.75">
      <c r="P474" s="418"/>
      <c r="Q474" s="419"/>
      <c r="R474" s="419"/>
      <c r="S474" s="419"/>
      <c r="T474" s="458"/>
      <c r="U474" s="458"/>
      <c r="V474" s="458"/>
    </row>
    <row r="475" spans="16:22" ht="12.75">
      <c r="P475" s="418"/>
      <c r="Q475" s="419"/>
      <c r="R475" s="419"/>
      <c r="S475" s="419"/>
      <c r="T475" s="458"/>
      <c r="U475" s="458"/>
      <c r="V475" s="458"/>
    </row>
    <row r="476" spans="16:22" ht="12.75">
      <c r="P476" s="418"/>
      <c r="Q476" s="419"/>
      <c r="R476" s="419"/>
      <c r="S476" s="419"/>
      <c r="T476" s="458"/>
      <c r="U476" s="458"/>
      <c r="V476" s="458"/>
    </row>
    <row r="477" spans="16:22" ht="12.75">
      <c r="P477" s="418"/>
      <c r="Q477" s="419"/>
      <c r="R477" s="419"/>
      <c r="S477" s="419"/>
      <c r="T477" s="458"/>
      <c r="U477" s="458"/>
      <c r="V477" s="458"/>
    </row>
    <row r="478" spans="16:22" ht="12.75">
      <c r="P478" s="418"/>
      <c r="Q478" s="419"/>
      <c r="R478" s="419"/>
      <c r="S478" s="419"/>
      <c r="T478" s="458"/>
      <c r="U478" s="458"/>
      <c r="V478" s="458"/>
    </row>
    <row r="479" spans="16:22" ht="12.75">
      <c r="P479" s="418"/>
      <c r="Q479" s="419"/>
      <c r="R479" s="419"/>
      <c r="S479" s="419"/>
      <c r="T479" s="458"/>
      <c r="U479" s="458"/>
      <c r="V479" s="458"/>
    </row>
    <row r="480" spans="16:22" ht="12.75">
      <c r="P480" s="418"/>
      <c r="Q480" s="419"/>
      <c r="R480" s="419"/>
      <c r="S480" s="419"/>
      <c r="T480" s="458"/>
      <c r="U480" s="458"/>
      <c r="V480" s="458"/>
    </row>
    <row r="481" spans="16:22" ht="12.75">
      <c r="P481" s="418"/>
      <c r="Q481" s="419"/>
      <c r="R481" s="419"/>
      <c r="S481" s="419"/>
      <c r="T481" s="458"/>
      <c r="U481" s="458"/>
      <c r="V481" s="458"/>
    </row>
    <row r="482" spans="16:22" ht="12.75">
      <c r="P482" s="418"/>
      <c r="Q482" s="419"/>
      <c r="R482" s="419"/>
      <c r="S482" s="419"/>
      <c r="T482" s="458"/>
      <c r="U482" s="458"/>
      <c r="V482" s="458"/>
    </row>
    <row r="483" spans="16:22" ht="12.75">
      <c r="P483" s="418"/>
      <c r="Q483" s="419"/>
      <c r="R483" s="419"/>
      <c r="S483" s="419"/>
      <c r="T483" s="458"/>
      <c r="U483" s="458"/>
      <c r="V483" s="458"/>
    </row>
    <row r="484" spans="16:22" ht="12.75">
      <c r="P484" s="418"/>
      <c r="Q484" s="419"/>
      <c r="R484" s="419"/>
      <c r="S484" s="419"/>
      <c r="T484" s="458"/>
      <c r="U484" s="458"/>
      <c r="V484" s="458"/>
    </row>
    <row r="485" spans="16:22" ht="12.75">
      <c r="P485" s="418"/>
      <c r="Q485" s="419"/>
      <c r="R485" s="419"/>
      <c r="S485" s="419"/>
      <c r="T485" s="458"/>
      <c r="U485" s="458"/>
      <c r="V485" s="458"/>
    </row>
    <row r="486" spans="16:22" ht="12.75">
      <c r="P486" s="418"/>
      <c r="Q486" s="419"/>
      <c r="R486" s="419"/>
      <c r="S486" s="419"/>
      <c r="T486" s="458"/>
      <c r="U486" s="458"/>
      <c r="V486" s="458"/>
    </row>
    <row r="487" spans="16:22" ht="12.75">
      <c r="P487" s="418"/>
      <c r="Q487" s="419"/>
      <c r="R487" s="419"/>
      <c r="S487" s="419"/>
      <c r="T487" s="458"/>
      <c r="U487" s="458"/>
      <c r="V487" s="458"/>
    </row>
    <row r="488" spans="16:22" ht="12.75">
      <c r="P488" s="418"/>
      <c r="Q488" s="419"/>
      <c r="R488" s="419"/>
      <c r="S488" s="419"/>
      <c r="T488" s="458"/>
      <c r="U488" s="458"/>
      <c r="V488" s="458"/>
    </row>
    <row r="489" spans="16:22" ht="12.75">
      <c r="P489" s="418"/>
      <c r="Q489" s="419"/>
      <c r="R489" s="419"/>
      <c r="S489" s="419"/>
      <c r="T489" s="458"/>
      <c r="U489" s="458"/>
      <c r="V489" s="458"/>
    </row>
    <row r="490" spans="16:22" ht="12.75">
      <c r="P490" s="418"/>
      <c r="Q490" s="419"/>
      <c r="R490" s="419"/>
      <c r="S490" s="419"/>
      <c r="T490" s="458"/>
      <c r="U490" s="458"/>
      <c r="V490" s="458"/>
    </row>
    <row r="491" spans="16:22" ht="12.75">
      <c r="P491" s="418"/>
      <c r="Q491" s="419"/>
      <c r="R491" s="419"/>
      <c r="S491" s="419"/>
      <c r="T491" s="458"/>
      <c r="U491" s="458"/>
      <c r="V491" s="458"/>
    </row>
    <row r="492" spans="16:22" ht="12.75">
      <c r="P492" s="418"/>
      <c r="Q492" s="419"/>
      <c r="R492" s="425"/>
      <c r="S492" s="419"/>
      <c r="T492" s="458"/>
      <c r="U492" s="458"/>
      <c r="V492" s="458"/>
    </row>
    <row r="493" spans="16:22" ht="12.75">
      <c r="P493" s="423"/>
      <c r="Q493" s="424"/>
      <c r="R493" s="424"/>
      <c r="S493" s="424"/>
      <c r="T493" s="458"/>
      <c r="U493" s="458"/>
      <c r="V493" s="458"/>
    </row>
    <row r="494" spans="16:22" ht="12.75">
      <c r="P494" s="418"/>
      <c r="Q494" s="419"/>
      <c r="R494" s="419"/>
      <c r="S494" s="419"/>
      <c r="T494" s="458"/>
      <c r="U494" s="458"/>
      <c r="V494" s="458"/>
    </row>
    <row r="495" spans="16:22" ht="12.75">
      <c r="P495" s="418"/>
      <c r="Q495" s="419"/>
      <c r="R495" s="419"/>
      <c r="S495" s="419"/>
      <c r="T495" s="458"/>
      <c r="U495" s="458"/>
      <c r="V495" s="458"/>
    </row>
    <row r="496" spans="16:22" ht="12.75">
      <c r="P496" s="418"/>
      <c r="Q496" s="419"/>
      <c r="R496" s="419"/>
      <c r="S496" s="419"/>
      <c r="T496" s="458"/>
      <c r="U496" s="458"/>
      <c r="V496" s="458"/>
    </row>
    <row r="497" spans="16:22" ht="12.75">
      <c r="P497" s="423"/>
      <c r="Q497" s="424"/>
      <c r="R497" s="424"/>
      <c r="S497" s="424"/>
      <c r="T497" s="458"/>
      <c r="U497" s="458"/>
      <c r="V497" s="458"/>
    </row>
    <row r="498" spans="16:22" ht="12.75">
      <c r="P498" s="418"/>
      <c r="Q498" s="419"/>
      <c r="R498" s="419"/>
      <c r="S498" s="419"/>
      <c r="T498" s="458"/>
      <c r="U498" s="458"/>
      <c r="V498" s="458"/>
    </row>
  </sheetData>
  <sheetProtection selectLockedCells="1"/>
  <autoFilter ref="I2:P435"/>
  <mergeCells count="62">
    <mergeCell ref="D234:H234"/>
    <mergeCell ref="D281:H281"/>
    <mergeCell ref="D328:H328"/>
    <mergeCell ref="D355:H355"/>
    <mergeCell ref="D433:H433"/>
    <mergeCell ref="D410:H410"/>
    <mergeCell ref="D381:H381"/>
    <mergeCell ref="D393:H393"/>
    <mergeCell ref="D394:H394"/>
    <mergeCell ref="D354:H354"/>
    <mergeCell ref="D323:H323"/>
    <mergeCell ref="D316:H316"/>
    <mergeCell ref="D380:H380"/>
    <mergeCell ref="D254:H254"/>
    <mergeCell ref="D111:H111"/>
    <mergeCell ref="D322:H322"/>
    <mergeCell ref="D158:H158"/>
    <mergeCell ref="D177:H177"/>
    <mergeCell ref="D235:H235"/>
    <mergeCell ref="D178:H178"/>
    <mergeCell ref="D220:H220"/>
    <mergeCell ref="D411:H411"/>
    <mergeCell ref="D282:H282"/>
    <mergeCell ref="D329:H329"/>
    <mergeCell ref="D76:H76"/>
    <mergeCell ref="D114:H114"/>
    <mergeCell ref="D85:H85"/>
    <mergeCell ref="D86:H86"/>
    <mergeCell ref="D82:H82"/>
    <mergeCell ref="D315:H315"/>
    <mergeCell ref="D253:H253"/>
    <mergeCell ref="D5:H5"/>
    <mergeCell ref="D69:H69"/>
    <mergeCell ref="D70:H70"/>
    <mergeCell ref="D71:H71"/>
    <mergeCell ref="D6:H6"/>
    <mergeCell ref="D7:H7"/>
    <mergeCell ref="D8:H8"/>
    <mergeCell ref="D9:H9"/>
    <mergeCell ref="D62:H62"/>
    <mergeCell ref="D63:H63"/>
    <mergeCell ref="D64:H64"/>
    <mergeCell ref="D65:H65"/>
    <mergeCell ref="G32:H32"/>
    <mergeCell ref="G41:H41"/>
    <mergeCell ref="D60:H60"/>
    <mergeCell ref="D61:H61"/>
    <mergeCell ref="D78:H78"/>
    <mergeCell ref="D80:H80"/>
    <mergeCell ref="D135:H135"/>
    <mergeCell ref="D157:H157"/>
    <mergeCell ref="D134:H134"/>
    <mergeCell ref="D83:H83"/>
    <mergeCell ref="D95:H95"/>
    <mergeCell ref="D98:H98"/>
    <mergeCell ref="D109:H109"/>
    <mergeCell ref="D74:H74"/>
    <mergeCell ref="D66:H66"/>
    <mergeCell ref="D67:H67"/>
    <mergeCell ref="D68:H68"/>
    <mergeCell ref="D73:H73"/>
    <mergeCell ref="D72:H72"/>
  </mergeCells>
  <conditionalFormatting sqref="E76 D59:D75">
    <cfRule type="expression" priority="104" dxfId="3" stopIfTrue="1">
      <formula>ISTEXT(D59)</formula>
    </cfRule>
  </conditionalFormatting>
  <conditionalFormatting sqref="F76:H76">
    <cfRule type="expression" priority="105" dxfId="3" stopIfTrue="1">
      <formula>ISNUMBER(F76)</formula>
    </cfRule>
  </conditionalFormatting>
  <hyperlinks>
    <hyperlink ref="D15" location="Kapitola_2" display="Kapitola_2"/>
    <hyperlink ref="D14" location="Kapitola_1" display="Kapitola_1"/>
    <hyperlink ref="D134:H134" location="Rekapitulace_2" display="Stropní deska v úrovni terénu"/>
    <hyperlink ref="D30" location="Dokoncovaci_prace" display="Dokoncovaci_prace"/>
    <hyperlink ref="D114:H114" location="Rekapitulace_1" display="Bourací a přípravné práce"/>
    <hyperlink ref="D157:H157" location="Rekapitulace_2b" display="Živičné izolace"/>
    <hyperlink ref="D177:H177" location="Rekapitulace_2c" display="Povlakové izolace proti vodě"/>
    <hyperlink ref="D219:H219" location="Rekapitulace_2d" display="Izolace tepelné"/>
    <hyperlink ref="D234:H234" location="Rekapitulace_2e" display="Kanalizace"/>
    <hyperlink ref="D281:H281" location="Rekapitulace_2f" display="Konstrukce klempířské"/>
    <hyperlink ref="D17" location="Kapitola_2b" display="Kapitola_2b"/>
    <hyperlink ref="D18" location="Kapitola_2c" display="Kapitola_2c"/>
    <hyperlink ref="D19" location="Kapitola_2d" display="Kapitola_2d"/>
    <hyperlink ref="D20" location="Kapitola_2e" display="Kapitola_2e"/>
    <hyperlink ref="D22" location="Kapitola_2f" display="Kapitola_2f"/>
    <hyperlink ref="D23" location="Kapitola_2g" display="Kapitola_2g"/>
    <hyperlink ref="D315:H315" location="Rekapitulace_2g" display="Elektroinstalace - silnoproud"/>
    <hyperlink ref="D328:H328" location="Rekapitulace_2i" display="Vzduchotechnika"/>
    <hyperlink ref="D322:H322" location="Rekapitulace_2h" display="Elektroinstalace - slaboproud"/>
    <hyperlink ref="D354:H354" location="Rekapitulace_2j" display="Konstrukce truhlářské"/>
    <hyperlink ref="D393:H393" location="Rekapitulace_2l" display="Podlahy z dlaždic"/>
    <hyperlink ref="D410:H410" location="Rekapitulace_2m" display="Podlahy povlakové"/>
    <hyperlink ref="D24:D29" location="Kapitola_2g" display="Kapitola_2g"/>
    <hyperlink ref="D24" location="Kapitola_2h" display="Kapitola_2h"/>
    <hyperlink ref="D25" location="Kapitola_2i" display="Kapitola_2i"/>
    <hyperlink ref="D26" location="Kapitola_2j" display="Kapitola_2j"/>
    <hyperlink ref="D27" location="Kapitola_2k" display="Kapitola_2k"/>
    <hyperlink ref="D28" location="Kapitola_2l" display="Kapitola_2l"/>
    <hyperlink ref="D29" location="Kapitola_2m" display="Kapitola_2m"/>
    <hyperlink ref="D433:H433" location="Rekapitulace_Dokončovací_práce" display="Dokončovací práce"/>
    <hyperlink ref="D253:H253" location="Rekapitulace_2f" display="Plynovod"/>
    <hyperlink ref="D89" location="Doplňky_dodavatele" display="Doplňky dodavatele"/>
    <hyperlink ref="D380:H380" location="Rekapitulace_2k" display="Konstrukce zámečnické"/>
  </hyperlinks>
  <printOptions horizontalCentered="1"/>
  <pageMargins left="0.3937007874015748" right="0.3937007874015748" top="0.3937007874015748" bottom="0.4724409448818898" header="0.5118110236220472" footer="0.3937007874015748"/>
  <pageSetup fitToHeight="0" fitToWidth="1" horizontalDpi="600" verticalDpi="600" orientation="landscape" paperSize="9" scale="59" r:id="rId1"/>
  <headerFooter alignWithMargins="0">
    <oddFooter>&amp;CStránka &amp;P z &amp;N</oddFooter>
  </headerFooter>
  <rowBreaks count="8" manualBreakCount="8">
    <brk id="55" max="23" man="1"/>
    <brk id="110" max="23" man="1"/>
    <brk id="178" max="23" man="1"/>
    <brk id="255" max="23" man="1"/>
    <brk id="318" max="23" man="1"/>
    <brk id="364" max="23" man="1"/>
    <brk id="392" max="23" man="1"/>
    <brk id="435" max="23" man="1"/>
  </rowBreaks>
</worksheet>
</file>

<file path=xl/worksheets/sheet2.xml><?xml version="1.0" encoding="utf-8"?>
<worksheet xmlns="http://schemas.openxmlformats.org/spreadsheetml/2006/main" xmlns:r="http://schemas.openxmlformats.org/officeDocument/2006/relationships">
  <sheetPr>
    <pageSetUpPr fitToPage="1"/>
  </sheetPr>
  <dimension ref="A1:T107"/>
  <sheetViews>
    <sheetView tabSelected="1" view="pageBreakPreview" zoomScale="60" workbookViewId="0" topLeftCell="A1">
      <selection activeCell="M63" sqref="M63"/>
    </sheetView>
  </sheetViews>
  <sheetFormatPr defaultColWidth="9.00390625" defaultRowHeight="12.75"/>
  <cols>
    <col min="1" max="1" width="4.75390625" style="113" customWidth="1"/>
    <col min="2" max="2" width="13.875" style="113" customWidth="1"/>
    <col min="3" max="3" width="43.875" style="114" customWidth="1"/>
    <col min="4" max="4" width="4.625" style="114" customWidth="1"/>
    <col min="5" max="5" width="6.00390625" style="114" customWidth="1"/>
    <col min="6" max="6" width="7.625" style="114" customWidth="1"/>
    <col min="7" max="7" width="9.875" style="114" customWidth="1"/>
    <col min="8" max="8" width="9.375" style="114" customWidth="1"/>
    <col min="9" max="9" width="15.125" style="0" hidden="1" customWidth="1"/>
    <col min="10" max="10" width="9.125" style="2" customWidth="1"/>
    <col min="11" max="11" width="12.75390625" style="369" customWidth="1"/>
    <col min="12" max="12" width="13.125" style="386" customWidth="1"/>
    <col min="13" max="13" width="14.625" style="386" customWidth="1"/>
    <col min="14" max="14" width="25.75390625" style="376" customWidth="1"/>
    <col min="15" max="15" width="10.625" style="383" customWidth="1"/>
    <col min="16" max="16" width="47.375" style="381" customWidth="1"/>
    <col min="17" max="17" width="8.875" style="0" customWidth="1"/>
    <col min="18" max="18" width="16.375" style="0" customWidth="1"/>
    <col min="19" max="19" width="17.625" style="0" customWidth="1"/>
    <col min="20" max="20" width="14.375" style="0" customWidth="1"/>
  </cols>
  <sheetData>
    <row r="1" spans="1:16" s="15" customFormat="1" ht="21" customHeight="1">
      <c r="A1" s="82"/>
      <c r="B1" s="83" t="s">
        <v>294</v>
      </c>
      <c r="C1" s="84"/>
      <c r="D1" s="84"/>
      <c r="E1" s="84"/>
      <c r="F1" s="84"/>
      <c r="G1" s="84"/>
      <c r="H1" s="84"/>
      <c r="I1" s="73"/>
      <c r="J1" s="378"/>
      <c r="K1" s="367"/>
      <c r="L1" s="384"/>
      <c r="M1" s="384"/>
      <c r="N1" s="373"/>
      <c r="O1" s="382"/>
      <c r="P1" s="379"/>
    </row>
    <row r="2" spans="1:16" s="15" customFormat="1" ht="24" customHeight="1">
      <c r="A2" s="85"/>
      <c r="B2" s="85"/>
      <c r="C2" s="82" t="s">
        <v>169</v>
      </c>
      <c r="D2" s="86"/>
      <c r="E2" s="86"/>
      <c r="F2" s="86"/>
      <c r="G2" s="86"/>
      <c r="H2" s="86"/>
      <c r="J2" s="378"/>
      <c r="K2" s="367"/>
      <c r="L2" s="384"/>
      <c r="M2" s="384"/>
      <c r="N2" s="374"/>
      <c r="O2" s="382"/>
      <c r="P2" s="379"/>
    </row>
    <row r="3" spans="1:16" s="15" customFormat="1" ht="15.75">
      <c r="A3" s="85"/>
      <c r="B3" s="85"/>
      <c r="C3" s="87" t="s">
        <v>170</v>
      </c>
      <c r="D3" s="86"/>
      <c r="E3" s="86"/>
      <c r="F3" s="86"/>
      <c r="G3" s="86"/>
      <c r="H3" s="86"/>
      <c r="J3" s="378"/>
      <c r="K3" s="367" t="s">
        <v>771</v>
      </c>
      <c r="L3" s="384"/>
      <c r="M3" s="384"/>
      <c r="N3" s="374"/>
      <c r="O3" s="382"/>
      <c r="P3" s="379"/>
    </row>
    <row r="4" spans="1:20" s="15" customFormat="1" ht="12.75">
      <c r="A4" s="85"/>
      <c r="B4" s="85" t="s">
        <v>171</v>
      </c>
      <c r="C4" s="88" t="s">
        <v>172</v>
      </c>
      <c r="D4" s="86"/>
      <c r="E4" s="85" t="s">
        <v>95</v>
      </c>
      <c r="F4" s="85" t="s">
        <v>173</v>
      </c>
      <c r="G4" s="85" t="s">
        <v>174</v>
      </c>
      <c r="H4" s="85" t="s">
        <v>96</v>
      </c>
      <c r="I4" s="15" t="s">
        <v>175</v>
      </c>
      <c r="J4" s="356" t="s">
        <v>750</v>
      </c>
      <c r="K4" s="357" t="s">
        <v>76</v>
      </c>
      <c r="L4" s="385" t="s">
        <v>77</v>
      </c>
      <c r="M4" s="385" t="s">
        <v>78</v>
      </c>
      <c r="N4" s="375" t="s">
        <v>780</v>
      </c>
      <c r="O4" s="382"/>
      <c r="P4" s="379"/>
      <c r="R4" s="319" t="s">
        <v>762</v>
      </c>
      <c r="S4" s="319" t="s">
        <v>767</v>
      </c>
      <c r="T4" s="323" t="s">
        <v>763</v>
      </c>
    </row>
    <row r="5" spans="1:20" s="15" customFormat="1" ht="13.5" customHeight="1">
      <c r="A5" s="85">
        <v>1</v>
      </c>
      <c r="B5" s="89" t="s">
        <v>9</v>
      </c>
      <c r="C5" s="86" t="s">
        <v>595</v>
      </c>
      <c r="D5" s="86" t="s">
        <v>92</v>
      </c>
      <c r="E5" s="86">
        <v>1</v>
      </c>
      <c r="F5" s="71">
        <v>1000</v>
      </c>
      <c r="G5" s="71">
        <v>450</v>
      </c>
      <c r="H5" s="90">
        <f>(F5+G5)*E5</f>
        <v>1450</v>
      </c>
      <c r="I5" s="15">
        <f>E5*F5</f>
        <v>1000</v>
      </c>
      <c r="J5" s="360"/>
      <c r="K5" s="368"/>
      <c r="L5" s="361"/>
      <c r="M5" s="361"/>
      <c r="N5" s="365"/>
      <c r="O5" s="382"/>
      <c r="P5" s="379"/>
      <c r="R5" s="354">
        <v>0</v>
      </c>
      <c r="S5" s="354">
        <v>0</v>
      </c>
      <c r="T5" s="354">
        <v>1450</v>
      </c>
    </row>
    <row r="6" spans="1:20" s="15" customFormat="1" ht="13.5" customHeight="1">
      <c r="A6" s="85">
        <f aca="true" t="shared" si="0" ref="A6:A42">A5+1</f>
        <v>2</v>
      </c>
      <c r="B6" s="91" t="s">
        <v>10</v>
      </c>
      <c r="C6" s="86" t="s">
        <v>176</v>
      </c>
      <c r="D6" s="86" t="s">
        <v>92</v>
      </c>
      <c r="E6" s="86">
        <v>3</v>
      </c>
      <c r="F6" s="71">
        <v>500</v>
      </c>
      <c r="G6" s="71">
        <v>450</v>
      </c>
      <c r="H6" s="90">
        <f aca="true" t="shared" si="1" ref="H6:H39">(F6+G6)*E6</f>
        <v>2850</v>
      </c>
      <c r="I6" s="15">
        <f aca="true" t="shared" si="2" ref="I6:I42">E6*F6</f>
        <v>1500</v>
      </c>
      <c r="J6" s="360"/>
      <c r="K6" s="368"/>
      <c r="L6" s="361"/>
      <c r="M6" s="361"/>
      <c r="N6" s="365"/>
      <c r="O6" s="382"/>
      <c r="P6" s="379"/>
      <c r="R6" s="354">
        <v>0</v>
      </c>
      <c r="S6" s="354">
        <v>0</v>
      </c>
      <c r="T6" s="354">
        <v>2850</v>
      </c>
    </row>
    <row r="7" spans="1:20" s="15" customFormat="1" ht="13.5" customHeight="1">
      <c r="A7" s="85">
        <f t="shared" si="0"/>
        <v>3</v>
      </c>
      <c r="B7" s="92">
        <v>210201064</v>
      </c>
      <c r="C7" s="93" t="s">
        <v>743</v>
      </c>
      <c r="D7" s="93" t="s">
        <v>92</v>
      </c>
      <c r="E7" s="93">
        <v>1</v>
      </c>
      <c r="F7" s="71">
        <v>45</v>
      </c>
      <c r="G7" s="71">
        <v>40</v>
      </c>
      <c r="H7" s="90">
        <f t="shared" si="1"/>
        <v>85</v>
      </c>
      <c r="I7" s="72">
        <f t="shared" si="2"/>
        <v>45</v>
      </c>
      <c r="J7" s="360"/>
      <c r="K7" s="368"/>
      <c r="L7" s="361"/>
      <c r="M7" s="361"/>
      <c r="N7" s="374"/>
      <c r="O7" s="382"/>
      <c r="P7" s="379"/>
      <c r="R7" s="354">
        <v>0</v>
      </c>
      <c r="S7" s="354">
        <v>0</v>
      </c>
      <c r="T7" s="354">
        <v>85</v>
      </c>
    </row>
    <row r="8" spans="1:20" s="15" customFormat="1" ht="13.5" customHeight="1">
      <c r="A8" s="85">
        <f t="shared" si="0"/>
        <v>4</v>
      </c>
      <c r="B8" s="91" t="s">
        <v>11</v>
      </c>
      <c r="C8" s="94" t="s">
        <v>594</v>
      </c>
      <c r="D8" s="86" t="s">
        <v>92</v>
      </c>
      <c r="E8" s="86">
        <v>1</v>
      </c>
      <c r="F8" s="71">
        <v>1250</v>
      </c>
      <c r="G8" s="71">
        <v>625</v>
      </c>
      <c r="H8" s="90">
        <f t="shared" si="1"/>
        <v>1875</v>
      </c>
      <c r="I8" s="15">
        <f t="shared" si="2"/>
        <v>1250</v>
      </c>
      <c r="J8" s="360"/>
      <c r="K8" s="368"/>
      <c r="L8" s="361"/>
      <c r="M8" s="361"/>
      <c r="N8" s="365"/>
      <c r="O8" s="382"/>
      <c r="P8" s="379"/>
      <c r="R8" s="354">
        <v>0</v>
      </c>
      <c r="S8" s="354">
        <v>0</v>
      </c>
      <c r="T8" s="354">
        <v>1875</v>
      </c>
    </row>
    <row r="9" spans="1:20" s="15" customFormat="1" ht="13.5" customHeight="1">
      <c r="A9" s="85">
        <f t="shared" si="0"/>
        <v>5</v>
      </c>
      <c r="B9" s="91" t="s">
        <v>12</v>
      </c>
      <c r="C9" s="86" t="s">
        <v>178</v>
      </c>
      <c r="D9" s="86" t="s">
        <v>92</v>
      </c>
      <c r="E9" s="86">
        <v>26</v>
      </c>
      <c r="F9" s="71">
        <v>150</v>
      </c>
      <c r="G9" s="71">
        <v>110</v>
      </c>
      <c r="H9" s="90">
        <f t="shared" si="1"/>
        <v>6760</v>
      </c>
      <c r="I9" s="15">
        <f t="shared" si="2"/>
        <v>3900</v>
      </c>
      <c r="J9" s="360"/>
      <c r="K9" s="368"/>
      <c r="L9" s="361"/>
      <c r="M9" s="361"/>
      <c r="N9" s="365"/>
      <c r="O9" s="382"/>
      <c r="P9" s="379"/>
      <c r="R9" s="354">
        <v>0</v>
      </c>
      <c r="S9" s="354">
        <v>0</v>
      </c>
      <c r="T9" s="354">
        <v>6760</v>
      </c>
    </row>
    <row r="10" spans="1:20" s="15" customFormat="1" ht="13.5" customHeight="1">
      <c r="A10" s="85">
        <f t="shared" si="0"/>
        <v>6</v>
      </c>
      <c r="B10" s="91" t="s">
        <v>12</v>
      </c>
      <c r="C10" s="86" t="s">
        <v>179</v>
      </c>
      <c r="D10" s="86" t="s">
        <v>92</v>
      </c>
      <c r="E10" s="86">
        <v>1</v>
      </c>
      <c r="F10" s="71">
        <v>990</v>
      </c>
      <c r="G10" s="71">
        <v>110</v>
      </c>
      <c r="H10" s="90">
        <f t="shared" si="1"/>
        <v>1100</v>
      </c>
      <c r="I10" s="15">
        <f t="shared" si="2"/>
        <v>990</v>
      </c>
      <c r="J10" s="360"/>
      <c r="K10" s="368"/>
      <c r="L10" s="361"/>
      <c r="M10" s="361"/>
      <c r="N10" s="365"/>
      <c r="O10" s="382"/>
      <c r="P10" s="379"/>
      <c r="R10" s="354">
        <v>0</v>
      </c>
      <c r="S10" s="354">
        <v>0</v>
      </c>
      <c r="T10" s="354">
        <v>1100</v>
      </c>
    </row>
    <row r="11" spans="1:20" s="15" customFormat="1" ht="13.5" customHeight="1">
      <c r="A11" s="85">
        <f t="shared" si="0"/>
        <v>7</v>
      </c>
      <c r="B11" s="91" t="s">
        <v>13</v>
      </c>
      <c r="C11" s="86" t="s">
        <v>8</v>
      </c>
      <c r="D11" s="86" t="s">
        <v>92</v>
      </c>
      <c r="E11" s="86">
        <v>6</v>
      </c>
      <c r="F11" s="71">
        <v>150</v>
      </c>
      <c r="G11" s="71">
        <v>110</v>
      </c>
      <c r="H11" s="90">
        <f t="shared" si="1"/>
        <v>1560</v>
      </c>
      <c r="I11" s="15">
        <f t="shared" si="2"/>
        <v>900</v>
      </c>
      <c r="J11" s="360"/>
      <c r="K11" s="368"/>
      <c r="L11" s="361"/>
      <c r="M11" s="361"/>
      <c r="N11" s="365"/>
      <c r="O11" s="382"/>
      <c r="P11" s="379"/>
      <c r="R11" s="354">
        <v>0</v>
      </c>
      <c r="S11" s="354">
        <v>0</v>
      </c>
      <c r="T11" s="354">
        <v>1560</v>
      </c>
    </row>
    <row r="12" spans="1:20" s="15" customFormat="1" ht="13.5" customHeight="1">
      <c r="A12" s="85">
        <f t="shared" si="0"/>
        <v>8</v>
      </c>
      <c r="B12" s="89" t="s">
        <v>14</v>
      </c>
      <c r="C12" s="86" t="s">
        <v>180</v>
      </c>
      <c r="D12" s="86" t="s">
        <v>92</v>
      </c>
      <c r="E12" s="86">
        <v>4</v>
      </c>
      <c r="F12" s="71">
        <v>210</v>
      </c>
      <c r="G12" s="71">
        <v>110</v>
      </c>
      <c r="H12" s="90">
        <f t="shared" si="1"/>
        <v>1280</v>
      </c>
      <c r="I12" s="15">
        <f t="shared" si="2"/>
        <v>840</v>
      </c>
      <c r="J12" s="360"/>
      <c r="K12" s="368"/>
      <c r="L12" s="361"/>
      <c r="M12" s="361"/>
      <c r="N12" s="365"/>
      <c r="O12" s="382"/>
      <c r="P12" s="379"/>
      <c r="R12" s="354">
        <v>0</v>
      </c>
      <c r="S12" s="354">
        <v>0</v>
      </c>
      <c r="T12" s="354">
        <v>1280</v>
      </c>
    </row>
    <row r="13" spans="1:20" s="15" customFormat="1" ht="13.5" customHeight="1">
      <c r="A13" s="85">
        <f t="shared" si="0"/>
        <v>9</v>
      </c>
      <c r="B13" s="95" t="s">
        <v>2</v>
      </c>
      <c r="C13" s="96" t="s">
        <v>3</v>
      </c>
      <c r="D13" s="96" t="s">
        <v>92</v>
      </c>
      <c r="E13" s="96">
        <v>1</v>
      </c>
      <c r="F13" s="71">
        <v>190</v>
      </c>
      <c r="G13" s="71">
        <v>110</v>
      </c>
      <c r="H13" s="90">
        <f t="shared" si="1"/>
        <v>300</v>
      </c>
      <c r="J13" s="360"/>
      <c r="K13" s="368"/>
      <c r="L13" s="361"/>
      <c r="M13" s="361"/>
      <c r="N13" s="365"/>
      <c r="O13" s="382"/>
      <c r="P13" s="379"/>
      <c r="R13" s="354">
        <v>0</v>
      </c>
      <c r="S13" s="354">
        <v>0</v>
      </c>
      <c r="T13" s="354">
        <v>300</v>
      </c>
    </row>
    <row r="14" spans="1:20" s="15" customFormat="1" ht="13.5" customHeight="1">
      <c r="A14" s="85">
        <f t="shared" si="0"/>
        <v>10</v>
      </c>
      <c r="B14" s="91" t="s">
        <v>4</v>
      </c>
      <c r="C14" s="86" t="s">
        <v>5</v>
      </c>
      <c r="D14" s="86" t="s">
        <v>92</v>
      </c>
      <c r="E14" s="86">
        <v>1</v>
      </c>
      <c r="F14" s="71">
        <v>299</v>
      </c>
      <c r="G14" s="71">
        <v>150</v>
      </c>
      <c r="H14" s="90">
        <f t="shared" si="1"/>
        <v>449</v>
      </c>
      <c r="J14" s="360" t="s">
        <v>746</v>
      </c>
      <c r="K14" s="368">
        <v>-1</v>
      </c>
      <c r="L14" s="361">
        <v>449</v>
      </c>
      <c r="M14" s="361">
        <v>-449</v>
      </c>
      <c r="N14" s="365" t="s">
        <v>775</v>
      </c>
      <c r="O14" s="382" t="s">
        <v>802</v>
      </c>
      <c r="P14" s="379" t="s">
        <v>801</v>
      </c>
      <c r="R14" s="354">
        <v>0</v>
      </c>
      <c r="S14" s="354">
        <v>0</v>
      </c>
      <c r="T14" s="354">
        <v>0</v>
      </c>
    </row>
    <row r="15" spans="1:20" s="15" customFormat="1" ht="13.5" customHeight="1">
      <c r="A15" s="85">
        <f t="shared" si="0"/>
        <v>11</v>
      </c>
      <c r="B15" s="95" t="s">
        <v>15</v>
      </c>
      <c r="C15" s="86" t="s">
        <v>181</v>
      </c>
      <c r="D15" s="86" t="s">
        <v>92</v>
      </c>
      <c r="E15" s="86">
        <v>19</v>
      </c>
      <c r="F15" s="71">
        <v>30</v>
      </c>
      <c r="G15" s="71">
        <v>12</v>
      </c>
      <c r="H15" s="90">
        <f t="shared" si="1"/>
        <v>798</v>
      </c>
      <c r="I15" s="15">
        <f t="shared" si="2"/>
        <v>570</v>
      </c>
      <c r="J15" s="360"/>
      <c r="K15" s="368"/>
      <c r="L15" s="361"/>
      <c r="M15" s="361"/>
      <c r="N15" s="365"/>
      <c r="O15" s="382"/>
      <c r="P15" s="379"/>
      <c r="R15" s="354">
        <v>0</v>
      </c>
      <c r="S15" s="354">
        <v>0</v>
      </c>
      <c r="T15" s="354">
        <v>798</v>
      </c>
    </row>
    <row r="16" spans="1:20" s="15" customFormat="1" ht="13.5" customHeight="1">
      <c r="A16" s="85">
        <f t="shared" si="0"/>
        <v>12</v>
      </c>
      <c r="B16" s="95" t="s">
        <v>16</v>
      </c>
      <c r="C16" s="86" t="s">
        <v>182</v>
      </c>
      <c r="D16" s="86" t="s">
        <v>92</v>
      </c>
      <c r="E16" s="86">
        <v>5</v>
      </c>
      <c r="F16" s="71">
        <v>70</v>
      </c>
      <c r="G16" s="71">
        <v>18</v>
      </c>
      <c r="H16" s="90">
        <f t="shared" si="1"/>
        <v>440</v>
      </c>
      <c r="I16" s="15">
        <f t="shared" si="2"/>
        <v>350</v>
      </c>
      <c r="J16" s="360"/>
      <c r="K16" s="368"/>
      <c r="L16" s="361"/>
      <c r="M16" s="361"/>
      <c r="N16" s="365"/>
      <c r="O16" s="382"/>
      <c r="P16" s="379"/>
      <c r="R16" s="354">
        <v>0</v>
      </c>
      <c r="S16" s="354">
        <v>0</v>
      </c>
      <c r="T16" s="354">
        <v>440</v>
      </c>
    </row>
    <row r="17" spans="1:20" s="15" customFormat="1" ht="13.5" customHeight="1">
      <c r="A17" s="85">
        <f t="shared" si="0"/>
        <v>13</v>
      </c>
      <c r="B17" s="95" t="s">
        <v>17</v>
      </c>
      <c r="C17" s="97" t="s">
        <v>27</v>
      </c>
      <c r="D17" s="86" t="s">
        <v>92</v>
      </c>
      <c r="E17" s="97">
        <v>3</v>
      </c>
      <c r="F17" s="71">
        <v>90</v>
      </c>
      <c r="G17" s="71">
        <v>28</v>
      </c>
      <c r="H17" s="90">
        <f t="shared" si="1"/>
        <v>354</v>
      </c>
      <c r="I17" s="15">
        <f t="shared" si="2"/>
        <v>270</v>
      </c>
      <c r="J17" s="360"/>
      <c r="K17" s="368"/>
      <c r="L17" s="361"/>
      <c r="M17" s="361"/>
      <c r="N17" s="365"/>
      <c r="O17" s="382"/>
      <c r="P17" s="379"/>
      <c r="R17" s="355">
        <v>0</v>
      </c>
      <c r="S17" s="354">
        <v>0</v>
      </c>
      <c r="T17" s="354">
        <v>354</v>
      </c>
    </row>
    <row r="18" spans="1:20" s="15" customFormat="1" ht="13.5" customHeight="1">
      <c r="A18" s="85">
        <f t="shared" si="0"/>
        <v>14</v>
      </c>
      <c r="B18" s="85" t="s">
        <v>18</v>
      </c>
      <c r="C18" s="97" t="s">
        <v>265</v>
      </c>
      <c r="D18" s="86" t="s">
        <v>92</v>
      </c>
      <c r="E18" s="97">
        <v>1</v>
      </c>
      <c r="F18" s="71">
        <v>293</v>
      </c>
      <c r="G18" s="71">
        <v>210</v>
      </c>
      <c r="H18" s="90">
        <f t="shared" si="1"/>
        <v>503</v>
      </c>
      <c r="I18" s="15">
        <f t="shared" si="2"/>
        <v>293</v>
      </c>
      <c r="J18" s="360"/>
      <c r="K18" s="368"/>
      <c r="L18" s="361"/>
      <c r="M18" s="361"/>
      <c r="N18" s="365"/>
      <c r="O18" s="382"/>
      <c r="P18" s="379"/>
      <c r="R18" s="355">
        <v>0</v>
      </c>
      <c r="S18" s="354">
        <v>0</v>
      </c>
      <c r="T18" s="354">
        <v>503</v>
      </c>
    </row>
    <row r="19" spans="1:20" s="15" customFormat="1" ht="13.5" customHeight="1">
      <c r="A19" s="85">
        <f t="shared" si="0"/>
        <v>15</v>
      </c>
      <c r="B19" s="91" t="s">
        <v>19</v>
      </c>
      <c r="C19" s="86" t="s">
        <v>266</v>
      </c>
      <c r="D19" s="86" t="s">
        <v>92</v>
      </c>
      <c r="E19" s="86">
        <v>2</v>
      </c>
      <c r="F19" s="71">
        <v>68</v>
      </c>
      <c r="G19" s="71">
        <v>122</v>
      </c>
      <c r="H19" s="90">
        <f t="shared" si="1"/>
        <v>380</v>
      </c>
      <c r="I19" s="15">
        <f t="shared" si="2"/>
        <v>136</v>
      </c>
      <c r="J19" s="360"/>
      <c r="K19" s="368"/>
      <c r="L19" s="361"/>
      <c r="M19" s="361"/>
      <c r="N19" s="365"/>
      <c r="O19" s="382"/>
      <c r="P19" s="379"/>
      <c r="R19" s="354">
        <v>0</v>
      </c>
      <c r="S19" s="354">
        <v>0</v>
      </c>
      <c r="T19" s="354">
        <v>380</v>
      </c>
    </row>
    <row r="20" spans="1:20" s="15" customFormat="1" ht="13.5" customHeight="1">
      <c r="A20" s="85">
        <f t="shared" si="0"/>
        <v>16</v>
      </c>
      <c r="B20" s="91" t="s">
        <v>20</v>
      </c>
      <c r="C20" s="86" t="s">
        <v>183</v>
      </c>
      <c r="D20" s="86" t="s">
        <v>92</v>
      </c>
      <c r="E20" s="86">
        <v>33</v>
      </c>
      <c r="F20" s="71">
        <v>8</v>
      </c>
      <c r="G20" s="71">
        <v>110</v>
      </c>
      <c r="H20" s="90">
        <f t="shared" si="1"/>
        <v>3894</v>
      </c>
      <c r="I20" s="15">
        <f t="shared" si="2"/>
        <v>264</v>
      </c>
      <c r="J20" s="360" t="s">
        <v>746</v>
      </c>
      <c r="K20" s="377">
        <v>-25</v>
      </c>
      <c r="L20" s="361">
        <v>118</v>
      </c>
      <c r="M20" s="361">
        <v>-2950</v>
      </c>
      <c r="N20" s="365" t="s">
        <v>781</v>
      </c>
      <c r="O20" s="382" t="s">
        <v>802</v>
      </c>
      <c r="P20" s="380" t="s">
        <v>803</v>
      </c>
      <c r="R20" s="354">
        <v>0</v>
      </c>
      <c r="S20" s="354">
        <v>0</v>
      </c>
      <c r="T20" s="354">
        <v>944</v>
      </c>
    </row>
    <row r="21" spans="1:20" s="15" customFormat="1" ht="13.5" customHeight="1">
      <c r="A21" s="85">
        <f t="shared" si="0"/>
        <v>17</v>
      </c>
      <c r="B21" s="91" t="s">
        <v>21</v>
      </c>
      <c r="C21" s="86" t="s">
        <v>267</v>
      </c>
      <c r="D21" s="86" t="s">
        <v>92</v>
      </c>
      <c r="E21" s="86">
        <v>5</v>
      </c>
      <c r="F21" s="71">
        <v>31</v>
      </c>
      <c r="G21" s="71">
        <v>110</v>
      </c>
      <c r="H21" s="90">
        <f t="shared" si="1"/>
        <v>705</v>
      </c>
      <c r="I21" s="15">
        <f t="shared" si="2"/>
        <v>155</v>
      </c>
      <c r="J21" s="360" t="s">
        <v>746</v>
      </c>
      <c r="K21" s="377">
        <v>-3</v>
      </c>
      <c r="L21" s="361">
        <v>141</v>
      </c>
      <c r="M21" s="361">
        <v>-423</v>
      </c>
      <c r="N21" s="365"/>
      <c r="O21" s="382" t="s">
        <v>802</v>
      </c>
      <c r="P21" s="380" t="s">
        <v>793</v>
      </c>
      <c r="R21" s="354">
        <v>0</v>
      </c>
      <c r="S21" s="354">
        <v>0</v>
      </c>
      <c r="T21" s="354">
        <v>282</v>
      </c>
    </row>
    <row r="22" spans="1:20" s="15" customFormat="1" ht="13.5" customHeight="1">
      <c r="A22" s="85">
        <f t="shared" si="0"/>
        <v>18</v>
      </c>
      <c r="B22" s="91" t="s">
        <v>22</v>
      </c>
      <c r="C22" s="86" t="s">
        <v>184</v>
      </c>
      <c r="D22" s="86" t="s">
        <v>92</v>
      </c>
      <c r="E22" s="86">
        <v>20</v>
      </c>
      <c r="F22" s="71">
        <v>20</v>
      </c>
      <c r="G22" s="71">
        <v>30</v>
      </c>
      <c r="H22" s="90">
        <f t="shared" si="1"/>
        <v>1000</v>
      </c>
      <c r="I22" s="15">
        <f t="shared" si="2"/>
        <v>400</v>
      </c>
      <c r="J22" s="360"/>
      <c r="K22" s="377"/>
      <c r="L22" s="361"/>
      <c r="M22" s="361"/>
      <c r="N22" s="365"/>
      <c r="O22" s="382"/>
      <c r="P22" s="379"/>
      <c r="R22" s="354">
        <v>0</v>
      </c>
      <c r="S22" s="354">
        <v>0</v>
      </c>
      <c r="T22" s="354">
        <v>1000</v>
      </c>
    </row>
    <row r="23" spans="1:20" s="15" customFormat="1" ht="13.5" customHeight="1">
      <c r="A23" s="85">
        <f t="shared" si="0"/>
        <v>19</v>
      </c>
      <c r="B23" s="91" t="s">
        <v>23</v>
      </c>
      <c r="C23" s="86" t="s">
        <v>295</v>
      </c>
      <c r="D23" s="86" t="s">
        <v>93</v>
      </c>
      <c r="E23" s="86">
        <v>3</v>
      </c>
      <c r="F23" s="71">
        <v>111</v>
      </c>
      <c r="G23" s="71">
        <v>36</v>
      </c>
      <c r="H23" s="90">
        <f t="shared" si="1"/>
        <v>441</v>
      </c>
      <c r="I23" s="15">
        <f t="shared" si="2"/>
        <v>333</v>
      </c>
      <c r="J23" s="360" t="s">
        <v>746</v>
      </c>
      <c r="K23" s="377">
        <v>-3</v>
      </c>
      <c r="L23" s="361">
        <v>147</v>
      </c>
      <c r="M23" s="361">
        <v>-441</v>
      </c>
      <c r="N23" s="365" t="s">
        <v>778</v>
      </c>
      <c r="O23" s="382" t="s">
        <v>802</v>
      </c>
      <c r="P23" s="380" t="s">
        <v>794</v>
      </c>
      <c r="R23" s="354">
        <v>441</v>
      </c>
      <c r="S23" s="354">
        <v>0</v>
      </c>
      <c r="T23" s="354">
        <v>-441</v>
      </c>
    </row>
    <row r="24" spans="1:20" s="15" customFormat="1" ht="22.5">
      <c r="A24" s="85">
        <f t="shared" si="0"/>
        <v>20</v>
      </c>
      <c r="B24" s="91" t="s">
        <v>24</v>
      </c>
      <c r="C24" s="86" t="s">
        <v>185</v>
      </c>
      <c r="D24" s="86" t="s">
        <v>93</v>
      </c>
      <c r="E24" s="86">
        <v>180</v>
      </c>
      <c r="F24" s="71">
        <v>30</v>
      </c>
      <c r="G24" s="71">
        <v>25</v>
      </c>
      <c r="H24" s="90">
        <f t="shared" si="1"/>
        <v>9900</v>
      </c>
      <c r="I24" s="15">
        <f t="shared" si="2"/>
        <v>5400</v>
      </c>
      <c r="J24" s="360" t="s">
        <v>746</v>
      </c>
      <c r="K24" s="368">
        <v>-150</v>
      </c>
      <c r="L24" s="361">
        <v>55</v>
      </c>
      <c r="M24" s="361">
        <v>-8250</v>
      </c>
      <c r="N24" s="370" t="s">
        <v>779</v>
      </c>
      <c r="O24" s="382" t="s">
        <v>802</v>
      </c>
      <c r="P24" s="380" t="s">
        <v>804</v>
      </c>
      <c r="R24" s="354">
        <v>9900</v>
      </c>
      <c r="S24" s="354">
        <v>0</v>
      </c>
      <c r="T24" s="354">
        <v>-8250</v>
      </c>
    </row>
    <row r="25" spans="1:20" s="15" customFormat="1" ht="13.5" customHeight="1">
      <c r="A25" s="85">
        <f t="shared" si="0"/>
        <v>21</v>
      </c>
      <c r="B25" s="91" t="s">
        <v>25</v>
      </c>
      <c r="C25" s="86" t="s">
        <v>186</v>
      </c>
      <c r="D25" s="86" t="s">
        <v>93</v>
      </c>
      <c r="E25" s="86">
        <v>90</v>
      </c>
      <c r="F25" s="71">
        <v>30</v>
      </c>
      <c r="G25" s="71">
        <v>25</v>
      </c>
      <c r="H25" s="90">
        <f t="shared" si="1"/>
        <v>4950</v>
      </c>
      <c r="I25" s="15">
        <f t="shared" si="2"/>
        <v>2700</v>
      </c>
      <c r="J25" s="360" t="s">
        <v>746</v>
      </c>
      <c r="K25" s="368">
        <v>-70</v>
      </c>
      <c r="L25" s="361">
        <v>55</v>
      </c>
      <c r="M25" s="361">
        <v>-3850</v>
      </c>
      <c r="N25" s="365" t="s">
        <v>778</v>
      </c>
      <c r="O25" s="382" t="s">
        <v>802</v>
      </c>
      <c r="P25" s="380" t="s">
        <v>795</v>
      </c>
      <c r="R25" s="354">
        <v>4950</v>
      </c>
      <c r="S25" s="354">
        <v>0</v>
      </c>
      <c r="T25" s="354">
        <v>-3850</v>
      </c>
    </row>
    <row r="26" spans="1:20" s="15" customFormat="1" ht="13.5" customHeight="1">
      <c r="A26" s="85">
        <f t="shared" si="0"/>
        <v>22</v>
      </c>
      <c r="B26" s="91" t="s">
        <v>26</v>
      </c>
      <c r="C26" s="86" t="s">
        <v>296</v>
      </c>
      <c r="D26" s="86" t="s">
        <v>93</v>
      </c>
      <c r="E26" s="86">
        <v>30</v>
      </c>
      <c r="F26" s="71">
        <v>30</v>
      </c>
      <c r="G26" s="71">
        <v>25</v>
      </c>
      <c r="H26" s="90">
        <f t="shared" si="1"/>
        <v>1650</v>
      </c>
      <c r="I26" s="15">
        <f t="shared" si="2"/>
        <v>900</v>
      </c>
      <c r="J26" s="360" t="s">
        <v>746</v>
      </c>
      <c r="K26" s="368">
        <v>-30</v>
      </c>
      <c r="L26" s="361">
        <v>55</v>
      </c>
      <c r="M26" s="361">
        <v>-1650</v>
      </c>
      <c r="N26" s="365" t="s">
        <v>778</v>
      </c>
      <c r="O26" s="382" t="s">
        <v>802</v>
      </c>
      <c r="P26" s="380" t="s">
        <v>796</v>
      </c>
      <c r="R26" s="354">
        <v>1650</v>
      </c>
      <c r="S26" s="354">
        <v>0</v>
      </c>
      <c r="T26" s="354">
        <v>-1650</v>
      </c>
    </row>
    <row r="27" spans="1:20" s="15" customFormat="1" ht="13.5" customHeight="1">
      <c r="A27" s="85">
        <f t="shared" si="0"/>
        <v>23</v>
      </c>
      <c r="B27" s="91" t="s">
        <v>37</v>
      </c>
      <c r="C27" s="86" t="s">
        <v>187</v>
      </c>
      <c r="D27" s="86" t="s">
        <v>93</v>
      </c>
      <c r="E27" s="86">
        <v>15</v>
      </c>
      <c r="F27" s="71">
        <v>17</v>
      </c>
      <c r="G27" s="71">
        <v>25</v>
      </c>
      <c r="H27" s="90">
        <f t="shared" si="1"/>
        <v>630</v>
      </c>
      <c r="I27" s="15">
        <f t="shared" si="2"/>
        <v>255</v>
      </c>
      <c r="J27" s="360" t="s">
        <v>746</v>
      </c>
      <c r="K27" s="368">
        <v>-10</v>
      </c>
      <c r="L27" s="361">
        <v>42</v>
      </c>
      <c r="M27" s="361">
        <v>-420</v>
      </c>
      <c r="N27" s="365" t="s">
        <v>778</v>
      </c>
      <c r="O27" s="382" t="s">
        <v>802</v>
      </c>
      <c r="P27" s="380" t="s">
        <v>797</v>
      </c>
      <c r="R27" s="354">
        <v>630</v>
      </c>
      <c r="S27" s="354">
        <v>0</v>
      </c>
      <c r="T27" s="354">
        <v>-420</v>
      </c>
    </row>
    <row r="28" spans="1:20" s="15" customFormat="1" ht="22.5">
      <c r="A28" s="85">
        <f t="shared" si="0"/>
        <v>24</v>
      </c>
      <c r="B28" s="91" t="s">
        <v>6</v>
      </c>
      <c r="C28" s="86" t="s">
        <v>7</v>
      </c>
      <c r="D28" s="86" t="s">
        <v>92</v>
      </c>
      <c r="E28" s="86">
        <v>1</v>
      </c>
      <c r="F28" s="71">
        <v>351</v>
      </c>
      <c r="G28" s="71">
        <v>156</v>
      </c>
      <c r="H28" s="90">
        <f t="shared" si="1"/>
        <v>507</v>
      </c>
      <c r="J28" s="360" t="s">
        <v>746</v>
      </c>
      <c r="K28" s="368">
        <v>-1</v>
      </c>
      <c r="L28" s="361">
        <v>507</v>
      </c>
      <c r="M28" s="361">
        <v>-507</v>
      </c>
      <c r="N28" s="387" t="s">
        <v>782</v>
      </c>
      <c r="O28" s="382" t="s">
        <v>802</v>
      </c>
      <c r="P28" s="388" t="s">
        <v>808</v>
      </c>
      <c r="R28" s="354">
        <v>0</v>
      </c>
      <c r="S28" s="354">
        <v>0</v>
      </c>
      <c r="T28" s="354">
        <v>0</v>
      </c>
    </row>
    <row r="29" spans="1:20" s="15" customFormat="1" ht="13.5" customHeight="1">
      <c r="A29" s="85">
        <f t="shared" si="0"/>
        <v>25</v>
      </c>
      <c r="B29" s="85" t="s">
        <v>177</v>
      </c>
      <c r="C29" s="86" t="s">
        <v>297</v>
      </c>
      <c r="D29" s="86" t="s">
        <v>92</v>
      </c>
      <c r="E29" s="86">
        <v>1</v>
      </c>
      <c r="F29" s="71">
        <v>5500</v>
      </c>
      <c r="G29" s="71">
        <v>660</v>
      </c>
      <c r="H29" s="90">
        <f t="shared" si="1"/>
        <v>6160</v>
      </c>
      <c r="I29" s="15">
        <f t="shared" si="2"/>
        <v>5500</v>
      </c>
      <c r="J29" s="360"/>
      <c r="K29" s="368"/>
      <c r="L29" s="361"/>
      <c r="M29" s="361"/>
      <c r="N29" s="365"/>
      <c r="O29" s="382"/>
      <c r="P29" s="379"/>
      <c r="R29" s="354">
        <v>0</v>
      </c>
      <c r="S29" s="354">
        <v>0</v>
      </c>
      <c r="T29" s="354">
        <v>6160</v>
      </c>
    </row>
    <row r="30" spans="1:20" s="15" customFormat="1" ht="12.75" customHeight="1">
      <c r="A30" s="85">
        <f t="shared" si="0"/>
        <v>26</v>
      </c>
      <c r="B30" s="91" t="s">
        <v>38</v>
      </c>
      <c r="C30" s="86" t="s">
        <v>28</v>
      </c>
      <c r="D30" s="86" t="s">
        <v>92</v>
      </c>
      <c r="E30" s="86">
        <v>1</v>
      </c>
      <c r="F30" s="90"/>
      <c r="G30" s="71">
        <v>1200</v>
      </c>
      <c r="H30" s="90">
        <f t="shared" si="1"/>
        <v>1200</v>
      </c>
      <c r="I30" s="15">
        <f t="shared" si="2"/>
        <v>0</v>
      </c>
      <c r="J30" s="360"/>
      <c r="K30" s="368"/>
      <c r="L30" s="361"/>
      <c r="M30" s="361"/>
      <c r="N30" s="365"/>
      <c r="O30" s="382"/>
      <c r="P30" s="379"/>
      <c r="R30" s="354">
        <v>0</v>
      </c>
      <c r="S30" s="354">
        <v>0</v>
      </c>
      <c r="T30" s="354">
        <v>1200</v>
      </c>
    </row>
    <row r="31" spans="1:20" s="15" customFormat="1" ht="12.75" customHeight="1">
      <c r="A31" s="85">
        <f t="shared" si="0"/>
        <v>27</v>
      </c>
      <c r="B31" s="89" t="s">
        <v>39</v>
      </c>
      <c r="C31" s="86" t="s">
        <v>188</v>
      </c>
      <c r="D31" s="86" t="s">
        <v>92</v>
      </c>
      <c r="E31" s="86">
        <v>36</v>
      </c>
      <c r="F31" s="90"/>
      <c r="G31" s="71">
        <v>110</v>
      </c>
      <c r="H31" s="90">
        <f t="shared" si="1"/>
        <v>3960</v>
      </c>
      <c r="I31" s="15">
        <f t="shared" si="2"/>
        <v>0</v>
      </c>
      <c r="J31" s="360"/>
      <c r="K31" s="368"/>
      <c r="L31" s="361"/>
      <c r="M31" s="361"/>
      <c r="N31" s="365"/>
      <c r="O31" s="382"/>
      <c r="P31" s="379"/>
      <c r="R31" s="354">
        <v>3960</v>
      </c>
      <c r="S31" s="354">
        <v>0</v>
      </c>
      <c r="T31" s="354">
        <v>0</v>
      </c>
    </row>
    <row r="32" spans="1:20" s="15" customFormat="1" ht="12.75" customHeight="1">
      <c r="A32" s="85">
        <f t="shared" si="0"/>
        <v>28</v>
      </c>
      <c r="B32" s="91" t="s">
        <v>40</v>
      </c>
      <c r="C32" s="86" t="s">
        <v>268</v>
      </c>
      <c r="D32" s="86" t="s">
        <v>92</v>
      </c>
      <c r="E32" s="86">
        <v>54</v>
      </c>
      <c r="F32" s="90"/>
      <c r="G32" s="71">
        <v>26</v>
      </c>
      <c r="H32" s="90">
        <f t="shared" si="1"/>
        <v>1404</v>
      </c>
      <c r="I32" s="15">
        <f t="shared" si="2"/>
        <v>0</v>
      </c>
      <c r="J32" s="360"/>
      <c r="K32" s="368"/>
      <c r="L32" s="361"/>
      <c r="M32" s="361"/>
      <c r="N32" s="365"/>
      <c r="O32" s="382"/>
      <c r="P32" s="379"/>
      <c r="R32" s="354">
        <v>1404</v>
      </c>
      <c r="S32" s="354">
        <v>0</v>
      </c>
      <c r="T32" s="354">
        <v>0</v>
      </c>
    </row>
    <row r="33" spans="1:20" s="15" customFormat="1" ht="11.25">
      <c r="A33" s="85">
        <f t="shared" si="0"/>
        <v>29</v>
      </c>
      <c r="B33" s="89" t="s">
        <v>41</v>
      </c>
      <c r="C33" s="86" t="s">
        <v>45</v>
      </c>
      <c r="D33" s="86" t="s">
        <v>93</v>
      </c>
      <c r="E33" s="86">
        <v>50</v>
      </c>
      <c r="F33" s="90"/>
      <c r="G33" s="71">
        <v>110</v>
      </c>
      <c r="H33" s="90">
        <f t="shared" si="1"/>
        <v>5500</v>
      </c>
      <c r="I33" s="15">
        <f t="shared" si="2"/>
        <v>0</v>
      </c>
      <c r="J33" s="360" t="s">
        <v>746</v>
      </c>
      <c r="K33" s="368">
        <v>-40</v>
      </c>
      <c r="L33" s="361">
        <v>110</v>
      </c>
      <c r="M33" s="361">
        <v>-4400</v>
      </c>
      <c r="N33" s="370" t="s">
        <v>783</v>
      </c>
      <c r="O33" s="382" t="s">
        <v>802</v>
      </c>
      <c r="P33" s="380" t="s">
        <v>805</v>
      </c>
      <c r="R33" s="354">
        <v>5500</v>
      </c>
      <c r="S33" s="354">
        <v>0</v>
      </c>
      <c r="T33" s="354">
        <v>-4400</v>
      </c>
    </row>
    <row r="34" spans="1:20" s="15" customFormat="1" ht="12.75" customHeight="1">
      <c r="A34" s="85">
        <f t="shared" si="0"/>
        <v>30</v>
      </c>
      <c r="B34" s="89" t="s">
        <v>42</v>
      </c>
      <c r="C34" s="86" t="s">
        <v>46</v>
      </c>
      <c r="D34" s="86" t="s">
        <v>93</v>
      </c>
      <c r="E34" s="86">
        <v>20</v>
      </c>
      <c r="F34" s="90"/>
      <c r="G34" s="71">
        <v>210</v>
      </c>
      <c r="H34" s="90">
        <f t="shared" si="1"/>
        <v>4200</v>
      </c>
      <c r="I34" s="15">
        <f t="shared" si="2"/>
        <v>0</v>
      </c>
      <c r="J34" s="360" t="s">
        <v>806</v>
      </c>
      <c r="K34" s="368">
        <v>-17</v>
      </c>
      <c r="L34" s="361">
        <v>210</v>
      </c>
      <c r="M34" s="361">
        <v>-3570</v>
      </c>
      <c r="N34" s="365" t="s">
        <v>778</v>
      </c>
      <c r="O34" s="382" t="s">
        <v>802</v>
      </c>
      <c r="P34" s="380" t="s">
        <v>798</v>
      </c>
      <c r="R34" s="354">
        <v>4200</v>
      </c>
      <c r="S34" s="354">
        <v>0</v>
      </c>
      <c r="T34" s="354">
        <v>-3570</v>
      </c>
    </row>
    <row r="35" spans="1:20" s="15" customFormat="1" ht="12.75" customHeight="1">
      <c r="A35" s="85">
        <f t="shared" si="0"/>
        <v>31</v>
      </c>
      <c r="B35" s="91" t="s">
        <v>43</v>
      </c>
      <c r="C35" s="86" t="s">
        <v>270</v>
      </c>
      <c r="D35" s="86" t="s">
        <v>92</v>
      </c>
      <c r="E35" s="86">
        <v>4</v>
      </c>
      <c r="F35" s="90"/>
      <c r="G35" s="71">
        <v>200</v>
      </c>
      <c r="H35" s="90">
        <f t="shared" si="1"/>
        <v>800</v>
      </c>
      <c r="I35" s="15">
        <f t="shared" si="2"/>
        <v>0</v>
      </c>
      <c r="J35" s="360" t="s">
        <v>746</v>
      </c>
      <c r="K35" s="368">
        <v>-2</v>
      </c>
      <c r="L35" s="361">
        <v>200</v>
      </c>
      <c r="M35" s="361">
        <v>-400</v>
      </c>
      <c r="N35" s="365" t="s">
        <v>778</v>
      </c>
      <c r="O35" s="382" t="s">
        <v>802</v>
      </c>
      <c r="P35" s="380" t="s">
        <v>799</v>
      </c>
      <c r="R35" s="354">
        <v>800</v>
      </c>
      <c r="S35" s="354">
        <v>0</v>
      </c>
      <c r="T35" s="354">
        <v>-400</v>
      </c>
    </row>
    <row r="36" spans="1:20" s="15" customFormat="1" ht="12.75" customHeight="1">
      <c r="A36" s="85">
        <f t="shared" si="0"/>
        <v>32</v>
      </c>
      <c r="B36" s="91" t="s">
        <v>44</v>
      </c>
      <c r="C36" s="86" t="s">
        <v>271</v>
      </c>
      <c r="D36" s="86" t="s">
        <v>92</v>
      </c>
      <c r="E36" s="86">
        <v>38</v>
      </c>
      <c r="F36" s="90"/>
      <c r="G36" s="71">
        <v>40</v>
      </c>
      <c r="H36" s="90">
        <f t="shared" si="1"/>
        <v>1520</v>
      </c>
      <c r="I36" s="15">
        <f t="shared" si="2"/>
        <v>0</v>
      </c>
      <c r="J36" s="360" t="s">
        <v>746</v>
      </c>
      <c r="K36" s="368">
        <v>-26</v>
      </c>
      <c r="L36" s="361">
        <v>40</v>
      </c>
      <c r="M36" s="361">
        <v>-1040</v>
      </c>
      <c r="N36" s="365" t="s">
        <v>778</v>
      </c>
      <c r="O36" s="382" t="s">
        <v>802</v>
      </c>
      <c r="P36" s="380" t="s">
        <v>800</v>
      </c>
      <c r="R36" s="354">
        <v>1520</v>
      </c>
      <c r="S36" s="354">
        <v>0</v>
      </c>
      <c r="T36" s="354">
        <v>-1040</v>
      </c>
    </row>
    <row r="37" spans="1:20" s="15" customFormat="1" ht="12.75" customHeight="1">
      <c r="A37" s="85">
        <f t="shared" si="0"/>
        <v>33</v>
      </c>
      <c r="B37" s="85" t="s">
        <v>177</v>
      </c>
      <c r="C37" s="86" t="s">
        <v>298</v>
      </c>
      <c r="D37" s="86" t="s">
        <v>92</v>
      </c>
      <c r="E37" s="86">
        <v>2</v>
      </c>
      <c r="F37" s="90"/>
      <c r="G37" s="71">
        <v>510</v>
      </c>
      <c r="H37" s="90">
        <f t="shared" si="1"/>
        <v>1020</v>
      </c>
      <c r="I37" s="15">
        <f t="shared" si="2"/>
        <v>0</v>
      </c>
      <c r="J37" s="360"/>
      <c r="K37" s="368"/>
      <c r="L37" s="361"/>
      <c r="M37" s="361"/>
      <c r="N37" s="365"/>
      <c r="O37" s="382"/>
      <c r="P37" s="379"/>
      <c r="R37" s="354">
        <v>0</v>
      </c>
      <c r="S37" s="354">
        <v>0</v>
      </c>
      <c r="T37" s="354">
        <v>1020</v>
      </c>
    </row>
    <row r="38" spans="1:20" s="15" customFormat="1" ht="12.75" customHeight="1">
      <c r="A38" s="85">
        <f t="shared" si="0"/>
        <v>34</v>
      </c>
      <c r="B38" s="85" t="s">
        <v>177</v>
      </c>
      <c r="C38" s="86" t="s">
        <v>189</v>
      </c>
      <c r="D38" s="86" t="s">
        <v>190</v>
      </c>
      <c r="E38" s="86">
        <v>1</v>
      </c>
      <c r="F38" s="90"/>
      <c r="G38" s="71">
        <v>6000</v>
      </c>
      <c r="H38" s="90">
        <f t="shared" si="1"/>
        <v>6000</v>
      </c>
      <c r="I38" s="15">
        <f t="shared" si="2"/>
        <v>0</v>
      </c>
      <c r="J38" s="360"/>
      <c r="K38" s="368"/>
      <c r="L38" s="361"/>
      <c r="M38" s="361"/>
      <c r="N38" s="365"/>
      <c r="O38" s="382"/>
      <c r="P38" s="379"/>
      <c r="R38" s="354">
        <v>0</v>
      </c>
      <c r="S38" s="354">
        <v>0</v>
      </c>
      <c r="T38" s="354">
        <v>6000</v>
      </c>
    </row>
    <row r="39" spans="1:20" s="15" customFormat="1" ht="33.75">
      <c r="A39" s="85">
        <f t="shared" si="0"/>
        <v>35</v>
      </c>
      <c r="B39" s="85" t="s">
        <v>97</v>
      </c>
      <c r="C39" s="86" t="s">
        <v>272</v>
      </c>
      <c r="D39" s="86" t="s">
        <v>191</v>
      </c>
      <c r="E39" s="86">
        <v>12</v>
      </c>
      <c r="F39" s="90"/>
      <c r="G39" s="71">
        <v>500</v>
      </c>
      <c r="H39" s="90">
        <f t="shared" si="1"/>
        <v>6000</v>
      </c>
      <c r="I39" s="15">
        <f t="shared" si="2"/>
        <v>0</v>
      </c>
      <c r="J39" s="360" t="s">
        <v>746</v>
      </c>
      <c r="K39" s="366">
        <v>-12</v>
      </c>
      <c r="L39" s="361">
        <v>500</v>
      </c>
      <c r="M39" s="361">
        <v>-6000</v>
      </c>
      <c r="N39" s="370" t="s">
        <v>787</v>
      </c>
      <c r="O39" s="382" t="s">
        <v>802</v>
      </c>
      <c r="P39" s="379"/>
      <c r="R39" s="354">
        <v>6000</v>
      </c>
      <c r="S39" s="354">
        <v>0</v>
      </c>
      <c r="T39" s="354">
        <v>-6000</v>
      </c>
    </row>
    <row r="40" spans="1:20" s="15" customFormat="1" ht="12.75" customHeight="1">
      <c r="A40" s="85">
        <f t="shared" si="0"/>
        <v>36</v>
      </c>
      <c r="B40" s="85" t="s">
        <v>97</v>
      </c>
      <c r="C40" s="86" t="s">
        <v>192</v>
      </c>
      <c r="D40" s="86" t="s">
        <v>191</v>
      </c>
      <c r="E40" s="86">
        <v>12</v>
      </c>
      <c r="F40" s="90"/>
      <c r="G40" s="71">
        <v>680</v>
      </c>
      <c r="H40" s="90">
        <f>(F40+G40)*E40</f>
        <v>8160</v>
      </c>
      <c r="I40" s="15">
        <f t="shared" si="2"/>
        <v>0</v>
      </c>
      <c r="J40" s="360"/>
      <c r="K40" s="368"/>
      <c r="L40" s="361"/>
      <c r="M40" s="361"/>
      <c r="N40" s="365"/>
      <c r="O40" s="382"/>
      <c r="P40" s="379"/>
      <c r="R40" s="354">
        <v>0</v>
      </c>
      <c r="S40" s="354">
        <v>0</v>
      </c>
      <c r="T40" s="354">
        <v>8160</v>
      </c>
    </row>
    <row r="41" spans="1:20" s="15" customFormat="1" ht="22.5">
      <c r="A41" s="85">
        <f t="shared" si="0"/>
        <v>37</v>
      </c>
      <c r="B41" s="89" t="s">
        <v>598</v>
      </c>
      <c r="C41" s="98" t="s">
        <v>596</v>
      </c>
      <c r="D41" s="94" t="s">
        <v>92</v>
      </c>
      <c r="E41" s="94">
        <v>1</v>
      </c>
      <c r="F41" s="99"/>
      <c r="G41" s="71">
        <v>20835</v>
      </c>
      <c r="H41" s="99">
        <f>+(G41+F41)*E41</f>
        <v>20835</v>
      </c>
      <c r="I41" s="15">
        <f t="shared" si="2"/>
        <v>0</v>
      </c>
      <c r="J41" s="360" t="s">
        <v>746</v>
      </c>
      <c r="K41" s="368">
        <v>-1</v>
      </c>
      <c r="L41" s="361">
        <v>20835</v>
      </c>
      <c r="M41" s="361">
        <v>-20835</v>
      </c>
      <c r="N41" s="370" t="s">
        <v>784</v>
      </c>
      <c r="O41" s="382"/>
      <c r="P41" s="379"/>
      <c r="R41" s="354">
        <v>0</v>
      </c>
      <c r="S41" s="354">
        <v>0</v>
      </c>
      <c r="T41" s="354">
        <v>0</v>
      </c>
    </row>
    <row r="42" spans="1:20" s="15" customFormat="1" ht="26.25" customHeight="1">
      <c r="A42" s="85">
        <f t="shared" si="0"/>
        <v>38</v>
      </c>
      <c r="B42" s="371" t="s">
        <v>598</v>
      </c>
      <c r="C42" s="98" t="s">
        <v>597</v>
      </c>
      <c r="D42" s="94" t="s">
        <v>92</v>
      </c>
      <c r="E42" s="94">
        <v>1</v>
      </c>
      <c r="F42" s="71">
        <v>650</v>
      </c>
      <c r="G42" s="71">
        <v>3500</v>
      </c>
      <c r="H42" s="99">
        <f>+(G42+F42)*E42</f>
        <v>4150</v>
      </c>
      <c r="I42" s="15">
        <f t="shared" si="2"/>
        <v>650</v>
      </c>
      <c r="J42" s="360" t="s">
        <v>746</v>
      </c>
      <c r="K42" s="359">
        <v>-1</v>
      </c>
      <c r="L42" s="361">
        <v>4150</v>
      </c>
      <c r="M42" s="361">
        <v>-4150</v>
      </c>
      <c r="N42" s="370" t="s">
        <v>777</v>
      </c>
      <c r="O42" s="382" t="s">
        <v>802</v>
      </c>
      <c r="P42" s="379"/>
      <c r="R42" s="354">
        <v>0</v>
      </c>
      <c r="S42" s="354">
        <v>0</v>
      </c>
      <c r="T42" s="354">
        <v>0</v>
      </c>
    </row>
    <row r="43" spans="1:20" s="15" customFormat="1" ht="33.75">
      <c r="A43" s="362" t="s">
        <v>768</v>
      </c>
      <c r="B43" s="363" t="s">
        <v>769</v>
      </c>
      <c r="C43" s="358" t="s">
        <v>770</v>
      </c>
      <c r="D43" s="94"/>
      <c r="E43" s="94"/>
      <c r="F43" s="71"/>
      <c r="G43" s="71"/>
      <c r="H43" s="99"/>
      <c r="J43" s="360" t="s">
        <v>751</v>
      </c>
      <c r="K43" s="359">
        <v>1</v>
      </c>
      <c r="L43" s="361">
        <v>2200</v>
      </c>
      <c r="M43" s="361">
        <v>2200</v>
      </c>
      <c r="N43" s="387" t="s">
        <v>772</v>
      </c>
      <c r="O43" s="382" t="s">
        <v>802</v>
      </c>
      <c r="P43" s="389" t="s">
        <v>809</v>
      </c>
      <c r="R43" s="354">
        <v>0</v>
      </c>
      <c r="S43" s="354">
        <v>0</v>
      </c>
      <c r="T43" s="354">
        <v>3369</v>
      </c>
    </row>
    <row r="44" spans="1:20" s="15" customFormat="1" ht="12.75" customHeight="1">
      <c r="A44" s="85"/>
      <c r="B44" s="85"/>
      <c r="C44" s="88" t="s">
        <v>193</v>
      </c>
      <c r="D44" s="86"/>
      <c r="E44" s="86"/>
      <c r="F44" s="90"/>
      <c r="G44" s="90"/>
      <c r="H44" s="100">
        <f>SUM(H5:H42)</f>
        <v>114770</v>
      </c>
      <c r="I44" s="15">
        <f>SUM(I5:I42)</f>
        <v>28601</v>
      </c>
      <c r="J44" s="360"/>
      <c r="K44" s="368"/>
      <c r="L44" s="361"/>
      <c r="M44" s="364">
        <f>SUM(M5:M43)</f>
        <v>-57135</v>
      </c>
      <c r="N44" s="372"/>
      <c r="O44" s="382"/>
      <c r="P44" s="379"/>
      <c r="R44" s="354"/>
      <c r="S44" s="354"/>
      <c r="T44" s="354"/>
    </row>
    <row r="45" spans="1:20" s="15" customFormat="1" ht="12.75" customHeight="1">
      <c r="A45" s="85"/>
      <c r="B45" s="85"/>
      <c r="C45" s="88"/>
      <c r="D45" s="86"/>
      <c r="E45" s="86"/>
      <c r="F45" s="90"/>
      <c r="G45" s="90"/>
      <c r="H45" s="101"/>
      <c r="J45" s="360"/>
      <c r="K45" s="368"/>
      <c r="L45" s="361"/>
      <c r="M45" s="361"/>
      <c r="N45" s="372"/>
      <c r="O45" s="382"/>
      <c r="P45" s="379"/>
      <c r="R45" s="354"/>
      <c r="S45" s="354"/>
      <c r="T45" s="354"/>
    </row>
    <row r="46" spans="1:20" s="15" customFormat="1" ht="12.75" customHeight="1">
      <c r="A46" s="85"/>
      <c r="B46" s="85"/>
      <c r="C46" s="88"/>
      <c r="D46" s="86"/>
      <c r="E46" s="86"/>
      <c r="F46" s="90"/>
      <c r="G46" s="90"/>
      <c r="H46" s="101"/>
      <c r="J46" s="360"/>
      <c r="K46" s="368"/>
      <c r="L46" s="361"/>
      <c r="M46" s="361"/>
      <c r="N46" s="372"/>
      <c r="O46" s="382"/>
      <c r="P46" s="379"/>
      <c r="R46" s="354"/>
      <c r="S46" s="354"/>
      <c r="T46" s="354"/>
    </row>
    <row r="47" spans="1:20" s="15" customFormat="1" ht="12.75" customHeight="1">
      <c r="A47" s="85"/>
      <c r="B47" s="85"/>
      <c r="C47" s="88" t="s">
        <v>194</v>
      </c>
      <c r="D47" s="86"/>
      <c r="E47" s="86"/>
      <c r="F47" s="90"/>
      <c r="G47" s="90"/>
      <c r="H47" s="90"/>
      <c r="J47" s="360"/>
      <c r="K47" s="368"/>
      <c r="L47" s="361"/>
      <c r="M47" s="361"/>
      <c r="N47" s="365"/>
      <c r="O47" s="382"/>
      <c r="P47" s="379"/>
      <c r="R47" s="354"/>
      <c r="S47" s="354"/>
      <c r="T47" s="354"/>
    </row>
    <row r="48" spans="1:20" s="15" customFormat="1" ht="12.75" customHeight="1">
      <c r="A48" s="85">
        <f>+A42+1</f>
        <v>39</v>
      </c>
      <c r="B48" s="91" t="s">
        <v>47</v>
      </c>
      <c r="C48" s="86" t="s">
        <v>299</v>
      </c>
      <c r="D48" s="86" t="s">
        <v>92</v>
      </c>
      <c r="E48" s="86">
        <v>1</v>
      </c>
      <c r="F48" s="71">
        <v>1600</v>
      </c>
      <c r="G48" s="90"/>
      <c r="H48" s="90">
        <f aca="true" t="shared" si="3" ref="H48:H57">(F48+G48)*E48</f>
        <v>1600</v>
      </c>
      <c r="I48" s="15">
        <f>E48*F48</f>
        <v>1600</v>
      </c>
      <c r="J48" s="360"/>
      <c r="K48" s="368"/>
      <c r="L48" s="361"/>
      <c r="M48" s="361"/>
      <c r="N48" s="365"/>
      <c r="O48" s="382"/>
      <c r="P48" s="379"/>
      <c r="R48" s="354">
        <v>0</v>
      </c>
      <c r="S48" s="354">
        <v>0</v>
      </c>
      <c r="T48" s="354">
        <v>1600</v>
      </c>
    </row>
    <row r="49" spans="1:20" s="15" customFormat="1" ht="12.75" customHeight="1">
      <c r="A49" s="85">
        <f aca="true" t="shared" si="4" ref="A49:A57">A48+1</f>
        <v>40</v>
      </c>
      <c r="B49" s="91" t="s">
        <v>48</v>
      </c>
      <c r="C49" s="86" t="s">
        <v>273</v>
      </c>
      <c r="D49" s="86" t="s">
        <v>92</v>
      </c>
      <c r="E49" s="86">
        <v>1</v>
      </c>
      <c r="F49" s="71">
        <v>1300</v>
      </c>
      <c r="G49" s="90"/>
      <c r="H49" s="90">
        <f t="shared" si="3"/>
        <v>1300</v>
      </c>
      <c r="I49" s="15">
        <f aca="true" t="shared" si="5" ref="I49:I57">E49*F49</f>
        <v>1300</v>
      </c>
      <c r="J49" s="360"/>
      <c r="K49" s="368"/>
      <c r="L49" s="361"/>
      <c r="M49" s="361"/>
      <c r="N49" s="365"/>
      <c r="O49" s="382"/>
      <c r="P49" s="379"/>
      <c r="R49" s="354">
        <v>0</v>
      </c>
      <c r="S49" s="354">
        <v>0</v>
      </c>
      <c r="T49" s="354">
        <v>1300</v>
      </c>
    </row>
    <row r="50" spans="1:20" s="15" customFormat="1" ht="12.75" customHeight="1">
      <c r="A50" s="85">
        <f t="shared" si="4"/>
        <v>41</v>
      </c>
      <c r="B50" s="91" t="s">
        <v>49</v>
      </c>
      <c r="C50" s="86" t="s">
        <v>195</v>
      </c>
      <c r="D50" s="86" t="s">
        <v>92</v>
      </c>
      <c r="E50" s="86">
        <v>1</v>
      </c>
      <c r="F50" s="71">
        <v>980</v>
      </c>
      <c r="G50" s="90"/>
      <c r="H50" s="90">
        <f>(F50+G50)*E50</f>
        <v>980</v>
      </c>
      <c r="I50" s="15">
        <f t="shared" si="5"/>
        <v>980</v>
      </c>
      <c r="J50" s="360"/>
      <c r="K50" s="368"/>
      <c r="L50" s="361"/>
      <c r="M50" s="361"/>
      <c r="N50" s="365"/>
      <c r="O50" s="382"/>
      <c r="P50" s="379"/>
      <c r="R50" s="354">
        <v>0</v>
      </c>
      <c r="S50" s="354">
        <v>0</v>
      </c>
      <c r="T50" s="354">
        <v>980</v>
      </c>
    </row>
    <row r="51" spans="1:20" s="15" customFormat="1" ht="33.75">
      <c r="A51" s="85">
        <f t="shared" si="4"/>
        <v>42</v>
      </c>
      <c r="B51" s="85">
        <v>35822003010</v>
      </c>
      <c r="C51" s="86" t="s">
        <v>29</v>
      </c>
      <c r="D51" s="86" t="s">
        <v>92</v>
      </c>
      <c r="E51" s="86">
        <v>1</v>
      </c>
      <c r="F51" s="71">
        <v>270</v>
      </c>
      <c r="G51" s="90"/>
      <c r="H51" s="90"/>
      <c r="J51" s="360" t="s">
        <v>746</v>
      </c>
      <c r="K51" s="368">
        <v>-1</v>
      </c>
      <c r="L51" s="361">
        <v>270</v>
      </c>
      <c r="M51" s="361">
        <v>-270</v>
      </c>
      <c r="N51" s="387" t="s">
        <v>785</v>
      </c>
      <c r="O51" s="382"/>
      <c r="P51" s="388" t="s">
        <v>810</v>
      </c>
      <c r="R51" s="354">
        <v>0</v>
      </c>
      <c r="S51" s="354">
        <v>0</v>
      </c>
      <c r="T51" s="354">
        <v>0</v>
      </c>
    </row>
    <row r="52" spans="1:20" s="15" customFormat="1" ht="12.75" customHeight="1">
      <c r="A52" s="85">
        <f t="shared" si="4"/>
        <v>43</v>
      </c>
      <c r="B52" s="85" t="s">
        <v>50</v>
      </c>
      <c r="C52" s="86" t="s">
        <v>30</v>
      </c>
      <c r="D52" s="86" t="s">
        <v>92</v>
      </c>
      <c r="E52" s="86">
        <v>1</v>
      </c>
      <c r="F52" s="71">
        <v>420</v>
      </c>
      <c r="G52" s="90"/>
      <c r="H52" s="90"/>
      <c r="J52" s="360"/>
      <c r="K52" s="368"/>
      <c r="L52" s="361"/>
      <c r="M52" s="361"/>
      <c r="N52" s="365"/>
      <c r="O52" s="382"/>
      <c r="P52" s="379"/>
      <c r="R52" s="354"/>
      <c r="S52" s="354"/>
      <c r="T52" s="354"/>
    </row>
    <row r="53" spans="1:20" s="15" customFormat="1" ht="12.75" customHeight="1">
      <c r="A53" s="85">
        <f t="shared" si="4"/>
        <v>44</v>
      </c>
      <c r="B53" s="91">
        <v>35822003011</v>
      </c>
      <c r="C53" s="86" t="s">
        <v>274</v>
      </c>
      <c r="D53" s="86" t="s">
        <v>92</v>
      </c>
      <c r="E53" s="86">
        <v>2</v>
      </c>
      <c r="F53" s="71">
        <v>110</v>
      </c>
      <c r="G53" s="90"/>
      <c r="H53" s="90">
        <f t="shared" si="3"/>
        <v>220</v>
      </c>
      <c r="I53" s="15">
        <f t="shared" si="5"/>
        <v>220</v>
      </c>
      <c r="J53" s="360" t="s">
        <v>751</v>
      </c>
      <c r="K53" s="368">
        <v>2</v>
      </c>
      <c r="L53" s="361">
        <v>110</v>
      </c>
      <c r="M53" s="361">
        <v>220</v>
      </c>
      <c r="N53" s="365" t="s">
        <v>773</v>
      </c>
      <c r="O53" s="382" t="s">
        <v>802</v>
      </c>
      <c r="P53" s="379"/>
      <c r="R53" s="354">
        <v>0</v>
      </c>
      <c r="S53" s="354">
        <v>0</v>
      </c>
      <c r="T53" s="354">
        <v>440</v>
      </c>
    </row>
    <row r="54" spans="1:20" s="15" customFormat="1" ht="12.75" customHeight="1">
      <c r="A54" s="85">
        <f t="shared" si="4"/>
        <v>45</v>
      </c>
      <c r="B54" s="91">
        <v>35822003012</v>
      </c>
      <c r="C54" s="86" t="s">
        <v>275</v>
      </c>
      <c r="D54" s="86" t="s">
        <v>92</v>
      </c>
      <c r="E54" s="86">
        <v>7</v>
      </c>
      <c r="F54" s="71">
        <v>110</v>
      </c>
      <c r="G54" s="90"/>
      <c r="H54" s="90">
        <f t="shared" si="3"/>
        <v>770</v>
      </c>
      <c r="I54" s="15">
        <f t="shared" si="5"/>
        <v>770</v>
      </c>
      <c r="J54" s="360" t="s">
        <v>746</v>
      </c>
      <c r="K54" s="368">
        <v>-2</v>
      </c>
      <c r="L54" s="361">
        <v>110</v>
      </c>
      <c r="M54" s="361">
        <v>-220</v>
      </c>
      <c r="N54" s="365" t="s">
        <v>774</v>
      </c>
      <c r="O54" s="382" t="s">
        <v>802</v>
      </c>
      <c r="P54" s="379"/>
      <c r="R54" s="354">
        <v>0</v>
      </c>
      <c r="S54" s="354">
        <v>0</v>
      </c>
      <c r="T54" s="354">
        <v>550</v>
      </c>
    </row>
    <row r="55" spans="1:20" s="15" customFormat="1" ht="12.75" customHeight="1">
      <c r="A55" s="85">
        <f t="shared" si="4"/>
        <v>46</v>
      </c>
      <c r="B55" s="91" t="s">
        <v>51</v>
      </c>
      <c r="C55" s="86" t="s">
        <v>196</v>
      </c>
      <c r="D55" s="86" t="s">
        <v>93</v>
      </c>
      <c r="E55" s="86">
        <v>0.5</v>
      </c>
      <c r="F55" s="71">
        <v>710</v>
      </c>
      <c r="G55" s="90"/>
      <c r="H55" s="90">
        <f t="shared" si="3"/>
        <v>355</v>
      </c>
      <c r="I55" s="15">
        <f t="shared" si="5"/>
        <v>355</v>
      </c>
      <c r="J55" s="360"/>
      <c r="K55" s="368"/>
      <c r="L55" s="361"/>
      <c r="M55" s="361"/>
      <c r="N55" s="365"/>
      <c r="O55" s="382"/>
      <c r="P55" s="379"/>
      <c r="R55" s="354">
        <v>0</v>
      </c>
      <c r="S55" s="354">
        <v>0</v>
      </c>
      <c r="T55" s="354">
        <v>355</v>
      </c>
    </row>
    <row r="56" spans="1:20" s="15" customFormat="1" ht="12.75" customHeight="1">
      <c r="A56" s="85">
        <f t="shared" si="4"/>
        <v>47</v>
      </c>
      <c r="B56" s="85" t="s">
        <v>177</v>
      </c>
      <c r="C56" s="86" t="s">
        <v>197</v>
      </c>
      <c r="D56" s="86" t="s">
        <v>89</v>
      </c>
      <c r="E56" s="86">
        <v>1</v>
      </c>
      <c r="F56" s="71">
        <v>1000</v>
      </c>
      <c r="G56" s="90"/>
      <c r="H56" s="90">
        <f t="shared" si="3"/>
        <v>1000</v>
      </c>
      <c r="I56" s="15">
        <f t="shared" si="5"/>
        <v>1000</v>
      </c>
      <c r="J56" s="360"/>
      <c r="K56" s="368"/>
      <c r="L56" s="361"/>
      <c r="M56" s="361"/>
      <c r="N56" s="365"/>
      <c r="O56" s="382"/>
      <c r="P56" s="379"/>
      <c r="R56" s="354">
        <v>0</v>
      </c>
      <c r="S56" s="354">
        <v>0</v>
      </c>
      <c r="T56" s="354">
        <v>1000</v>
      </c>
    </row>
    <row r="57" spans="1:20" s="15" customFormat="1" ht="12.75" customHeight="1">
      <c r="A57" s="85">
        <f t="shared" si="4"/>
        <v>48</v>
      </c>
      <c r="B57" s="85" t="s">
        <v>177</v>
      </c>
      <c r="C57" s="86" t="s">
        <v>198</v>
      </c>
      <c r="D57" s="86" t="s">
        <v>89</v>
      </c>
      <c r="E57" s="86">
        <v>1</v>
      </c>
      <c r="F57" s="90"/>
      <c r="G57" s="33">
        <v>2850</v>
      </c>
      <c r="H57" s="90">
        <f t="shared" si="3"/>
        <v>2850</v>
      </c>
      <c r="I57" s="15">
        <f t="shared" si="5"/>
        <v>0</v>
      </c>
      <c r="J57" s="360"/>
      <c r="K57" s="368"/>
      <c r="L57" s="361"/>
      <c r="M57" s="361"/>
      <c r="N57" s="365"/>
      <c r="O57" s="382"/>
      <c r="P57" s="379"/>
      <c r="R57" s="354">
        <v>0</v>
      </c>
      <c r="S57" s="354">
        <v>0</v>
      </c>
      <c r="T57" s="354">
        <v>2850</v>
      </c>
    </row>
    <row r="58" spans="1:20" s="15" customFormat="1" ht="12.75" customHeight="1">
      <c r="A58" s="85"/>
      <c r="B58" s="85"/>
      <c r="C58" s="88" t="s">
        <v>199</v>
      </c>
      <c r="D58" s="86"/>
      <c r="E58" s="86"/>
      <c r="F58" s="86"/>
      <c r="G58" s="86"/>
      <c r="H58" s="100">
        <f>SUM(H48:H57)</f>
        <v>9075</v>
      </c>
      <c r="I58" s="15">
        <f>SUM(I48:I57)</f>
        <v>6225</v>
      </c>
      <c r="J58" s="360"/>
      <c r="K58" s="368"/>
      <c r="L58" s="361"/>
      <c r="M58" s="364">
        <f>SUM(M48:M57)</f>
        <v>-270</v>
      </c>
      <c r="N58" s="372"/>
      <c r="O58" s="382"/>
      <c r="P58" s="379"/>
      <c r="R58" s="354"/>
      <c r="S58" s="354"/>
      <c r="T58" s="354"/>
    </row>
    <row r="59" spans="1:20" s="15" customFormat="1" ht="12.75" customHeight="1">
      <c r="A59" s="85"/>
      <c r="B59" s="85"/>
      <c r="C59" s="88"/>
      <c r="D59" s="86"/>
      <c r="E59" s="86"/>
      <c r="F59" s="86"/>
      <c r="G59" s="86"/>
      <c r="H59" s="101"/>
      <c r="J59" s="360"/>
      <c r="K59" s="368"/>
      <c r="L59" s="361"/>
      <c r="M59" s="361"/>
      <c r="N59" s="372"/>
      <c r="O59" s="382"/>
      <c r="P59" s="379"/>
      <c r="R59" s="354"/>
      <c r="S59" s="354"/>
      <c r="T59" s="354"/>
    </row>
    <row r="60" spans="1:20" s="15" customFormat="1" ht="12.75" customHeight="1">
      <c r="A60" s="85"/>
      <c r="B60" s="85"/>
      <c r="C60" s="102" t="s">
        <v>160</v>
      </c>
      <c r="D60" s="94"/>
      <c r="E60" s="94"/>
      <c r="F60" s="94"/>
      <c r="G60" s="94"/>
      <c r="H60" s="94"/>
      <c r="J60" s="360"/>
      <c r="K60" s="368"/>
      <c r="L60" s="361"/>
      <c r="M60" s="361"/>
      <c r="N60" s="372"/>
      <c r="O60" s="382"/>
      <c r="P60" s="379"/>
      <c r="R60" s="354"/>
      <c r="S60" s="354"/>
      <c r="T60" s="354"/>
    </row>
    <row r="61" spans="1:20" s="15" customFormat="1" ht="12.75" customHeight="1">
      <c r="A61" s="85">
        <f>+A57+1</f>
        <v>49</v>
      </c>
      <c r="B61" s="85" t="s">
        <v>177</v>
      </c>
      <c r="C61" s="103" t="s">
        <v>591</v>
      </c>
      <c r="D61" s="94" t="s">
        <v>98</v>
      </c>
      <c r="E61" s="115">
        <v>0.05</v>
      </c>
      <c r="F61" s="99"/>
      <c r="G61" s="99">
        <f>+I44+I58</f>
        <v>34826</v>
      </c>
      <c r="H61" s="99">
        <f>+G61*E61</f>
        <v>1741.3000000000002</v>
      </c>
      <c r="J61" s="360"/>
      <c r="K61" s="368"/>
      <c r="L61" s="361"/>
      <c r="M61" s="361"/>
      <c r="N61" s="372"/>
      <c r="O61" s="382"/>
      <c r="P61" s="379"/>
      <c r="R61" s="354">
        <v>0</v>
      </c>
      <c r="S61" s="354">
        <v>0</v>
      </c>
      <c r="T61" s="354">
        <v>1741.3</v>
      </c>
    </row>
    <row r="62" spans="1:20" s="15" customFormat="1" ht="12.75" customHeight="1">
      <c r="A62" s="85">
        <f>+A61+1</f>
        <v>50</v>
      </c>
      <c r="B62" s="85" t="s">
        <v>177</v>
      </c>
      <c r="C62" s="103" t="s">
        <v>592</v>
      </c>
      <c r="D62" s="94" t="s">
        <v>98</v>
      </c>
      <c r="E62" s="115">
        <v>0.05</v>
      </c>
      <c r="F62" s="99"/>
      <c r="G62" s="99">
        <f>H44-I44+H58-I58</f>
        <v>89019</v>
      </c>
      <c r="H62" s="99">
        <f>+G62*E62</f>
        <v>4450.95</v>
      </c>
      <c r="J62" s="360"/>
      <c r="K62" s="368"/>
      <c r="L62" s="361"/>
      <c r="M62" s="361"/>
      <c r="N62" s="372"/>
      <c r="O62" s="382"/>
      <c r="P62" s="379"/>
      <c r="R62" s="354">
        <v>0</v>
      </c>
      <c r="S62" s="354">
        <v>0</v>
      </c>
      <c r="T62" s="354">
        <v>4450.95</v>
      </c>
    </row>
    <row r="63" spans="1:20" s="15" customFormat="1" ht="12.75" customHeight="1">
      <c r="A63" s="85"/>
      <c r="B63" s="85"/>
      <c r="C63" s="102" t="s">
        <v>203</v>
      </c>
      <c r="D63" s="102"/>
      <c r="E63" s="61"/>
      <c r="F63" s="102"/>
      <c r="G63" s="102"/>
      <c r="H63" s="104">
        <f>SUM(H61:H62)</f>
        <v>6192.25</v>
      </c>
      <c r="J63" s="360"/>
      <c r="K63" s="368"/>
      <c r="L63" s="361"/>
      <c r="M63" s="364">
        <v>-2870.25</v>
      </c>
      <c r="N63" s="372"/>
      <c r="O63" s="382"/>
      <c r="P63" s="379"/>
      <c r="R63" s="354"/>
      <c r="S63" s="354"/>
      <c r="T63" s="354"/>
    </row>
    <row r="64" spans="1:20" s="15" customFormat="1" ht="12.75" customHeight="1">
      <c r="A64" s="85"/>
      <c r="B64" s="85"/>
      <c r="C64" s="88"/>
      <c r="D64" s="86"/>
      <c r="E64" s="86"/>
      <c r="F64" s="86"/>
      <c r="G64" s="86"/>
      <c r="H64" s="101"/>
      <c r="J64" s="360"/>
      <c r="K64" s="368"/>
      <c r="L64" s="361"/>
      <c r="M64" s="361"/>
      <c r="N64" s="372"/>
      <c r="O64" s="382"/>
      <c r="P64" s="379"/>
      <c r="R64" s="354"/>
      <c r="S64" s="354"/>
      <c r="T64" s="354"/>
    </row>
    <row r="65" spans="1:20" s="15" customFormat="1" ht="18" customHeight="1">
      <c r="A65" s="85"/>
      <c r="B65" s="85"/>
      <c r="C65" s="87" t="s">
        <v>200</v>
      </c>
      <c r="D65" s="86"/>
      <c r="E65" s="86"/>
      <c r="F65" s="86"/>
      <c r="G65" s="86"/>
      <c r="H65" s="101"/>
      <c r="J65" s="360"/>
      <c r="K65" s="368"/>
      <c r="L65" s="361"/>
      <c r="M65" s="361"/>
      <c r="N65" s="372" t="s">
        <v>786</v>
      </c>
      <c r="O65" s="382"/>
      <c r="P65" s="380" t="s">
        <v>807</v>
      </c>
      <c r="R65" s="354"/>
      <c r="S65" s="354"/>
      <c r="T65" s="354"/>
    </row>
    <row r="66" spans="1:20" s="15" customFormat="1" ht="12.75" customHeight="1">
      <c r="A66" s="85"/>
      <c r="B66" s="85"/>
      <c r="C66" s="88" t="s">
        <v>172</v>
      </c>
      <c r="D66" s="86"/>
      <c r="E66" s="85" t="s">
        <v>95</v>
      </c>
      <c r="F66" s="85" t="s">
        <v>173</v>
      </c>
      <c r="G66" s="85" t="s">
        <v>174</v>
      </c>
      <c r="H66" s="85" t="s">
        <v>96</v>
      </c>
      <c r="J66" s="360"/>
      <c r="K66" s="368"/>
      <c r="L66" s="361"/>
      <c r="M66" s="361"/>
      <c r="N66" s="372"/>
      <c r="O66" s="382"/>
      <c r="P66" s="379"/>
      <c r="R66" s="354"/>
      <c r="S66" s="354"/>
      <c r="T66" s="354"/>
    </row>
    <row r="67" spans="1:20" s="15" customFormat="1" ht="12.75" customHeight="1">
      <c r="A67" s="85">
        <f>+A62+1</f>
        <v>51</v>
      </c>
      <c r="B67" s="91" t="s">
        <v>52</v>
      </c>
      <c r="C67" s="86" t="s">
        <v>276</v>
      </c>
      <c r="D67" s="86" t="s">
        <v>92</v>
      </c>
      <c r="E67" s="86">
        <v>1</v>
      </c>
      <c r="F67" s="71">
        <v>297</v>
      </c>
      <c r="G67" s="71">
        <v>125</v>
      </c>
      <c r="H67" s="90">
        <f aca="true" t="shared" si="6" ref="H67:H80">(F67+G67)*E67</f>
        <v>422</v>
      </c>
      <c r="I67" s="15">
        <f>+E67*F67</f>
        <v>297</v>
      </c>
      <c r="J67" s="360"/>
      <c r="K67" s="368"/>
      <c r="L67" s="361"/>
      <c r="M67" s="361"/>
      <c r="N67" s="372"/>
      <c r="O67" s="382"/>
      <c r="P67" s="379"/>
      <c r="R67" s="354">
        <v>0</v>
      </c>
      <c r="S67" s="354">
        <v>0</v>
      </c>
      <c r="T67" s="354">
        <v>422</v>
      </c>
    </row>
    <row r="68" spans="1:20" s="15" customFormat="1" ht="12.75" customHeight="1">
      <c r="A68" s="85">
        <f>A67+1</f>
        <v>52</v>
      </c>
      <c r="B68" s="91" t="s">
        <v>52</v>
      </c>
      <c r="C68" s="86" t="s">
        <v>31</v>
      </c>
      <c r="D68" s="86" t="s">
        <v>92</v>
      </c>
      <c r="E68" s="86">
        <v>1</v>
      </c>
      <c r="F68" s="71">
        <v>221</v>
      </c>
      <c r="G68" s="71">
        <v>125</v>
      </c>
      <c r="H68" s="90">
        <f t="shared" si="6"/>
        <v>346</v>
      </c>
      <c r="I68" s="15">
        <f aca="true" t="shared" si="7" ref="I68:I80">+E68*F68</f>
        <v>221</v>
      </c>
      <c r="J68" s="360"/>
      <c r="K68" s="368"/>
      <c r="L68" s="361"/>
      <c r="M68" s="361"/>
      <c r="N68" s="372"/>
      <c r="O68" s="382"/>
      <c r="P68" s="379"/>
      <c r="R68" s="354">
        <v>0</v>
      </c>
      <c r="S68" s="354">
        <v>0</v>
      </c>
      <c r="T68" s="354">
        <v>346</v>
      </c>
    </row>
    <row r="69" spans="1:20" s="15" customFormat="1" ht="12.75" customHeight="1">
      <c r="A69" s="85">
        <f aca="true" t="shared" si="8" ref="A69:A80">A68+1</f>
        <v>53</v>
      </c>
      <c r="B69" s="91" t="s">
        <v>53</v>
      </c>
      <c r="C69" s="86" t="s">
        <v>32</v>
      </c>
      <c r="D69" s="86" t="s">
        <v>92</v>
      </c>
      <c r="E69" s="86">
        <v>2</v>
      </c>
      <c r="F69" s="71">
        <v>293</v>
      </c>
      <c r="G69" s="71">
        <v>140</v>
      </c>
      <c r="H69" s="90">
        <f t="shared" si="6"/>
        <v>866</v>
      </c>
      <c r="I69" s="15">
        <f t="shared" si="7"/>
        <v>586</v>
      </c>
      <c r="J69" s="360"/>
      <c r="K69" s="368"/>
      <c r="L69" s="361"/>
      <c r="M69" s="361"/>
      <c r="N69" s="372"/>
      <c r="O69" s="382"/>
      <c r="P69" s="379"/>
      <c r="R69" s="354">
        <v>0</v>
      </c>
      <c r="S69" s="354">
        <v>0</v>
      </c>
      <c r="T69" s="354">
        <v>866</v>
      </c>
    </row>
    <row r="70" spans="1:20" s="15" customFormat="1" ht="12.75" customHeight="1">
      <c r="A70" s="85">
        <f t="shared" si="8"/>
        <v>54</v>
      </c>
      <c r="B70" s="91" t="s">
        <v>54</v>
      </c>
      <c r="C70" s="86" t="s">
        <v>277</v>
      </c>
      <c r="D70" s="86" t="s">
        <v>92</v>
      </c>
      <c r="E70" s="86">
        <v>4</v>
      </c>
      <c r="F70" s="71">
        <v>10</v>
      </c>
      <c r="G70" s="71">
        <v>110</v>
      </c>
      <c r="H70" s="90">
        <f t="shared" si="6"/>
        <v>480</v>
      </c>
      <c r="I70" s="15">
        <f t="shared" si="7"/>
        <v>40</v>
      </c>
      <c r="J70" s="360" t="s">
        <v>746</v>
      </c>
      <c r="K70" s="366">
        <v>-1</v>
      </c>
      <c r="L70" s="361">
        <v>120</v>
      </c>
      <c r="M70" s="361">
        <v>-120</v>
      </c>
      <c r="N70" s="365" t="s">
        <v>776</v>
      </c>
      <c r="O70" s="382" t="s">
        <v>802</v>
      </c>
      <c r="P70" s="379"/>
      <c r="R70" s="354">
        <v>0</v>
      </c>
      <c r="S70" s="354">
        <v>0</v>
      </c>
      <c r="T70" s="354">
        <v>360</v>
      </c>
    </row>
    <row r="71" spans="1:20" s="15" customFormat="1" ht="12.75" customHeight="1">
      <c r="A71" s="85">
        <f t="shared" si="8"/>
        <v>55</v>
      </c>
      <c r="B71" s="91" t="s">
        <v>55</v>
      </c>
      <c r="C71" s="86" t="s">
        <v>300</v>
      </c>
      <c r="D71" s="86" t="s">
        <v>92</v>
      </c>
      <c r="E71" s="86">
        <v>2</v>
      </c>
      <c r="F71" s="71">
        <v>20</v>
      </c>
      <c r="G71" s="71">
        <v>110</v>
      </c>
      <c r="H71" s="90">
        <f t="shared" si="6"/>
        <v>260</v>
      </c>
      <c r="I71" s="15">
        <f t="shared" si="7"/>
        <v>40</v>
      </c>
      <c r="J71" s="360" t="s">
        <v>746</v>
      </c>
      <c r="K71" s="366">
        <v>-2</v>
      </c>
      <c r="L71" s="361">
        <v>130</v>
      </c>
      <c r="M71" s="361">
        <v>-260</v>
      </c>
      <c r="N71" s="365" t="s">
        <v>776</v>
      </c>
      <c r="O71" s="382" t="s">
        <v>802</v>
      </c>
      <c r="P71" s="379"/>
      <c r="R71" s="354">
        <v>0</v>
      </c>
      <c r="S71" s="354">
        <v>0</v>
      </c>
      <c r="T71" s="354">
        <v>0</v>
      </c>
    </row>
    <row r="72" spans="1:20" s="15" customFormat="1" ht="12.75" customHeight="1">
      <c r="A72" s="85">
        <f t="shared" si="8"/>
        <v>56</v>
      </c>
      <c r="B72" s="91" t="s">
        <v>56</v>
      </c>
      <c r="C72" s="86" t="s">
        <v>33</v>
      </c>
      <c r="D72" s="86" t="s">
        <v>93</v>
      </c>
      <c r="E72" s="86">
        <v>13</v>
      </c>
      <c r="F72" s="71">
        <v>25</v>
      </c>
      <c r="G72" s="71">
        <v>20</v>
      </c>
      <c r="H72" s="90">
        <f t="shared" si="6"/>
        <v>585</v>
      </c>
      <c r="I72" s="15">
        <f t="shared" si="7"/>
        <v>325</v>
      </c>
      <c r="J72" s="360" t="s">
        <v>746</v>
      </c>
      <c r="K72" s="366">
        <v>-13</v>
      </c>
      <c r="L72" s="361">
        <v>45</v>
      </c>
      <c r="M72" s="361">
        <v>-585</v>
      </c>
      <c r="N72" s="365" t="s">
        <v>776</v>
      </c>
      <c r="O72" s="382" t="s">
        <v>802</v>
      </c>
      <c r="P72" s="379"/>
      <c r="R72" s="354">
        <v>585</v>
      </c>
      <c r="S72" s="354">
        <v>0</v>
      </c>
      <c r="T72" s="354">
        <v>-585</v>
      </c>
    </row>
    <row r="73" spans="1:20" s="15" customFormat="1" ht="12.75" customHeight="1">
      <c r="A73" s="85">
        <f t="shared" si="8"/>
        <v>57</v>
      </c>
      <c r="B73" s="91" t="s">
        <v>56</v>
      </c>
      <c r="C73" s="86" t="s">
        <v>34</v>
      </c>
      <c r="D73" s="86" t="s">
        <v>93</v>
      </c>
      <c r="E73" s="86">
        <v>28</v>
      </c>
      <c r="F73" s="71">
        <v>13</v>
      </c>
      <c r="G73" s="71">
        <v>20</v>
      </c>
      <c r="H73" s="90">
        <f t="shared" si="6"/>
        <v>924</v>
      </c>
      <c r="I73" s="15">
        <f t="shared" si="7"/>
        <v>364</v>
      </c>
      <c r="J73" s="360"/>
      <c r="K73" s="366"/>
      <c r="L73" s="361"/>
      <c r="M73" s="361"/>
      <c r="N73" s="365"/>
      <c r="O73" s="382"/>
      <c r="P73" s="379"/>
      <c r="R73" s="354">
        <v>924</v>
      </c>
      <c r="S73" s="354">
        <v>0</v>
      </c>
      <c r="T73" s="354">
        <v>0</v>
      </c>
    </row>
    <row r="74" spans="1:20" s="15" customFormat="1" ht="12.75" customHeight="1">
      <c r="A74" s="85">
        <f t="shared" si="8"/>
        <v>58</v>
      </c>
      <c r="B74" s="91" t="s">
        <v>57</v>
      </c>
      <c r="C74" s="86" t="s">
        <v>278</v>
      </c>
      <c r="D74" s="86" t="s">
        <v>93</v>
      </c>
      <c r="E74" s="86">
        <v>13</v>
      </c>
      <c r="F74" s="71">
        <v>20</v>
      </c>
      <c r="G74" s="71">
        <v>20</v>
      </c>
      <c r="H74" s="90">
        <f t="shared" si="6"/>
        <v>520</v>
      </c>
      <c r="I74" s="15">
        <f t="shared" si="7"/>
        <v>260</v>
      </c>
      <c r="J74" s="360" t="s">
        <v>806</v>
      </c>
      <c r="K74" s="366">
        <v>-13</v>
      </c>
      <c r="L74" s="361">
        <v>40</v>
      </c>
      <c r="M74" s="361">
        <v>-520</v>
      </c>
      <c r="N74" s="365" t="s">
        <v>776</v>
      </c>
      <c r="O74" s="382" t="s">
        <v>802</v>
      </c>
      <c r="P74" s="379"/>
      <c r="R74" s="354">
        <v>520</v>
      </c>
      <c r="S74" s="354">
        <v>0</v>
      </c>
      <c r="T74" s="354">
        <v>-520</v>
      </c>
    </row>
    <row r="75" spans="1:20" s="15" customFormat="1" ht="12.75" customHeight="1">
      <c r="A75" s="85">
        <f t="shared" si="8"/>
        <v>59</v>
      </c>
      <c r="B75" s="91" t="s">
        <v>58</v>
      </c>
      <c r="C75" s="86" t="s">
        <v>35</v>
      </c>
      <c r="D75" s="86" t="s">
        <v>92</v>
      </c>
      <c r="E75" s="86">
        <v>1</v>
      </c>
      <c r="F75" s="71">
        <v>242</v>
      </c>
      <c r="G75" s="71">
        <v>140</v>
      </c>
      <c r="H75" s="90">
        <f t="shared" si="6"/>
        <v>382</v>
      </c>
      <c r="I75" s="15">
        <f t="shared" si="7"/>
        <v>242</v>
      </c>
      <c r="J75" s="360"/>
      <c r="K75" s="366"/>
      <c r="L75" s="361"/>
      <c r="M75" s="361"/>
      <c r="N75" s="365"/>
      <c r="O75" s="382"/>
      <c r="P75" s="379"/>
      <c r="R75" s="354">
        <v>0</v>
      </c>
      <c r="S75" s="354">
        <v>0</v>
      </c>
      <c r="T75" s="354">
        <v>382</v>
      </c>
    </row>
    <row r="76" spans="1:20" s="15" customFormat="1" ht="12.75" customHeight="1">
      <c r="A76" s="85">
        <f t="shared" si="8"/>
        <v>60</v>
      </c>
      <c r="B76" s="91" t="s">
        <v>59</v>
      </c>
      <c r="C76" s="86" t="s">
        <v>36</v>
      </c>
      <c r="D76" s="86" t="s">
        <v>93</v>
      </c>
      <c r="E76" s="86">
        <v>5</v>
      </c>
      <c r="F76" s="71">
        <v>11</v>
      </c>
      <c r="G76" s="71">
        <v>20</v>
      </c>
      <c r="H76" s="90">
        <f t="shared" si="6"/>
        <v>155</v>
      </c>
      <c r="I76" s="15">
        <f t="shared" si="7"/>
        <v>55</v>
      </c>
      <c r="J76" s="360"/>
      <c r="K76" s="366"/>
      <c r="L76" s="361"/>
      <c r="M76" s="361"/>
      <c r="N76" s="365"/>
      <c r="O76" s="382"/>
      <c r="P76" s="379"/>
      <c r="R76" s="354">
        <v>155</v>
      </c>
      <c r="S76" s="354">
        <v>0</v>
      </c>
      <c r="T76" s="354">
        <v>0</v>
      </c>
    </row>
    <row r="77" spans="1:20" s="15" customFormat="1" ht="12.75" customHeight="1">
      <c r="A77" s="85">
        <f t="shared" si="8"/>
        <v>61</v>
      </c>
      <c r="B77" s="91" t="s">
        <v>44</v>
      </c>
      <c r="C77" s="86" t="s">
        <v>271</v>
      </c>
      <c r="D77" s="86" t="s">
        <v>92</v>
      </c>
      <c r="E77" s="86">
        <v>6</v>
      </c>
      <c r="F77" s="90"/>
      <c r="G77" s="71">
        <v>55</v>
      </c>
      <c r="H77" s="90">
        <f t="shared" si="6"/>
        <v>330</v>
      </c>
      <c r="I77" s="15">
        <f t="shared" si="7"/>
        <v>0</v>
      </c>
      <c r="J77" s="360" t="s">
        <v>746</v>
      </c>
      <c r="K77" s="366">
        <v>-3</v>
      </c>
      <c r="L77" s="361">
        <v>55</v>
      </c>
      <c r="M77" s="361">
        <v>-165</v>
      </c>
      <c r="N77" s="365" t="s">
        <v>776</v>
      </c>
      <c r="O77" s="382" t="s">
        <v>802</v>
      </c>
      <c r="P77" s="379"/>
      <c r="R77" s="354">
        <v>330</v>
      </c>
      <c r="S77" s="354">
        <v>0</v>
      </c>
      <c r="T77" s="354">
        <v>-165</v>
      </c>
    </row>
    <row r="78" spans="1:20" s="15" customFormat="1" ht="12.75" customHeight="1">
      <c r="A78" s="85">
        <f t="shared" si="8"/>
        <v>62</v>
      </c>
      <c r="B78" s="89" t="s">
        <v>41</v>
      </c>
      <c r="C78" s="86" t="s">
        <v>269</v>
      </c>
      <c r="D78" s="86" t="s">
        <v>93</v>
      </c>
      <c r="E78" s="86">
        <v>15</v>
      </c>
      <c r="F78" s="90"/>
      <c r="G78" s="71">
        <v>110</v>
      </c>
      <c r="H78" s="90">
        <f t="shared" si="6"/>
        <v>1650</v>
      </c>
      <c r="I78" s="15">
        <f t="shared" si="7"/>
        <v>0</v>
      </c>
      <c r="J78" s="360" t="s">
        <v>746</v>
      </c>
      <c r="K78" s="366">
        <v>-15</v>
      </c>
      <c r="L78" s="361">
        <v>110</v>
      </c>
      <c r="M78" s="361">
        <v>-1650</v>
      </c>
      <c r="N78" s="365" t="s">
        <v>776</v>
      </c>
      <c r="O78" s="382" t="s">
        <v>802</v>
      </c>
      <c r="P78" s="379"/>
      <c r="R78" s="354">
        <v>1650</v>
      </c>
      <c r="S78" s="354">
        <v>0</v>
      </c>
      <c r="T78" s="354">
        <v>1650</v>
      </c>
    </row>
    <row r="79" spans="1:20" s="15" customFormat="1" ht="12.75" customHeight="1">
      <c r="A79" s="85">
        <f t="shared" si="8"/>
        <v>63</v>
      </c>
      <c r="B79" s="89" t="s">
        <v>39</v>
      </c>
      <c r="C79" s="86" t="s">
        <v>188</v>
      </c>
      <c r="D79" s="86" t="s">
        <v>92</v>
      </c>
      <c r="E79" s="86">
        <v>1</v>
      </c>
      <c r="F79" s="90"/>
      <c r="G79" s="71">
        <v>110</v>
      </c>
      <c r="H79" s="90">
        <f t="shared" si="6"/>
        <v>110</v>
      </c>
      <c r="I79" s="15">
        <f t="shared" si="7"/>
        <v>0</v>
      </c>
      <c r="J79" s="360"/>
      <c r="K79" s="366"/>
      <c r="L79" s="361"/>
      <c r="M79" s="361"/>
      <c r="N79" s="365"/>
      <c r="O79" s="382"/>
      <c r="P79" s="379"/>
      <c r="R79" s="354">
        <v>110</v>
      </c>
      <c r="S79" s="354">
        <v>0</v>
      </c>
      <c r="T79" s="354">
        <v>0</v>
      </c>
    </row>
    <row r="80" spans="1:20" s="15" customFormat="1" ht="12.75" customHeight="1">
      <c r="A80" s="85">
        <f t="shared" si="8"/>
        <v>64</v>
      </c>
      <c r="B80" s="91" t="s">
        <v>43</v>
      </c>
      <c r="C80" s="86" t="s">
        <v>270</v>
      </c>
      <c r="D80" s="86" t="s">
        <v>92</v>
      </c>
      <c r="E80" s="86">
        <v>2</v>
      </c>
      <c r="F80" s="90"/>
      <c r="G80" s="71">
        <v>240</v>
      </c>
      <c r="H80" s="90">
        <f t="shared" si="6"/>
        <v>480</v>
      </c>
      <c r="I80" s="15">
        <f t="shared" si="7"/>
        <v>0</v>
      </c>
      <c r="J80" s="360" t="s">
        <v>746</v>
      </c>
      <c r="K80" s="366">
        <v>-2</v>
      </c>
      <c r="L80" s="361">
        <v>240</v>
      </c>
      <c r="M80" s="361">
        <v>-480</v>
      </c>
      <c r="N80" s="365" t="s">
        <v>776</v>
      </c>
      <c r="O80" s="382" t="s">
        <v>802</v>
      </c>
      <c r="P80" s="379"/>
      <c r="R80" s="354">
        <v>480</v>
      </c>
      <c r="S80" s="354">
        <v>0</v>
      </c>
      <c r="T80" s="354">
        <v>-480</v>
      </c>
    </row>
    <row r="81" spans="1:20" s="15" customFormat="1" ht="12.75" customHeight="1">
      <c r="A81" s="85"/>
      <c r="B81" s="85"/>
      <c r="C81" s="88" t="s">
        <v>201</v>
      </c>
      <c r="D81" s="86"/>
      <c r="E81" s="86"/>
      <c r="F81" s="90"/>
      <c r="G81" s="90"/>
      <c r="H81" s="100">
        <f>SUM(H67:H80)</f>
        <v>7510</v>
      </c>
      <c r="I81" s="15">
        <f>SUM(I67:I80)</f>
        <v>2430</v>
      </c>
      <c r="J81" s="360"/>
      <c r="K81" s="368"/>
      <c r="L81" s="361"/>
      <c r="M81" s="364">
        <f>SUM(M67:M80)</f>
        <v>-3780</v>
      </c>
      <c r="N81" s="365"/>
      <c r="O81" s="382"/>
      <c r="P81" s="379"/>
      <c r="R81" s="354"/>
      <c r="S81" s="354"/>
      <c r="T81" s="354"/>
    </row>
    <row r="82" spans="1:20" s="15" customFormat="1" ht="12.75" customHeight="1">
      <c r="A82" s="85"/>
      <c r="B82" s="85"/>
      <c r="C82" s="88"/>
      <c r="D82" s="86"/>
      <c r="E82" s="86"/>
      <c r="F82" s="90"/>
      <c r="G82" s="90"/>
      <c r="H82" s="101"/>
      <c r="J82" s="360"/>
      <c r="K82" s="368"/>
      <c r="L82" s="361"/>
      <c r="M82" s="361"/>
      <c r="N82" s="365"/>
      <c r="O82" s="382"/>
      <c r="P82" s="379"/>
      <c r="R82" s="354"/>
      <c r="S82" s="354"/>
      <c r="T82" s="354"/>
    </row>
    <row r="83" spans="1:20" s="15" customFormat="1" ht="12.75" customHeight="1">
      <c r="A83" s="85"/>
      <c r="B83" s="85"/>
      <c r="C83" s="102" t="s">
        <v>160</v>
      </c>
      <c r="D83" s="94"/>
      <c r="E83" s="94"/>
      <c r="F83" s="94"/>
      <c r="G83" s="94"/>
      <c r="H83" s="94"/>
      <c r="J83" s="360"/>
      <c r="K83" s="368"/>
      <c r="L83" s="361"/>
      <c r="M83" s="361"/>
      <c r="N83" s="374"/>
      <c r="O83" s="382"/>
      <c r="P83" s="379"/>
      <c r="R83" s="354"/>
      <c r="S83" s="354"/>
      <c r="T83" s="354"/>
    </row>
    <row r="84" spans="1:20" s="15" customFormat="1" ht="11.25">
      <c r="A84" s="85">
        <f>+A80+1</f>
        <v>65</v>
      </c>
      <c r="B84" s="85" t="s">
        <v>177</v>
      </c>
      <c r="C84" s="103" t="s">
        <v>591</v>
      </c>
      <c r="D84" s="94" t="s">
        <v>98</v>
      </c>
      <c r="E84" s="115">
        <v>0.05</v>
      </c>
      <c r="F84" s="99"/>
      <c r="G84" s="99">
        <f>I81</f>
        <v>2430</v>
      </c>
      <c r="H84" s="99">
        <f>+G84*E84</f>
        <v>121.5</v>
      </c>
      <c r="J84" s="360"/>
      <c r="K84" s="368"/>
      <c r="L84" s="361"/>
      <c r="M84" s="361"/>
      <c r="N84" s="365"/>
      <c r="O84" s="382"/>
      <c r="P84" s="379"/>
      <c r="Q84" s="17"/>
      <c r="R84" s="354">
        <v>0</v>
      </c>
      <c r="S84" s="354">
        <v>0</v>
      </c>
      <c r="T84" s="354">
        <v>121.5</v>
      </c>
    </row>
    <row r="85" spans="1:20" s="15" customFormat="1" ht="11.25">
      <c r="A85" s="85">
        <f>+A84+1</f>
        <v>66</v>
      </c>
      <c r="B85" s="85" t="s">
        <v>177</v>
      </c>
      <c r="C85" s="103" t="s">
        <v>592</v>
      </c>
      <c r="D85" s="94" t="s">
        <v>98</v>
      </c>
      <c r="E85" s="115">
        <v>0.05</v>
      </c>
      <c r="F85" s="99"/>
      <c r="G85" s="99">
        <f>+H81-I81</f>
        <v>5080</v>
      </c>
      <c r="H85" s="99">
        <f>+G85*E85</f>
        <v>254</v>
      </c>
      <c r="J85" s="360"/>
      <c r="K85" s="368"/>
      <c r="L85" s="361"/>
      <c r="M85" s="361"/>
      <c r="N85" s="365"/>
      <c r="O85" s="382"/>
      <c r="P85" s="379"/>
      <c r="Q85" s="17"/>
      <c r="R85" s="354">
        <v>0</v>
      </c>
      <c r="S85" s="354">
        <v>0</v>
      </c>
      <c r="T85" s="354">
        <v>254</v>
      </c>
    </row>
    <row r="86" spans="1:20" s="15" customFormat="1" ht="13.5" customHeight="1">
      <c r="A86" s="85"/>
      <c r="B86" s="85"/>
      <c r="C86" s="102" t="s">
        <v>203</v>
      </c>
      <c r="D86" s="102"/>
      <c r="E86" s="61"/>
      <c r="F86" s="102"/>
      <c r="G86" s="102"/>
      <c r="H86" s="104">
        <f>SUM(H84:H85)</f>
        <v>375.5</v>
      </c>
      <c r="J86" s="360"/>
      <c r="K86" s="368"/>
      <c r="L86" s="361"/>
      <c r="M86" s="361"/>
      <c r="N86" s="374"/>
      <c r="O86" s="382"/>
      <c r="P86" s="379"/>
      <c r="Q86" s="17"/>
      <c r="R86" s="16">
        <f>SUM(R5:R85)</f>
        <v>45709</v>
      </c>
      <c r="S86" s="16">
        <f>SUM(S5:S85)</f>
        <v>0</v>
      </c>
      <c r="T86" s="16">
        <f>SUM(T5:T85)</f>
        <v>35767.75</v>
      </c>
    </row>
    <row r="87" spans="1:16" s="15" customFormat="1" ht="13.5" customHeight="1">
      <c r="A87" s="105"/>
      <c r="B87" s="105"/>
      <c r="C87" s="106"/>
      <c r="D87" s="106"/>
      <c r="E87" s="106"/>
      <c r="F87" s="88"/>
      <c r="G87" s="106"/>
      <c r="H87" s="107"/>
      <c r="J87" s="360"/>
      <c r="K87" s="368"/>
      <c r="L87" s="361"/>
      <c r="M87" s="361"/>
      <c r="N87" s="374"/>
      <c r="O87" s="382"/>
      <c r="P87" s="379"/>
    </row>
    <row r="88" spans="1:16" s="15" customFormat="1" ht="13.5" customHeight="1">
      <c r="A88" s="105"/>
      <c r="B88" s="105"/>
      <c r="C88" s="106"/>
      <c r="D88" s="106"/>
      <c r="E88" s="106"/>
      <c r="F88" s="88"/>
      <c r="G88" s="106"/>
      <c r="H88" s="107"/>
      <c r="J88" s="360"/>
      <c r="K88" s="368"/>
      <c r="L88" s="361"/>
      <c r="M88" s="361"/>
      <c r="N88" s="374"/>
      <c r="O88" s="382"/>
      <c r="P88" s="379"/>
    </row>
    <row r="89" spans="1:20" s="15" customFormat="1" ht="12.75" customHeight="1">
      <c r="A89" s="85"/>
      <c r="B89" s="85"/>
      <c r="C89" s="88" t="s">
        <v>204</v>
      </c>
      <c r="D89" s="86"/>
      <c r="E89" s="86"/>
      <c r="F89" s="86"/>
      <c r="G89" s="86"/>
      <c r="H89" s="101">
        <f>H86+H81+H63+H58+H44</f>
        <v>137922.75</v>
      </c>
      <c r="I89" s="16"/>
      <c r="J89" s="360"/>
      <c r="K89" s="368"/>
      <c r="L89" s="361"/>
      <c r="M89" s="361"/>
      <c r="N89" s="372"/>
      <c r="O89" s="382"/>
      <c r="P89" s="379"/>
      <c r="T89" s="16">
        <f>R86+T86</f>
        <v>81476.75</v>
      </c>
    </row>
    <row r="90" spans="1:16" s="15" customFormat="1" ht="12.75" customHeight="1">
      <c r="A90" s="85"/>
      <c r="B90" s="85"/>
      <c r="C90" s="88" t="s">
        <v>205</v>
      </c>
      <c r="D90" s="108">
        <v>0.15</v>
      </c>
      <c r="E90" s="86"/>
      <c r="F90" s="86"/>
      <c r="G90" s="86"/>
      <c r="H90" s="101">
        <f>H89*D90</f>
        <v>20688.4125</v>
      </c>
      <c r="I90" s="16"/>
      <c r="J90" s="360"/>
      <c r="K90" s="368"/>
      <c r="L90" s="361"/>
      <c r="M90" s="361"/>
      <c r="N90" s="372"/>
      <c r="O90" s="382"/>
      <c r="P90" s="379"/>
    </row>
    <row r="91" spans="1:16" s="15" customFormat="1" ht="12.75" customHeight="1">
      <c r="A91" s="85"/>
      <c r="B91" s="85"/>
      <c r="C91" s="109" t="s">
        <v>206</v>
      </c>
      <c r="D91" s="110"/>
      <c r="E91" s="110"/>
      <c r="F91" s="110"/>
      <c r="G91" s="110"/>
      <c r="H91" s="111">
        <f>SUM(H89:H90)</f>
        <v>158611.1625</v>
      </c>
      <c r="I91" s="16"/>
      <c r="J91" s="360"/>
      <c r="K91" s="368"/>
      <c r="L91" s="361"/>
      <c r="M91" s="361"/>
      <c r="N91" s="372"/>
      <c r="O91" s="382"/>
      <c r="P91" s="379"/>
    </row>
    <row r="92" spans="1:16" s="15" customFormat="1" ht="12.75" customHeight="1">
      <c r="A92" s="85"/>
      <c r="B92" s="85"/>
      <c r="C92" s="88"/>
      <c r="D92" s="86"/>
      <c r="E92" s="86"/>
      <c r="F92" s="86"/>
      <c r="G92" s="86"/>
      <c r="H92" s="101"/>
      <c r="I92" s="16"/>
      <c r="J92" s="378"/>
      <c r="K92" s="367"/>
      <c r="L92" s="384"/>
      <c r="M92" s="384"/>
      <c r="N92" s="372"/>
      <c r="O92" s="382"/>
      <c r="P92" s="379"/>
    </row>
    <row r="93" spans="1:16" s="15" customFormat="1" ht="12.75" customHeight="1">
      <c r="A93" s="85"/>
      <c r="B93" s="85"/>
      <c r="C93" s="88"/>
      <c r="D93" s="86"/>
      <c r="E93" s="86"/>
      <c r="F93" s="86"/>
      <c r="G93" s="86"/>
      <c r="H93" s="101"/>
      <c r="I93" s="16"/>
      <c r="J93" s="378"/>
      <c r="K93" s="367"/>
      <c r="L93" s="384"/>
      <c r="M93" s="384"/>
      <c r="N93" s="372"/>
      <c r="O93" s="382"/>
      <c r="P93" s="379"/>
    </row>
    <row r="94" spans="1:16" s="15" customFormat="1" ht="13.5" customHeight="1">
      <c r="A94" s="85"/>
      <c r="B94" s="85"/>
      <c r="C94" s="88" t="s">
        <v>207</v>
      </c>
      <c r="D94" s="86"/>
      <c r="E94" s="86"/>
      <c r="F94" s="86"/>
      <c r="G94" s="86"/>
      <c r="H94" s="86"/>
      <c r="J94" s="378"/>
      <c r="K94" s="367"/>
      <c r="L94" s="384"/>
      <c r="M94" s="384"/>
      <c r="N94" s="374"/>
      <c r="O94" s="382"/>
      <c r="P94" s="379"/>
    </row>
    <row r="95" spans="1:16" s="15" customFormat="1" ht="106.5" customHeight="1">
      <c r="A95" s="85"/>
      <c r="B95" s="85"/>
      <c r="C95" s="504" t="s">
        <v>208</v>
      </c>
      <c r="D95" s="504"/>
      <c r="E95" s="504"/>
      <c r="F95" s="504"/>
      <c r="G95" s="504"/>
      <c r="H95" s="504"/>
      <c r="J95" s="378"/>
      <c r="K95" s="367"/>
      <c r="L95" s="384"/>
      <c r="M95" s="384"/>
      <c r="N95" s="310"/>
      <c r="O95" s="382"/>
      <c r="P95" s="379"/>
    </row>
    <row r="96" spans="1:16" s="15" customFormat="1" ht="13.5" customHeight="1">
      <c r="A96" s="85"/>
      <c r="B96" s="85"/>
      <c r="C96" s="505" t="s">
        <v>84</v>
      </c>
      <c r="D96" s="505"/>
      <c r="E96" s="505"/>
      <c r="F96" s="505"/>
      <c r="G96" s="505"/>
      <c r="H96" s="505"/>
      <c r="J96" s="378"/>
      <c r="K96" s="367"/>
      <c r="L96" s="384"/>
      <c r="M96" s="384"/>
      <c r="N96" s="374"/>
      <c r="O96" s="382"/>
      <c r="P96" s="379"/>
    </row>
    <row r="97" spans="1:16" s="15" customFormat="1" ht="13.5" customHeight="1">
      <c r="A97" s="85"/>
      <c r="B97" s="85"/>
      <c r="C97" s="506" t="s">
        <v>209</v>
      </c>
      <c r="D97" s="506"/>
      <c r="E97" s="506"/>
      <c r="F97" s="506"/>
      <c r="G97" s="506"/>
      <c r="H97" s="506"/>
      <c r="J97" s="378"/>
      <c r="K97" s="367"/>
      <c r="L97" s="384"/>
      <c r="M97" s="384"/>
      <c r="N97" s="374"/>
      <c r="O97" s="382"/>
      <c r="P97" s="379"/>
    </row>
    <row r="98" spans="1:16" s="15" customFormat="1" ht="27.75" customHeight="1">
      <c r="A98" s="85"/>
      <c r="B98" s="85"/>
      <c r="C98" s="507" t="s">
        <v>210</v>
      </c>
      <c r="D98" s="507"/>
      <c r="E98" s="507"/>
      <c r="F98" s="507"/>
      <c r="G98" s="507"/>
      <c r="H98" s="507"/>
      <c r="J98" s="378"/>
      <c r="K98" s="367"/>
      <c r="L98" s="384"/>
      <c r="M98" s="384"/>
      <c r="N98" s="374"/>
      <c r="O98" s="382"/>
      <c r="P98" s="379"/>
    </row>
    <row r="99" spans="1:16" s="15" customFormat="1" ht="13.5" customHeight="1">
      <c r="A99" s="85"/>
      <c r="B99" s="85"/>
      <c r="C99" s="506" t="s">
        <v>211</v>
      </c>
      <c r="D99" s="506"/>
      <c r="E99" s="506"/>
      <c r="F99" s="506"/>
      <c r="G99" s="506"/>
      <c r="H99" s="506"/>
      <c r="J99" s="378"/>
      <c r="K99" s="367"/>
      <c r="L99" s="384"/>
      <c r="M99" s="384"/>
      <c r="N99" s="374"/>
      <c r="O99" s="382"/>
      <c r="P99" s="379"/>
    </row>
    <row r="100" spans="1:16" s="15" customFormat="1" ht="13.5" customHeight="1">
      <c r="A100" s="85"/>
      <c r="B100" s="85"/>
      <c r="C100" s="508" t="s">
        <v>212</v>
      </c>
      <c r="D100" s="508"/>
      <c r="E100" s="508"/>
      <c r="F100" s="508"/>
      <c r="G100" s="508"/>
      <c r="H100" s="508"/>
      <c r="J100" s="378"/>
      <c r="K100" s="367"/>
      <c r="L100" s="384"/>
      <c r="M100" s="384"/>
      <c r="N100" s="374"/>
      <c r="O100" s="382"/>
      <c r="P100" s="379"/>
    </row>
    <row r="101" spans="1:16" s="15" customFormat="1" ht="13.5" customHeight="1">
      <c r="A101" s="85"/>
      <c r="B101" s="85"/>
      <c r="C101" s="112" t="s">
        <v>213</v>
      </c>
      <c r="D101" s="112"/>
      <c r="E101" s="112"/>
      <c r="F101" s="112"/>
      <c r="G101" s="112"/>
      <c r="H101" s="112"/>
      <c r="J101" s="378"/>
      <c r="K101" s="367"/>
      <c r="L101" s="384"/>
      <c r="M101" s="384"/>
      <c r="N101" s="374"/>
      <c r="O101" s="382"/>
      <c r="P101" s="379"/>
    </row>
    <row r="102" spans="3:8" ht="24.75" customHeight="1">
      <c r="C102" s="507" t="s">
        <v>87</v>
      </c>
      <c r="D102" s="507"/>
      <c r="E102" s="507"/>
      <c r="F102" s="507"/>
      <c r="G102" s="507"/>
      <c r="H102" s="507"/>
    </row>
    <row r="103" spans="3:8" ht="27.75" customHeight="1">
      <c r="C103" s="507" t="s">
        <v>88</v>
      </c>
      <c r="D103" s="507"/>
      <c r="E103" s="507"/>
      <c r="F103" s="507"/>
      <c r="G103" s="507"/>
      <c r="H103" s="507"/>
    </row>
    <row r="104" spans="3:8" ht="15" customHeight="1">
      <c r="C104" s="507" t="s">
        <v>119</v>
      </c>
      <c r="D104" s="507"/>
      <c r="E104" s="507"/>
      <c r="F104" s="507"/>
      <c r="G104" s="507"/>
      <c r="H104" s="507"/>
    </row>
    <row r="106" spans="3:8" ht="12.75" customHeight="1">
      <c r="C106" s="502"/>
      <c r="D106" s="503"/>
      <c r="E106" s="503"/>
      <c r="F106" s="503"/>
      <c r="G106" s="503"/>
      <c r="H106" s="503"/>
    </row>
    <row r="107" spans="3:8" ht="12.75">
      <c r="C107" s="503"/>
      <c r="D107" s="503"/>
      <c r="E107" s="503"/>
      <c r="F107" s="503"/>
      <c r="G107" s="503"/>
      <c r="H107" s="503"/>
    </row>
  </sheetData>
  <sheetProtection/>
  <mergeCells count="10">
    <mergeCell ref="C106:H107"/>
    <mergeCell ref="C95:H95"/>
    <mergeCell ref="C96:H96"/>
    <mergeCell ref="C97:H97"/>
    <mergeCell ref="C98:H98"/>
    <mergeCell ref="C103:H103"/>
    <mergeCell ref="C104:H104"/>
    <mergeCell ref="C99:H99"/>
    <mergeCell ref="C100:H100"/>
    <mergeCell ref="C102:H102"/>
  </mergeCells>
  <conditionalFormatting sqref="C96">
    <cfRule type="expression" priority="1" dxfId="3" stopIfTrue="1">
      <formula>ISTEXT(C96)</formula>
    </cfRule>
  </conditionalFormatting>
  <printOptions gridLines="1"/>
  <pageMargins left="0.7086614173228347" right="0.7086614173228347" top="0.7874015748031497" bottom="0.7874015748031497" header="0.31496062992125984" footer="0.31496062992125984"/>
  <pageSetup fitToHeight="2" fitToWidth="1"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 Šiška</dc:creator>
  <cp:keywords/>
  <dc:description/>
  <cp:lastModifiedBy>Irena Jarošová</cp:lastModifiedBy>
  <cp:lastPrinted>2024-04-25T12:11:48Z</cp:lastPrinted>
  <dcterms:created xsi:type="dcterms:W3CDTF">2015-06-09T11:12:40Z</dcterms:created>
  <dcterms:modified xsi:type="dcterms:W3CDTF">2024-04-25T12:13:21Z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