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21" activeTab="1"/>
  </bookViews>
  <sheets>
    <sheet name="OBJEKT_CELKOVÉ NÁKLADY" sheetId="1" r:id="rId1"/>
    <sheet name="ESA_ESI" sheetId="2" r:id="rId2"/>
  </sheets>
  <definedNames>
    <definedName name="_2d">#REF!</definedName>
    <definedName name="_xlnm._FilterDatabase" localSheetId="0" hidden="1">'OBJEKT_CELKOVÉ NÁKLADY'!$I$1:$Q$499</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NÁKLADY'!$H$152</definedName>
    <definedName name="Cena_2a">'OBJEKT_CELKOVÉ NÁKLADY'!$H$175</definedName>
    <definedName name="Cena_2b">'OBJEKT_CELKOVÉ NÁKLADY'!$H$201</definedName>
    <definedName name="Cena_2c">'OBJEKT_CELKOVÉ NÁKLADY'!$H$258</definedName>
    <definedName name="Cena_2d">'OBJEKT_CELKOVÉ NÁKLADY'!$H$276</definedName>
    <definedName name="Cena_2e">'OBJEKT_CELKOVÉ NÁKLADY'!$H$295</definedName>
    <definedName name="Cena_2f">'OBJEKT_CELKOVÉ NÁKLADY'!$H$355</definedName>
    <definedName name="Cena_2g">'OBJEKT_CELKOVÉ NÁKLADY'!$H$362</definedName>
    <definedName name="Cena_2h">'OBJEKT_CELKOVÉ NÁKLADY'!$H$368</definedName>
    <definedName name="Cena_2i">'OBJEKT_CELKOVÉ NÁKLADY'!$H$394</definedName>
    <definedName name="Cena_2j">'OBJEKT_CELKOVÉ NÁKLADY'!$H$421</definedName>
    <definedName name="Cena_2k">'OBJEKT_CELKOVÉ NÁKLADY'!$H$444</definedName>
    <definedName name="Cena_2l">'OBJEKT_CELKOVÉ NÁKLADY'!$H$472</definedName>
    <definedName name="Cena_2m">'OBJEKT_CELKOVÉ NÁKLADY'!$H$494</definedName>
    <definedName name="Cena_3a">'OBJEKT_CELKOVÉ NÁKLADY'!$H$362</definedName>
    <definedName name="Cena_3b">'OBJEKT_CELKOVÉ NÁKLADY'!$H$368</definedName>
    <definedName name="Cena_3c">'OBJEKT_CELKOVÉ NÁKLADY'!$H$394</definedName>
    <definedName name="Cena_3d">'OBJEKT_CELKOVÉ NÁKLADY'!$H$421</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NÁKLADY'!$H$498</definedName>
    <definedName name="Cena_doplňky_dodavatele">'OBJEKT_CELKOVÉ NÁKLADY'!#REF!</definedName>
    <definedName name="Dokoncovaci_prace">'OBJEKT_CELKOVÉ NÁKLADY'!$D$496</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NÁKLADY'!$D$112</definedName>
    <definedName name="Kapitola_2">'OBJEKT_CELKOVÉ NÁKLADY'!$D$154</definedName>
    <definedName name="Kapitola_2a">'OBJEKT_CELKOVÉ NÁKLADY'!$D$155</definedName>
    <definedName name="Kapitola_2b">'OBJEKT_CELKOVÉ NÁKLADY'!$D$177</definedName>
    <definedName name="Kapitola_2c">'OBJEKT_CELKOVÉ NÁKLADY'!$D$203</definedName>
    <definedName name="Kapitola_2d">'OBJEKT_CELKOVÉ NÁKLADY'!$D$260</definedName>
    <definedName name="Kapitola_2e">'OBJEKT_CELKOVÉ NÁKLADY'!$D$278</definedName>
    <definedName name="Kapitola_2f">'OBJEKT_CELKOVÉ NÁKLADY'!$D$325</definedName>
    <definedName name="Kapitola_2g">'OBJEKT_CELKOVÉ NÁKLADY'!$D$357</definedName>
    <definedName name="Kapitola_2h">'OBJEKT_CELKOVÉ NÁKLADY'!$D$364</definedName>
    <definedName name="Kapitola_2i">'OBJEKT_CELKOVÉ NÁKLADY'!$D$370</definedName>
    <definedName name="Kapitola_2j">'OBJEKT_CELKOVÉ NÁKLADY'!$D$396</definedName>
    <definedName name="Kapitola_2k">'OBJEKT_CELKOVÉ NÁKLADY'!$D$423</definedName>
    <definedName name="Kapitola_2l">'OBJEKT_CELKOVÉ NÁKLADY'!$D$446</definedName>
    <definedName name="Kapitola_2m">'OBJEKT_CELKOVÉ NÁKLADY'!$D$474</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NÁKLADY'!$1:$1</definedName>
    <definedName name="_xlnm.Print_Area" localSheetId="1">'ESA_ESI'!$A$1:$T$105</definedName>
    <definedName name="_xlnm.Print_Area" localSheetId="0">'OBJEKT_CELKOVÉ NÁKLADY'!$A$1:$AC$498</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NÁKLADY'!$D$13</definedName>
    <definedName name="Rekapitulace_2">'OBJEKT_CELKOVÉ NÁKLADY'!$D$14</definedName>
    <definedName name="Rekapitulace_2a">'OBJEKT_CELKOVÉ NÁKLADY'!$D$15</definedName>
    <definedName name="Rekapitulace_2b">'OBJEKT_CELKOVÉ NÁKLADY'!$D$16</definedName>
    <definedName name="Rekapitulace_2c">'OBJEKT_CELKOVÉ NÁKLADY'!$D$17</definedName>
    <definedName name="Rekapitulace_2d">'OBJEKT_CELKOVÉ NÁKLADY'!$D$18</definedName>
    <definedName name="Rekapitulace_2e">'OBJEKT_CELKOVÉ NÁKLADY'!$D$19</definedName>
    <definedName name="Rekapitulace_2f">'OBJEKT_CELKOVÉ NÁKLADY'!$D$21</definedName>
    <definedName name="Rekapitulace_2g">'OBJEKT_CELKOVÉ NÁKLADY'!$D$22</definedName>
    <definedName name="Rekapitulace_2h">'OBJEKT_CELKOVÉ NÁKLADY'!$D$23</definedName>
    <definedName name="Rekapitulace_2i">'OBJEKT_CELKOVÉ NÁKLADY'!$D$24</definedName>
    <definedName name="Rekapitulace_2j">'OBJEKT_CELKOVÉ NÁKLADY'!$D$25</definedName>
    <definedName name="Rekapitulace_2k">'OBJEKT_CELKOVÉ NÁKLADY'!$D$26</definedName>
    <definedName name="Rekapitulace_2l">'OBJEKT_CELKOVÉ NÁKLADY'!$D$27</definedName>
    <definedName name="Rekapitulace_2m">'OBJEKT_CELKOVÉ NÁKLADY'!$D$28</definedName>
    <definedName name="Rekapitulace_3">'OBJEKT_CELKOVÉ NÁKLADY'!#REF!</definedName>
    <definedName name="Rekapitulace_3a">'OBJEKT_CELKOVÉ NÁKLADY'!$D$23</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NÁKLADY'!$D$29</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comments1.xml><?xml version="1.0" encoding="utf-8"?>
<comments xmlns="http://schemas.openxmlformats.org/spreadsheetml/2006/main">
  <authors>
    <author>Lenka Dominikov?</author>
  </authors>
  <commentList>
    <comment ref="Y1" authorId="0">
      <text>
        <r>
          <rPr>
            <b/>
            <sz val="9"/>
            <rFont val="Tahoma"/>
            <family val="2"/>
          </rPr>
          <t>Lenka Dominiková:</t>
        </r>
        <r>
          <rPr>
            <sz val="9"/>
            <rFont val="Tahoma"/>
            <family val="2"/>
          </rPr>
          <t xml:space="preserve">
</t>
        </r>
      </text>
    </comment>
  </commentList>
</comments>
</file>

<file path=xl/sharedStrings.xml><?xml version="1.0" encoding="utf-8"?>
<sst xmlns="http://schemas.openxmlformats.org/spreadsheetml/2006/main" count="1894" uniqueCount="914">
  <si>
    <t>Zárubeň ocelová 700/1970mm do hotového otvoru, ústí do 75mm (bez omítek) dle specifikace v PD, včetně těsnění a povrchové úpravy (pro dveře D1)</t>
  </si>
  <si>
    <t>Zárubeň ocelová 800/1970mm do hotového otvoru, ústí do 200mm (bez omítek), dle specifikace v PD, včetně těsnění a povrchové úpravy (pro dveře D2)</t>
  </si>
  <si>
    <t>Zárubeň ocelová 700/1970mm do hotového otvoru, ústí do 200mm (bez omítek) dle specifikace v PD, včetně těsnění a povrchové úpravy (pro dveře D3)</t>
  </si>
  <si>
    <t>Z01-D</t>
  </si>
  <si>
    <t>Z04-D</t>
  </si>
  <si>
    <t>Z03-D</t>
  </si>
  <si>
    <t>W01-M</t>
  </si>
  <si>
    <t xml:space="preserve">Galerka s LED osvětlením, 60x60x14cm,dub platin ref. výrobek AQUALINE - ZOJA/KERAMIA FRESH </t>
  </si>
  <si>
    <t>Přechodový prvek mezikus (ocel/mědˇ)</t>
  </si>
  <si>
    <t>Hadice flexi plyn 1000 mm, nerezová hadice s nerezovými převlečnými maticemi 1/2" na obou stranách s plochým těsněním NBR.</t>
  </si>
  <si>
    <t>Rozpěrka přípojky plynoměru G 1</t>
  </si>
  <si>
    <t>968072455R00</t>
  </si>
  <si>
    <t>Vybourání kovových dveřních zárubní pl. do 2 m2</t>
  </si>
  <si>
    <t>Montáž dveří, oc. zárubeň, kyvné 1kř. š. do 1 m</t>
  </si>
  <si>
    <t>766664121R00</t>
  </si>
  <si>
    <t xml:space="preserve">Osazení ocelové zárubně dodatečně do 2,5m2, včetně kotvících prvků, </t>
  </si>
  <si>
    <t>Vyvedení odpadních výpustek D 32 x 1,8 (pro umyvadlo, pračku)</t>
  </si>
  <si>
    <t>Kulový kohout s vypouštěním, chromovaný 1/2" (přívod SV k boileru)</t>
  </si>
  <si>
    <t>Kulový kohout, chromovaný 1/2" (přívod TV k boileru)</t>
  </si>
  <si>
    <t>Montáž klozetových mís kombinovaných</t>
  </si>
  <si>
    <t>725119305R00</t>
  </si>
  <si>
    <t>725539103R00</t>
  </si>
  <si>
    <t>Montáž elektr.ohřívačů, zásovníkových do 125 l</t>
  </si>
  <si>
    <t>Plynové topidlo 4,7kW, specifikace dle PD</t>
  </si>
  <si>
    <t>Plynové topidlo 2,5kW, specifikace dle PD</t>
  </si>
  <si>
    <t>725659102R00</t>
  </si>
  <si>
    <t>Montáž těles otopných plyn., odtah.stěna, 1 otvor</t>
  </si>
  <si>
    <t>484566217_P2</t>
  </si>
  <si>
    <t>484566217_P1</t>
  </si>
  <si>
    <t>642944121R00_P</t>
  </si>
  <si>
    <t>230040004R00</t>
  </si>
  <si>
    <t>Montáž závitových dílů DN 1/2"</t>
  </si>
  <si>
    <t>48438695_P</t>
  </si>
  <si>
    <t>13640710_P</t>
  </si>
  <si>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</si>
  <si>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</si>
  <si>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</si>
  <si>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</si>
  <si>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t>
  </si>
  <si>
    <t>f) v případě stavební činnosti vytvářející staveništní odpad jsou náklady na staveništní manipulaci se sutí vč.případného pytlování, její odvoz a ekologické uložení na skládku zahrnuty do ceny díla (pokud nejsou tyto činnosti uvedeny v samostatných položk</t>
  </si>
  <si>
    <t>g) náklady na postavení, udržování, použití a odstranění pomocného pracovního lešení (pokud je technol.potřeba) do v. 1,9 m a zatížení do 150 kg/m2; v případě prací na fasádě objektu náklady na postavení, udržování, použití a odstranění fasádního lešení v</t>
  </si>
  <si>
    <t>m) náklady na zkoušky a atesty během výstavby, vč.nákladů na zkušební provoz a nákladů na média s tím spojená, revize (pokud nejsou samostatně uvedena), zaškolení údržby, provádění údržby a opravy během výstavby; náklady na předepsaná označení zařízení, š</t>
  </si>
  <si>
    <t>Zhotovitel je povinen před podáním cenové nabídky:
- prohlédnout a zkontrolovat PD se soupisem prací a dodávek, 
- prohlédnout a prozkoumat staveniště a jeho okolí 
Před podáním nabídky si zhotovitel může vyžádat případné dotazy u zpracovatele dokumentace</t>
  </si>
  <si>
    <t>978013111R00_P</t>
  </si>
  <si>
    <t>Bourání mazanin betonových tl. 10 cm, nad 4 m2, pneumat. kladivo, tl. mazaniny 8 - 10 cm (u prahu dveří)</t>
  </si>
  <si>
    <t>TL.85mm</t>
  </si>
  <si>
    <t>TL.80mm</t>
  </si>
  <si>
    <t>Zakrytí okenních výplní vč. parapetů PE folií vč. dodání</t>
  </si>
  <si>
    <t>Vybourání otv. zeď cihel. 0,0225 m2, tl. 30cm, MVC (VZT)</t>
  </si>
  <si>
    <t>Příplatek k odvozu za každý další 1 km (uvažováno 9km, zohledněno v ceně)</t>
  </si>
  <si>
    <t>Podezdívka sprchové vaničky (90/90cm), horní hrana vaničky max. výšky do 150 mm, podezdívka cca v.90mm,  tl. 100 mm vč.provedení revizního otvoru pro obklad na silikon (návaznosti na spádové možnosti kanalizace)</t>
  </si>
  <si>
    <t>SK1</t>
  </si>
  <si>
    <t>204.4 =  25,2</t>
  </si>
  <si>
    <t>204.2 =  4,76*3,3</t>
  </si>
  <si>
    <t>Omítka vnitřních stěn vápenocem. Jednovrstvá do tl. 15 mm,  pro vyrovnání rovinnosti stávajícíh stěn v místě obkladů</t>
  </si>
  <si>
    <t>3,6*2,4</t>
  </si>
  <si>
    <t>204.1 =  6,1*3,35-2*0,9*2,05-1,34*2,32+2*0,3*2,32</t>
  </si>
  <si>
    <t>204.4 =  19,8*3,6-2*1,35*2,3+4*0,3*2,3</t>
  </si>
  <si>
    <t>nadpraži = 3*0,3*1,34+0,2*1,17</t>
  </si>
  <si>
    <t>204.4 =  19,8*3,6-2*1,35*2,3-0,6*(1,95+1,9)</t>
  </si>
  <si>
    <t>204.1 =  6,1*3,35-2*0,9*2,05-1,34*2,32</t>
  </si>
  <si>
    <t>osteni = 6*0,3*2,32+0,2*2,01</t>
  </si>
  <si>
    <t>2,01+2,3*6</t>
  </si>
  <si>
    <t>Ukončovací lišta hliníková elox, profilu L10mm, L=2,5m (rohy,přizdívky,výklenek, ukončení obkladu)</t>
  </si>
  <si>
    <t>204.4 délka = 2*0,6+1,9</t>
  </si>
  <si>
    <t>Repase vnitřních povrchů špaletových oken dle specifikace v PD, vč. seřízení a vyčištění kování (ve výkazu uvedena plocha okna, v jednotkové ceně za m2 bude kalkulována úprava vnitřního okna s obou stran a vnějšího křídla z vnitřní strany vč. repase parap</t>
  </si>
  <si>
    <t>Vanička sprchová obdelníková 900x900/30 mm litý mramor - specifikace dle PD</t>
  </si>
  <si>
    <t>Tyč průřezu IPE 100, střední, jakost oceli S235</t>
  </si>
  <si>
    <t>317941121R00_P</t>
  </si>
  <si>
    <t>Osazení ocelových válcovaných nosníků do č.12</t>
  </si>
  <si>
    <t>Potrubí z měděných plyn.trubek D 22 x 1,0 mm (DN 20), dle ČSN EN 1057,  montáž pájením</t>
  </si>
  <si>
    <t>342091051R00</t>
  </si>
  <si>
    <t>713111221RK4</t>
  </si>
  <si>
    <t>713111261RK2</t>
  </si>
  <si>
    <t>Utěsnění prostupu parozábranou pevnou páskou vč. dodávky pásky  podél ventilátoru)</t>
  </si>
  <si>
    <t>713111271RS2</t>
  </si>
  <si>
    <t>Utěsnění styku s jinou konstr. oboustrannou páskou, vč. dodávky pásky (po obvodu místností)</t>
  </si>
  <si>
    <t>Umyvadlo keramické 600/490/195 mm připevněné na stěnu šrouby vč. pilety clickclack- specifikace dle PD (ref. výrobek Lyra Plus)</t>
  </si>
  <si>
    <t>723163104R00</t>
  </si>
  <si>
    <t>Montáž parozábrany s přelepením spojů</t>
  </si>
  <si>
    <t>Vyvedení odpadních výpustek D 50 x 1,8 (sprcha)</t>
  </si>
  <si>
    <t>230330051R00</t>
  </si>
  <si>
    <t>762522811R00</t>
  </si>
  <si>
    <t>Demontáž podlah s polštáři z prken tl. do 32 mm</t>
  </si>
  <si>
    <t>Odvoz suti a vybour. hmot na skládku do 1 km kontejnerem 4t</t>
  </si>
  <si>
    <t>342264101R00_P</t>
  </si>
  <si>
    <t>979082111R00_P</t>
  </si>
  <si>
    <t>979990107R00_P</t>
  </si>
  <si>
    <t>Zakrytí předmětů včetně dodávky fólie tl.0,04mm (dveře, rozvaděče, prvky elektroinstalce)</t>
  </si>
  <si>
    <t>783122710R00</t>
  </si>
  <si>
    <t>781101210RT4</t>
  </si>
  <si>
    <t>781101141R00</t>
  </si>
  <si>
    <t>Deska varná vestavná černá, plynová dle specifikace v PD (např. MORA VDP 645 GB3)</t>
  </si>
  <si>
    <t xml:space="preserve">U kódu označených xxxxxxx_P došlo k úpravě rozsahu prací, popř. jednotkové ceny oproti typovému textu a jednotkové ceny  dle ceníku RTS.
V případě označení kódu R jedná se o položku, u  které nebylo možné provést zatřídění dle ceníku RTS. </t>
  </si>
  <si>
    <t>728414611R00_P</t>
  </si>
  <si>
    <t>d) náklady na zakrývání (nebo jiné zajištění) konstrukcí a prací ostatních zhotovitelů nebo stávajících konstrukcí před znečištěním a poškozením a odstranění zakrytí, pokud není uvedeno samostatně</t>
  </si>
  <si>
    <t>342091142R00</t>
  </si>
  <si>
    <t>342263310R00</t>
  </si>
  <si>
    <t>346244313R00_P</t>
  </si>
  <si>
    <t>28651078_P</t>
  </si>
  <si>
    <t xml:space="preserve">Omítka vápenná vnitřního ostění - Položka obsahuje nátěr podkladu spojovacím můstkem a štukovou omítku tl. 5 mm. Ruční provedení. </t>
  </si>
  <si>
    <t>585811012_P</t>
  </si>
  <si>
    <t>23152419_P</t>
  </si>
  <si>
    <t>61581624.A_P</t>
  </si>
  <si>
    <t>615290744_P</t>
  </si>
  <si>
    <t>54112115_P</t>
  </si>
  <si>
    <t>53821107_P</t>
  </si>
  <si>
    <t>23152401_P</t>
  </si>
  <si>
    <t>551620220_P</t>
  </si>
  <si>
    <t>551620214_P</t>
  </si>
  <si>
    <t>551620240_P</t>
  </si>
  <si>
    <t>55145015_P</t>
  </si>
  <si>
    <t>55145001_P</t>
  </si>
  <si>
    <t>Hydroizolační koutová těsnící páska vč. rohových tvarovek (svislé stěny), dle specifikace v PD</t>
  </si>
  <si>
    <t>971033241R00</t>
  </si>
  <si>
    <t xml:space="preserve">Drobný pomocný materiál </t>
  </si>
  <si>
    <t>725810402R00</t>
  </si>
  <si>
    <t xml:space="preserve">Provedení revize plynovodu </t>
  </si>
  <si>
    <t>723190909R00_P</t>
  </si>
  <si>
    <t>723160204R00</t>
  </si>
  <si>
    <t>723160334R00</t>
  </si>
  <si>
    <t>220261662R00_P</t>
  </si>
  <si>
    <t>416021121R00_P</t>
  </si>
  <si>
    <t>416021123R00_P</t>
  </si>
  <si>
    <t>721176103R00_P</t>
  </si>
  <si>
    <t>725850145R00_P</t>
  </si>
  <si>
    <t>725849201R00</t>
  </si>
  <si>
    <t>725849200R00</t>
  </si>
  <si>
    <t>979094211R00</t>
  </si>
  <si>
    <t>Nakládání nebo překládání vybourané suti</t>
  </si>
  <si>
    <t>Poplatek za skládku suti - směs betonu,cihel</t>
  </si>
  <si>
    <t>Poplatek za skládku suti - dřevo</t>
  </si>
  <si>
    <t>979990161R00</t>
  </si>
  <si>
    <t>713111121RT1</t>
  </si>
  <si>
    <t>Návleková izolace potrubí VZT prům. 125mm, minerální tl.40mm</t>
  </si>
  <si>
    <t>Montáž baterie umyv.a dřezové stojánkové</t>
  </si>
  <si>
    <t>721194103R00</t>
  </si>
  <si>
    <t>721194104R00</t>
  </si>
  <si>
    <t>Úprava přípojovacího potrubí k plynoměru</t>
  </si>
  <si>
    <t>5534315502_P</t>
  </si>
  <si>
    <t>42972302_P</t>
  </si>
  <si>
    <t>723235511R00</t>
  </si>
  <si>
    <t>Chránička potrubí Fe, délka 0,5 m, 31,8 x 2,6  vč. úpravy rozměru dle tl. stěny</t>
  </si>
  <si>
    <t>230330073R00_P</t>
  </si>
  <si>
    <t>Montáž uzávěrek zápach. umyvadlových D32</t>
  </si>
  <si>
    <t>Bandáž koutů - provedení</t>
  </si>
  <si>
    <t>Vyvedení odpadních výpustek D 110 x 2,7 (wc)</t>
  </si>
  <si>
    <t>721194109R00</t>
  </si>
  <si>
    <t>725869204R00</t>
  </si>
  <si>
    <t>Montáž uzávěrek zápach.dřez.jednoduchý D 40</t>
  </si>
  <si>
    <t>55348430.A_P</t>
  </si>
  <si>
    <t>Redukce 125/120mm</t>
  </si>
  <si>
    <t>728212712R00</t>
  </si>
  <si>
    <t>N</t>
  </si>
  <si>
    <t>Provedení hydroizol. stěrky pod dlažby, dvouvrstvé vč. osazení systémových prvků</t>
  </si>
  <si>
    <t>Uzávěr plynu 1/2" s bajonetovým připojením (kuchyně), ref. výrobek Ivar.R4-T</t>
  </si>
  <si>
    <t>Flexibilní hadice dvouplášťová (hadice nerezová s ocelovým opletením a PVC plášťěm) pro bajonetové připojení (plyn) 1000 mm. ref. výrobek Ivar.RT-E</t>
  </si>
  <si>
    <t xml:space="preserve">Dvířka do SDK podhledu 400/400mm, s tlačným zámkem  včetně kotvícího materiálu </t>
  </si>
  <si>
    <t>771479001R00</t>
  </si>
  <si>
    <t xml:space="preserve">kód cenové soustavy RTS </t>
  </si>
  <si>
    <t>kód dle PD</t>
  </si>
  <si>
    <t>Příplatek za plochu podlah keram. do 5m2 jednotl.</t>
  </si>
  <si>
    <t>771579791R00</t>
  </si>
  <si>
    <t>725869203R00_P</t>
  </si>
  <si>
    <t>766812114R00_P</t>
  </si>
  <si>
    <t>722260902R00_P</t>
  </si>
  <si>
    <t>28650014_P</t>
  </si>
  <si>
    <t>Příplatek za rozteč 417 mm (keramický obklad) u profilů R-CW 75</t>
  </si>
  <si>
    <t>Úprava sádrokartonové příčky pro osazení umyvadla</t>
  </si>
  <si>
    <t>DS2</t>
  </si>
  <si>
    <t>346971152R00_P</t>
  </si>
  <si>
    <t>5513101491_P</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</si>
  <si>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</si>
  <si>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</si>
  <si>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</si>
  <si>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</si>
  <si>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</si>
  <si>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</si>
  <si>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</si>
  <si>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</si>
  <si>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</si>
  <si>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</si>
  <si>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</si>
  <si>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</si>
  <si>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</si>
  <si>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</si>
  <si>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</si>
  <si>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</si>
  <si>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</si>
  <si>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</si>
  <si>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VRN5</t>
  </si>
  <si>
    <t>Finanční náklady</t>
  </si>
  <si>
    <t>VRN6</t>
  </si>
  <si>
    <t>Provozní vlivy</t>
  </si>
  <si>
    <t>VRN7</t>
  </si>
  <si>
    <t>Ostatní náklady</t>
  </si>
  <si>
    <t>Ostatní materiály, práce, dodávky, služby a výkony jinde neuvedené</t>
  </si>
  <si>
    <t xml:space="preserve">Větrací plastová mřížka do SDK podhledu, průměr 100 mm (větrání plynu)  včetně kotvícího materiálu </t>
  </si>
  <si>
    <t>Montáž mřížek</t>
  </si>
  <si>
    <t>612475111RT3</t>
  </si>
  <si>
    <t>784496500R00</t>
  </si>
  <si>
    <t>Penetrace podkladu (před vystěrkováním)</t>
  </si>
  <si>
    <t>612409991RT2</t>
  </si>
  <si>
    <t>612425931RT2</t>
  </si>
  <si>
    <t>Příplatek za zabudované rohovníky, stěny</t>
  </si>
  <si>
    <t>612473186R00</t>
  </si>
  <si>
    <t>SK1-M</t>
  </si>
  <si>
    <t>Izolace tepelné stropů rovných, spodem, drátem, 1 vrstva - materiál ve specifikaci</t>
  </si>
  <si>
    <t>Montáž kuchyňské linké linky, vč. úpravy pracovní desky a montáže spotřebičů</t>
  </si>
  <si>
    <t>Dřezový sifon plastový</t>
  </si>
  <si>
    <t xml:space="preserve">Montáž uzávěrek zápach. </t>
  </si>
  <si>
    <t>723235111R00</t>
  </si>
  <si>
    <t>Stavební přípomoce (potrubí v přizdívce-drážky vymazány maltou, prostupy-osazení chráničky)</t>
  </si>
  <si>
    <t>342255020RT2</t>
  </si>
  <si>
    <t>342264514R00_P</t>
  </si>
  <si>
    <t xml:space="preserve">Umyvadlový sifon s vtokem vč. napojovací manžety, chrom </t>
  </si>
  <si>
    <t>55231355_P</t>
  </si>
  <si>
    <t>Přizdívka z tvárnic porobet. tl. 50 mm hlad. tvárnice 600 x 250 x 50 mm, P2 - 500, vč. spražení se zděnou stěnou (navrtané trny nebo pásovina do každé třetí spáry po cca 1,0 m</t>
  </si>
  <si>
    <t>Montáž baterií sprchových, pevná výška</t>
  </si>
  <si>
    <t>Omytí omítek (plíseň) dezinfekcí, (odhad 30% z plochy stěn a stropů)</t>
  </si>
  <si>
    <t>c) náklady vyvolané nepříznivými klimatickými vlivy během výstavby, na preventivní nebo dodatečná opatření a práce s nimi spojené, náklady na čerpání a odvod podzemních a srážkových vod.</t>
  </si>
  <si>
    <t>b) náklady na prořez, odpad, zlomky, hmotnostní rozdíly atd., pokud nejsou uvedeny ve výpočtu nosných dodávek samostatně</t>
  </si>
  <si>
    <t>h) náklady  na  skladování (vč. skládkovného), dovozné, balné, cla, zpětné  odevzdání obalů</t>
  </si>
  <si>
    <t>i) náklady na stavební přípomoce (pokud nejsou samostatně vykázány)</t>
  </si>
  <si>
    <t>k) náklady na technologické přestávky</t>
  </si>
  <si>
    <t>j) náklady na opatření k zajištění BOZP (např. zřízení pomocných ochranných zábradlí u volných okrajů, používání úvazů, ochranných pomůcek, aj.)</t>
  </si>
  <si>
    <t>l) náklady na splnění všech vyjádření a rozhodnutí dotčených orgánů státní správy (DOSS) a správců sítí a podmínek obsažených ve stevebním povolení, ohlášení</t>
  </si>
  <si>
    <t>n)  náklady na požadované záruky, pojištění a ostatní finanční náklady</t>
  </si>
  <si>
    <t>o) náklady na likvidaci škod, havárií , včetně vyrovnání se sousedy v případě škod vzniklých při provádění</t>
  </si>
  <si>
    <t xml:space="preserve">Vypracování spárořezů a jiné dílenské dokumentace </t>
  </si>
  <si>
    <t>Nedílnou součástí tohoto výkazu je i projektová dokumentace. Pokud dle názoru dodavatele některé práce a dodávky ve výkazu výměr chybí zašle dotazy, připomínky v termínu výběrového řízení.</t>
  </si>
  <si>
    <t>Minerální izolace (21kg/m3) podhledu tl. 40mm</t>
  </si>
  <si>
    <t>Odstranění nesoudržných štukových omítek (odhad do 5% z plochy stěn)</t>
  </si>
  <si>
    <t xml:space="preserve">Montáž výztužné sítě (perlinky) do stěrky - vnit.stěny, ostění, včetně výztužné sítě, stěrkového tmelu </t>
  </si>
  <si>
    <t xml:space="preserve">Montáž výztužné sítě (perlinky) do stěrky - stropy, včetně výztužné sítě, stěrkového tmelu </t>
  </si>
  <si>
    <t>Začištění omítek kolem stávajících oken,dveří apod. s použitím suché maltové směsi</t>
  </si>
  <si>
    <t>Vyvedení odpadních výpustek D 40 x 1,8 (pro dřez)</t>
  </si>
  <si>
    <t>721194105R00</t>
  </si>
  <si>
    <t>Montáž sprchových koutů (vanička vč. napojení na sifon, zástěna)</t>
  </si>
  <si>
    <t>416091082R00</t>
  </si>
  <si>
    <t>Potrubí HT připojovací D 50 x 1,8 mm, vč. nezbytných kolen, odboček, redukcí a montáže</t>
  </si>
  <si>
    <t>Penetrace podkladu pod obklady, položka obsahuje provedení penetračního nátěru včetně dodávky materiálu.</t>
  </si>
  <si>
    <t>612474410R00</t>
  </si>
  <si>
    <t>771101147R00</t>
  </si>
  <si>
    <t>612481211RT2</t>
  </si>
  <si>
    <t xml:space="preserve">Malba standard, bílá, bez penetr.,min. 2x stěny a stropy </t>
  </si>
  <si>
    <t>784115212R00</t>
  </si>
  <si>
    <t>722290234R00</t>
  </si>
  <si>
    <t xml:space="preserve">Proplach a dezinfekce vodovod.potrubí </t>
  </si>
  <si>
    <t>Vaničkový sifon, průměr otvoru 90 mm, DN50, krytka leštěná nerez průměr 120 mm, otvor sifonu 90 mm, průměr odpadu 50 mm, průtok 39 l/min, shora čistitelný odpadní systém</t>
  </si>
  <si>
    <t>725319101R00</t>
  </si>
  <si>
    <t>Montáž dřezů jednoduchých</t>
  </si>
  <si>
    <t>713381411R00_P1</t>
  </si>
  <si>
    <t>771101142R00</t>
  </si>
  <si>
    <t>771475014RU7</t>
  </si>
  <si>
    <t>784111101R00</t>
  </si>
  <si>
    <t xml:space="preserve">Penetrace podkladu nátěrem </t>
  </si>
  <si>
    <t>722181213RU1_P</t>
  </si>
  <si>
    <t>722202213R00_P</t>
  </si>
  <si>
    <t>722202413R00_P</t>
  </si>
  <si>
    <t>722202414R00_P</t>
  </si>
  <si>
    <t>722202221R00_P</t>
  </si>
  <si>
    <t>722190401R00</t>
  </si>
  <si>
    <t>Vyvedení a upevnění výpustek DN 15</t>
  </si>
  <si>
    <t>611481211RT2</t>
  </si>
  <si>
    <t>712990813RT2</t>
  </si>
  <si>
    <t>Odstranění násypu nebo nánosu tl. 5 - 10 cm, z ploch jednotlivě od 10 m2 do 20 m2</t>
  </si>
  <si>
    <t>784011221RT2</t>
  </si>
  <si>
    <t>968061125R00</t>
  </si>
  <si>
    <t>Potrubí z PPR, D 25x4,2 mm, PN 20, vč. zed. výpom.</t>
  </si>
  <si>
    <t>Tlaková zkouška vodovodního potrubí DN32</t>
  </si>
  <si>
    <t>725869101R00</t>
  </si>
  <si>
    <t>Malba stěny, ostění</t>
  </si>
  <si>
    <t>Malba nadpraží a stropu</t>
  </si>
  <si>
    <t>965042141RT3</t>
  </si>
  <si>
    <t>728114112R00</t>
  </si>
  <si>
    <t>Montáž potrubí plastového kruhového do d 200 mm</t>
  </si>
  <si>
    <t>723190251R00</t>
  </si>
  <si>
    <t>Vyvedení a upevnění plynovodních výpustek DN 15</t>
  </si>
  <si>
    <t>55145009_P1</t>
  </si>
  <si>
    <t>Montáž držáku sprchy a hlavice</t>
  </si>
  <si>
    <t>781497121R00_P</t>
  </si>
  <si>
    <t>Potrubí z PPR, D 32x5,4 mm, PN 20, vč. zed. výpom.</t>
  </si>
  <si>
    <t>722172333R00</t>
  </si>
  <si>
    <t xml:space="preserve">Omítka stropů, napraží vnitřní tenkovrstvá vápenná - štuk, ruční provedení, položka obsahuje nátěr podkladu spojovacím můstkem, </t>
  </si>
  <si>
    <t xml:space="preserve">Omítka stěn vnitřní tenkovrstvá vápenná - jemný štuk, Položka obsahuje nátěr podkladu spojovacím můstkem a štukovou omítku tl. 5 mm. Ruční provedení. </t>
  </si>
  <si>
    <t>Baterie sprchová nástěnná páková včetně sprchového setu (kulatá ruční sprcha) a příslušenství - specifikace dle PD</t>
  </si>
  <si>
    <t xml:space="preserve">Zabezpečení stávajících zařízení a vybavení   </t>
  </si>
  <si>
    <t>Potrubí z měděných plyn.trubek D 18 x 1,0 mm (DN 15), dle ČSN EN 1057, montáž pájením</t>
  </si>
  <si>
    <t>723163103R00</t>
  </si>
  <si>
    <t>311231114RT2_P</t>
  </si>
  <si>
    <t xml:space="preserve">Dozdívky - zdivo nosné cihelné z CP 29 P15 na MVC 2,5 zdivem, tl.30 cm, vč. vysekání kapes pro zavázání  </t>
  </si>
  <si>
    <t>766950010RA0_P</t>
  </si>
  <si>
    <t>P</t>
  </si>
  <si>
    <t>767885001R00_P</t>
  </si>
  <si>
    <t>Žlab podpůrný pro potrubí D 20 (chránička plynového rozvodu vedeného ve zdivu)</t>
  </si>
  <si>
    <t>Kuchyňská linka vč. pracovní desky, bez spotřebičů dle specifikace v PD</t>
  </si>
  <si>
    <t>Nástěnka závitová plastová PPR PN 20, 25x4.2, 1/2</t>
  </si>
  <si>
    <t>Nástěnný komplet (Nástěnka dvojitá závitová plastová) PPR PN 20, 25x4.2, 1/2</t>
  </si>
  <si>
    <t>979011211R00</t>
  </si>
  <si>
    <t>979081111RT2</t>
  </si>
  <si>
    <t>979081121RT2</t>
  </si>
  <si>
    <t>784011221R00_P</t>
  </si>
  <si>
    <t>771575109R00</t>
  </si>
  <si>
    <t>Montáž podlah keram., hladké, včetně lepícího tmelu, 30/30cm</t>
  </si>
  <si>
    <t>725829301R00</t>
  </si>
  <si>
    <t>725249103R00</t>
  </si>
  <si>
    <t>642938115_P</t>
  </si>
  <si>
    <t>55484451.A_P</t>
  </si>
  <si>
    <t>725860184RT1_P</t>
  </si>
  <si>
    <t>713552111R00_P</t>
  </si>
  <si>
    <t>722181213RT8_P</t>
  </si>
  <si>
    <t>722181214RT8_P</t>
  </si>
  <si>
    <t>722280106R00</t>
  </si>
  <si>
    <t>601011132R00_P</t>
  </si>
  <si>
    <t>počet mj</t>
  </si>
  <si>
    <t>cena mj</t>
  </si>
  <si>
    <t>cena celkem</t>
  </si>
  <si>
    <t>Rekapitulace</t>
  </si>
  <si>
    <t>Celkem základní cena</t>
  </si>
  <si>
    <t>DPH stavby</t>
  </si>
  <si>
    <t>Celkem vč. DPH</t>
  </si>
  <si>
    <t>Poznámky pro uchazeče</t>
  </si>
  <si>
    <t>Jednotkové ceny by měly obsahovat:</t>
  </si>
  <si>
    <t xml:space="preserve">e) náklady na protihluková a protiprašná zařízení </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</si>
  <si>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</si>
  <si>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</si>
  <si>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</si>
  <si>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</si>
  <si>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</si>
  <si>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</si>
  <si>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</si>
  <si>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</si>
  <si>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</si>
  <si>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</si>
  <si>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</si>
  <si>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</si>
  <si>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</si>
  <si>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</si>
  <si>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</si>
  <si>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</si>
  <si>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</si>
  <si>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</si>
  <si>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</si>
  <si>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</si>
  <si>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</si>
  <si>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</si>
  <si>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</si>
  <si>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</si>
  <si>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</si>
  <si>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</si>
  <si>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</si>
  <si>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</si>
  <si>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</si>
  <si>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</si>
  <si>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</si>
  <si>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</si>
  <si>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</si>
  <si>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2h</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</si>
  <si>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</si>
  <si>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</si>
  <si>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</si>
  <si>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</si>
  <si>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</si>
  <si>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</si>
  <si>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</si>
  <si>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</si>
  <si>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</si>
  <si>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</si>
  <si>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</si>
  <si>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hydroizolační stěrky na svislé ploše za studena vč. systémových prvků</t>
  </si>
  <si>
    <t>KDI1-M</t>
  </si>
  <si>
    <t>KDI1-D</t>
  </si>
  <si>
    <t>Těsnící stěrka, předpokládaná spotřeba 1,2 kg/m2</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</si>
  <si>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</si>
  <si>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</si>
  <si>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</si>
  <si>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</si>
  <si>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</si>
  <si>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</si>
  <si>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</si>
  <si>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D1-D</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</si>
  <si>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</si>
  <si>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Závěrečné omytí schodišť a vstupních prostor</t>
  </si>
  <si>
    <t>Vnitrostaveništní doprava suti a vybouraných hmot</t>
  </si>
  <si>
    <t>Vyvěšení dřevěných dveřních křídel pl. do 2 m2</t>
  </si>
  <si>
    <t>2i</t>
  </si>
  <si>
    <t>2j</t>
  </si>
  <si>
    <t>2k</t>
  </si>
  <si>
    <t>2l</t>
  </si>
  <si>
    <t>2m</t>
  </si>
  <si>
    <t>D+M</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</si>
  <si>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</si>
  <si>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</si>
  <si>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</si>
  <si>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</si>
  <si>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</si>
  <si>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</si>
  <si>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</si>
  <si>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</si>
  <si>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</si>
  <si>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</si>
  <si>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</si>
  <si>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</si>
  <si>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</si>
  <si>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</si>
  <si>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</si>
  <si>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</si>
  <si>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</si>
  <si>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</si>
  <si>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</si>
  <si>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</si>
  <si>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</si>
  <si>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</si>
  <si>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</si>
  <si>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 6 - střídavý</t>
  </si>
  <si>
    <t>rámeček 1x - jednoduchý</t>
  </si>
  <si>
    <t>rámeček 2x, dvojrámeček</t>
  </si>
  <si>
    <t>krabice přístrojová KP</t>
  </si>
  <si>
    <t>hmoždinky vč.vrutu, vrtání</t>
  </si>
  <si>
    <t>CYKY 3Cx2,5</t>
  </si>
  <si>
    <t>CYKY 3Cx1,5</t>
  </si>
  <si>
    <t>vodič CY 4 - zel.žl.</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</si>
  <si>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</si>
  <si>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</si>
  <si>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</si>
  <si>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</si>
  <si>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</si>
  <si>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</si>
  <si>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</si>
  <si>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</si>
  <si>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</si>
  <si>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</si>
  <si>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</si>
  <si>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</si>
  <si>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</si>
  <si>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</si>
  <si>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</si>
  <si>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</si>
  <si>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</si>
  <si>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</si>
  <si>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</si>
  <si>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</si>
  <si>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</si>
  <si>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</si>
  <si>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</si>
  <si>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</si>
  <si>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</si>
  <si>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</si>
  <si>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</si>
  <si>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Stavební úpravy bytové jednotky</t>
  </si>
  <si>
    <t>Izolace návleková  tl. stěny 20 mm vnitřní průměr 25 mm</t>
  </si>
  <si>
    <t>D2-D</t>
  </si>
  <si>
    <t>Řezání dlaždic keramických pro soklíky</t>
  </si>
  <si>
    <t>Izolace návleková  tl. stěny 13 mm vnitřní průměr 25 mm</t>
  </si>
  <si>
    <t>Izolace návleková  tl. stěny 13 mm vnitřní průměr 32 mm</t>
  </si>
  <si>
    <t>SK1-D</t>
  </si>
  <si>
    <t>SOK2-D</t>
  </si>
  <si>
    <t>SOK2-M</t>
  </si>
  <si>
    <t>Svislá doprava suti a vybour. hmot za 2.NP nošením</t>
  </si>
  <si>
    <t>o</t>
  </si>
  <si>
    <t>Opravy</t>
  </si>
  <si>
    <t>Investice</t>
  </si>
  <si>
    <t xml:space="preserve">opravy </t>
  </si>
  <si>
    <t xml:space="preserve">investice </t>
  </si>
  <si>
    <t xml:space="preserve">kontrola </t>
  </si>
  <si>
    <t>i</t>
  </si>
  <si>
    <t>Cena bez DPH</t>
  </si>
  <si>
    <t>m3</t>
  </si>
  <si>
    <t>Keramická dlažba dle specifikace v PD vč. prořezu 10%, včetně lepícího tmelu</t>
  </si>
  <si>
    <t>KD(I)1-M</t>
  </si>
  <si>
    <t>2n</t>
  </si>
  <si>
    <t>Přípravné a bourací práce</t>
  </si>
  <si>
    <t>Keramická dlažba dle specifikace v PD (sokl - proveden pásky 80 mm z řezané dlažby, 2ks z dlaždice)</t>
  </si>
  <si>
    <t xml:space="preserve">Tmelení akrylátovým tmelem </t>
  </si>
  <si>
    <t>Úpravy povrchů vnitřní (stěny, stropy)</t>
  </si>
  <si>
    <t>Hydroizolační koutová těsnící páska vč. rohových tvarovek (vororovné plochy)</t>
  </si>
  <si>
    <t>DU1</t>
  </si>
  <si>
    <t>DU2</t>
  </si>
  <si>
    <t>DU3-M</t>
  </si>
  <si>
    <t>DU3a-D</t>
  </si>
  <si>
    <t>DU3b-D</t>
  </si>
  <si>
    <t>DU3-D</t>
  </si>
  <si>
    <t xml:space="preserve"> </t>
  </si>
  <si>
    <t>V2</t>
  </si>
  <si>
    <t>DU4</t>
  </si>
  <si>
    <t>D3-D</t>
  </si>
  <si>
    <t>KD(I)1</t>
  </si>
  <si>
    <t xml:space="preserve">Montáž dřevěné soklové podlahové lišty </t>
  </si>
  <si>
    <t>Penetrace pro sádrovláknité desky</t>
  </si>
  <si>
    <t>V1</t>
  </si>
  <si>
    <t>SK2</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</si>
  <si>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</si>
  <si>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</si>
  <si>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Kohout kulový 1/2" plyn</t>
  </si>
  <si>
    <t>Zkouška plynu dle ČSN, zkouška pevnosti a těsnosti</t>
  </si>
  <si>
    <t>Nespalná podlaha u plynového topidla, ocelový plech 400/1000mm, tl.2,0mm, nátěr tmavě šedá, zkosené rohy</t>
  </si>
  <si>
    <t xml:space="preserve">Elektroinstalace - silnoproud </t>
  </si>
  <si>
    <t>Elektroinstalace - slaboproud</t>
  </si>
  <si>
    <t>Parotěsná zábrana tl. min. 0,22mm, propustnost páry – difuzní tloušťka Sd 50m</t>
  </si>
  <si>
    <t>autonomní detektor kouře</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</si>
  <si>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</si>
  <si>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</si>
  <si>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</si>
  <si>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</si>
  <si>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</si>
  <si>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</si>
  <si>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</si>
  <si>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</si>
  <si>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</si>
  <si>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</si>
  <si>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</si>
  <si>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</si>
  <si>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trubka PVC 2323</t>
  </si>
  <si>
    <t>Stavební úpravy bytové jednotky č.4, Lidická 406/41, 150 00 Praha 5</t>
  </si>
  <si>
    <t>Montáž kapotáže sdk pro vzt potrubí u digestoře a plynu</t>
  </si>
  <si>
    <t>DU3</t>
  </si>
  <si>
    <t>Úprava polohy uzavíracích kohoutu  studené vody a příprava pro osazení vodoměru</t>
  </si>
  <si>
    <t>Vestavná el. trouba ref. vyýrobek MORA VT 433 BX</t>
  </si>
  <si>
    <t>Dveře dřevěné vnitřní 1křídlové 70x197 cm dle specifikace v PD</t>
  </si>
  <si>
    <t>Dveře dřevěné vnitřní 1křídlové 80x197 cm dle specifikace v PD</t>
  </si>
  <si>
    <t>D1-4-M</t>
  </si>
  <si>
    <t>W01-D</t>
  </si>
  <si>
    <t>Okno dřevěné 120/70cm, specifikace dle PD</t>
  </si>
  <si>
    <t>KD(I)1-D</t>
  </si>
  <si>
    <t>Separační vrstva z netkané textilie</t>
  </si>
  <si>
    <t>Obklad soklíků keram.rovných, tmel,výška 80 mm do lepidla + spár, vč. úpravy horní hrany v návaznosti na omítku</t>
  </si>
  <si>
    <t>204.2 =  20,74*3,6-2*1,35*2,3-1,05*2,315-0,6*(1,95+1,9)+25,2</t>
  </si>
  <si>
    <t>Stavební úpravy bytové jednotky 4, Lidická 406/41, Praha 5 - Košíře</t>
  </si>
  <si>
    <t>CYKY-J 5x6</t>
  </si>
  <si>
    <t>CYKYLo 3Cx1,5</t>
  </si>
  <si>
    <t>rozvaděč provedení na povrch, IP30,18 modulů</t>
  </si>
  <si>
    <t>krabice s víčkem ( STA)</t>
  </si>
  <si>
    <t>DS1</t>
  </si>
  <si>
    <t>RD1</t>
  </si>
  <si>
    <t>204.2 =  4,76*(3,3-2,4)</t>
  </si>
  <si>
    <t>204.3 = 5,44*3,3-0,8*2,05</t>
  </si>
  <si>
    <t>Úprava, seříznutí rákosníku</t>
  </si>
  <si>
    <t>Zkrácení trámu cca o 0,7m</t>
  </si>
  <si>
    <t>o/i</t>
  </si>
  <si>
    <t>d</t>
  </si>
  <si>
    <t>762900060RAA</t>
  </si>
  <si>
    <t xml:space="preserve">Hrubé fošny 100/40mm osazené na ocel. profily  </t>
  </si>
  <si>
    <t>762520020RAA_P</t>
  </si>
  <si>
    <t>973031344R00_P</t>
  </si>
  <si>
    <t>762831942R00_P</t>
  </si>
  <si>
    <t>trámy (0,18+0,2*2)*5,43*8</t>
  </si>
  <si>
    <t>rakosníky (0,14*2*5,3*10)</t>
  </si>
  <si>
    <t>fošny (0,1+0,04)*2*5*2</t>
  </si>
  <si>
    <t>trámek (0,07+0,04)*2*5</t>
  </si>
  <si>
    <t>762840110RAC_P</t>
  </si>
  <si>
    <t>Záklop z hrubých prken na sraz, prkna tl.28mm, vč. impregnace</t>
  </si>
  <si>
    <t xml:space="preserve">Podlaha z fošen hrubých na sraz, tl. 40 mm, vč. impregnace </t>
  </si>
  <si>
    <t>762520020RA0_P</t>
  </si>
  <si>
    <t>762710010RAA_P</t>
  </si>
  <si>
    <t>713111130RV4_P</t>
  </si>
  <si>
    <t>Ocelový nosník HEB 140</t>
  </si>
  <si>
    <t>Osazení válcovaných nosníků ve stropech č. 14 - 22</t>
  </si>
  <si>
    <t>413941123R00</t>
  </si>
  <si>
    <t>Akustická podložka tl.5mm v místě uložení IPE100</t>
  </si>
  <si>
    <t>Plech tl.10mm s výztuhou pro kotvení rákosníku, včetně kotvících prvků a přivaření, osazeno po 300mm</t>
  </si>
  <si>
    <t>413941123RU5_P</t>
  </si>
  <si>
    <t>13611228_P</t>
  </si>
  <si>
    <t>15615235_P</t>
  </si>
  <si>
    <t>Osazení latě 50/70 mm</t>
  </si>
  <si>
    <t>Ocelové táhlo prům. 30mm, včetně kotevních plechů. napináku a přivaření</t>
  </si>
  <si>
    <t>Přemístění nosného dřevěného trámu, délka dl. 5.43 m (T2, T5, T8, T10)</t>
  </si>
  <si>
    <t>631591211R00</t>
  </si>
  <si>
    <t>Vyrovnávací podsyp z porobetonového granulátu, dle specifikace v PD</t>
  </si>
  <si>
    <t>Podlahová lišta dle specifikace PD, vč. prořezu</t>
  </si>
  <si>
    <t>Demontáž - odstranění nosného dřevěného trámu, pl. nad 540 cm2, délka dl. 5,43m (T1, T3)</t>
  </si>
  <si>
    <t>762822140R00_P</t>
  </si>
  <si>
    <t>762911111R00_P</t>
  </si>
  <si>
    <t>Impregnace tesařských konstrukcí 1x (dřevěné trámy a rákosníky)</t>
  </si>
  <si>
    <t>Podbetonování zhlaví nosníků, zdivo šířky 250 mm</t>
  </si>
  <si>
    <t>317314125R00</t>
  </si>
  <si>
    <t>Dočasné vyvěšení dřevěných trámů před zkrácením vč. pomocné konstrukce (T5, T8, T10)</t>
  </si>
  <si>
    <t>762831913R00_P</t>
  </si>
  <si>
    <t>713121111RT1</t>
  </si>
  <si>
    <t>310238411RT1</t>
  </si>
  <si>
    <t>Zazdění nepoužitých kapes a pomocných drážek u stropních trámů cihlami Cp na MC s použitím SMS, (T10, T8, T5, T3, T2, T1)</t>
  </si>
  <si>
    <t>973031345R00_P</t>
  </si>
  <si>
    <t>Vysekání kapes zeď cihel. pro uložení ocelových nosných profilů</t>
  </si>
  <si>
    <t>Vysekání kapes a pomocných drážek pro přemístění dřevěných trámů (T2, T5, T8, T10)</t>
  </si>
  <si>
    <t>Minerální akustická izolace (40kg/m3) mezi trámy,  tl. 80mm</t>
  </si>
  <si>
    <t>Přirážka za plošné lepení k podkladu</t>
  </si>
  <si>
    <t>775541600R00</t>
  </si>
  <si>
    <t xml:space="preserve">Osazení příložek k dř. trámu - ocelovými nosníky UPE 200  </t>
  </si>
  <si>
    <t>Provedení příložkování trámů vč. kotvicího materiálu 8xM16 8.8</t>
  </si>
  <si>
    <t>762524911R00_P</t>
  </si>
  <si>
    <t xml:space="preserve">Ocelové příložky UPE 200 </t>
  </si>
  <si>
    <t>13485315_P</t>
  </si>
  <si>
    <t>Vyrovnávací podsyp z porobetonového granulátu tl.13mm, dle specifikace v PD</t>
  </si>
  <si>
    <t>KD1</t>
  </si>
  <si>
    <t>204.1 - tl. 13 mm</t>
  </si>
  <si>
    <t>204.2 - tl. 11 mm</t>
  </si>
  <si>
    <t>KDI1</t>
  </si>
  <si>
    <t>DP1</t>
  </si>
  <si>
    <t>DP2</t>
  </si>
  <si>
    <t>KD1, KDI1, DP2</t>
  </si>
  <si>
    <t>Podlahy povlakové a dřevěné</t>
  </si>
  <si>
    <t>Jednořad.podchycení stropů do 3,5 m,do 750 kg/m v místech úpravy rákosníku vč. roznášecího trámu - bude osazeno v b.j. č. 8</t>
  </si>
  <si>
    <t>975043111R00_P</t>
  </si>
  <si>
    <t>DP1,2</t>
  </si>
  <si>
    <t>204.1 = tl. 22 mm</t>
  </si>
  <si>
    <t>204.2 = tl. 30 mm</t>
  </si>
  <si>
    <t>549146430_P</t>
  </si>
  <si>
    <t>Bezpečnostní kování a zámek+klíče, dle specifikace v PD</t>
  </si>
  <si>
    <t>61181321.M_P</t>
  </si>
  <si>
    <t>Dveře hladké, exteriérové, s požární, tepelnou a akustickou odolností, 1kř. 80x197cm, včetně zárubně, včetně příslušenství (kukátko, prah..) dle specifikace v PD</t>
  </si>
  <si>
    <t>Dřevěna masivní rámová zárubeň, profil 80/100mm, pro dveře 800/1970mm, vč. Povrchové úpravy a těsnění</t>
  </si>
  <si>
    <t>DVEŘE QUATRO PLNÉ, DTD</t>
  </si>
  <si>
    <t xml:space="preserve">wc zámek </t>
  </si>
  <si>
    <t>podrezáni</t>
  </si>
  <si>
    <t>kování</t>
  </si>
  <si>
    <t>RAL 9010</t>
  </si>
  <si>
    <t>553310371_P</t>
  </si>
  <si>
    <t>553310301_P</t>
  </si>
  <si>
    <t>553310372_P</t>
  </si>
  <si>
    <t>784403801R00_P</t>
  </si>
  <si>
    <t>342012221R00</t>
  </si>
  <si>
    <t>59591060_P</t>
  </si>
  <si>
    <t xml:space="preserve">Montáž SDK podhledu do vlhkého prostředí jednoduše opláštěného na samonosný rošt, vč dodávky nosných profilů a zatmelení návazností na zděné stěny (akrylátovým tmelem), dle PD </t>
  </si>
  <si>
    <t>612472181R00</t>
  </si>
  <si>
    <t>763761201R00</t>
  </si>
  <si>
    <t>28349012_P</t>
  </si>
  <si>
    <t>Revizní dvířka nerezové s tlačným zámkem 200/300mm (u uzávěru vody a vodměru), včetně kotvícího materiálu</t>
  </si>
  <si>
    <t>64214361_P1</t>
  </si>
  <si>
    <t>Obkládání stěn vnitř.keram. do tmele do 200x400 mm vč. spárování dle PD</t>
  </si>
  <si>
    <t>Keramický obklad béžový, dle specifikace v PD, vč. prořezu 10%</t>
  </si>
  <si>
    <t>204.2 = 2,4*(1,21+1,885+0,91+0,98+0,1+0,3)</t>
  </si>
  <si>
    <t>204.2 = 2,4*(2,44+3,45)</t>
  </si>
  <si>
    <t>204.3 = 0,6*(1,9+1,95)+0,05*1,9+0,1</t>
  </si>
  <si>
    <t>Podlahy lamelové - dřevo třívrstvé tl.14mm (ref. vyrobek Floor forever), vč. prořezu 10%, vč. prořezu 10%</t>
  </si>
  <si>
    <t>204.4 - tl. 25 mm</t>
  </si>
  <si>
    <t>204.3 - tl. 13 mm</t>
  </si>
  <si>
    <t>962032231R00</t>
  </si>
  <si>
    <t>Bourání zděných příček z plných cihel tl. 70 mm vč. omítky</t>
  </si>
  <si>
    <t>m.č. 204.1 = (1,405*2,55-1*2,02)*0,07</t>
  </si>
  <si>
    <t>Dozdívky - zdivo nosné cihelné z CP 29 P15 na MVC 2,5 zdivem, tl.45 cm, vč. vysekání kapes pro zavázání  (prostupy)</t>
  </si>
  <si>
    <t>204.1 = (2,55*0,23+0,2*0,2+2*0,15*0,15)*0,45*1,1</t>
  </si>
  <si>
    <t>204.1 = ((1,17*2,55)-(2,07*1))*0,3*1,1</t>
  </si>
  <si>
    <t>podesta = 1,66*2,65-1*2,07</t>
  </si>
  <si>
    <t>Demontáž dřevěných podlah z prken</t>
  </si>
  <si>
    <t>762822850R00_P</t>
  </si>
  <si>
    <t>311231114RT3_P</t>
  </si>
  <si>
    <t>(3,21+0,91)*3,6-0,8*2,05+(2,54+1,55)*3,6</t>
  </si>
  <si>
    <t>Příplatek za desku RBI u DS1</t>
  </si>
  <si>
    <t>Otvor v SDK, pro dveře 1kř do 50 kg, UA 75, 1xopl. , (pro vytvoření stavebního otvoru pro jednokřídlé dveře šířky do 1000 mm)</t>
  </si>
  <si>
    <t>342090321R00</t>
  </si>
  <si>
    <t>Příplatek za vytvoření kluzného napojení do 55 mm pro DS1</t>
  </si>
  <si>
    <t>Příplatek k podhledu sádrokart. za plochu do 5 m2</t>
  </si>
  <si>
    <t>Příplatek k podhledu sádrokart. za plochu do 10m2</t>
  </si>
  <si>
    <t>416091083R00</t>
  </si>
  <si>
    <t>Izolace tepelné stropů rovných,jednovrstvá - materiál ve specifikaci</t>
  </si>
  <si>
    <t>781475116RU1_P</t>
  </si>
  <si>
    <t>597813730_P</t>
  </si>
  <si>
    <t>721290111R00_P</t>
  </si>
  <si>
    <t>204.2 délka = 2*2,4+1,7+1,2</t>
  </si>
  <si>
    <t>725013165R00_P</t>
  </si>
  <si>
    <t>721178103R00_P</t>
  </si>
  <si>
    <t>Potrubí PP, tiché, připojovací, D 50 x 2,0, vč. nezbytných kolen, odboček, redukcí a montáže</t>
  </si>
  <si>
    <t>721178106R00_P</t>
  </si>
  <si>
    <t>721194109R00_P</t>
  </si>
  <si>
    <t>722172332R00</t>
  </si>
  <si>
    <t>725219536T00</t>
  </si>
  <si>
    <t>Baterie umyvadlová stoján. Ruční páková, bez otvír.odpadu standard vč.flexo hadiček, výška min. 14cm (ref. výrobek Rav Slezák COLORADO)</t>
  </si>
  <si>
    <t>Baterie dřezová stojánková páková směšovací, kov, nerez,  vč.flexo hadiček - specifikace dle PD  (ref. výrobek Ikea Yttran)</t>
  </si>
  <si>
    <t>Sprchové dveře posuvné, skládané, v lesklém chromu a výplní z čirého bezpečnostního skla tl. 6,0mm, rozměr 890-920x1950, (ref. vyrobek Siko Sat SK)</t>
  </si>
  <si>
    <t>Dřez jednoduchý 530x560mm, nerez, v dřeze otvor pro baterii, se zápachovou uzávěrkou, specifikace dle PD (ref. výrobek Ikea Langudden)</t>
  </si>
  <si>
    <t>PVC oblouk 125/45°</t>
  </si>
  <si>
    <t>Vybourání drážky pro VZT - prodloužení komínového průduchu, 15/30cm</t>
  </si>
  <si>
    <t>974031167R00_P</t>
  </si>
  <si>
    <t>346234311R00</t>
  </si>
  <si>
    <t>Zazdívka rýh průřezu 150x300 mm a vytvoření průduchu 150x150 s vnitřní omítkou</t>
  </si>
  <si>
    <t>347015113R00</t>
  </si>
  <si>
    <t>PVC oblouk 125/90°</t>
  </si>
  <si>
    <t>VZT PVC potrubí plastové kruhové hladké potrubí 125mm vč. spojek a závěsů</t>
  </si>
  <si>
    <t>429853232_P</t>
  </si>
  <si>
    <t>429851122_P</t>
  </si>
  <si>
    <t>429853221_P</t>
  </si>
  <si>
    <t>PVC odbočka T kus 125/125mm</t>
  </si>
  <si>
    <t>Zpětná klapka 125mm</t>
  </si>
  <si>
    <t>Těsná zpětná klapka, ref. výrobek RSKW 125</t>
  </si>
  <si>
    <t>429853251_P</t>
  </si>
  <si>
    <t>429853211_P</t>
  </si>
  <si>
    <t>429853216_P</t>
  </si>
  <si>
    <t>728413522R00</t>
  </si>
  <si>
    <t>728611113R00</t>
  </si>
  <si>
    <t>Tichý potrubní ventilátor do koupelny do potrubí prům. 125mm, s doběhovým relé, vč. zpětné klapky</t>
  </si>
  <si>
    <t>429148043_P</t>
  </si>
  <si>
    <t>42972150_P</t>
  </si>
  <si>
    <t>953802114T00_P</t>
  </si>
  <si>
    <t>Montáž komínové vložky ohebné vnitřního průměru 130 mm, výšky do 20 m</t>
  </si>
  <si>
    <t>Nerezová hadice FLEX 2x0,12mm, s vnitřní hladkou stěnou, vhodná do komínvého průduchu, DN120 (VZT koupelna)</t>
  </si>
  <si>
    <t>Nerezová hadice FLEX 2x0,12mm, s vnitřní hladkou stěnou, vhodná do komínvého průduchu, DN120 (digestoř)</t>
  </si>
  <si>
    <t>Prověření polohy příslušného komínového průduchu pro digestoř, VZT</t>
  </si>
  <si>
    <t>611601212_P</t>
  </si>
  <si>
    <t>611601213_P</t>
  </si>
  <si>
    <t>D4-D</t>
  </si>
  <si>
    <t>61165634_P</t>
  </si>
  <si>
    <t>61110306_P</t>
  </si>
  <si>
    <t>766621262R00_P</t>
  </si>
  <si>
    <t>Okna komplet. jednoduchá do rámů pl. do 0,81 m2</t>
  </si>
  <si>
    <t>13330310_P</t>
  </si>
  <si>
    <t>13388435_P</t>
  </si>
  <si>
    <t>Úhelník rovnoramenný L jakost S235   50x 50x 4 mm</t>
  </si>
  <si>
    <t>13335590_P</t>
  </si>
  <si>
    <t>Uhelník nerovnoramenný L  jakost S235  80x60x6mm, vč. chemických kotev dle části statika</t>
  </si>
  <si>
    <t>Z05-D</t>
  </si>
  <si>
    <t>3,1*0,208+5,96*0,422+15,09*0,292+10,7*0,686+2*1,2*3*0,36</t>
  </si>
  <si>
    <t>Základní nátěr ocelových nosníků</t>
  </si>
  <si>
    <t>713191131T00</t>
  </si>
  <si>
    <t>711212201R00</t>
  </si>
  <si>
    <t>635111032R00_P</t>
  </si>
  <si>
    <t>9,7*2*22,5</t>
  </si>
  <si>
    <t>713392613R00</t>
  </si>
  <si>
    <t>Vysypáním prostoru lehčenou hmotou</t>
  </si>
  <si>
    <t>Podlahová voština 1500x1000x30 mm, dle specifikace v PD</t>
  </si>
  <si>
    <t>Voštinový zásyp 1 - 4 mm bal. 22,5 kg, Spotřeba:  2 pytle/m2 při voštině 30 mm, dle specifikace v PD</t>
  </si>
  <si>
    <t>Separace sádrovláktnité desky v místě prahu dveří KD1 - akustická podložka tl. 10 mm</t>
  </si>
  <si>
    <t>Dodávka a montáž podlahy z desek sádrovláknitých tl 2x12,5 mm + 1x minerální izolace 20mm  (např.2E35), Včetně okrajové pásky 50x10 mm. Cena obsahuje slepení spojů, přišroubování k podkladu 15 ks/m2 a přetmelení spár, dle specifikace v PD</t>
  </si>
  <si>
    <t>28375317_P</t>
  </si>
  <si>
    <t>59764210_P1</t>
  </si>
  <si>
    <t xml:space="preserve">Tmelení spár silikonem, obklad, sokl - dlažba, obklad vnitřní rohy , tmelení návazností na zárubně, zařizovací předměty </t>
  </si>
  <si>
    <t>59764210_P</t>
  </si>
  <si>
    <t>776521200RT1_P</t>
  </si>
  <si>
    <t>61151391_P</t>
  </si>
  <si>
    <t>775413040R00</t>
  </si>
  <si>
    <t>61413711_P</t>
  </si>
  <si>
    <t>771111122R00</t>
  </si>
  <si>
    <t>V3 -M</t>
  </si>
  <si>
    <t>Montáž podlahových lišt přechodových</t>
  </si>
  <si>
    <t>5537000213_P</t>
  </si>
  <si>
    <t>V3- D</t>
  </si>
  <si>
    <t>Lišta hliníková přechodová, Podrobně viz tabulka prvků PSV</t>
  </si>
  <si>
    <t>Položení podlah lamelových se zámkovým spojem</t>
  </si>
  <si>
    <t>podíl přidružených výkonů</t>
  </si>
  <si>
    <t>přirážka za podružný materiál</t>
  </si>
  <si>
    <t>Různe</t>
  </si>
  <si>
    <t>Vedlejší rozpočtové náklady (VRN)</t>
  </si>
  <si>
    <t>Rozdělení podle investic a oprav (bez VRN a DPH)</t>
  </si>
  <si>
    <t>Rozdělení VRN podle investic a oprav</t>
  </si>
  <si>
    <t>Rozdělení podle investic a oprav vč. VRN bez DPH</t>
  </si>
  <si>
    <t>Náklady na ztížené podmínky provádění tam, kde jsou stavební práce zcela nebo zčásti omezovány provozem jiných osob. Jedná se zejména o zvýšené náklady související s omezením provozem v objektu, náklady v důsledku nezbytného respektování stávající dopravy</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</si>
  <si>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 Kompletační činnost a koordinace s případnými subdodavateli</t>
  </si>
  <si>
    <t>Vápenocementová omítka, u nových vyzdívek z PC vč. společ. prostor, vysprávky vnitřních omítek stěn a stropů (zapravení stávajících poruch)  odhad 5% z celkové plochy omítek. Úprava drážek š.150mm pro instalace.</t>
  </si>
  <si>
    <t>204.1 =  16,93*3,6-0,9*2,05-1,335*2,32-1,05*2,315</t>
  </si>
  <si>
    <t>A – vývod pro svítidlo  v koupelně</t>
  </si>
  <si>
    <t>poplatek za jistič 25/3-B před elektroměrem</t>
  </si>
  <si>
    <t>úprava rozv.RE vč. dodávky jističe 25/3-B</t>
  </si>
  <si>
    <t>rezerva</t>
  </si>
  <si>
    <t>Úprava výškové polohy odbočky stoupačky DN110, vč. materiálu</t>
  </si>
  <si>
    <t>204.2 =  11,4*(3,2-2,4)</t>
  </si>
  <si>
    <t>204.3 =  10,9*3,2-0,8*2,05</t>
  </si>
  <si>
    <t>204.4 =  20,7*3,6-2*1,35*2,3-0,6*(1,95+1,9)</t>
  </si>
  <si>
    <t>204.1 =  10*3,25-1,285*2,32</t>
  </si>
  <si>
    <r>
      <rPr>
        <i/>
        <sz val="10"/>
        <rFont val="Arial CE"/>
        <family val="2"/>
      </rPr>
      <t>Investor:</t>
    </r>
    <r>
      <rPr>
        <sz val="14"/>
        <rFont val="Arial CE"/>
        <family val="2"/>
      </rPr>
      <t xml:space="preserve"> Městská část Praha 5 zastoupená firmou Centra a.s.</t>
    </r>
  </si>
  <si>
    <r>
      <rPr>
        <i/>
        <sz val="10"/>
        <rFont val="Arial CE"/>
        <family val="2"/>
      </rPr>
      <t>Zpracovatel:</t>
    </r>
    <r>
      <rPr>
        <sz val="14"/>
        <rFont val="Arial CE"/>
        <family val="2"/>
      </rPr>
      <t xml:space="preserve"> Atelier PHA spol. s r.o.</t>
    </r>
  </si>
  <si>
    <t>Vestavná nerezová digestoř, min. výkon při nulových ztrátách 700m3/h, ref. výrobek.Electrolux LFG716W, vč. montáže (technické parametry dle PD) BJ č.3</t>
  </si>
  <si>
    <t>Talířový ventil, kovový lakovaný bílý, kruhový do 125 mm</t>
  </si>
  <si>
    <t>3,2*3,6+1,9*1,52</t>
  </si>
  <si>
    <t>Vodní zápachová uzávěrka DN32 pro odvod kondenzátu (BOJLER) s přídavnou mechanickou zápachovou uzávěrkou, podomítkové provedení. (ref. v. Alcaplast AKS7 )</t>
  </si>
  <si>
    <t>Keramický obklad mramorový/béžový, dle specifikace v PD, vč. prořezu 10%</t>
  </si>
  <si>
    <t>sporáková přípojka do krabice KO</t>
  </si>
  <si>
    <t>rámeček 3x, trojrámeček</t>
  </si>
  <si>
    <t>650061611R00</t>
  </si>
  <si>
    <t>Jistič 2/1-B, 10kA před spínací hodiny</t>
  </si>
  <si>
    <t>Jistič 6/1-B, 10kA</t>
  </si>
  <si>
    <t>stykač S20-20</t>
  </si>
  <si>
    <t>telefonní zásuvka (zásuvka,maska,kryt) Cat5e</t>
  </si>
  <si>
    <t>komunikační zásuvka PC (zásuvka,maska,kryt)</t>
  </si>
  <si>
    <t>koaxiální kabel vč.prořezu</t>
  </si>
  <si>
    <t>kabel UTP Cat5e vč.prořezu</t>
  </si>
  <si>
    <t>krabice 125x125 – na povrch</t>
  </si>
  <si>
    <t>SYKFY 5x2x0,5</t>
  </si>
  <si>
    <t>el.žebřík 700W, 150/60cm</t>
  </si>
  <si>
    <t>220711301R00P</t>
  </si>
  <si>
    <t>210201517R00P</t>
  </si>
  <si>
    <t>210201511R00P</t>
  </si>
  <si>
    <t>210201518R00P</t>
  </si>
  <si>
    <t>210111011RT6P</t>
  </si>
  <si>
    <t>650051311RT3P</t>
  </si>
  <si>
    <t>650051341RT3P</t>
  </si>
  <si>
    <t>34535435P</t>
  </si>
  <si>
    <t>tlačítkový ovladač pro ovl.ventilátoru</t>
  </si>
  <si>
    <t>34536700P</t>
  </si>
  <si>
    <t>34536705P</t>
  </si>
  <si>
    <t>34536710P</t>
  </si>
  <si>
    <t>210010313RT3P</t>
  </si>
  <si>
    <t>210220321RT1</t>
  </si>
  <si>
    <t>210010320R00</t>
  </si>
  <si>
    <t>210010322RT1</t>
  </si>
  <si>
    <t>650020161R00</t>
  </si>
  <si>
    <t>210800106RT1</t>
  </si>
  <si>
    <t>210800105RT1</t>
  </si>
  <si>
    <t>210800023RT4</t>
  </si>
  <si>
    <t>210800546RT1</t>
  </si>
  <si>
    <t>650031621R00</t>
  </si>
  <si>
    <t>rozvodnice RB – montáž</t>
  </si>
  <si>
    <t>210292041R00</t>
  </si>
  <si>
    <t>650123647R00</t>
  </si>
  <si>
    <t>974051215R00</t>
  </si>
  <si>
    <t>974052515R00</t>
  </si>
  <si>
    <t>971033161R00</t>
  </si>
  <si>
    <t xml:space="preserve">frézování drážky na stěnách </t>
  </si>
  <si>
    <t>frézování drážky na stropech</t>
  </si>
  <si>
    <t>974054208R00</t>
  </si>
  <si>
    <t>zapojení dig., ventilátoru,bojleru,el.žebříku</t>
  </si>
  <si>
    <t>210800118RT1</t>
  </si>
  <si>
    <t>357161603P</t>
  </si>
  <si>
    <t>358891503P</t>
  </si>
  <si>
    <t>358890405P</t>
  </si>
  <si>
    <t>345604010001P</t>
  </si>
  <si>
    <t>210131001R00P</t>
  </si>
  <si>
    <t>371202013P</t>
  </si>
  <si>
    <t>371202024P</t>
  </si>
  <si>
    <t>210010301RT1P</t>
  </si>
  <si>
    <t>210800549RT1P</t>
  </si>
  <si>
    <t>210010003RU3</t>
  </si>
  <si>
    <t>210860201R00</t>
  </si>
  <si>
    <t>210010313RT1P</t>
  </si>
  <si>
    <t>210010329RT2P</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</si>
  <si>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</si>
  <si>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</si>
  <si>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</si>
  <si>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r>
      <rPr>
        <i/>
        <sz val="10"/>
        <rFont val="Arial CE"/>
        <family val="2"/>
      </rPr>
      <t>Datum/revize:</t>
    </r>
    <r>
      <rPr>
        <sz val="14"/>
        <rFont val="Arial CE"/>
        <family val="2"/>
      </rPr>
      <t xml:space="preserve"> 07/2022/R1</t>
    </r>
  </si>
  <si>
    <r>
      <rPr>
        <i/>
        <sz val="10"/>
        <rFont val="Arial CE"/>
        <family val="2"/>
      </rPr>
      <t>Cenová soustava:</t>
    </r>
    <r>
      <rPr>
        <sz val="14"/>
        <rFont val="Arial CE"/>
        <family val="2"/>
      </rPr>
      <t xml:space="preserve"> RTS - cenová hladina jaro 2022</t>
    </r>
  </si>
  <si>
    <t>28375322_P</t>
  </si>
  <si>
    <t>Příčka z SDK s jednoduchým opláštěním (RB), tl. 12,5mm,  tl.100mm, vč. osazení akustické izolace 50mm (15kg/m3), dodávky nosných profilů CW 50, tmelení, dle specifikace v PD,  (v místech vedení kanalizace úprava krajního sloupku - kotveno do obvodové stěny), ve spojení s DS2 do výšky 1,2 m CW profil 75+5+50 + sdk opláštění</t>
  </si>
  <si>
    <t>1,2*2,54</t>
  </si>
  <si>
    <t>Předstěna z SDK s jednoduchým opláštěním (RBI), tl. 12,5mm, tl.65mm, vč. osazení akustické izolace 40mm (15kg/m3), dodávky nosných profilů CW 50, tmelení, dle specifikace v PD, osazeno podél stěny wc, pračka, umyvadlo (výška předstěny upravena dle spárořezu)</t>
  </si>
  <si>
    <t>Potrubí PP, tiché, připojovací, D 110 x 3,6, vč. nezbytných kolen, odboček, redukcí a montáže (vedeno v sdk příčce a předstěně DS1+DS2 a dále zasekáno v obv. stěně a navržené přizdívce)</t>
  </si>
  <si>
    <t>Rezerva na případné dobetonování popř. požární utěsnění prostupů stoupaček vody, kanalizace, bude účtováno dle skutečnosti, oceněna jen jedn. cena</t>
  </si>
  <si>
    <t xml:space="preserve">Protipož. trubní ucpávka EI 60, do D 25 mm, stěna u vstupu do b.j. </t>
  </si>
  <si>
    <t>713552111T00_P</t>
  </si>
  <si>
    <t>Montáž protipožární trubní ucpávky EI 60, do D 25 mm, stěna</t>
  </si>
  <si>
    <t>Kombi klozet , zadní odpad, s bočním napouštěním a s hlubokým splachováním, vč. nádrže s armaturou Dual Flush, splachovanou na 3 nebo 6 litrů.sedátka a připojovací tlakové hadice - specifikace dle PD, ref. výr. Lyra Plus</t>
  </si>
  <si>
    <t>Montáž umyvadel na šrouby do sdk</t>
  </si>
  <si>
    <t>Bojler,vodorovná montáž, levé provedení, elektrický ohřívač vody s keramickým topným tělesem, závěsný,vodorovný, 100l, délka do 1,0m, průměr - výška do 530mm.vč. příslušenství (závěsů, kotvení, aj)</t>
  </si>
  <si>
    <t xml:space="preserve">Montáž talířového ventilu kruhového do d 200 mm (šatna 1x do sdk podhledu + koupelna 1x do stěny) </t>
  </si>
  <si>
    <t xml:space="preserve">Montáž SDK podhledu jednoduše opláštěného na samonosný rošt, vč dodávky nosných profilů a zatmelení návazností na zděné stěny (akrylátovým tmelem) dle PD (šatna sv.v. 2,95m) </t>
  </si>
  <si>
    <t>Mtž ventilátoru radiál.nízkotl.potrub. do 0,07 m2 (kotveno přes pryžové podložky)</t>
  </si>
  <si>
    <t>Montáž střišky nebo komínové hlavice plech.kruh.do d 200 mm</t>
  </si>
  <si>
    <t>lámací svorka, objímka se žárovkou</t>
  </si>
  <si>
    <t>svítidlo  pod linku bez vypínače LED 10W (LED pásek dl. 2,2 m)</t>
  </si>
  <si>
    <t>Poznámka</t>
  </si>
  <si>
    <t>Nerezový T kus  Ø 125mm (digestoř, VZT WC)</t>
  </si>
  <si>
    <t>Ukončovací protidešťová stříška včetně propojovacích prvků vč. krycí manžety</t>
  </si>
  <si>
    <t>viz samostatný list</t>
  </si>
  <si>
    <t>doložit akustické a tepelné vlastnosti</t>
  </si>
  <si>
    <t>VP/MP</t>
  </si>
  <si>
    <t>MP</t>
  </si>
  <si>
    <t>101 a</t>
  </si>
  <si>
    <t>NOVÁ</t>
  </si>
  <si>
    <t>102 a</t>
  </si>
  <si>
    <r>
      <t xml:space="preserve">Potrubí PP, </t>
    </r>
    <r>
      <rPr>
        <b/>
        <sz val="10"/>
        <rFont val="Arial CE"/>
        <family val="0"/>
      </rPr>
      <t>STANDARDNÍ</t>
    </r>
    <r>
      <rPr>
        <sz val="10"/>
        <rFont val="Arial CE"/>
        <family val="2"/>
      </rPr>
      <t>, připojovací, D 50 x 2,0, vč. nezbytných kolen, odboček, redukcí a montáže</t>
    </r>
  </si>
  <si>
    <t>VP</t>
  </si>
  <si>
    <r>
      <t xml:space="preserve">Potrubí PP, </t>
    </r>
    <r>
      <rPr>
        <b/>
        <sz val="10"/>
        <rFont val="Arial CE"/>
        <family val="0"/>
      </rPr>
      <t>STANDARDNÍ</t>
    </r>
    <r>
      <rPr>
        <sz val="10"/>
        <rFont val="Arial CE"/>
        <family val="2"/>
      </rPr>
      <t>, připojovací, D 110 x 3,6, vč. nezbytných kolen, odboček, redukcí a montáže (vedeno v sdk příčce a předstěně DS1+DS2 a dále zasekáno v obv. stěně a navržené přizdívce)</t>
    </r>
  </si>
  <si>
    <t>127 a</t>
  </si>
  <si>
    <t>128 a</t>
  </si>
  <si>
    <t>172 a</t>
  </si>
  <si>
    <t>243 a</t>
  </si>
  <si>
    <r>
      <t xml:space="preserve">Dodávka a montáž podlahy z desek sádrovláknitých tl 2x12,5 mm HOBRA 19 Včetně okrajové pásky 50x10 mm. Cena obsahuje slepení spojů, přišroubování k podkladu 15 ks/m2 a přetmelení spár, dle specifikace v PD  </t>
    </r>
    <r>
      <rPr>
        <b/>
        <sz val="10"/>
        <rFont val="Arial"/>
        <family val="2"/>
      </rPr>
      <t>ZMĚNA NA HOBRA 19</t>
    </r>
  </si>
  <si>
    <t>Dodávka a montáž podlahy z desek sádrovláknitých tl 2x12,5 mm + , Včetně okrajové pásky 50x10 mm. Cena obsahuje slepení spojů, přišroubování k podkladu 15 ks/m2 a přetmelení spár, dle specifikace v PD</t>
  </si>
  <si>
    <t>168 a</t>
  </si>
  <si>
    <t>Páková sprchová baterie / sprchový set s ruční kulatou sprchou</t>
  </si>
  <si>
    <t>Sifon pračkový Alca podomítkový DN40</t>
  </si>
  <si>
    <t>258 a</t>
  </si>
  <si>
    <r>
      <t xml:space="preserve">Potrubí z měděných plyn.trubek D 18 x 1,0 mm (DN 15), dle ČSN EN 1775  TPG 704 01, montáž </t>
    </r>
    <r>
      <rPr>
        <b/>
        <sz val="10"/>
        <rFont val="Arial CE"/>
        <family val="0"/>
      </rPr>
      <t>LISOVÁNÍM</t>
    </r>
  </si>
  <si>
    <r>
      <t xml:space="preserve">Potrubí z měděných plyn.trubek D 22 x 1,0 mm (DN 20), dle ČSN EN 1775  TPG 704 01,  montáž </t>
    </r>
    <r>
      <rPr>
        <b/>
        <sz val="10"/>
        <rFont val="Arial CE"/>
        <family val="0"/>
      </rPr>
      <t>LISOVÁNÍM</t>
    </r>
  </si>
  <si>
    <t>ÚČTOVÁNO ČERVEN</t>
  </si>
  <si>
    <t>ZBÝVÁ</t>
  </si>
  <si>
    <t>ok narovnáno, MP</t>
  </si>
  <si>
    <t>nepředáno, nefaktuorvat</t>
  </si>
  <si>
    <t>ok, MP</t>
  </si>
  <si>
    <t>NELZE FAKTUROVAT, VP</t>
  </si>
  <si>
    <t>NEŠLO BY FAKTUROVAT?</t>
  </si>
  <si>
    <t>NEŠLO BY NĚCO FAKTUROVAT ?</t>
  </si>
  <si>
    <t>ok MP</t>
  </si>
  <si>
    <t>OK, ZATÍM NEFAKTUROVÁNO</t>
  </si>
  <si>
    <t>ÚČTOVÁNO PROSINEC</t>
  </si>
  <si>
    <t>DŮVOD ZMĚNY</t>
  </si>
  <si>
    <t>změna na 0 ks /  nebylo instalováno</t>
  </si>
  <si>
    <t>38a</t>
  </si>
  <si>
    <t>nová</t>
  </si>
  <si>
    <t>úprava rozv.RE vč. dodávky jističe 25/1-B  Změna z třífazového jističe na jistič jednofázový. Dúvode změny je jednofázová rozvodnice v bytové jednotce dle PD.</t>
  </si>
  <si>
    <t>odpočet je u bytu 8</t>
  </si>
  <si>
    <t>dle revize 1x</t>
  </si>
  <si>
    <t>dle revize 8x</t>
  </si>
  <si>
    <t>3 fázový 533,-Kč, 1 fázový 169,-Kč (rozdíl 364,-Kč)</t>
  </si>
  <si>
    <t>ok</t>
  </si>
  <si>
    <t>Poznámka AD</t>
  </si>
  <si>
    <t>změny oproti PD viz mail 16.3.2023
vypuštěna prosklená dvířka 3x + prosklené police, neosazeny nerez úchyty - snížení ceny min. o 5%</t>
  </si>
  <si>
    <t>bylo osazeno, doložit foto?</t>
  </si>
  <si>
    <t>navýšení hodnoty jističe neprovedeno - odpočet</t>
  </si>
  <si>
    <t>měl by být větší rozdíl v ceně, žádná úprava rozvaděče se neprováděla jen se vyměnil jistič (u bytu 8 rozdíl 750,- Kč)</t>
  </si>
  <si>
    <t>jak byl dořešen zvonek?</t>
  </si>
  <si>
    <t>je osazen?, z PD skutečného provedení není patrné</t>
  </si>
  <si>
    <t xml:space="preserve">dle revizní zprávy neosazeno - odpočet, nesouhlasí revizní zpráva se skutečným provedením </t>
  </si>
  <si>
    <t>aktualizace změny souvrství podlah</t>
  </si>
  <si>
    <t>opraveno</t>
  </si>
  <si>
    <t>osazeno 1ks / v souladu s revizní zprávou</t>
  </si>
  <si>
    <t>oszeno 8ks / v souladu s revizní zprávou</t>
  </si>
  <si>
    <t>zvonek dodán a osazen zdarma</t>
  </si>
  <si>
    <t>upraveno</t>
  </si>
  <si>
    <t>není osazen / není HDO / revizní zpráva  v souladu se skutečním provedením</t>
  </si>
  <si>
    <t>není osazen / nebyl natažen kabel HDO / tento jistič se umístuje v rozvděči</t>
  </si>
  <si>
    <t>213a</t>
  </si>
  <si>
    <t>Kuchyňská linka vč. pracovní desky, bez spotřebičů dle specifikace v PD / SNÍŽENÍ CENY Z DŮVODU ZMĚN DODANÝCH KOMPONENTŮ</t>
  </si>
  <si>
    <t>CO ZBYLO</t>
  </si>
  <si>
    <t>NOVÁ CENA</t>
  </si>
  <si>
    <t>FAKTUROVÁNO</t>
  </si>
  <si>
    <t>CELKEM ZMĚNA</t>
  </si>
</sst>
</file>

<file path=xl/styles.xml><?xml version="1.0" encoding="utf-8"?>
<styleSheet xmlns="http://schemas.openxmlformats.org/spreadsheetml/2006/main">
  <numFmts count="3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 numFmtId="185" formatCode="_-* #,##0.00\ [$Kč-405]_-;\-* #,##0.00\ [$Kč-405]_-;_-* &quot;-&quot;??\ [$Kč-405]_-;_-@_-"/>
    <numFmt numFmtId="186" formatCode="#,##0.000"/>
    <numFmt numFmtId="187" formatCode="[$-405]General"/>
    <numFmt numFmtId="188" formatCode="[$-405]0%"/>
    <numFmt numFmtId="189" formatCode="_-* #,##0.000\ &quot;Kč&quot;_-;\-* #,##0.000\ &quot;Kč&quot;_-;_-* &quot;-&quot;???\ &quot;Kč&quot;_-;_-@_-"/>
    <numFmt numFmtId="190" formatCode="_-* #,##0.0\ &quot;Kč&quot;_-;\-* #,##0.0\ &quot;Kč&quot;_-;_-* &quot;-&quot;?\ &quot;Kč&quot;_-;_-@_-"/>
  </numFmts>
  <fonts count="86">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8"/>
      <color indexed="1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b/>
      <sz val="8"/>
      <color indexed="10"/>
      <name val="Arial"/>
      <family val="2"/>
    </font>
    <font>
      <sz val="10"/>
      <color indexed="10"/>
      <name val="Arial"/>
      <family val="2"/>
    </font>
    <font>
      <sz val="10"/>
      <color indexed="40"/>
      <name val="Arial"/>
      <family val="2"/>
    </font>
    <font>
      <sz val="10"/>
      <color indexed="30"/>
      <name val="Arial"/>
      <family val="2"/>
    </font>
    <font>
      <sz val="10"/>
      <color indexed="8"/>
      <name val="Arial"/>
      <family val="2"/>
    </font>
    <font>
      <sz val="10"/>
      <color indexed="9"/>
      <name val="Arial CE"/>
      <family val="2"/>
    </font>
    <font>
      <b/>
      <sz val="8"/>
      <color indexed="10"/>
      <name val="Arial CE"/>
      <family val="0"/>
    </font>
    <font>
      <b/>
      <sz val="8"/>
      <name val="Arial CE"/>
      <family val="0"/>
    </font>
    <font>
      <i/>
      <sz val="10"/>
      <color indexed="12"/>
      <name val="Arial"/>
      <family val="2"/>
    </font>
    <font>
      <b/>
      <sz val="7"/>
      <name val="Arial CE"/>
      <family val="2"/>
    </font>
    <font>
      <b/>
      <sz val="10"/>
      <color indexed="10"/>
      <name val="Arial"/>
      <family val="2"/>
    </font>
    <font>
      <sz val="9"/>
      <name val="Tahoma"/>
      <family val="2"/>
    </font>
    <font>
      <b/>
      <sz val="9"/>
      <name val="Tahoma"/>
      <family val="2"/>
    </font>
    <font>
      <sz val="8"/>
      <color indexed="8"/>
      <name val="Arial"/>
      <family val="2"/>
    </font>
    <font>
      <sz val="8"/>
      <color indexed="10"/>
      <name val="Arial CE"/>
      <family val="2"/>
    </font>
    <font>
      <sz val="8"/>
      <color indexed="8"/>
      <name val="Arial CE"/>
      <family val="2"/>
    </font>
    <font>
      <b/>
      <sz val="8"/>
      <color indexed="8"/>
      <name val="Arial CE"/>
      <family val="0"/>
    </font>
    <font>
      <b/>
      <sz val="8"/>
      <color indexed="40"/>
      <name val="Arial"/>
      <family val="2"/>
    </font>
    <font>
      <b/>
      <sz val="10"/>
      <color indexed="40"/>
      <name val="Arial CE"/>
      <family val="2"/>
    </font>
    <font>
      <sz val="8"/>
      <name val="Segoe UI"/>
      <family val="2"/>
    </font>
    <font>
      <sz val="8"/>
      <color theme="1"/>
      <name val="Arial"/>
      <family val="2"/>
    </font>
    <font>
      <i/>
      <sz val="10"/>
      <color rgb="FF0070C0"/>
      <name val="Arial"/>
      <family val="2"/>
    </font>
    <font>
      <sz val="10"/>
      <color rgb="FFFF0000"/>
      <name val="Arial"/>
      <family val="2"/>
    </font>
    <font>
      <sz val="10"/>
      <color rgb="FFFF0000"/>
      <name val="Arial CE"/>
      <family val="2"/>
    </font>
    <font>
      <sz val="8"/>
      <color rgb="FFFF0000"/>
      <name val="Arial CE"/>
      <family val="2"/>
    </font>
    <font>
      <b/>
      <sz val="10"/>
      <color rgb="FFFF0000"/>
      <name val="Arial CE"/>
      <family val="2"/>
    </font>
    <font>
      <sz val="7"/>
      <color rgb="FFFF0000"/>
      <name val="Arial CE"/>
      <family val="2"/>
    </font>
    <font>
      <sz val="11"/>
      <color rgb="FFFF0000"/>
      <name val="Arial CE"/>
      <family val="2"/>
    </font>
    <font>
      <sz val="8"/>
      <color rgb="FFFF0000"/>
      <name val="Arial"/>
      <family val="2"/>
    </font>
    <font>
      <b/>
      <sz val="8"/>
      <color rgb="FFFF0000"/>
      <name val="Arial"/>
      <family val="2"/>
    </font>
    <font>
      <b/>
      <sz val="10"/>
      <color theme="1"/>
      <name val="Arial CE"/>
      <family val="2"/>
    </font>
    <font>
      <sz val="8"/>
      <color theme="1"/>
      <name val="Arial CE"/>
      <family val="2"/>
    </font>
    <font>
      <b/>
      <sz val="8"/>
      <color theme="1"/>
      <name val="Arial CE"/>
      <family val="0"/>
    </font>
    <font>
      <b/>
      <sz val="8"/>
      <color rgb="FF00B0F0"/>
      <name val="Arial"/>
      <family val="2"/>
    </font>
    <font>
      <b/>
      <sz val="10"/>
      <color rgb="FF00B0F0"/>
      <name val="Arial CE"/>
      <family val="2"/>
    </font>
    <font>
      <sz val="10"/>
      <color theme="1"/>
      <name val="Arial CE"/>
      <family val="2"/>
    </font>
  </fonts>
  <fills count="2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theme="0" tint="-0.24997000396251678"/>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indexed="44"/>
        <bgColor indexed="64"/>
      </patternFill>
    </fill>
  </fills>
  <borders count="50">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ashed"/>
      <bottom style="dashed"/>
    </border>
    <border>
      <left>
        <color indexed="63"/>
      </left>
      <right>
        <color indexed="63"/>
      </right>
      <top>
        <color indexed="63"/>
      </top>
      <bottom style="dashed"/>
    </border>
    <border>
      <left style="dotted"/>
      <right style="dotted"/>
      <top style="dotted"/>
      <bottom style="dott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dashed"/>
      <right>
        <color indexed="63"/>
      </right>
      <top style="dashed"/>
      <bottom style="dashed"/>
    </border>
    <border>
      <left>
        <color indexed="63"/>
      </left>
      <right>
        <color indexed="63"/>
      </right>
      <top style="dashed"/>
      <bottom>
        <color indexed="63"/>
      </bottom>
    </border>
    <border>
      <left>
        <color indexed="63"/>
      </left>
      <right style="dashed"/>
      <top style="dashed"/>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style="hair"/>
      <bottom>
        <color indexed="63"/>
      </bottom>
    </border>
    <border>
      <left/>
      <right/>
      <top style="hair"/>
      <bottom style="medium"/>
    </border>
    <border>
      <left>
        <color indexed="63"/>
      </left>
      <right>
        <color indexed="63"/>
      </right>
      <top style="medium"/>
      <bottom style="hair"/>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187" fontId="54" fillId="0" borderId="0">
      <alignment/>
      <protection/>
    </xf>
    <xf numFmtId="188" fontId="54" fillId="0" borderId="0">
      <alignment/>
      <protection/>
    </xf>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32" fillId="0" borderId="0" applyNumberFormat="0" applyFill="0" applyBorder="0" applyAlignment="0" applyProtection="0"/>
    <xf numFmtId="0" fontId="0" fillId="4" borderId="5" applyNumberFormat="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583">
    <xf numFmtId="0" fontId="0" fillId="0" borderId="0" xfId="0" applyAlignment="1">
      <alignment/>
    </xf>
    <xf numFmtId="0" fontId="0" fillId="0" borderId="0" xfId="0" applyFont="1" applyAlignment="1">
      <alignment/>
    </xf>
    <xf numFmtId="0" fontId="20" fillId="0" borderId="0" xfId="0" applyFont="1" applyAlignment="1">
      <alignment/>
    </xf>
    <xf numFmtId="0" fontId="0" fillId="0" borderId="0" xfId="0" applyFont="1" applyFill="1" applyAlignment="1">
      <alignment/>
    </xf>
    <xf numFmtId="0" fontId="29" fillId="0" borderId="0" xfId="0" applyFont="1" applyAlignment="1">
      <alignment/>
    </xf>
    <xf numFmtId="0" fontId="30" fillId="0" borderId="0" xfId="0" applyFont="1" applyAlignment="1">
      <alignment/>
    </xf>
    <xf numFmtId="167" fontId="0" fillId="0" borderId="0" xfId="0" applyNumberFormat="1" applyFont="1" applyFill="1" applyBorder="1" applyAlignment="1">
      <alignment/>
    </xf>
    <xf numFmtId="167" fontId="1" fillId="0" borderId="0" xfId="0" applyNumberFormat="1" applyFont="1" applyFill="1" applyBorder="1" applyAlignment="1">
      <alignment horizontal="right" vertical="center"/>
    </xf>
    <xf numFmtId="0" fontId="0" fillId="0" borderId="0" xfId="0" applyFill="1" applyAlignment="1">
      <alignment/>
    </xf>
    <xf numFmtId="0" fontId="30" fillId="0" borderId="0" xfId="0" applyFont="1" applyFill="1" applyAlignment="1">
      <alignment/>
    </xf>
    <xf numFmtId="170" fontId="0" fillId="0" borderId="0" xfId="0" applyNumberFormat="1" applyFont="1" applyAlignment="1">
      <alignment/>
    </xf>
    <xf numFmtId="170" fontId="20" fillId="0" borderId="0" xfId="0" applyNumberFormat="1" applyFont="1" applyAlignment="1">
      <alignment/>
    </xf>
    <xf numFmtId="170" fontId="0" fillId="0" borderId="0" xfId="0" applyNumberFormat="1" applyAlignment="1">
      <alignment/>
    </xf>
    <xf numFmtId="0" fontId="20" fillId="0" borderId="0" xfId="0" applyFont="1" applyAlignment="1">
      <alignment/>
    </xf>
    <xf numFmtId="0" fontId="20" fillId="0" borderId="0" xfId="0" applyFont="1" applyFill="1" applyAlignment="1">
      <alignment/>
    </xf>
    <xf numFmtId="0" fontId="29" fillId="0" borderId="0" xfId="0" applyFont="1" applyFill="1" applyAlignment="1">
      <alignment/>
    </xf>
    <xf numFmtId="170" fontId="0" fillId="0" borderId="0" xfId="0" applyNumberFormat="1" applyFont="1" applyFill="1" applyAlignment="1">
      <alignment/>
    </xf>
    <xf numFmtId="0" fontId="35" fillId="0" borderId="0" xfId="0" applyFont="1" applyAlignment="1">
      <alignment/>
    </xf>
    <xf numFmtId="4" fontId="36" fillId="0" borderId="0" xfId="0" applyNumberFormat="1" applyFont="1" applyAlignment="1">
      <alignment/>
    </xf>
    <xf numFmtId="9" fontId="0" fillId="0" borderId="9" xfId="74" applyFill="1" applyBorder="1" applyAlignment="1" applyProtection="1">
      <alignment/>
      <protection/>
    </xf>
    <xf numFmtId="0" fontId="19" fillId="0" borderId="10" xfId="0" applyFont="1" applyFill="1" applyBorder="1" applyAlignment="1">
      <alignment horizontal="right"/>
    </xf>
    <xf numFmtId="0" fontId="0" fillId="0" borderId="0" xfId="0" applyFont="1" applyAlignment="1">
      <alignment/>
    </xf>
    <xf numFmtId="183" fontId="1" fillId="0" borderId="0" xfId="59"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167" fontId="45" fillId="0" borderId="0" xfId="0" applyNumberFormat="1" applyFont="1" applyBorder="1" applyAlignment="1">
      <alignment/>
    </xf>
    <xf numFmtId="167" fontId="45" fillId="0" borderId="0" xfId="0" applyNumberFormat="1" applyFont="1" applyAlignment="1">
      <alignment/>
    </xf>
    <xf numFmtId="0" fontId="0" fillId="0" borderId="0" xfId="0" applyAlignment="1">
      <alignment wrapText="1"/>
    </xf>
    <xf numFmtId="0" fontId="25" fillId="0" borderId="0" xfId="56" applyAlignment="1">
      <alignment/>
    </xf>
    <xf numFmtId="177" fontId="1" fillId="16" borderId="11" xfId="0" applyNumberFormat="1" applyFont="1" applyFill="1" applyBorder="1" applyAlignment="1" applyProtection="1">
      <alignment vertical="center"/>
      <protection locked="0"/>
    </xf>
    <xf numFmtId="177" fontId="37" fillId="16" borderId="11" xfId="0" applyNumberFormat="1" applyFont="1" applyFill="1" applyBorder="1" applyAlignment="1" applyProtection="1">
      <alignment vertical="center"/>
      <protection locked="0"/>
    </xf>
    <xf numFmtId="166" fontId="1" fillId="16" borderId="0" xfId="0" applyNumberFormat="1" applyFont="1" applyFill="1" applyBorder="1" applyAlignment="1" applyProtection="1">
      <alignment vertical="center"/>
      <protection locked="0"/>
    </xf>
    <xf numFmtId="177" fontId="52" fillId="16" borderId="11" xfId="0" applyNumberFormat="1" applyFont="1" applyFill="1" applyBorder="1" applyAlignment="1" applyProtection="1">
      <alignment vertical="center"/>
      <protection locked="0"/>
    </xf>
    <xf numFmtId="166" fontId="1" fillId="16" borderId="11" xfId="0" applyNumberFormat="1" applyFont="1" applyFill="1" applyBorder="1" applyAlignment="1" applyProtection="1">
      <alignment vertical="center"/>
      <protection locked="0"/>
    </xf>
    <xf numFmtId="177" fontId="51" fillId="17" borderId="12" xfId="0" applyNumberFormat="1" applyFont="1" applyFill="1" applyBorder="1" applyAlignment="1" applyProtection="1">
      <alignment vertical="center"/>
      <protection/>
    </xf>
    <xf numFmtId="0" fontId="0" fillId="0" borderId="0" xfId="0" applyAlignment="1" applyProtection="1">
      <alignment horizontal="left"/>
      <protection/>
    </xf>
    <xf numFmtId="0" fontId="0" fillId="0" borderId="0" xfId="0" applyAlignment="1" applyProtection="1">
      <alignment horizontal="center"/>
      <protection/>
    </xf>
    <xf numFmtId="0" fontId="23" fillId="0" borderId="0" xfId="0" applyFont="1" applyBorder="1" applyAlignment="1" applyProtection="1">
      <alignment vertical="center"/>
      <protection/>
    </xf>
    <xf numFmtId="0" fontId="0" fillId="0" borderId="0" xfId="0" applyBorder="1" applyAlignment="1" applyProtection="1">
      <alignment/>
      <protection/>
    </xf>
    <xf numFmtId="2" fontId="0" fillId="0" borderId="0" xfId="0" applyNumberFormat="1" applyBorder="1" applyAlignment="1" applyProtection="1">
      <alignment/>
      <protection/>
    </xf>
    <xf numFmtId="167" fontId="0" fillId="0" borderId="0" xfId="0" applyNumberFormat="1" applyBorder="1" applyAlignment="1" applyProtection="1">
      <alignment/>
      <protection/>
    </xf>
    <xf numFmtId="0" fontId="24" fillId="0" borderId="0" xfId="0" applyFont="1" applyBorder="1" applyAlignment="1" applyProtection="1">
      <alignment horizontal="right"/>
      <protection/>
    </xf>
    <xf numFmtId="0" fontId="0" fillId="0" borderId="0" xfId="0" applyFont="1" applyAlignment="1" applyProtection="1">
      <alignment/>
      <protection locked="0"/>
    </xf>
    <xf numFmtId="0" fontId="26" fillId="0" borderId="0" xfId="0" applyFont="1" applyAlignment="1" applyProtection="1">
      <alignment horizontal="center" vertical="center"/>
      <protection/>
    </xf>
    <xf numFmtId="0" fontId="25" fillId="18" borderId="12" xfId="56" applyNumberFormat="1" applyFill="1" applyBorder="1" applyAlignment="1" applyProtection="1">
      <alignment vertical="center"/>
      <protection/>
    </xf>
    <xf numFmtId="0" fontId="20" fillId="19" borderId="12" xfId="0" applyFont="1" applyFill="1" applyBorder="1" applyAlignment="1" applyProtection="1">
      <alignment horizontal="left"/>
      <protection/>
    </xf>
    <xf numFmtId="2" fontId="20" fillId="19" borderId="12" xfId="0" applyNumberFormat="1" applyFont="1" applyFill="1" applyBorder="1" applyAlignment="1" applyProtection="1">
      <alignment horizontal="right"/>
      <protection/>
    </xf>
    <xf numFmtId="0" fontId="20" fillId="19" borderId="12" xfId="0" applyFont="1" applyFill="1" applyBorder="1" applyAlignment="1" applyProtection="1">
      <alignment horizontal="right"/>
      <protection/>
    </xf>
    <xf numFmtId="0" fontId="25" fillId="18" borderId="0" xfId="56" applyNumberFormat="1" applyFill="1" applyBorder="1" applyAlignment="1" applyProtection="1">
      <alignment vertical="center"/>
      <protection/>
    </xf>
    <xf numFmtId="0" fontId="20" fillId="19" borderId="0" xfId="0" applyFont="1" applyFill="1" applyAlignment="1" applyProtection="1">
      <alignment horizontal="left"/>
      <protection/>
    </xf>
    <xf numFmtId="2" fontId="20" fillId="19" borderId="0" xfId="0" applyNumberFormat="1" applyFont="1" applyFill="1" applyAlignment="1" applyProtection="1">
      <alignment horizontal="right"/>
      <protection/>
    </xf>
    <xf numFmtId="0" fontId="20" fillId="19" borderId="0" xfId="0" applyFont="1" applyFill="1" applyAlignment="1" applyProtection="1">
      <alignment horizontal="right"/>
      <protection/>
    </xf>
    <xf numFmtId="3" fontId="1" fillId="0" borderId="0" xfId="0" applyNumberFormat="1" applyFont="1" applyAlignment="1" applyProtection="1">
      <alignment horizontal="center" vertical="center"/>
      <protection/>
    </xf>
    <xf numFmtId="3" fontId="1" fillId="0" borderId="11" xfId="0" applyNumberFormat="1" applyFont="1" applyBorder="1" applyAlignment="1" applyProtection="1">
      <alignment horizontal="left" vertical="center" wrapText="1"/>
      <protection/>
    </xf>
    <xf numFmtId="3" fontId="1" fillId="0" borderId="11" xfId="0" applyNumberFormat="1" applyFont="1" applyBorder="1" applyAlignment="1" applyProtection="1">
      <alignment horizontal="left" vertical="center"/>
      <protection/>
    </xf>
    <xf numFmtId="2" fontId="1" fillId="0" borderId="11" xfId="0" applyNumberFormat="1" applyFont="1" applyBorder="1" applyAlignment="1" applyProtection="1">
      <alignment horizontal="right" vertical="center"/>
      <protection/>
    </xf>
    <xf numFmtId="180" fontId="1" fillId="20" borderId="11" xfId="0" applyNumberFormat="1" applyFont="1" applyFill="1" applyBorder="1" applyAlignment="1" applyProtection="1">
      <alignment vertical="center"/>
      <protection/>
    </xf>
    <xf numFmtId="177" fontId="1" fillId="0" borderId="11" xfId="0" applyNumberFormat="1" applyFont="1" applyBorder="1" applyAlignment="1" applyProtection="1">
      <alignment vertical="center"/>
      <protection/>
    </xf>
    <xf numFmtId="3" fontId="1" fillId="0" borderId="0" xfId="0" applyNumberFormat="1" applyFont="1" applyBorder="1" applyAlignment="1" applyProtection="1">
      <alignment horizontal="left" vertical="center" wrapText="1"/>
      <protection/>
    </xf>
    <xf numFmtId="3" fontId="1" fillId="0" borderId="0" xfId="0" applyNumberFormat="1" applyFont="1" applyBorder="1" applyAlignment="1" applyProtection="1">
      <alignment horizontal="left" vertical="center"/>
      <protection/>
    </xf>
    <xf numFmtId="2" fontId="1" fillId="0" borderId="0" xfId="0" applyNumberFormat="1" applyFont="1" applyBorder="1" applyAlignment="1" applyProtection="1">
      <alignment horizontal="right" vertical="center"/>
      <protection/>
    </xf>
    <xf numFmtId="0" fontId="41" fillId="0" borderId="0" xfId="0" applyFont="1" applyAlignment="1" applyProtection="1">
      <alignment horizontal="center" vertical="center"/>
      <protection locked="0"/>
    </xf>
    <xf numFmtId="0" fontId="45" fillId="0" borderId="0" xfId="0" applyFont="1" applyAlignment="1" applyProtection="1">
      <alignment/>
      <protection locked="0"/>
    </xf>
    <xf numFmtId="0" fontId="20" fillId="6" borderId="13" xfId="68" applyFont="1" applyFill="1" applyBorder="1" applyAlignment="1" applyProtection="1">
      <alignment vertical="center" wrapText="1"/>
      <protection/>
    </xf>
    <xf numFmtId="0" fontId="0" fillId="6" borderId="14" xfId="68" applyFont="1" applyFill="1" applyBorder="1" applyProtection="1">
      <alignment/>
      <protection/>
    </xf>
    <xf numFmtId="2" fontId="0" fillId="6" borderId="14" xfId="0" applyNumberFormat="1" applyFill="1" applyBorder="1" applyAlignment="1" applyProtection="1">
      <alignment/>
      <protection/>
    </xf>
    <xf numFmtId="167" fontId="0" fillId="6" borderId="14" xfId="0" applyNumberFormat="1" applyFill="1" applyBorder="1" applyAlignment="1" applyProtection="1">
      <alignment/>
      <protection/>
    </xf>
    <xf numFmtId="176" fontId="1" fillId="6" borderId="15" xfId="0" applyNumberFormat="1" applyFont="1" applyFill="1" applyBorder="1" applyAlignment="1" applyProtection="1">
      <alignment/>
      <protection/>
    </xf>
    <xf numFmtId="166" fontId="55" fillId="0" borderId="0" xfId="74" applyNumberFormat="1" applyFont="1" applyAlignment="1" applyProtection="1">
      <alignment horizontal="center" vertical="center"/>
      <protection locked="0"/>
    </xf>
    <xf numFmtId="0" fontId="20" fillId="0" borderId="0" xfId="0" applyFont="1" applyAlignment="1" applyProtection="1">
      <alignment vertical="center"/>
      <protection/>
    </xf>
    <xf numFmtId="0" fontId="0" fillId="0" borderId="0" xfId="0" applyFont="1" applyAlignment="1" applyProtection="1">
      <alignment/>
      <protection/>
    </xf>
    <xf numFmtId="170" fontId="0" fillId="0" borderId="0" xfId="0" applyNumberFormat="1" applyFont="1" applyAlignment="1" applyProtection="1">
      <alignment/>
      <protection/>
    </xf>
    <xf numFmtId="167" fontId="0" fillId="0" borderId="0" xfId="0" applyNumberFormat="1" applyFont="1" applyAlignment="1" applyProtection="1">
      <alignment/>
      <protection/>
    </xf>
    <xf numFmtId="3" fontId="0" fillId="2" borderId="16" xfId="0" applyNumberFormat="1" applyFont="1" applyFill="1" applyBorder="1" applyAlignment="1" applyProtection="1">
      <alignment horizontal="left" vertical="center" wrapText="1"/>
      <protection/>
    </xf>
    <xf numFmtId="3" fontId="0" fillId="2" borderId="12" xfId="0" applyNumberFormat="1" applyFont="1" applyFill="1" applyBorder="1" applyAlignment="1" applyProtection="1">
      <alignment horizontal="left" vertical="center" wrapText="1"/>
      <protection/>
    </xf>
    <xf numFmtId="3" fontId="0" fillId="2" borderId="17" xfId="0" applyNumberFormat="1" applyFont="1" applyFill="1" applyBorder="1" applyAlignment="1" applyProtection="1">
      <alignment horizontal="left" vertical="center" wrapText="1"/>
      <protection/>
    </xf>
    <xf numFmtId="0" fontId="0" fillId="0" borderId="0" xfId="0" applyFont="1" applyAlignment="1" applyProtection="1">
      <alignment vertical="center"/>
      <protection/>
    </xf>
    <xf numFmtId="0" fontId="0" fillId="0" borderId="0" xfId="0" applyFont="1" applyFill="1" applyBorder="1" applyAlignment="1" applyProtection="1">
      <alignment/>
      <protection/>
    </xf>
    <xf numFmtId="170"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45" fillId="0" borderId="0" xfId="0" applyFont="1" applyFill="1" applyAlignment="1">
      <alignment/>
    </xf>
    <xf numFmtId="0" fontId="0" fillId="0" borderId="0" xfId="68" applyFont="1" applyFill="1" applyBorder="1" applyAlignment="1" applyProtection="1">
      <alignment horizontal="right" vertical="center"/>
      <protection/>
    </xf>
    <xf numFmtId="0" fontId="1" fillId="0" borderId="0" xfId="68" applyFont="1" applyAlignment="1" applyProtection="1">
      <alignment horizontal="right" vertical="center"/>
      <protection/>
    </xf>
    <xf numFmtId="0" fontId="0" fillId="0" borderId="0" xfId="0" applyAlignment="1" applyProtection="1">
      <alignment horizontal="right"/>
      <protection/>
    </xf>
    <xf numFmtId="170" fontId="56" fillId="0" borderId="18" xfId="0" applyNumberFormat="1" applyFont="1" applyBorder="1" applyAlignment="1" applyProtection="1">
      <alignment horizontal="left" wrapText="1"/>
      <protection/>
    </xf>
    <xf numFmtId="3" fontId="57" fillId="0" borderId="0" xfId="0" applyNumberFormat="1" applyFont="1" applyFill="1" applyBorder="1" applyAlignment="1" applyProtection="1">
      <alignment horizontal="center" vertical="center"/>
      <protection/>
    </xf>
    <xf numFmtId="0" fontId="51" fillId="0" borderId="0" xfId="68" applyFont="1" applyFill="1" applyBorder="1" applyAlignment="1" applyProtection="1">
      <alignment horizontal="left" vertical="center"/>
      <protection/>
    </xf>
    <xf numFmtId="3" fontId="1" fillId="0" borderId="11" xfId="0" applyNumberFormat="1" applyFont="1" applyFill="1" applyBorder="1" applyAlignment="1" applyProtection="1">
      <alignment horizontal="left" vertical="center" wrapText="1"/>
      <protection hidden="1"/>
    </xf>
    <xf numFmtId="0" fontId="45" fillId="0" borderId="0" xfId="0" applyFont="1" applyAlignment="1" applyProtection="1">
      <alignment horizontal="left" vertical="center"/>
      <protection/>
    </xf>
    <xf numFmtId="0" fontId="51" fillId="17" borderId="0" xfId="68" applyFont="1" applyFill="1" applyBorder="1" applyAlignment="1" applyProtection="1">
      <alignment horizontal="left" vertical="center"/>
      <protection/>
    </xf>
    <xf numFmtId="3" fontId="1" fillId="0" borderId="11" xfId="0" applyNumberFormat="1" applyFont="1" applyFill="1" applyBorder="1" applyAlignment="1" applyProtection="1">
      <alignment horizontal="left" vertical="center" wrapText="1"/>
      <protection/>
    </xf>
    <xf numFmtId="0" fontId="45" fillId="0" borderId="0" xfId="0" applyFont="1" applyFill="1" applyAlignment="1" applyProtection="1">
      <alignment horizontal="left" vertical="center"/>
      <protection/>
    </xf>
    <xf numFmtId="170" fontId="1" fillId="0" borderId="11" xfId="0" applyNumberFormat="1" applyFont="1" applyFill="1" applyBorder="1" applyAlignment="1" applyProtection="1">
      <alignment horizontal="right" vertical="center"/>
      <protection/>
    </xf>
    <xf numFmtId="0" fontId="45" fillId="0" borderId="0" xfId="0" applyFont="1" applyAlignment="1" applyProtection="1">
      <alignment horizontal="left"/>
      <protection/>
    </xf>
    <xf numFmtId="3" fontId="1" fillId="0" borderId="0" xfId="0" applyNumberFormat="1" applyFont="1" applyFill="1" applyAlignment="1" applyProtection="1">
      <alignment horizontal="center" vertical="center"/>
      <protection/>
    </xf>
    <xf numFmtId="3" fontId="1" fillId="0" borderId="0" xfId="0" applyNumberFormat="1" applyFont="1" applyFill="1" applyBorder="1" applyAlignment="1" applyProtection="1">
      <alignment horizontal="center" vertical="center"/>
      <protection/>
    </xf>
    <xf numFmtId="3" fontId="1" fillId="0" borderId="11" xfId="0" applyNumberFormat="1" applyFont="1" applyFill="1" applyBorder="1" applyAlignment="1" applyProtection="1">
      <alignment horizontal="left" vertical="center"/>
      <protection/>
    </xf>
    <xf numFmtId="0" fontId="51" fillId="0" borderId="0" xfId="68" applyFont="1" applyFill="1" applyAlignment="1" applyProtection="1">
      <alignment horizontal="left" vertical="center"/>
      <protection/>
    </xf>
    <xf numFmtId="0" fontId="51" fillId="0" borderId="0" xfId="68" applyFont="1" applyFill="1" applyAlignment="1" applyProtection="1">
      <alignment vertical="center"/>
      <protection/>
    </xf>
    <xf numFmtId="0" fontId="51" fillId="0" borderId="0" xfId="68" applyFont="1" applyFill="1" applyAlignment="1" applyProtection="1">
      <alignment horizontal="left" vertical="center"/>
      <protection hidden="1"/>
    </xf>
    <xf numFmtId="3" fontId="1" fillId="0" borderId="0" xfId="0" applyNumberFormat="1" applyFont="1" applyAlignment="1" applyProtection="1">
      <alignment horizontal="center" vertical="center"/>
      <protection hidden="1"/>
    </xf>
    <xf numFmtId="3" fontId="1" fillId="0" borderId="11" xfId="0" applyNumberFormat="1" applyFont="1" applyBorder="1" applyAlignment="1" applyProtection="1">
      <alignment horizontal="left" vertical="center" wrapText="1"/>
      <protection hidden="1"/>
    </xf>
    <xf numFmtId="3" fontId="1" fillId="0" borderId="11" xfId="0" applyNumberFormat="1" applyFont="1" applyBorder="1" applyAlignment="1" applyProtection="1">
      <alignment horizontal="left" vertical="center"/>
      <protection hidden="1"/>
    </xf>
    <xf numFmtId="0" fontId="51" fillId="0" borderId="0" xfId="68" applyFont="1" applyAlignment="1" applyProtection="1">
      <alignment vertical="center"/>
      <protection hidden="1"/>
    </xf>
    <xf numFmtId="3" fontId="1" fillId="17" borderId="0" xfId="0" applyNumberFormat="1" applyFont="1" applyFill="1" applyBorder="1" applyAlignment="1" applyProtection="1">
      <alignment horizontal="center" vertical="center"/>
      <protection/>
    </xf>
    <xf numFmtId="3" fontId="37" fillId="0" borderId="0" xfId="0" applyNumberFormat="1" applyFont="1" applyFill="1" applyBorder="1" applyAlignment="1" applyProtection="1">
      <alignment horizontal="center" vertical="center"/>
      <protection/>
    </xf>
    <xf numFmtId="3" fontId="37" fillId="0" borderId="11" xfId="0" applyNumberFormat="1" applyFont="1" applyFill="1" applyBorder="1" applyAlignment="1" applyProtection="1">
      <alignment horizontal="left" vertical="center" wrapText="1"/>
      <protection/>
    </xf>
    <xf numFmtId="3" fontId="37" fillId="0" borderId="11" xfId="0" applyNumberFormat="1" applyFont="1" applyFill="1" applyBorder="1" applyAlignment="1" applyProtection="1">
      <alignment horizontal="left" vertical="center"/>
      <protection/>
    </xf>
    <xf numFmtId="0" fontId="51" fillId="0" borderId="0" xfId="68" applyFont="1" applyAlignment="1" applyProtection="1">
      <alignment horizontal="left" vertical="center"/>
      <protection/>
    </xf>
    <xf numFmtId="170" fontId="49" fillId="0" borderId="11" xfId="0" applyNumberFormat="1" applyFont="1" applyFill="1" applyBorder="1" applyAlignment="1" applyProtection="1">
      <alignment horizontal="left" vertical="center"/>
      <protection/>
    </xf>
    <xf numFmtId="170" fontId="1" fillId="0" borderId="11" xfId="0" applyNumberFormat="1" applyFont="1" applyBorder="1" applyAlignment="1" applyProtection="1">
      <alignment horizontal="right" vertical="center"/>
      <protection/>
    </xf>
    <xf numFmtId="0" fontId="51" fillId="17" borderId="0" xfId="68" applyFont="1" applyFill="1" applyAlignment="1" applyProtection="1">
      <alignment horizontal="left" vertical="center"/>
      <protection/>
    </xf>
    <xf numFmtId="3" fontId="1" fillId="17" borderId="11" xfId="0" applyNumberFormat="1" applyFont="1" applyFill="1" applyBorder="1" applyAlignment="1" applyProtection="1">
      <alignment horizontal="left" vertical="center" wrapText="1"/>
      <protection/>
    </xf>
    <xf numFmtId="3" fontId="37" fillId="17" borderId="0" xfId="0" applyNumberFormat="1" applyFont="1" applyFill="1" applyBorder="1" applyAlignment="1" applyProtection="1">
      <alignment horizontal="center" vertical="center"/>
      <protection/>
    </xf>
    <xf numFmtId="167" fontId="49" fillId="17" borderId="11" xfId="0" applyNumberFormat="1" applyFont="1" applyFill="1" applyBorder="1" applyAlignment="1" applyProtection="1">
      <alignment horizontal="left" vertical="center" wrapText="1"/>
      <protection/>
    </xf>
    <xf numFmtId="170" fontId="37" fillId="0" borderId="11" xfId="0" applyNumberFormat="1" applyFont="1" applyFill="1" applyBorder="1" applyAlignment="1" applyProtection="1">
      <alignment horizontal="right" vertical="center"/>
      <protection/>
    </xf>
    <xf numFmtId="3" fontId="37" fillId="0" borderId="0" xfId="0" applyNumberFormat="1" applyFont="1" applyAlignment="1" applyProtection="1">
      <alignment horizontal="center" vertical="center"/>
      <protection/>
    </xf>
    <xf numFmtId="3" fontId="37" fillId="0" borderId="11" xfId="0" applyNumberFormat="1" applyFont="1" applyBorder="1" applyAlignment="1" applyProtection="1">
      <alignment horizontal="left" vertical="center" wrapText="1"/>
      <protection/>
    </xf>
    <xf numFmtId="3" fontId="37" fillId="0" borderId="11" xfId="0" applyNumberFormat="1" applyFont="1" applyBorder="1" applyAlignment="1" applyProtection="1">
      <alignment horizontal="left" vertical="center"/>
      <protection/>
    </xf>
    <xf numFmtId="167" fontId="49" fillId="0" borderId="11" xfId="0" applyNumberFormat="1" applyFont="1" applyBorder="1" applyAlignment="1" applyProtection="1">
      <alignment horizontal="left" vertical="center"/>
      <protection/>
    </xf>
    <xf numFmtId="3" fontId="37" fillId="0" borderId="0" xfId="0" applyNumberFormat="1" applyFont="1" applyFill="1" applyAlignment="1" applyProtection="1">
      <alignment horizontal="center" vertical="center"/>
      <protection/>
    </xf>
    <xf numFmtId="170" fontId="37" fillId="0" borderId="11" xfId="0" applyNumberFormat="1" applyFont="1" applyBorder="1" applyAlignment="1" applyProtection="1">
      <alignment horizontal="right" vertical="center"/>
      <protection hidden="1"/>
    </xf>
    <xf numFmtId="0" fontId="51" fillId="0" borderId="0" xfId="68" applyFont="1" applyAlignment="1" applyProtection="1">
      <alignment horizontal="left" vertical="center"/>
      <protection hidden="1"/>
    </xf>
    <xf numFmtId="3" fontId="37" fillId="17" borderId="11" xfId="0" applyNumberFormat="1" applyFont="1" applyFill="1" applyBorder="1" applyAlignment="1" applyProtection="1">
      <alignment horizontal="left" vertical="center" wrapText="1"/>
      <protection/>
    </xf>
    <xf numFmtId="3" fontId="37" fillId="0" borderId="0" xfId="0" applyNumberFormat="1" applyFont="1" applyFill="1" applyAlignment="1" applyProtection="1">
      <alignment horizontal="center" vertical="center"/>
      <protection hidden="1"/>
    </xf>
    <xf numFmtId="3" fontId="37" fillId="0" borderId="11" xfId="0" applyNumberFormat="1" applyFont="1" applyBorder="1" applyAlignment="1" applyProtection="1">
      <alignment horizontal="left" vertical="center" wrapText="1"/>
      <protection hidden="1"/>
    </xf>
    <xf numFmtId="3" fontId="37" fillId="0" borderId="11" xfId="0" applyNumberFormat="1" applyFont="1" applyBorder="1" applyAlignment="1" applyProtection="1">
      <alignment horizontal="left" vertical="center"/>
      <protection hidden="1"/>
    </xf>
    <xf numFmtId="3" fontId="1" fillId="0" borderId="0" xfId="0" applyNumberFormat="1" applyFont="1" applyFill="1" applyAlignment="1" applyProtection="1">
      <alignment horizontal="center" vertical="center"/>
      <protection hidden="1"/>
    </xf>
    <xf numFmtId="170" fontId="1" fillId="0" borderId="11" xfId="0" applyNumberFormat="1" applyFont="1" applyBorder="1" applyAlignment="1" applyProtection="1">
      <alignment horizontal="right" vertical="center"/>
      <protection hidden="1"/>
    </xf>
    <xf numFmtId="3" fontId="1" fillId="17" borderId="0" xfId="0" applyNumberFormat="1" applyFont="1" applyFill="1" applyAlignment="1" applyProtection="1">
      <alignment horizontal="center" vertical="center"/>
      <protection hidden="1"/>
    </xf>
    <xf numFmtId="3" fontId="37" fillId="0" borderId="0" xfId="0" applyNumberFormat="1" applyFont="1" applyAlignment="1" applyProtection="1">
      <alignment horizontal="center" vertical="center"/>
      <protection hidden="1"/>
    </xf>
    <xf numFmtId="3" fontId="37" fillId="0" borderId="11" xfId="0" applyNumberFormat="1" applyFont="1" applyFill="1" applyBorder="1" applyAlignment="1" applyProtection="1">
      <alignment horizontal="left" vertical="center" wrapText="1"/>
      <protection hidden="1"/>
    </xf>
    <xf numFmtId="3" fontId="1" fillId="17" borderId="0" xfId="0" applyNumberFormat="1" applyFont="1" applyFill="1" applyAlignment="1" applyProtection="1">
      <alignment horizontal="center" vertical="center"/>
      <protection/>
    </xf>
    <xf numFmtId="0" fontId="41" fillId="17" borderId="0" xfId="0" applyFont="1" applyFill="1" applyAlignment="1" applyProtection="1">
      <alignment horizontal="center" vertical="center"/>
      <protection locked="0"/>
    </xf>
    <xf numFmtId="0" fontId="25" fillId="0" borderId="0" xfId="56" applyAlignment="1" applyProtection="1">
      <alignment/>
      <protection/>
    </xf>
    <xf numFmtId="170" fontId="1" fillId="0" borderId="11" xfId="0" applyNumberFormat="1" applyFont="1" applyFill="1" applyBorder="1" applyAlignment="1" applyProtection="1">
      <alignment horizontal="right" vertical="center"/>
      <protection hidden="1"/>
    </xf>
    <xf numFmtId="0" fontId="51" fillId="0" borderId="0" xfId="68" applyFont="1" applyFill="1" applyAlignment="1" applyProtection="1">
      <alignment vertical="center"/>
      <protection hidden="1"/>
    </xf>
    <xf numFmtId="0" fontId="51" fillId="0" borderId="0" xfId="68" applyFont="1" applyFill="1" applyBorder="1" applyAlignment="1" applyProtection="1">
      <alignment horizontal="left" vertical="center"/>
      <protection hidden="1"/>
    </xf>
    <xf numFmtId="0" fontId="25" fillId="0" borderId="0" xfId="56" applyAlignment="1" applyProtection="1">
      <alignment/>
      <protection hidden="1"/>
    </xf>
    <xf numFmtId="0" fontId="0" fillId="0" borderId="0" xfId="0" applyAlignment="1" applyProtection="1">
      <alignment/>
      <protection hidden="1"/>
    </xf>
    <xf numFmtId="3" fontId="1" fillId="17" borderId="0" xfId="0" applyNumberFormat="1" applyFont="1" applyFill="1" applyBorder="1" applyAlignment="1" applyProtection="1">
      <alignment horizontal="center" vertical="center"/>
      <protection hidden="1"/>
    </xf>
    <xf numFmtId="3" fontId="1" fillId="0" borderId="11" xfId="0" applyNumberFormat="1" applyFont="1" applyFill="1" applyBorder="1" applyAlignment="1" applyProtection="1">
      <alignment horizontal="left" vertical="center"/>
      <protection hidden="1"/>
    </xf>
    <xf numFmtId="3" fontId="37" fillId="0" borderId="0" xfId="0" applyNumberFormat="1" applyFont="1" applyFill="1" applyBorder="1" applyAlignment="1" applyProtection="1">
      <alignment horizontal="center" vertical="center"/>
      <protection hidden="1"/>
    </xf>
    <xf numFmtId="3" fontId="37" fillId="0" borderId="11" xfId="0" applyNumberFormat="1" applyFont="1" applyFill="1" applyBorder="1" applyAlignment="1" applyProtection="1">
      <alignment horizontal="left" vertical="center"/>
      <protection hidden="1"/>
    </xf>
    <xf numFmtId="3" fontId="1" fillId="0" borderId="0" xfId="0" applyNumberFormat="1" applyFont="1" applyFill="1" applyBorder="1" applyAlignment="1" applyProtection="1">
      <alignment horizontal="center" vertical="center"/>
      <protection hidden="1"/>
    </xf>
    <xf numFmtId="0" fontId="0" fillId="0" borderId="19" xfId="68" applyFont="1" applyFill="1" applyBorder="1" applyAlignment="1" applyProtection="1">
      <alignment vertical="center" wrapText="1"/>
      <protection hidden="1"/>
    </xf>
    <xf numFmtId="0" fontId="45" fillId="0" borderId="0" xfId="0" applyFont="1" applyBorder="1" applyAlignment="1" applyProtection="1">
      <alignment horizontal="left" vertical="center"/>
      <protection hidden="1"/>
    </xf>
    <xf numFmtId="0" fontId="45" fillId="0" borderId="0" xfId="0" applyFont="1" applyAlignment="1" applyProtection="1">
      <alignment horizontal="left" vertical="center"/>
      <protection hidden="1"/>
    </xf>
    <xf numFmtId="0" fontId="0" fillId="0" borderId="19" xfId="68" applyFont="1" applyBorder="1" applyAlignment="1" applyProtection="1">
      <alignment vertical="center" wrapText="1"/>
      <protection hidden="1"/>
    </xf>
    <xf numFmtId="0" fontId="45" fillId="0" borderId="0" xfId="0" applyFont="1" applyAlignment="1" applyProtection="1">
      <alignment/>
      <protection hidden="1"/>
    </xf>
    <xf numFmtId="0" fontId="0" fillId="0" borderId="19" xfId="68" applyBorder="1" applyAlignment="1" applyProtection="1">
      <alignment vertical="center" wrapText="1"/>
      <protection/>
    </xf>
    <xf numFmtId="0" fontId="0" fillId="0" borderId="19" xfId="68" applyFont="1" applyBorder="1" applyAlignment="1" applyProtection="1">
      <alignment vertical="center" wrapText="1"/>
      <protection/>
    </xf>
    <xf numFmtId="3" fontId="37" fillId="17" borderId="0" xfId="0" applyNumberFormat="1" applyFont="1" applyFill="1" applyAlignment="1" applyProtection="1">
      <alignment horizontal="center" vertical="center"/>
      <protection hidden="1"/>
    </xf>
    <xf numFmtId="170" fontId="37" fillId="0" borderId="11" xfId="0" applyNumberFormat="1" applyFont="1" applyFill="1" applyBorder="1" applyAlignment="1" applyProtection="1">
      <alignment horizontal="right" vertical="center"/>
      <protection hidden="1"/>
    </xf>
    <xf numFmtId="0" fontId="0" fillId="17" borderId="19" xfId="68" applyFont="1" applyFill="1" applyBorder="1" applyAlignment="1" applyProtection="1">
      <alignment vertical="center" wrapText="1"/>
      <protection/>
    </xf>
    <xf numFmtId="0" fontId="0" fillId="0" borderId="19" xfId="68" applyFont="1" applyFill="1" applyBorder="1" applyAlignment="1" applyProtection="1">
      <alignment vertical="center" wrapText="1"/>
      <protection/>
    </xf>
    <xf numFmtId="3" fontId="1" fillId="21" borderId="11" xfId="0" applyNumberFormat="1" applyFont="1" applyFill="1" applyBorder="1" applyAlignment="1" applyProtection="1">
      <alignment horizontal="left" vertical="center" wrapText="1"/>
      <protection hidden="1"/>
    </xf>
    <xf numFmtId="3" fontId="45" fillId="0" borderId="0" xfId="0" applyNumberFormat="1" applyFont="1" applyAlignment="1">
      <alignment/>
    </xf>
    <xf numFmtId="3" fontId="0" fillId="0" borderId="0" xfId="0" applyNumberFormat="1" applyFont="1" applyAlignment="1">
      <alignment/>
    </xf>
    <xf numFmtId="0" fontId="45" fillId="0" borderId="0" xfId="0" applyFont="1" applyFill="1" applyAlignment="1" applyProtection="1">
      <alignment horizontal="left" vertical="center"/>
      <protection hidden="1"/>
    </xf>
    <xf numFmtId="1" fontId="51" fillId="0" borderId="0" xfId="68" applyNumberFormat="1" applyFont="1" applyFill="1" applyAlignment="1" applyProtection="1">
      <alignment horizontal="left" vertical="center"/>
      <protection hidden="1"/>
    </xf>
    <xf numFmtId="9" fontId="35" fillId="0" borderId="0" xfId="73" applyFont="1" applyAlignment="1" applyProtection="1">
      <alignment/>
      <protection/>
    </xf>
    <xf numFmtId="183" fontId="20" fillId="0" borderId="0" xfId="0" applyNumberFormat="1" applyFont="1" applyAlignment="1">
      <alignment/>
    </xf>
    <xf numFmtId="0" fontId="25" fillId="22" borderId="9" xfId="56" applyNumberFormat="1" applyFill="1" applyBorder="1" applyAlignment="1" applyProtection="1">
      <alignment horizontal="left" vertical="center"/>
      <protection/>
    </xf>
    <xf numFmtId="0" fontId="0" fillId="0" borderId="19" xfId="68" applyBorder="1" applyAlignment="1" applyProtection="1">
      <alignment vertical="center" wrapText="1"/>
      <protection hidden="1"/>
    </xf>
    <xf numFmtId="177" fontId="1" fillId="0" borderId="11" xfId="0" applyNumberFormat="1" applyFont="1" applyBorder="1" applyAlignment="1" applyProtection="1">
      <alignment vertical="center"/>
      <protection hidden="1"/>
    </xf>
    <xf numFmtId="0" fontId="41" fillId="17" borderId="0" xfId="0" applyFont="1" applyFill="1" applyAlignment="1" applyProtection="1">
      <alignment horizontal="center" vertical="center"/>
      <protection hidden="1" locked="0"/>
    </xf>
    <xf numFmtId="0" fontId="45" fillId="0" borderId="0" xfId="0" applyFont="1" applyAlignment="1" applyProtection="1">
      <alignment/>
      <protection hidden="1" locked="0"/>
    </xf>
    <xf numFmtId="4" fontId="35" fillId="23" borderId="0" xfId="69" applyNumberFormat="1" applyFont="1" applyFill="1" applyProtection="1">
      <alignment/>
      <protection locked="0"/>
    </xf>
    <xf numFmtId="0" fontId="35" fillId="0" borderId="0" xfId="67" applyFont="1">
      <alignment/>
      <protection/>
    </xf>
    <xf numFmtId="0" fontId="0" fillId="0" borderId="19" xfId="68" applyFont="1" applyBorder="1" applyAlignment="1" applyProtection="1">
      <alignment vertical="center" wrapText="1"/>
      <protection/>
    </xf>
    <xf numFmtId="187" fontId="35" fillId="0" borderId="0" xfId="0" applyNumberFormat="1" applyFont="1" applyAlignment="1">
      <alignment/>
    </xf>
    <xf numFmtId="0" fontId="0" fillId="0" borderId="0" xfId="0" applyAlignment="1">
      <alignment/>
    </xf>
    <xf numFmtId="0" fontId="34" fillId="0" borderId="0" xfId="0" applyFont="1" applyAlignment="1" applyProtection="1">
      <alignment/>
      <protection/>
    </xf>
    <xf numFmtId="0" fontId="34" fillId="0" borderId="0" xfId="0" applyFont="1" applyAlignment="1" applyProtection="1">
      <alignment/>
      <protection/>
    </xf>
    <xf numFmtId="0" fontId="0" fillId="0" borderId="0" xfId="0" applyAlignment="1" applyProtection="1">
      <alignment/>
      <protection/>
    </xf>
    <xf numFmtId="0" fontId="35" fillId="0" borderId="0" xfId="0" applyFont="1" applyAlignment="1" applyProtection="1">
      <alignment horizontal="center"/>
      <protection/>
    </xf>
    <xf numFmtId="0" fontId="35" fillId="0" borderId="0" xfId="0" applyFont="1" applyAlignment="1" applyProtection="1">
      <alignment/>
      <protection/>
    </xf>
    <xf numFmtId="0" fontId="34" fillId="0" borderId="20" xfId="0" applyFont="1" applyBorder="1" applyAlignment="1" applyProtection="1">
      <alignment/>
      <protection/>
    </xf>
    <xf numFmtId="0" fontId="36" fillId="0" borderId="0" xfId="0" applyFont="1" applyAlignment="1" applyProtection="1">
      <alignment/>
      <protection/>
    </xf>
    <xf numFmtId="0" fontId="35" fillId="0" borderId="0" xfId="69" applyFont="1" applyAlignment="1" applyProtection="1">
      <alignment horizontal="center"/>
      <protection/>
    </xf>
    <xf numFmtId="4" fontId="35" fillId="0" borderId="0" xfId="0" applyNumberFormat="1" applyFont="1" applyAlignment="1" applyProtection="1">
      <alignment/>
      <protection/>
    </xf>
    <xf numFmtId="0" fontId="35" fillId="0" borderId="0" xfId="67" applyFont="1" applyAlignment="1" applyProtection="1">
      <alignment horizontal="center"/>
      <protection/>
    </xf>
    <xf numFmtId="187" fontId="70" fillId="0" borderId="21" xfId="54" applyFont="1" applyBorder="1" applyAlignment="1" applyProtection="1">
      <alignment horizontal="center"/>
      <protection/>
    </xf>
    <xf numFmtId="187" fontId="70" fillId="0" borderId="21" xfId="54" applyFont="1" applyBorder="1" applyProtection="1">
      <alignment/>
      <protection/>
    </xf>
    <xf numFmtId="0" fontId="35" fillId="0" borderId="0" xfId="69" applyFont="1" applyProtection="1">
      <alignment/>
      <protection/>
    </xf>
    <xf numFmtId="0" fontId="35" fillId="0" borderId="0" xfId="70" applyFont="1" applyAlignment="1" applyProtection="1">
      <alignment horizontal="center"/>
      <protection/>
    </xf>
    <xf numFmtId="0" fontId="35" fillId="0" borderId="0" xfId="67" applyFont="1" applyProtection="1">
      <alignment/>
      <protection/>
    </xf>
    <xf numFmtId="0" fontId="19" fillId="0" borderId="0" xfId="0" applyFont="1" applyAlignment="1" applyProtection="1">
      <alignment/>
      <protection/>
    </xf>
    <xf numFmtId="0" fontId="35" fillId="0" borderId="0" xfId="67" applyFont="1" applyFill="1" applyAlignment="1" applyProtection="1">
      <alignment horizontal="center"/>
      <protection/>
    </xf>
    <xf numFmtId="0" fontId="35" fillId="0" borderId="0" xfId="69" applyFont="1" applyFill="1" applyAlignment="1" applyProtection="1">
      <alignment horizontal="center"/>
      <protection/>
    </xf>
    <xf numFmtId="0" fontId="35" fillId="0" borderId="0" xfId="69" applyFont="1" applyFill="1" applyProtection="1">
      <alignment/>
      <protection/>
    </xf>
    <xf numFmtId="4" fontId="35" fillId="0" borderId="0" xfId="69" applyNumberFormat="1" applyFont="1" applyFill="1" applyProtection="1">
      <alignment/>
      <protection/>
    </xf>
    <xf numFmtId="4" fontId="36" fillId="0" borderId="22" xfId="0" applyNumberFormat="1" applyFont="1" applyBorder="1" applyAlignment="1" applyProtection="1">
      <alignment/>
      <protection/>
    </xf>
    <xf numFmtId="4" fontId="36" fillId="0" borderId="0" xfId="0" applyNumberFormat="1" applyFont="1" applyAlignment="1" applyProtection="1">
      <alignment/>
      <protection/>
    </xf>
    <xf numFmtId="0" fontId="36" fillId="0" borderId="0" xfId="69" applyFont="1" applyProtection="1">
      <alignment/>
      <protection/>
    </xf>
    <xf numFmtId="0" fontId="35" fillId="0" borderId="0" xfId="69" applyFont="1" applyAlignment="1" applyProtection="1">
      <alignment wrapText="1"/>
      <protection/>
    </xf>
    <xf numFmtId="4" fontId="35" fillId="0" borderId="0" xfId="69" applyNumberFormat="1" applyFont="1" applyProtection="1">
      <alignment/>
      <protection/>
    </xf>
    <xf numFmtId="4" fontId="36" fillId="0" borderId="22" xfId="69" applyNumberFormat="1" applyFont="1" applyBorder="1" applyProtection="1">
      <alignment/>
      <protection/>
    </xf>
    <xf numFmtId="4" fontId="36" fillId="0" borderId="0" xfId="69" applyNumberFormat="1" applyFont="1" applyProtection="1">
      <alignment/>
      <protection/>
    </xf>
    <xf numFmtId="0" fontId="40" fillId="0" borderId="0" xfId="0" applyFont="1" applyAlignment="1" applyProtection="1">
      <alignment horizontal="center"/>
      <protection/>
    </xf>
    <xf numFmtId="0" fontId="50" fillId="0" borderId="0" xfId="0" applyFont="1" applyAlignment="1" applyProtection="1">
      <alignment/>
      <protection/>
    </xf>
    <xf numFmtId="4" fontId="50" fillId="0" borderId="0" xfId="0" applyNumberFormat="1" applyFont="1" applyAlignment="1" applyProtection="1">
      <alignment/>
      <protection/>
    </xf>
    <xf numFmtId="9" fontId="35" fillId="0" borderId="0" xfId="75" applyFont="1" applyAlignment="1" applyProtection="1">
      <alignment/>
      <protection/>
    </xf>
    <xf numFmtId="0" fontId="36" fillId="0" borderId="20" xfId="0" applyFont="1" applyBorder="1" applyAlignment="1" applyProtection="1">
      <alignment/>
      <protection/>
    </xf>
    <xf numFmtId="0" fontId="35" fillId="0" borderId="20" xfId="0" applyFont="1" applyBorder="1" applyAlignment="1" applyProtection="1">
      <alignment/>
      <protection/>
    </xf>
    <xf numFmtId="4" fontId="36" fillId="0" borderId="20" xfId="0" applyNumberFormat="1" applyFont="1" applyBorder="1" applyAlignment="1" applyProtection="1">
      <alignment/>
      <protection/>
    </xf>
    <xf numFmtId="3" fontId="35" fillId="0" borderId="0" xfId="69" applyNumberFormat="1" applyFont="1" applyAlignment="1" applyProtection="1">
      <alignment horizontal="left" vertical="center"/>
      <protection/>
    </xf>
    <xf numFmtId="0" fontId="0" fillId="0" borderId="0" xfId="0" applyAlignment="1" applyProtection="1">
      <alignment/>
      <protection/>
    </xf>
    <xf numFmtId="166" fontId="19" fillId="21" borderId="0" xfId="74" applyNumberFormat="1" applyFont="1" applyFill="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horizontal="right"/>
      <protection/>
    </xf>
    <xf numFmtId="0" fontId="45"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170"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170" fontId="19" fillId="0" borderId="18" xfId="0" applyNumberFormat="1" applyFont="1" applyFill="1" applyBorder="1" applyAlignment="1" applyProtection="1">
      <alignment horizontal="right"/>
      <protection/>
    </xf>
    <xf numFmtId="167" fontId="19" fillId="0" borderId="18" xfId="0" applyNumberFormat="1" applyFont="1" applyFill="1" applyBorder="1" applyAlignment="1" applyProtection="1">
      <alignment horizontal="right"/>
      <protection/>
    </xf>
    <xf numFmtId="0" fontId="19" fillId="0" borderId="18" xfId="0" applyFont="1" applyFill="1" applyBorder="1" applyAlignment="1" applyProtection="1">
      <alignment horizontal="right"/>
      <protection/>
    </xf>
    <xf numFmtId="0" fontId="21" fillId="0" borderId="23" xfId="0" applyFont="1" applyBorder="1" applyAlignment="1" applyProtection="1">
      <alignment vertical="center"/>
      <protection/>
    </xf>
    <xf numFmtId="0" fontId="0" fillId="0" borderId="24" xfId="0" applyFont="1" applyBorder="1" applyAlignment="1" applyProtection="1">
      <alignment/>
      <protection/>
    </xf>
    <xf numFmtId="170" fontId="0" fillId="0" borderId="24" xfId="0" applyNumberFormat="1" applyFont="1" applyBorder="1" applyAlignment="1" applyProtection="1">
      <alignment/>
      <protection/>
    </xf>
    <xf numFmtId="167" fontId="0" fillId="0" borderId="24" xfId="0" applyNumberFormat="1" applyFont="1" applyBorder="1" applyAlignment="1" applyProtection="1">
      <alignment/>
      <protection/>
    </xf>
    <xf numFmtId="0" fontId="21" fillId="0" borderId="25" xfId="0" applyFont="1" applyBorder="1" applyAlignment="1" applyProtection="1">
      <alignment horizontal="right"/>
      <protection/>
    </xf>
    <xf numFmtId="0" fontId="23" fillId="0" borderId="26" xfId="0" applyFont="1" applyBorder="1" applyAlignment="1" applyProtection="1">
      <alignment vertical="center"/>
      <protection/>
    </xf>
    <xf numFmtId="0" fontId="0" fillId="0" borderId="27" xfId="0" applyFont="1" applyBorder="1" applyAlignment="1" applyProtection="1">
      <alignment/>
      <protection/>
    </xf>
    <xf numFmtId="170" fontId="0" fillId="0" borderId="27" xfId="0" applyNumberFormat="1" applyFont="1" applyBorder="1" applyAlignment="1" applyProtection="1">
      <alignment/>
      <protection/>
    </xf>
    <xf numFmtId="167" fontId="0" fillId="0" borderId="27" xfId="0" applyNumberFormat="1" applyFont="1" applyBorder="1" applyAlignment="1" applyProtection="1">
      <alignment/>
      <protection/>
    </xf>
    <xf numFmtId="0" fontId="24" fillId="0" borderId="28" xfId="0" applyFont="1" applyBorder="1" applyAlignment="1" applyProtection="1">
      <alignment horizontal="right"/>
      <protection/>
    </xf>
    <xf numFmtId="0" fontId="20" fillId="0" borderId="0" xfId="0" applyFont="1" applyFill="1" applyBorder="1" applyAlignment="1" applyProtection="1">
      <alignment horizontal="right"/>
      <protection/>
    </xf>
    <xf numFmtId="0" fontId="46" fillId="0" borderId="0" xfId="0" applyFont="1" applyBorder="1" applyAlignment="1" applyProtection="1">
      <alignment/>
      <protection/>
    </xf>
    <xf numFmtId="0" fontId="0" fillId="0" borderId="0" xfId="68" applyNumberFormat="1" applyFont="1" applyFill="1" applyBorder="1" applyAlignment="1" applyProtection="1">
      <alignment horizontal="left" vertical="center"/>
      <protection/>
    </xf>
    <xf numFmtId="0" fontId="25" fillId="22" borderId="11" xfId="56" applyNumberFormat="1" applyFill="1" applyBorder="1" applyAlignment="1" applyProtection="1">
      <alignment horizontal="left" vertical="center"/>
      <protection/>
    </xf>
    <xf numFmtId="0" fontId="20" fillId="22" borderId="11" xfId="0" applyFont="1" applyFill="1" applyBorder="1" applyAlignment="1" applyProtection="1">
      <alignment/>
      <protection/>
    </xf>
    <xf numFmtId="170" fontId="20" fillId="0" borderId="11" xfId="0" applyNumberFormat="1" applyFont="1" applyBorder="1" applyAlignment="1" applyProtection="1">
      <alignment/>
      <protection/>
    </xf>
    <xf numFmtId="176" fontId="20" fillId="0" borderId="11" xfId="0" applyNumberFormat="1" applyFont="1" applyBorder="1" applyAlignment="1" applyProtection="1">
      <alignment/>
      <protection/>
    </xf>
    <xf numFmtId="0" fontId="0" fillId="0" borderId="0" xfId="68" applyNumberFormat="1" applyFont="1" applyFill="1" applyBorder="1" applyAlignment="1" applyProtection="1">
      <alignment horizontal="left" vertical="center" indent="1"/>
      <protection/>
    </xf>
    <xf numFmtId="0" fontId="0" fillId="0" borderId="0" xfId="68" applyNumberFormat="1" applyFont="1" applyFill="1" applyBorder="1" applyAlignment="1" applyProtection="1">
      <alignment horizontal="left" vertical="center" inden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170"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170" fontId="27" fillId="0" borderId="9" xfId="0" applyNumberFormat="1" applyFont="1" applyBorder="1" applyAlignment="1" applyProtection="1">
      <alignment/>
      <protection/>
    </xf>
    <xf numFmtId="0" fontId="0" fillId="0" borderId="9" xfId="0" applyFont="1" applyBorder="1" applyAlignment="1" applyProtection="1">
      <alignment vertical="center"/>
      <protection/>
    </xf>
    <xf numFmtId="170" fontId="0" fillId="0" borderId="9" xfId="0" applyNumberFormat="1" applyFont="1" applyBorder="1" applyAlignment="1" applyProtection="1">
      <alignment/>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0" fontId="0" fillId="0" borderId="9" xfId="0" applyBorder="1" applyAlignment="1" applyProtection="1">
      <alignment/>
      <protection/>
    </xf>
    <xf numFmtId="170" fontId="0" fillId="0" borderId="9" xfId="0" applyNumberFormat="1" applyBorder="1" applyAlignment="1" applyProtection="1">
      <alignment/>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0" fontId="0" fillId="0" borderId="9" xfId="74" applyNumberFormat="1" applyFill="1" applyBorder="1" applyAlignment="1" applyProtection="1">
      <alignment vertical="center"/>
      <protection/>
    </xf>
    <xf numFmtId="176" fontId="0" fillId="0" borderId="9" xfId="0" applyNumberFormat="1" applyFont="1" applyBorder="1" applyAlignment="1" applyProtection="1">
      <alignment/>
      <protection/>
    </xf>
    <xf numFmtId="176" fontId="20" fillId="0" borderId="9" xfId="0" applyNumberFormat="1" applyFont="1" applyBorder="1" applyAlignment="1" applyProtection="1">
      <alignment/>
      <protection/>
    </xf>
    <xf numFmtId="0" fontId="0" fillId="0" borderId="29" xfId="0" applyFont="1" applyBorder="1" applyAlignment="1" applyProtection="1">
      <alignment vertical="center"/>
      <protection/>
    </xf>
    <xf numFmtId="0" fontId="0" fillId="0" borderId="29" xfId="0" applyFont="1" applyBorder="1" applyAlignment="1" applyProtection="1">
      <alignment/>
      <protection/>
    </xf>
    <xf numFmtId="170" fontId="0" fillId="0" borderId="29" xfId="0" applyNumberFormat="1" applyFont="1" applyBorder="1" applyAlignment="1" applyProtection="1">
      <alignment/>
      <protection/>
    </xf>
    <xf numFmtId="167" fontId="0" fillId="0" borderId="29" xfId="0" applyNumberFormat="1" applyFont="1" applyBorder="1" applyAlignment="1" applyProtection="1">
      <alignment/>
      <protection/>
    </xf>
    <xf numFmtId="0" fontId="27" fillId="0" borderId="29" xfId="0" applyFont="1" applyBorder="1" applyAlignment="1" applyProtection="1">
      <alignment vertical="center"/>
      <protection/>
    </xf>
    <xf numFmtId="176" fontId="27" fillId="0" borderId="14" xfId="0" applyNumberFormat="1" applyFont="1" applyBorder="1" applyAlignment="1" applyProtection="1">
      <alignment/>
      <protection/>
    </xf>
    <xf numFmtId="0" fontId="38" fillId="0" borderId="0" xfId="0" applyFont="1" applyAlignment="1" applyProtection="1">
      <alignment horizontal="left"/>
      <protection/>
    </xf>
    <xf numFmtId="170" fontId="0" fillId="0" borderId="0" xfId="0" applyNumberFormat="1" applyAlignment="1" applyProtection="1">
      <alignmen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167" fontId="0" fillId="0" borderId="0" xfId="0" applyNumberFormat="1" applyFont="1" applyBorder="1" applyAlignment="1" applyProtection="1">
      <alignment/>
      <protection/>
    </xf>
    <xf numFmtId="0" fontId="45" fillId="0" borderId="0" xfId="0" applyFont="1" applyFill="1" applyBorder="1" applyAlignment="1" applyProtection="1">
      <alignment/>
      <protection/>
    </xf>
    <xf numFmtId="0" fontId="29" fillId="0" borderId="0" xfId="0" applyFont="1" applyFill="1" applyBorder="1" applyAlignment="1" applyProtection="1">
      <alignment horizontal="right"/>
      <protection/>
    </xf>
    <xf numFmtId="0" fontId="47"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0" fillId="0" borderId="0" xfId="68" applyFont="1" applyFill="1" applyBorder="1" applyAlignment="1" applyProtection="1">
      <alignment horizontal="right" vertical="center"/>
      <protection/>
    </xf>
    <xf numFmtId="4" fontId="0" fillId="0" borderId="0" xfId="0" applyNumberFormat="1" applyFont="1" applyBorder="1" applyAlignment="1" applyProtection="1">
      <alignment/>
      <protection/>
    </xf>
    <xf numFmtId="0" fontId="0" fillId="0" borderId="12" xfId="0" applyFont="1" applyBorder="1" applyAlignment="1" applyProtection="1">
      <alignment/>
      <protection/>
    </xf>
    <xf numFmtId="0" fontId="30" fillId="0" borderId="0" xfId="68" applyFont="1" applyFill="1" applyBorder="1" applyAlignment="1" applyProtection="1">
      <alignment horizontal="right" vertical="center"/>
      <protection/>
    </xf>
    <xf numFmtId="0" fontId="48" fillId="0" borderId="0" xfId="68"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1" fillId="0" borderId="0" xfId="68" applyFont="1" applyFill="1" applyBorder="1" applyAlignment="1" applyProtection="1">
      <alignment horizontal="right" vertical="center"/>
      <protection/>
    </xf>
    <xf numFmtId="177" fontId="1" fillId="0" borderId="11" xfId="0" applyNumberFormat="1" applyFont="1" applyFill="1" applyBorder="1" applyAlignment="1" applyProtection="1">
      <alignment vertical="center"/>
      <protection/>
    </xf>
    <xf numFmtId="0" fontId="51" fillId="0" borderId="0" xfId="68" applyFont="1" applyFill="1" applyBorder="1" applyAlignment="1" applyProtection="1">
      <alignment vertical="center"/>
      <protection/>
    </xf>
    <xf numFmtId="170" fontId="53" fillId="0" borderId="11" xfId="0" applyNumberFormat="1" applyFont="1" applyFill="1" applyBorder="1" applyAlignment="1" applyProtection="1">
      <alignment horizontal="right" vertical="center"/>
      <protection/>
    </xf>
    <xf numFmtId="167" fontId="49" fillId="17" borderId="11" xfId="0" applyNumberFormat="1" applyFont="1" applyFill="1" applyBorder="1" applyAlignment="1" applyProtection="1">
      <alignment horizontal="left" vertical="center"/>
      <protection/>
    </xf>
    <xf numFmtId="170" fontId="49" fillId="0" borderId="11" xfId="0" applyNumberFormat="1" applyFont="1" applyBorder="1" applyAlignment="1" applyProtection="1">
      <alignment horizontal="left" vertical="center"/>
      <protection/>
    </xf>
    <xf numFmtId="0" fontId="51" fillId="0" borderId="0" xfId="68" applyFont="1" applyFill="1" applyBorder="1" applyAlignment="1" applyProtection="1">
      <alignment horizontal="right" vertical="center"/>
      <protection/>
    </xf>
    <xf numFmtId="2" fontId="49" fillId="0" borderId="11" xfId="0" applyNumberFormat="1" applyFont="1" applyFill="1" applyBorder="1" applyAlignment="1" applyProtection="1">
      <alignment horizontal="left" vertical="center"/>
      <protection/>
    </xf>
    <xf numFmtId="170" fontId="51" fillId="0" borderId="12" xfId="0" applyNumberFormat="1" applyFont="1" applyFill="1" applyBorder="1" applyAlignment="1" applyProtection="1">
      <alignment horizontal="right" vertical="center"/>
      <protection/>
    </xf>
    <xf numFmtId="177" fontId="51" fillId="0" borderId="12" xfId="0" applyNumberFormat="1" applyFont="1" applyFill="1" applyBorder="1" applyAlignment="1" applyProtection="1">
      <alignment vertical="center"/>
      <protection/>
    </xf>
    <xf numFmtId="0" fontId="51" fillId="24" borderId="0" xfId="68" applyFont="1" applyFill="1" applyAlignment="1" applyProtection="1">
      <alignment horizontal="left" vertical="center"/>
      <protection/>
    </xf>
    <xf numFmtId="0" fontId="31" fillId="6" borderId="13" xfId="68" applyFont="1" applyFill="1" applyBorder="1" applyAlignment="1" applyProtection="1">
      <alignment vertical="center" wrapText="1"/>
      <protection/>
    </xf>
    <xf numFmtId="0" fontId="1" fillId="6" borderId="14" xfId="68" applyFont="1" applyFill="1" applyBorder="1" applyProtection="1">
      <alignment/>
      <protection/>
    </xf>
    <xf numFmtId="170" fontId="1" fillId="6" borderId="14" xfId="0" applyNumberFormat="1" applyFont="1" applyFill="1" applyBorder="1" applyAlignment="1" applyProtection="1">
      <alignment/>
      <protection/>
    </xf>
    <xf numFmtId="177" fontId="1" fillId="6" borderId="14" xfId="0" applyNumberFormat="1" applyFont="1" applyFill="1" applyBorder="1" applyAlignment="1" applyProtection="1">
      <alignment/>
      <protection/>
    </xf>
    <xf numFmtId="177" fontId="1" fillId="6" borderId="15" xfId="0" applyNumberFormat="1" applyFont="1" applyFill="1" applyBorder="1" applyAlignment="1" applyProtection="1">
      <alignment/>
      <protection/>
    </xf>
    <xf numFmtId="0" fontId="0" fillId="0" borderId="0" xfId="68" applyFont="1" applyFill="1" applyBorder="1" applyAlignment="1" applyProtection="1">
      <alignment vertical="center" wrapText="1"/>
      <protection/>
    </xf>
    <xf numFmtId="0" fontId="0" fillId="0" borderId="0" xfId="68"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9" fillId="0" borderId="11" xfId="0" applyNumberFormat="1" applyFont="1" applyFill="1" applyBorder="1" applyAlignment="1" applyProtection="1">
      <alignment horizontal="left" vertical="center"/>
      <protection/>
    </xf>
    <xf numFmtId="0" fontId="51" fillId="0" borderId="0" xfId="68" applyFont="1" applyAlignment="1" applyProtection="1">
      <alignment vertical="center"/>
      <protection/>
    </xf>
    <xf numFmtId="0" fontId="0" fillId="0" borderId="19" xfId="68" applyFont="1" applyFill="1" applyBorder="1" applyAlignment="1" applyProtection="1">
      <alignment vertical="center" wrapText="1"/>
      <protection/>
    </xf>
    <xf numFmtId="0" fontId="0" fillId="6" borderId="14" xfId="68" applyFont="1" applyFill="1" applyBorder="1" applyProtection="1">
      <alignment/>
      <protection/>
    </xf>
    <xf numFmtId="170" fontId="0" fillId="6" borderId="14" xfId="0" applyNumberFormat="1" applyFont="1" applyFill="1" applyBorder="1" applyAlignment="1" applyProtection="1">
      <alignment/>
      <protection/>
    </xf>
    <xf numFmtId="167" fontId="0" fillId="6" borderId="14" xfId="0" applyNumberFormat="1" applyFont="1" applyFill="1" applyBorder="1" applyAlignment="1" applyProtection="1">
      <alignment/>
      <protection/>
    </xf>
    <xf numFmtId="177" fontId="37" fillId="0" borderId="11" xfId="0" applyNumberFormat="1" applyFont="1" applyFill="1" applyBorder="1" applyAlignment="1" applyProtection="1">
      <alignment vertical="center"/>
      <protection/>
    </xf>
    <xf numFmtId="177" fontId="1" fillId="0" borderId="12" xfId="0" applyNumberFormat="1" applyFont="1" applyBorder="1" applyAlignment="1" applyProtection="1">
      <alignment vertical="center"/>
      <protection/>
    </xf>
    <xf numFmtId="3" fontId="1" fillId="0" borderId="0" xfId="0" applyNumberFormat="1" applyFont="1" applyFill="1" applyBorder="1" applyAlignment="1" applyProtection="1">
      <alignment horizontal="center" vertical="center" wrapText="1"/>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0" fontId="51" fillId="17" borderId="0" xfId="68" applyFont="1" applyFill="1" applyBorder="1" applyAlignment="1" applyProtection="1">
      <alignment vertical="center"/>
      <protection/>
    </xf>
    <xf numFmtId="167" fontId="71" fillId="0" borderId="11" xfId="0" applyNumberFormat="1" applyFont="1" applyBorder="1" applyAlignment="1" applyProtection="1">
      <alignment horizontal="left" vertical="center"/>
      <protection/>
    </xf>
    <xf numFmtId="2" fontId="49" fillId="0" borderId="11" xfId="0" applyNumberFormat="1" applyFont="1" applyBorder="1" applyAlignment="1" applyProtection="1">
      <alignment horizontal="left" vertical="center"/>
      <protection/>
    </xf>
    <xf numFmtId="170" fontId="25" fillId="18" borderId="12" xfId="56" applyNumberFormat="1" applyFill="1" applyBorder="1" applyAlignment="1" applyProtection="1">
      <alignment vertical="center"/>
      <protection/>
    </xf>
    <xf numFmtId="0" fontId="0" fillId="0" borderId="19" xfId="68" applyFont="1" applyFill="1" applyBorder="1" applyAlignment="1" applyProtection="1">
      <alignment vertical="center" wrapText="1"/>
      <protection/>
    </xf>
    <xf numFmtId="0" fontId="1" fillId="0" borderId="0" xfId="68" applyFont="1" applyFill="1" applyAlignment="1" applyProtection="1">
      <alignment horizontal="right" vertical="center"/>
      <protection/>
    </xf>
    <xf numFmtId="0" fontId="26" fillId="0" borderId="0" xfId="0" applyFont="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170" fontId="0" fillId="6" borderId="14" xfId="0" applyNumberFormat="1" applyFill="1" applyBorder="1" applyAlignment="1" applyProtection="1">
      <alignment/>
      <protection/>
    </xf>
    <xf numFmtId="177" fontId="37" fillId="0" borderId="11" xfId="0" applyNumberFormat="1" applyFont="1" applyBorder="1" applyAlignment="1" applyProtection="1">
      <alignment vertical="center"/>
      <protection/>
    </xf>
    <xf numFmtId="3" fontId="1" fillId="21" borderId="11" xfId="0" applyNumberFormat="1" applyFont="1" applyFill="1" applyBorder="1" applyAlignment="1" applyProtection="1">
      <alignment horizontal="left" vertical="center"/>
      <protection/>
    </xf>
    <xf numFmtId="170" fontId="37" fillId="0" borderId="11" xfId="0" applyNumberFormat="1" applyFont="1" applyBorder="1" applyAlignment="1" applyProtection="1">
      <alignment horizontal="right" vertical="center"/>
      <protection/>
    </xf>
    <xf numFmtId="3" fontId="58" fillId="0" borderId="11" xfId="0" applyNumberFormat="1" applyFont="1" applyFill="1" applyBorder="1" applyAlignment="1" applyProtection="1">
      <alignment horizontal="left" vertical="center" wrapText="1"/>
      <protection/>
    </xf>
    <xf numFmtId="186" fontId="58" fillId="0" borderId="11" xfId="0" applyNumberFormat="1" applyFont="1" applyBorder="1" applyAlignment="1" applyProtection="1">
      <alignment horizontal="left" vertical="center"/>
      <protection/>
    </xf>
    <xf numFmtId="3" fontId="51" fillId="0" borderId="0" xfId="0" applyNumberFormat="1" applyFont="1" applyFill="1" applyBorder="1" applyAlignment="1" applyProtection="1">
      <alignment horizontal="center" vertical="center"/>
      <protection/>
    </xf>
    <xf numFmtId="0" fontId="72" fillId="17" borderId="0" xfId="68" applyFont="1" applyFill="1" applyAlignment="1" applyProtection="1">
      <alignment horizontal="left" vertical="center"/>
      <protection/>
    </xf>
    <xf numFmtId="0" fontId="72" fillId="0" borderId="0" xfId="68" applyFont="1" applyAlignment="1" applyProtection="1">
      <alignment horizontal="left" vertical="center"/>
      <protection/>
    </xf>
    <xf numFmtId="3" fontId="1" fillId="0" borderId="0" xfId="0" applyNumberFormat="1" applyFont="1" applyFill="1" applyBorder="1" applyAlignment="1" applyProtection="1">
      <alignment horizontal="left" vertical="center" wrapText="1"/>
      <protection/>
    </xf>
    <xf numFmtId="170" fontId="1" fillId="0" borderId="0" xfId="0" applyNumberFormat="1" applyFont="1" applyFill="1" applyBorder="1" applyAlignment="1" applyProtection="1">
      <alignment horizontal="right" vertical="center"/>
      <protection/>
    </xf>
    <xf numFmtId="0" fontId="45" fillId="0" borderId="0" xfId="68" applyFont="1" applyFill="1" applyBorder="1" applyAlignment="1" applyProtection="1">
      <alignment vertical="center"/>
      <protection/>
    </xf>
    <xf numFmtId="3" fontId="0" fillId="6" borderId="15" xfId="0" applyNumberFormat="1" applyFont="1" applyFill="1" applyBorder="1" applyAlignment="1" applyProtection="1">
      <alignment/>
      <protection/>
    </xf>
    <xf numFmtId="0" fontId="19" fillId="0" borderId="18" xfId="0" applyFont="1" applyFill="1" applyBorder="1" applyAlignment="1" applyProtection="1">
      <alignment horizontal="right"/>
      <protection locked="0"/>
    </xf>
    <xf numFmtId="0" fontId="42" fillId="0" borderId="0" xfId="0" applyFont="1" applyAlignment="1" applyProtection="1">
      <alignment horizontal="center" vertical="center"/>
      <protection locked="0"/>
    </xf>
    <xf numFmtId="166" fontId="0" fillId="0" borderId="0" xfId="74" applyNumberFormat="1" applyAlignment="1" applyProtection="1">
      <alignment horizontal="center" vertical="center"/>
      <protection locked="0"/>
    </xf>
    <xf numFmtId="0" fontId="41" fillId="0" borderId="0" xfId="0" applyFont="1" applyFill="1" applyAlignment="1" applyProtection="1">
      <alignment horizontal="center" vertical="center"/>
      <protection locked="0"/>
    </xf>
    <xf numFmtId="9" fontId="41" fillId="0" borderId="0" xfId="0" applyNumberFormat="1"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44" fillId="0" borderId="0" xfId="0" applyFont="1" applyFill="1" applyAlignment="1" applyProtection="1">
      <alignment horizontal="center" vertical="center"/>
      <protection locked="0"/>
    </xf>
    <xf numFmtId="0" fontId="45" fillId="0" borderId="0" xfId="0" applyFont="1" applyFill="1" applyAlignment="1" applyProtection="1">
      <alignment horizontal="center" vertical="center"/>
      <protection locked="0"/>
    </xf>
    <xf numFmtId="0" fontId="0" fillId="0" borderId="0" xfId="0" applyAlignment="1" applyProtection="1">
      <alignment horizontal="center"/>
      <protection locked="0"/>
    </xf>
    <xf numFmtId="167" fontId="41" fillId="0" borderId="0" xfId="0" applyNumberFormat="1"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hidden="1" locked="0"/>
    </xf>
    <xf numFmtId="3" fontId="37" fillId="24" borderId="11" xfId="0" applyNumberFormat="1" applyFont="1" applyFill="1" applyBorder="1" applyAlignment="1" applyProtection="1">
      <alignment horizontal="left" vertical="center" wrapText="1"/>
      <protection hidden="1"/>
    </xf>
    <xf numFmtId="3" fontId="1" fillId="24" borderId="11" xfId="0" applyNumberFormat="1" applyFont="1" applyFill="1" applyBorder="1" applyAlignment="1" applyProtection="1">
      <alignment horizontal="left" vertical="center" wrapText="1"/>
      <protection hidden="1"/>
    </xf>
    <xf numFmtId="0" fontId="73" fillId="0" borderId="0" xfId="0" applyFont="1" applyAlignment="1" applyProtection="1">
      <alignment/>
      <protection locked="0"/>
    </xf>
    <xf numFmtId="0" fontId="73" fillId="0" borderId="0" xfId="0" applyFont="1" applyFill="1" applyAlignment="1" applyProtection="1">
      <alignment horizontal="left" vertical="center" wrapText="1"/>
      <protection locked="0"/>
    </xf>
    <xf numFmtId="0" fontId="73" fillId="0" borderId="0" xfId="0" applyFont="1" applyAlignment="1" applyProtection="1">
      <alignment horizontal="left" vertical="center" wrapText="1"/>
      <protection locked="0"/>
    </xf>
    <xf numFmtId="0" fontId="74" fillId="0" borderId="18" xfId="0" applyFont="1" applyFill="1" applyBorder="1" applyAlignment="1" applyProtection="1">
      <alignment horizontal="left" wrapText="1"/>
      <protection locked="0"/>
    </xf>
    <xf numFmtId="0" fontId="75" fillId="0" borderId="0" xfId="0" applyFont="1" applyAlignment="1" applyProtection="1">
      <alignment horizontal="left" vertical="center" wrapText="1"/>
      <protection locked="0"/>
    </xf>
    <xf numFmtId="166" fontId="73" fillId="0" borderId="0" xfId="74" applyNumberFormat="1" applyFont="1" applyAlignment="1" applyProtection="1">
      <alignment horizontal="left" vertical="center" wrapText="1"/>
      <protection locked="0"/>
    </xf>
    <xf numFmtId="9" fontId="73" fillId="0" borderId="0" xfId="0" applyNumberFormat="1" applyFont="1" applyAlignment="1" applyProtection="1">
      <alignment horizontal="left" vertical="center" wrapText="1"/>
      <protection locked="0"/>
    </xf>
    <xf numFmtId="0" fontId="76" fillId="0" borderId="0" xfId="0" applyFont="1" applyAlignment="1" applyProtection="1">
      <alignment horizontal="left" vertical="center" wrapText="1"/>
      <protection locked="0"/>
    </xf>
    <xf numFmtId="0" fontId="73" fillId="0" borderId="0" xfId="0" applyFont="1" applyAlignment="1" applyProtection="1">
      <alignment horizontal="left" wrapText="1"/>
      <protection locked="0"/>
    </xf>
    <xf numFmtId="0" fontId="77" fillId="0" borderId="0" xfId="0" applyFont="1" applyFill="1" applyAlignment="1" applyProtection="1">
      <alignment horizontal="left" vertical="center" wrapText="1"/>
      <protection locked="0"/>
    </xf>
    <xf numFmtId="167" fontId="73" fillId="0" borderId="0" xfId="0" applyNumberFormat="1" applyFont="1" applyFill="1" applyBorder="1" applyAlignment="1" applyProtection="1">
      <alignment horizontal="left" vertical="center" wrapText="1"/>
      <protection locked="0"/>
    </xf>
    <xf numFmtId="0" fontId="73" fillId="17" borderId="0" xfId="0" applyFont="1" applyFill="1" applyAlignment="1" applyProtection="1">
      <alignment horizontal="left" vertical="center" wrapText="1"/>
      <protection locked="0"/>
    </xf>
    <xf numFmtId="0" fontId="73" fillId="17" borderId="0" xfId="0" applyFont="1" applyFill="1" applyAlignment="1" applyProtection="1">
      <alignment horizontal="left" vertical="center" wrapText="1"/>
      <protection hidden="1" locked="0"/>
    </xf>
    <xf numFmtId="0" fontId="73" fillId="0" borderId="0" xfId="0" applyFont="1" applyAlignment="1" applyProtection="1">
      <alignment/>
      <protection locked="0"/>
    </xf>
    <xf numFmtId="0" fontId="78" fillId="0" borderId="0" xfId="0" applyFont="1" applyAlignment="1" applyProtection="1">
      <alignment/>
      <protection locked="0"/>
    </xf>
    <xf numFmtId="0" fontId="78" fillId="0" borderId="0" xfId="0" applyFont="1" applyAlignment="1" applyProtection="1">
      <alignment horizontal="center"/>
      <protection locked="0"/>
    </xf>
    <xf numFmtId="4" fontId="78" fillId="0" borderId="0" xfId="0" applyNumberFormat="1" applyFont="1" applyAlignment="1" applyProtection="1">
      <alignment/>
      <protection locked="0"/>
    </xf>
    <xf numFmtId="4" fontId="78" fillId="0" borderId="0" xfId="67" applyNumberFormat="1" applyFont="1" applyProtection="1">
      <alignment/>
      <protection locked="0"/>
    </xf>
    <xf numFmtId="4" fontId="79" fillId="0" borderId="0" xfId="0" applyNumberFormat="1" applyFont="1" applyAlignment="1" applyProtection="1">
      <alignment/>
      <protection locked="0"/>
    </xf>
    <xf numFmtId="0" fontId="35" fillId="25" borderId="0" xfId="0" applyFont="1" applyFill="1" applyAlignment="1" applyProtection="1">
      <alignment/>
      <protection/>
    </xf>
    <xf numFmtId="177" fontId="31" fillId="25" borderId="11" xfId="0" applyNumberFormat="1" applyFont="1" applyFill="1" applyBorder="1" applyAlignment="1" applyProtection="1">
      <alignment horizontal="center"/>
      <protection/>
    </xf>
    <xf numFmtId="0" fontId="0" fillId="0" borderId="0" xfId="0" applyFont="1" applyBorder="1" applyAlignment="1" applyProtection="1">
      <alignment/>
      <protection locked="0"/>
    </xf>
    <xf numFmtId="0" fontId="73" fillId="0" borderId="0" xfId="0" applyFont="1" applyBorder="1" applyAlignment="1" applyProtection="1">
      <alignment horizontal="left" wrapText="1"/>
      <protection locked="0"/>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41" fillId="0" borderId="0" xfId="0" applyFont="1" applyBorder="1" applyAlignment="1" applyProtection="1">
      <alignment horizontal="center" vertical="center"/>
      <protection locked="0"/>
    </xf>
    <xf numFmtId="0" fontId="73" fillId="0" borderId="0" xfId="0" applyFont="1" applyBorder="1" applyAlignment="1" applyProtection="1">
      <alignment horizontal="left" vertical="center" wrapText="1"/>
      <protection locked="0"/>
    </xf>
    <xf numFmtId="0" fontId="45" fillId="0" borderId="0" xfId="0" applyFont="1" applyBorder="1" applyAlignment="1" applyProtection="1">
      <alignment/>
      <protection locked="0"/>
    </xf>
    <xf numFmtId="0" fontId="0" fillId="0" borderId="30" xfId="0" applyFont="1" applyBorder="1" applyAlignment="1">
      <alignment/>
    </xf>
    <xf numFmtId="0" fontId="0" fillId="0" borderId="30" xfId="0" applyFont="1" applyFill="1" applyBorder="1" applyAlignment="1">
      <alignment/>
    </xf>
    <xf numFmtId="0" fontId="0" fillId="0" borderId="31" xfId="0" applyBorder="1" applyAlignment="1">
      <alignment/>
    </xf>
    <xf numFmtId="0" fontId="73" fillId="0" borderId="0" xfId="0" applyFont="1" applyFill="1" applyBorder="1" applyAlignment="1" applyProtection="1">
      <alignment horizontal="left" vertical="center" wrapText="1"/>
      <protection locked="0"/>
    </xf>
    <xf numFmtId="170" fontId="0" fillId="0" borderId="0" xfId="0" applyNumberFormat="1" applyFont="1" applyFill="1" applyBorder="1" applyAlignment="1">
      <alignment/>
    </xf>
    <xf numFmtId="0" fontId="45" fillId="0" borderId="0" xfId="0" applyFont="1" applyBorder="1" applyAlignment="1">
      <alignment/>
    </xf>
    <xf numFmtId="170" fontId="0" fillId="0" borderId="0" xfId="0" applyNumberFormat="1" applyFont="1" applyBorder="1" applyAlignment="1">
      <alignment/>
    </xf>
    <xf numFmtId="170" fontId="20" fillId="0" borderId="0" xfId="0" applyNumberFormat="1" applyFont="1" applyBorder="1" applyAlignment="1">
      <alignment/>
    </xf>
    <xf numFmtId="0" fontId="20" fillId="0" borderId="0" xfId="0" applyFont="1" applyBorder="1" applyAlignment="1">
      <alignment/>
    </xf>
    <xf numFmtId="0" fontId="73" fillId="0" borderId="31" xfId="0" applyFont="1" applyFill="1" applyBorder="1" applyAlignment="1" applyProtection="1">
      <alignment horizontal="left" vertical="center" wrapText="1"/>
      <protection locked="0"/>
    </xf>
    <xf numFmtId="0" fontId="0" fillId="0" borderId="31" xfId="0" applyFont="1" applyFill="1" applyBorder="1" applyAlignment="1">
      <alignment/>
    </xf>
    <xf numFmtId="170" fontId="0" fillId="0" borderId="31" xfId="0" applyNumberFormat="1" applyFont="1" applyFill="1" applyBorder="1" applyAlignment="1">
      <alignment/>
    </xf>
    <xf numFmtId="0" fontId="0" fillId="0" borderId="31" xfId="0" applyFont="1" applyBorder="1" applyAlignment="1">
      <alignment/>
    </xf>
    <xf numFmtId="170" fontId="20" fillId="0" borderId="30" xfId="0" applyNumberFormat="1" applyFont="1" applyBorder="1" applyAlignment="1">
      <alignment/>
    </xf>
    <xf numFmtId="0" fontId="20" fillId="0" borderId="30" xfId="0" applyFont="1" applyBorder="1" applyAlignment="1">
      <alignment/>
    </xf>
    <xf numFmtId="170" fontId="0" fillId="0" borderId="30" xfId="0" applyNumberFormat="1" applyFont="1" applyBorder="1" applyAlignment="1">
      <alignment/>
    </xf>
    <xf numFmtId="0" fontId="20" fillId="0" borderId="32" xfId="0" applyFont="1" applyBorder="1" applyAlignment="1">
      <alignment/>
    </xf>
    <xf numFmtId="0" fontId="20" fillId="0" borderId="0" xfId="0" applyFont="1" applyFill="1" applyBorder="1" applyAlignment="1">
      <alignment/>
    </xf>
    <xf numFmtId="0" fontId="59" fillId="0" borderId="0" xfId="0" applyFont="1" applyBorder="1" applyAlignment="1">
      <alignment/>
    </xf>
    <xf numFmtId="0" fontId="20" fillId="0" borderId="33" xfId="0" applyFont="1" applyBorder="1" applyAlignment="1">
      <alignment/>
    </xf>
    <xf numFmtId="0" fontId="20" fillId="26" borderId="32" xfId="0" applyFont="1" applyFill="1" applyBorder="1" applyAlignment="1">
      <alignment/>
    </xf>
    <xf numFmtId="0" fontId="26" fillId="0" borderId="32" xfId="0" applyFont="1" applyBorder="1" applyAlignment="1">
      <alignment/>
    </xf>
    <xf numFmtId="0" fontId="20" fillId="0" borderId="32" xfId="0" applyFont="1" applyBorder="1" applyAlignment="1">
      <alignment vertical="center"/>
    </xf>
    <xf numFmtId="0" fontId="20" fillId="26" borderId="32" xfId="0" applyFont="1" applyFill="1" applyBorder="1" applyAlignment="1">
      <alignment vertical="center"/>
    </xf>
    <xf numFmtId="0" fontId="0" fillId="0" borderId="19" xfId="68" applyFont="1" applyBorder="1" applyAlignment="1" applyProtection="1">
      <alignment vertical="center" wrapText="1"/>
      <protection hidden="1"/>
    </xf>
    <xf numFmtId="0" fontId="60" fillId="0" borderId="0" xfId="68" applyFont="1" applyFill="1" applyBorder="1" applyAlignment="1" applyProtection="1">
      <alignment horizontal="left" vertical="center"/>
      <protection hidden="1"/>
    </xf>
    <xf numFmtId="0" fontId="60" fillId="0" borderId="0" xfId="68" applyFont="1" applyAlignment="1" applyProtection="1">
      <alignment horizontal="left" vertical="center"/>
      <protection hidden="1"/>
    </xf>
    <xf numFmtId="0" fontId="46" fillId="0" borderId="0" xfId="0" applyFont="1" applyAlignment="1" applyProtection="1">
      <alignment horizontal="left" vertical="center"/>
      <protection hidden="1"/>
    </xf>
    <xf numFmtId="0" fontId="60" fillId="0" borderId="0" xfId="68" applyFont="1" applyFill="1" applyBorder="1" applyAlignment="1" applyProtection="1">
      <alignment vertical="center"/>
      <protection/>
    </xf>
    <xf numFmtId="0" fontId="80" fillId="0" borderId="32" xfId="0" applyFont="1" applyFill="1" applyBorder="1" applyAlignment="1">
      <alignment vertical="center"/>
    </xf>
    <xf numFmtId="0" fontId="20" fillId="0" borderId="32" xfId="0" applyFont="1" applyFill="1" applyBorder="1" applyAlignment="1">
      <alignment vertical="center"/>
    </xf>
    <xf numFmtId="4" fontId="0" fillId="0" borderId="0" xfId="0" applyNumberFormat="1" applyFont="1" applyAlignment="1">
      <alignment horizontal="right" vertical="center"/>
    </xf>
    <xf numFmtId="4" fontId="57" fillId="0" borderId="9" xfId="0" applyNumberFormat="1" applyFont="1" applyBorder="1" applyAlignment="1">
      <alignment horizontal="center" vertical="center"/>
    </xf>
    <xf numFmtId="4" fontId="57" fillId="0" borderId="9" xfId="0" applyNumberFormat="1" applyFont="1" applyBorder="1" applyAlignment="1">
      <alignment horizontal="right" vertical="center"/>
    </xf>
    <xf numFmtId="4" fontId="0" fillId="0" borderId="9" xfId="0" applyNumberFormat="1" applyFont="1" applyBorder="1" applyAlignment="1">
      <alignment horizontal="right" vertical="center"/>
    </xf>
    <xf numFmtId="4" fontId="0" fillId="0" borderId="9" xfId="0" applyNumberFormat="1" applyBorder="1" applyAlignment="1">
      <alignment horizontal="right" vertical="center"/>
    </xf>
    <xf numFmtId="0" fontId="0" fillId="25" borderId="0" xfId="0" applyFill="1" applyAlignment="1">
      <alignment/>
    </xf>
    <xf numFmtId="0" fontId="0" fillId="25" borderId="0" xfId="0" applyFont="1" applyFill="1" applyAlignment="1">
      <alignment/>
    </xf>
    <xf numFmtId="4" fontId="0" fillId="0" borderId="9" xfId="0" applyNumberFormat="1" applyFont="1" applyFill="1" applyBorder="1" applyAlignment="1">
      <alignment horizontal="right" vertical="center"/>
    </xf>
    <xf numFmtId="4" fontId="0" fillId="25" borderId="9" xfId="0" applyNumberFormat="1" applyFont="1" applyFill="1" applyBorder="1" applyAlignment="1">
      <alignment horizontal="right" vertical="center"/>
    </xf>
    <xf numFmtId="4" fontId="0" fillId="0" borderId="0" xfId="0" applyNumberFormat="1" applyFont="1" applyAlignment="1">
      <alignment/>
    </xf>
    <xf numFmtId="4" fontId="20" fillId="0" borderId="0" xfId="0" applyNumberFormat="1" applyFont="1" applyAlignment="1">
      <alignment/>
    </xf>
    <xf numFmtId="168" fontId="57" fillId="0" borderId="9" xfId="0" applyNumberFormat="1" applyFont="1" applyBorder="1" applyAlignment="1">
      <alignment horizontal="right" vertical="center"/>
    </xf>
    <xf numFmtId="168" fontId="0" fillId="0" borderId="9" xfId="0" applyNumberFormat="1" applyBorder="1" applyAlignment="1">
      <alignment horizontal="right" vertical="center"/>
    </xf>
    <xf numFmtId="4" fontId="0" fillId="0" borderId="9" xfId="0" applyNumberFormat="1" applyFont="1" applyFill="1" applyBorder="1" applyAlignment="1">
      <alignment horizontal="right" vertical="center"/>
    </xf>
    <xf numFmtId="4" fontId="0" fillId="0" borderId="22" xfId="0" applyNumberFormat="1" applyFont="1" applyBorder="1" applyAlignment="1">
      <alignment horizontal="right" vertical="center"/>
    </xf>
    <xf numFmtId="4" fontId="0" fillId="0" borderId="0" xfId="0" applyNumberFormat="1" applyFont="1" applyBorder="1" applyAlignment="1">
      <alignment horizontal="right" vertical="center"/>
    </xf>
    <xf numFmtId="4" fontId="29" fillId="0" borderId="0" xfId="0" applyNumberFormat="1" applyFont="1" applyBorder="1" applyAlignment="1">
      <alignment horizontal="right" vertical="center"/>
    </xf>
    <xf numFmtId="4" fontId="0" fillId="0" borderId="20" xfId="0" applyNumberFormat="1" applyBorder="1" applyAlignment="1">
      <alignment horizontal="right" vertical="center"/>
    </xf>
    <xf numFmtId="4" fontId="57" fillId="0" borderId="0" xfId="0" applyNumberFormat="1" applyFont="1" applyBorder="1" applyAlignment="1">
      <alignment horizontal="center" vertical="center"/>
    </xf>
    <xf numFmtId="4" fontId="57"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4" fontId="20" fillId="0" borderId="0"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4" fontId="0" fillId="0" borderId="20" xfId="0" applyNumberFormat="1" applyFont="1" applyBorder="1" applyAlignment="1">
      <alignment horizontal="right" vertical="center"/>
    </xf>
    <xf numFmtId="186" fontId="0" fillId="0" borderId="9" xfId="0" applyNumberFormat="1" applyFont="1" applyBorder="1" applyAlignment="1">
      <alignment horizontal="right" vertical="center"/>
    </xf>
    <xf numFmtId="186" fontId="0" fillId="0" borderId="9" xfId="0" applyNumberFormat="1" applyFont="1" applyFill="1" applyBorder="1" applyAlignment="1">
      <alignment horizontal="right" vertical="center"/>
    </xf>
    <xf numFmtId="186" fontId="0" fillId="0" borderId="9" xfId="0" applyNumberFormat="1" applyFont="1" applyFill="1" applyBorder="1" applyAlignment="1">
      <alignment horizontal="right" vertical="center"/>
    </xf>
    <xf numFmtId="184" fontId="0" fillId="0" borderId="0" xfId="0" applyNumberFormat="1" applyFont="1" applyAlignment="1">
      <alignment/>
    </xf>
    <xf numFmtId="189" fontId="0" fillId="0" borderId="0" xfId="0" applyNumberFormat="1" applyFont="1" applyAlignment="1">
      <alignment/>
    </xf>
    <xf numFmtId="0" fontId="35" fillId="0" borderId="0" xfId="0" applyFont="1" applyAlignment="1">
      <alignment horizontal="center"/>
    </xf>
    <xf numFmtId="0" fontId="36" fillId="0" borderId="0" xfId="0" applyFont="1" applyAlignment="1">
      <alignment horizontal="center"/>
    </xf>
    <xf numFmtId="4" fontId="35" fillId="0" borderId="9" xfId="0" applyNumberFormat="1" applyFont="1" applyBorder="1" applyAlignment="1">
      <alignment/>
    </xf>
    <xf numFmtId="4" fontId="35" fillId="0" borderId="9" xfId="67" applyNumberFormat="1" applyFont="1" applyBorder="1">
      <alignment/>
      <protection/>
    </xf>
    <xf numFmtId="4" fontId="19" fillId="0" borderId="9" xfId="0" applyNumberFormat="1" applyFont="1" applyBorder="1" applyAlignment="1">
      <alignment/>
    </xf>
    <xf numFmtId="0" fontId="35" fillId="0" borderId="0" xfId="67" applyFont="1" applyAlignment="1">
      <alignment horizontal="center"/>
      <protection/>
    </xf>
    <xf numFmtId="0" fontId="0" fillId="0" borderId="0" xfId="0" applyAlignment="1">
      <alignment horizontal="center"/>
    </xf>
    <xf numFmtId="4" fontId="36" fillId="0" borderId="9" xfId="0" applyNumberFormat="1" applyFont="1" applyBorder="1" applyAlignment="1">
      <alignment/>
    </xf>
    <xf numFmtId="0" fontId="35" fillId="0" borderId="0" xfId="0" applyFont="1" applyBorder="1" applyAlignment="1">
      <alignment/>
    </xf>
    <xf numFmtId="4" fontId="35" fillId="0" borderId="0" xfId="0" applyNumberFormat="1" applyFont="1" applyAlignment="1">
      <alignment/>
    </xf>
    <xf numFmtId="186" fontId="81" fillId="0" borderId="0" xfId="0" applyNumberFormat="1" applyFont="1" applyFill="1" applyBorder="1" applyAlignment="1" applyProtection="1">
      <alignment horizontal="center"/>
      <protection/>
    </xf>
    <xf numFmtId="177" fontId="81" fillId="0" borderId="0" xfId="0" applyNumberFormat="1" applyFont="1" applyFill="1" applyBorder="1" applyAlignment="1" applyProtection="1">
      <alignment horizontal="center"/>
      <protection/>
    </xf>
    <xf numFmtId="177" fontId="31" fillId="0" borderId="0" xfId="0" applyNumberFormat="1" applyFont="1" applyFill="1" applyBorder="1" applyAlignment="1" applyProtection="1">
      <alignment horizontal="left"/>
      <protection/>
    </xf>
    <xf numFmtId="0" fontId="20" fillId="0" borderId="0" xfId="0" applyFont="1" applyAlignment="1">
      <alignment horizontal="left"/>
    </xf>
    <xf numFmtId="0" fontId="36" fillId="0" borderId="0" xfId="0" applyFont="1" applyAlignment="1">
      <alignment horizontal="left"/>
    </xf>
    <xf numFmtId="4" fontId="0" fillId="0" borderId="0" xfId="0" applyNumberFormat="1" applyAlignment="1">
      <alignment/>
    </xf>
    <xf numFmtId="177" fontId="31" fillId="25" borderId="0" xfId="0" applyNumberFormat="1" applyFont="1" applyFill="1" applyBorder="1" applyAlignment="1" applyProtection="1">
      <alignment horizontal="left"/>
      <protection/>
    </xf>
    <xf numFmtId="186" fontId="82" fillId="25" borderId="10" xfId="0" applyNumberFormat="1" applyFont="1" applyFill="1" applyBorder="1" applyAlignment="1" applyProtection="1">
      <alignment horizontal="center"/>
      <protection/>
    </xf>
    <xf numFmtId="177" fontId="82" fillId="25" borderId="10" xfId="0" applyNumberFormat="1" applyFont="1" applyFill="1" applyBorder="1" applyAlignment="1" applyProtection="1">
      <alignment horizontal="center"/>
      <protection/>
    </xf>
    <xf numFmtId="4" fontId="35" fillId="0" borderId="0" xfId="0" applyNumberFormat="1" applyFont="1" applyBorder="1" applyAlignment="1">
      <alignment/>
    </xf>
    <xf numFmtId="0" fontId="36" fillId="0" borderId="0" xfId="0" applyFont="1" applyBorder="1" applyAlignment="1">
      <alignment horizontal="left"/>
    </xf>
    <xf numFmtId="0" fontId="36" fillId="0" borderId="34" xfId="0" applyFont="1" applyBorder="1" applyAlignment="1">
      <alignment horizontal="left"/>
    </xf>
    <xf numFmtId="0" fontId="35" fillId="0" borderId="34" xfId="0" applyFont="1" applyBorder="1" applyAlignment="1">
      <alignment/>
    </xf>
    <xf numFmtId="4" fontId="35" fillId="0" borderId="34" xfId="0" applyNumberFormat="1" applyFont="1" applyBorder="1" applyAlignment="1">
      <alignment/>
    </xf>
    <xf numFmtId="187" fontId="36" fillId="0" borderId="34" xfId="0" applyNumberFormat="1" applyFont="1" applyBorder="1" applyAlignment="1">
      <alignment horizontal="left"/>
    </xf>
    <xf numFmtId="187" fontId="35" fillId="0" borderId="34" xfId="0" applyNumberFormat="1" applyFont="1" applyBorder="1" applyAlignment="1">
      <alignment/>
    </xf>
    <xf numFmtId="0" fontId="36" fillId="0" borderId="34" xfId="67" applyFont="1" applyBorder="1" applyAlignment="1">
      <alignment horizontal="left"/>
      <protection/>
    </xf>
    <xf numFmtId="0" fontId="35" fillId="0" borderId="34" xfId="67" applyFont="1" applyBorder="1">
      <alignment/>
      <protection/>
    </xf>
    <xf numFmtId="4" fontId="35" fillId="0" borderId="34" xfId="67" applyNumberFormat="1" applyFont="1" applyBorder="1">
      <alignment/>
      <protection/>
    </xf>
    <xf numFmtId="4" fontId="36" fillId="0" borderId="34" xfId="0" applyNumberFormat="1" applyFont="1" applyBorder="1" applyAlignment="1">
      <alignment horizontal="left"/>
    </xf>
    <xf numFmtId="4" fontId="36" fillId="0" borderId="34" xfId="0" applyNumberFormat="1" applyFont="1" applyBorder="1" applyAlignment="1">
      <alignment/>
    </xf>
    <xf numFmtId="0" fontId="20" fillId="0" borderId="34" xfId="0" applyFont="1" applyBorder="1" applyAlignment="1">
      <alignment horizontal="left"/>
    </xf>
    <xf numFmtId="0" fontId="0" fillId="0" borderId="34" xfId="0" applyBorder="1" applyAlignment="1">
      <alignment/>
    </xf>
    <xf numFmtId="4" fontId="0" fillId="0" borderId="34" xfId="0" applyNumberFormat="1" applyBorder="1" applyAlignment="1">
      <alignment/>
    </xf>
    <xf numFmtId="0" fontId="20" fillId="25" borderId="32" xfId="0" applyFont="1" applyFill="1" applyBorder="1" applyAlignment="1">
      <alignment vertical="center"/>
    </xf>
    <xf numFmtId="0" fontId="36" fillId="0" borderId="0" xfId="0" applyFont="1" applyAlignment="1" applyProtection="1">
      <alignment horizontal="center"/>
      <protection/>
    </xf>
    <xf numFmtId="0" fontId="36" fillId="0" borderId="0" xfId="69" applyFont="1" applyFill="1" applyAlignment="1" applyProtection="1">
      <alignment horizontal="center"/>
      <protection/>
    </xf>
    <xf numFmtId="0" fontId="35" fillId="0" borderId="0" xfId="69" applyFont="1" applyFill="1" applyAlignment="1" applyProtection="1">
      <alignment wrapText="1"/>
      <protection/>
    </xf>
    <xf numFmtId="0" fontId="35" fillId="24" borderId="0" xfId="0" applyFont="1" applyFill="1" applyAlignment="1" applyProtection="1">
      <alignment/>
      <protection/>
    </xf>
    <xf numFmtId="4" fontId="78" fillId="0" borderId="0" xfId="0" applyNumberFormat="1" applyFont="1" applyAlignment="1" applyProtection="1">
      <alignment wrapText="1"/>
      <protection locked="0"/>
    </xf>
    <xf numFmtId="0" fontId="35" fillId="27" borderId="0" xfId="69" applyFont="1" applyFill="1" applyAlignment="1" applyProtection="1">
      <alignment horizontal="center"/>
      <protection/>
    </xf>
    <xf numFmtId="177" fontId="73" fillId="0" borderId="0" xfId="0" applyNumberFormat="1" applyFont="1" applyFill="1" applyAlignment="1" applyProtection="1">
      <alignment horizontal="left" vertical="center" wrapText="1"/>
      <protection locked="0"/>
    </xf>
    <xf numFmtId="0" fontId="83" fillId="0" borderId="0" xfId="0" applyFont="1" applyAlignment="1">
      <alignment/>
    </xf>
    <xf numFmtId="0" fontId="83" fillId="0" borderId="0" xfId="67" applyFont="1">
      <alignment/>
      <protection/>
    </xf>
    <xf numFmtId="0" fontId="84" fillId="0" borderId="0" xfId="0" applyFont="1" applyAlignment="1">
      <alignment/>
    </xf>
    <xf numFmtId="0" fontId="83" fillId="0" borderId="0" xfId="0" applyFont="1" applyFill="1" applyAlignment="1">
      <alignment/>
    </xf>
    <xf numFmtId="4" fontId="78" fillId="25" borderId="0" xfId="0" applyNumberFormat="1" applyFont="1" applyFill="1" applyAlignment="1" applyProtection="1">
      <alignment wrapText="1"/>
      <protection locked="0"/>
    </xf>
    <xf numFmtId="0" fontId="73" fillId="25" borderId="0" xfId="0" applyFont="1" applyFill="1" applyAlignment="1" applyProtection="1">
      <alignment horizontal="left" wrapText="1"/>
      <protection locked="0"/>
    </xf>
    <xf numFmtId="0" fontId="73" fillId="25" borderId="0" xfId="0" applyFont="1" applyFill="1" applyAlignment="1" applyProtection="1">
      <alignment horizontal="left" vertical="center" wrapText="1"/>
      <protection locked="0"/>
    </xf>
    <xf numFmtId="4" fontId="79" fillId="25" borderId="0" xfId="0" applyNumberFormat="1" applyFont="1" applyFill="1" applyAlignment="1" applyProtection="1">
      <alignment/>
      <protection locked="0"/>
    </xf>
    <xf numFmtId="0" fontId="35" fillId="25" borderId="0" xfId="0" applyFont="1" applyFill="1" applyAlignment="1">
      <alignment horizontal="left" wrapText="1"/>
    </xf>
    <xf numFmtId="0" fontId="35" fillId="25" borderId="0" xfId="0" applyFont="1" applyFill="1" applyAlignment="1">
      <alignment horizontal="center"/>
    </xf>
    <xf numFmtId="0" fontId="60" fillId="0" borderId="0" xfId="68" applyFont="1" applyAlignment="1" applyProtection="1">
      <alignment horizontal="left" vertical="center"/>
      <protection/>
    </xf>
    <xf numFmtId="44" fontId="0" fillId="0" borderId="0" xfId="0" applyNumberFormat="1" applyFont="1" applyAlignment="1">
      <alignment/>
    </xf>
    <xf numFmtId="0" fontId="75" fillId="0" borderId="15" xfId="0" applyFont="1" applyBorder="1" applyAlignment="1">
      <alignment wrapText="1"/>
    </xf>
    <xf numFmtId="177" fontId="20" fillId="0" borderId="35" xfId="0" applyNumberFormat="1" applyFont="1" applyBorder="1" applyAlignment="1">
      <alignment/>
    </xf>
    <xf numFmtId="0" fontId="20" fillId="0" borderId="36" xfId="0" applyFont="1" applyBorder="1" applyAlignment="1">
      <alignment/>
    </xf>
    <xf numFmtId="0" fontId="20" fillId="0" borderId="37" xfId="0" applyFont="1" applyBorder="1" applyAlignment="1">
      <alignment/>
    </xf>
    <xf numFmtId="0" fontId="20" fillId="0" borderId="38" xfId="0" applyFont="1" applyBorder="1" applyAlignment="1">
      <alignment/>
    </xf>
    <xf numFmtId="2" fontId="73" fillId="0" borderId="0" xfId="0" applyNumberFormat="1" applyFont="1" applyAlignment="1" applyProtection="1">
      <alignment horizontal="left" vertical="center" wrapText="1"/>
      <protection locked="0"/>
    </xf>
    <xf numFmtId="4" fontId="81" fillId="25" borderId="18" xfId="0" applyNumberFormat="1" applyFont="1" applyFill="1" applyBorder="1" applyAlignment="1" applyProtection="1">
      <alignment horizontal="center"/>
      <protection/>
    </xf>
    <xf numFmtId="4" fontId="20" fillId="0" borderId="0" xfId="0" applyNumberFormat="1" applyFont="1" applyBorder="1" applyAlignment="1">
      <alignment/>
    </xf>
    <xf numFmtId="4" fontId="20" fillId="0" borderId="32" xfId="0" applyNumberFormat="1" applyFont="1" applyBorder="1" applyAlignment="1">
      <alignment horizontal="center"/>
    </xf>
    <xf numFmtId="4" fontId="0" fillId="0" borderId="39" xfId="0" applyNumberFormat="1" applyFont="1" applyBorder="1" applyAlignment="1">
      <alignment/>
    </xf>
    <xf numFmtId="4" fontId="0" fillId="0" borderId="0" xfId="0" applyNumberFormat="1" applyFont="1" applyBorder="1" applyAlignment="1">
      <alignment/>
    </xf>
    <xf numFmtId="4" fontId="0" fillId="0" borderId="33" xfId="0" applyNumberFormat="1" applyFont="1" applyBorder="1" applyAlignment="1">
      <alignment/>
    </xf>
    <xf numFmtId="4" fontId="0" fillId="0" borderId="0" xfId="0" applyNumberFormat="1" applyFont="1" applyBorder="1" applyAlignment="1">
      <alignment/>
    </xf>
    <xf numFmtId="4" fontId="0" fillId="0" borderId="0" xfId="0" applyNumberFormat="1" applyFont="1" applyFill="1" applyBorder="1" applyAlignment="1">
      <alignment/>
    </xf>
    <xf numFmtId="4" fontId="29" fillId="0" borderId="0" xfId="0" applyNumberFormat="1" applyFont="1" applyBorder="1" applyAlignment="1">
      <alignment/>
    </xf>
    <xf numFmtId="4" fontId="0" fillId="0" borderId="0" xfId="0" applyNumberFormat="1" applyBorder="1" applyAlignment="1">
      <alignment/>
    </xf>
    <xf numFmtId="4" fontId="0" fillId="26" borderId="0" xfId="0" applyNumberFormat="1" applyFont="1" applyFill="1" applyBorder="1" applyAlignment="1">
      <alignment/>
    </xf>
    <xf numFmtId="4" fontId="30" fillId="0" borderId="0" xfId="0" applyNumberFormat="1" applyFont="1" applyBorder="1" applyAlignment="1">
      <alignment/>
    </xf>
    <xf numFmtId="4" fontId="0" fillId="0" borderId="0" xfId="0" applyNumberFormat="1" applyFont="1" applyBorder="1" applyAlignment="1">
      <alignment vertical="center"/>
    </xf>
    <xf numFmtId="4" fontId="85" fillId="0" borderId="0" xfId="0" applyNumberFormat="1" applyFont="1" applyFill="1" applyBorder="1" applyAlignment="1">
      <alignment vertical="center"/>
    </xf>
    <xf numFmtId="4" fontId="0" fillId="26" borderId="0" xfId="0" applyNumberFormat="1" applyFont="1" applyFill="1" applyBorder="1" applyAlignment="1">
      <alignment vertical="center"/>
    </xf>
    <xf numFmtId="4" fontId="0" fillId="0" borderId="0" xfId="0" applyNumberFormat="1" applyBorder="1" applyAlignment="1">
      <alignment vertical="center"/>
    </xf>
    <xf numFmtId="4" fontId="0" fillId="0" borderId="0" xfId="0" applyNumberFormat="1" applyFill="1" applyBorder="1" applyAlignment="1">
      <alignment vertical="center"/>
    </xf>
    <xf numFmtId="4" fontId="0" fillId="26" borderId="0" xfId="0" applyNumberFormat="1" applyFill="1" applyBorder="1" applyAlignment="1">
      <alignment vertical="center"/>
    </xf>
    <xf numFmtId="4" fontId="0" fillId="0" borderId="0" xfId="0" applyNumberFormat="1" applyFont="1" applyFill="1" applyBorder="1" applyAlignment="1">
      <alignment vertical="center"/>
    </xf>
    <xf numFmtId="4" fontId="0" fillId="25" borderId="0" xfId="0" applyNumberFormat="1" applyFont="1" applyFill="1" applyBorder="1" applyAlignment="1">
      <alignment vertical="center"/>
    </xf>
    <xf numFmtId="4" fontId="20" fillId="0" borderId="40" xfId="0" applyNumberFormat="1" applyFont="1" applyBorder="1" applyAlignment="1">
      <alignment horizontal="center"/>
    </xf>
    <xf numFmtId="4" fontId="0" fillId="0" borderId="41" xfId="0" applyNumberFormat="1" applyFont="1" applyBorder="1" applyAlignment="1">
      <alignment/>
    </xf>
    <xf numFmtId="4" fontId="0" fillId="0" borderId="42" xfId="0" applyNumberFormat="1" applyFont="1" applyBorder="1" applyAlignment="1">
      <alignment/>
    </xf>
    <xf numFmtId="4" fontId="20" fillId="0" borderId="33" xfId="0" applyNumberFormat="1" applyFont="1" applyBorder="1" applyAlignment="1">
      <alignment/>
    </xf>
    <xf numFmtId="4" fontId="0" fillId="0" borderId="39" xfId="0" applyNumberFormat="1" applyFont="1" applyBorder="1" applyAlignment="1">
      <alignment/>
    </xf>
    <xf numFmtId="4" fontId="0" fillId="0" borderId="33" xfId="0" applyNumberFormat="1" applyBorder="1" applyAlignment="1">
      <alignment/>
    </xf>
    <xf numFmtId="4" fontId="0" fillId="0" borderId="32" xfId="0" applyNumberFormat="1" applyBorder="1" applyAlignment="1">
      <alignment/>
    </xf>
    <xf numFmtId="4" fontId="0" fillId="0" borderId="32" xfId="0" applyNumberFormat="1" applyFont="1" applyBorder="1" applyAlignment="1">
      <alignment/>
    </xf>
    <xf numFmtId="4" fontId="0" fillId="26" borderId="32" xfId="0" applyNumberFormat="1" applyFont="1" applyFill="1" applyBorder="1" applyAlignment="1">
      <alignment/>
    </xf>
    <xf numFmtId="4" fontId="30" fillId="0" borderId="32" xfId="0" applyNumberFormat="1" applyFont="1" applyBorder="1" applyAlignment="1">
      <alignment/>
    </xf>
    <xf numFmtId="4" fontId="0" fillId="0" borderId="32" xfId="0" applyNumberFormat="1" applyFont="1" applyBorder="1" applyAlignment="1">
      <alignment vertical="center"/>
    </xf>
    <xf numFmtId="4" fontId="85" fillId="0" borderId="32" xfId="0" applyNumberFormat="1" applyFont="1" applyFill="1" applyBorder="1" applyAlignment="1">
      <alignment vertical="center"/>
    </xf>
    <xf numFmtId="4" fontId="1" fillId="0" borderId="11" xfId="0" applyNumberFormat="1" applyFont="1" applyFill="1" applyBorder="1" applyAlignment="1" applyProtection="1">
      <alignment vertical="center"/>
      <protection locked="0"/>
    </xf>
    <xf numFmtId="4" fontId="0" fillId="26" borderId="32" xfId="0" applyNumberFormat="1" applyFont="1" applyFill="1" applyBorder="1" applyAlignment="1">
      <alignment vertical="center"/>
    </xf>
    <xf numFmtId="4" fontId="0" fillId="0" borderId="32" xfId="0" applyNumberFormat="1" applyFont="1" applyFill="1" applyBorder="1" applyAlignment="1">
      <alignment vertical="center"/>
    </xf>
    <xf numFmtId="4" fontId="1" fillId="0" borderId="0" xfId="0" applyNumberFormat="1" applyFont="1" applyFill="1" applyBorder="1" applyAlignment="1" applyProtection="1">
      <alignment vertical="center"/>
      <protection locked="0"/>
    </xf>
    <xf numFmtId="4" fontId="0" fillId="0" borderId="32" xfId="0" applyNumberFormat="1" applyBorder="1" applyAlignment="1">
      <alignment vertical="center"/>
    </xf>
    <xf numFmtId="4" fontId="0" fillId="0" borderId="32" xfId="0" applyNumberFormat="1" applyFill="1" applyBorder="1" applyAlignment="1">
      <alignment vertical="center"/>
    </xf>
    <xf numFmtId="4" fontId="0" fillId="26" borderId="32" xfId="0" applyNumberFormat="1" applyFill="1" applyBorder="1" applyAlignment="1">
      <alignment vertical="center"/>
    </xf>
    <xf numFmtId="4" fontId="0" fillId="25" borderId="32" xfId="0" applyNumberFormat="1" applyFont="1" applyFill="1" applyBorder="1" applyAlignment="1">
      <alignment vertical="center"/>
    </xf>
    <xf numFmtId="4" fontId="20" fillId="25" borderId="32" xfId="0" applyNumberFormat="1" applyFont="1" applyFill="1" applyBorder="1" applyAlignment="1">
      <alignment horizontal="center"/>
    </xf>
    <xf numFmtId="4" fontId="0" fillId="25" borderId="39" xfId="0" applyNumberFormat="1" applyFont="1" applyFill="1" applyBorder="1" applyAlignment="1">
      <alignment/>
    </xf>
    <xf numFmtId="4" fontId="0" fillId="25" borderId="0" xfId="0" applyNumberFormat="1" applyFont="1" applyFill="1" applyBorder="1" applyAlignment="1">
      <alignment/>
    </xf>
    <xf numFmtId="4" fontId="20" fillId="25" borderId="33" xfId="0" applyNumberFormat="1" applyFont="1" applyFill="1" applyBorder="1" applyAlignment="1">
      <alignment/>
    </xf>
    <xf numFmtId="4" fontId="0" fillId="25" borderId="0" xfId="0" applyNumberFormat="1" applyFont="1" applyFill="1" applyBorder="1" applyAlignment="1">
      <alignment/>
    </xf>
    <xf numFmtId="0" fontId="20" fillId="0" borderId="35" xfId="0" applyFont="1" applyBorder="1" applyAlignment="1">
      <alignment/>
    </xf>
    <xf numFmtId="4" fontId="0" fillId="0" borderId="42" xfId="0" applyNumberFormat="1" applyFont="1" applyBorder="1" applyAlignment="1">
      <alignment/>
    </xf>
    <xf numFmtId="4" fontId="20" fillId="0" borderId="43" xfId="0" applyNumberFormat="1" applyFont="1" applyBorder="1" applyAlignment="1">
      <alignment/>
    </xf>
    <xf numFmtId="3" fontId="0" fillId="2" borderId="16" xfId="0" applyNumberFormat="1" applyFont="1" applyFill="1" applyBorder="1" applyAlignment="1" applyProtection="1">
      <alignment horizontal="left" vertical="center"/>
      <protection/>
    </xf>
    <xf numFmtId="3" fontId="0" fillId="2" borderId="12" xfId="0" applyNumberFormat="1" applyFont="1" applyFill="1" applyBorder="1" applyAlignment="1" applyProtection="1">
      <alignment horizontal="left" vertical="center"/>
      <protection/>
    </xf>
    <xf numFmtId="3" fontId="0" fillId="2" borderId="17" xfId="0" applyNumberFormat="1" applyFont="1" applyFill="1" applyBorder="1" applyAlignment="1" applyProtection="1">
      <alignment horizontal="left" vertical="center"/>
      <protection/>
    </xf>
    <xf numFmtId="3" fontId="0" fillId="0" borderId="16" xfId="0" applyNumberFormat="1" applyFont="1" applyFill="1" applyBorder="1" applyAlignment="1" applyProtection="1">
      <alignment horizontal="left" vertical="center" wrapText="1"/>
      <protection/>
    </xf>
    <xf numFmtId="3" fontId="0" fillId="0" borderId="12" xfId="0" applyNumberFormat="1" applyFont="1" applyFill="1" applyBorder="1" applyAlignment="1" applyProtection="1">
      <alignment horizontal="left" vertical="center" wrapText="1"/>
      <protection/>
    </xf>
    <xf numFmtId="3" fontId="0" fillId="0" borderId="17" xfId="0" applyNumberFormat="1" applyFont="1" applyFill="1" applyBorder="1" applyAlignment="1" applyProtection="1">
      <alignment horizontal="left" vertical="center" wrapText="1"/>
      <protection/>
    </xf>
    <xf numFmtId="3" fontId="33" fillId="28" borderId="12" xfId="0" applyNumberFormat="1" applyFont="1" applyFill="1" applyBorder="1" applyAlignment="1" applyProtection="1">
      <alignment horizontal="left" vertical="center" wrapText="1"/>
      <protection/>
    </xf>
    <xf numFmtId="167" fontId="0" fillId="0" borderId="0" xfId="0" applyNumberFormat="1" applyAlignment="1" applyProtection="1">
      <alignment horizontal="left" vertical="top" wrapText="1"/>
      <protection/>
    </xf>
    <xf numFmtId="0" fontId="25" fillId="18" borderId="12" xfId="56" applyFill="1" applyBorder="1" applyAlignment="1" applyProtection="1">
      <alignment vertical="center"/>
      <protection/>
    </xf>
    <xf numFmtId="3" fontId="33" fillId="0" borderId="44" xfId="0" applyNumberFormat="1" applyFont="1" applyBorder="1" applyAlignment="1" applyProtection="1">
      <alignment horizontal="left" vertical="center" wrapText="1"/>
      <protection hidden="1"/>
    </xf>
    <xf numFmtId="3" fontId="1" fillId="0" borderId="44" xfId="0" applyNumberFormat="1" applyFont="1" applyBorder="1" applyAlignment="1" applyProtection="1">
      <alignment horizontal="left" vertical="center" wrapText="1"/>
      <protection/>
    </xf>
    <xf numFmtId="3" fontId="33" fillId="0" borderId="45" xfId="0" applyNumberFormat="1" applyFont="1" applyBorder="1" applyAlignment="1" applyProtection="1">
      <alignment horizontal="left" vertical="center" wrapText="1"/>
      <protection/>
    </xf>
    <xf numFmtId="3" fontId="33" fillId="0" borderId="44" xfId="0" applyNumberFormat="1" applyFont="1" applyBorder="1" applyAlignment="1" applyProtection="1">
      <alignment horizontal="left" vertical="center" wrapText="1"/>
      <protection/>
    </xf>
    <xf numFmtId="0" fontId="25" fillId="18" borderId="12" xfId="56" applyNumberFormat="1" applyFill="1" applyBorder="1" applyAlignment="1" applyProtection="1">
      <alignment vertical="center"/>
      <protection/>
    </xf>
    <xf numFmtId="0" fontId="25" fillId="18" borderId="46" xfId="56" applyNumberFormat="1" applyFill="1" applyBorder="1" applyAlignment="1" applyProtection="1">
      <alignment vertical="center"/>
      <protection/>
    </xf>
    <xf numFmtId="3" fontId="1" fillId="28" borderId="12" xfId="0" applyNumberFormat="1" applyFont="1" applyFill="1" applyBorder="1" applyAlignment="1" applyProtection="1">
      <alignment horizontal="left" vertical="center" wrapText="1"/>
      <protection/>
    </xf>
    <xf numFmtId="176" fontId="27" fillId="0" borderId="9" xfId="0" applyNumberFormat="1" applyFont="1" applyBorder="1" applyAlignment="1" applyProtection="1">
      <alignment horizontal="right"/>
      <protection/>
    </xf>
    <xf numFmtId="3" fontId="33" fillId="28" borderId="44" xfId="0" applyNumberFormat="1" applyFont="1" applyFill="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24" xfId="0" applyFont="1" applyBorder="1" applyAlignment="1" applyProtection="1">
      <alignment horizontal="left" vertical="center" wrapText="1"/>
      <protection/>
    </xf>
    <xf numFmtId="0" fontId="22" fillId="0" borderId="25" xfId="0" applyFont="1" applyBorder="1" applyAlignment="1" applyProtection="1">
      <alignment horizontal="left" vertical="center" wrapText="1"/>
      <protection/>
    </xf>
    <xf numFmtId="0" fontId="22" fillId="0" borderId="47" xfId="0" applyFont="1" applyFill="1" applyBorder="1" applyAlignment="1" applyProtection="1">
      <alignment horizontal="center" vertical="center" wrapText="1"/>
      <protection/>
    </xf>
    <xf numFmtId="0" fontId="22" fillId="0" borderId="48" xfId="0" applyFont="1" applyFill="1" applyBorder="1" applyAlignment="1" applyProtection="1">
      <alignment horizontal="center" vertical="center" wrapText="1"/>
      <protection/>
    </xf>
    <xf numFmtId="0" fontId="22" fillId="0" borderId="49" xfId="0" applyFont="1" applyFill="1" applyBorder="1" applyAlignment="1" applyProtection="1">
      <alignment horizontal="center" vertical="center" wrapText="1"/>
      <protection/>
    </xf>
    <xf numFmtId="167" fontId="35" fillId="0" borderId="0" xfId="69" applyNumberFormat="1" applyFont="1" applyAlignment="1" applyProtection="1">
      <alignment horizontal="left" vertical="top" wrapText="1"/>
      <protection/>
    </xf>
    <xf numFmtId="167" fontId="35" fillId="0" borderId="0" xfId="69" applyNumberFormat="1" applyFont="1" applyAlignment="1" applyProtection="1">
      <alignment horizontal="left" vertical="top"/>
      <protection/>
    </xf>
    <xf numFmtId="3" fontId="35" fillId="0" borderId="0" xfId="69" applyNumberFormat="1" applyFont="1" applyAlignment="1" applyProtection="1">
      <alignment horizontal="left" vertical="center"/>
      <protection/>
    </xf>
    <xf numFmtId="4" fontId="57" fillId="0" borderId="0" xfId="0" applyNumberFormat="1" applyFont="1" applyBorder="1" applyAlignment="1">
      <alignment horizontal="center" vertical="center"/>
    </xf>
    <xf numFmtId="167" fontId="0" fillId="0" borderId="0" xfId="0" applyNumberFormat="1" applyAlignment="1" applyProtection="1">
      <alignment vertical="top" wrapText="1"/>
      <protection/>
    </xf>
    <xf numFmtId="0" fontId="0" fillId="0" borderId="0" xfId="0" applyAlignment="1" applyProtection="1">
      <alignment/>
      <protection/>
    </xf>
    <xf numFmtId="0" fontId="35" fillId="0" borderId="0" xfId="69" applyFont="1" applyAlignment="1" applyProtection="1">
      <alignment horizontal="left" vertical="center" wrapText="1"/>
      <protection/>
    </xf>
    <xf numFmtId="3" fontId="35" fillId="2" borderId="0" xfId="69" applyNumberFormat="1" applyFont="1" applyFill="1" applyAlignment="1" applyProtection="1">
      <alignment horizontal="left" vertical="center"/>
      <protection/>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Excel Built-in Normal" xfId="54"/>
    <cellStyle name="Excel Built-in Percent" xfId="55"/>
    <cellStyle name="Hyperlink" xfId="56"/>
    <cellStyle name="Chybně"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í" xfId="66"/>
    <cellStyle name="Normální 2" xfId="67"/>
    <cellStyle name="normální_BRILSTAR" xfId="68"/>
    <cellStyle name="normální_ESA_ESI" xfId="69"/>
    <cellStyle name="normální_ESA_ESI BJ3" xfId="70"/>
    <cellStyle name="Followed Hyperlink" xfId="71"/>
    <cellStyle name="Poznámka" xfId="72"/>
    <cellStyle name="procent_ESA_ESI" xfId="73"/>
    <cellStyle name="Percent" xfId="74"/>
    <cellStyle name="Procenta 2" xfId="75"/>
    <cellStyle name="Propojená buňka" xfId="76"/>
    <cellStyle name="Správně" xfId="77"/>
    <cellStyle name="Špatně" xfId="78"/>
    <cellStyle name="TableStyleLight1" xfId="79"/>
    <cellStyle name="TableStyleLight1 2" xfId="80"/>
    <cellStyle name="TableStyleLight1 3" xfId="81"/>
    <cellStyle name="TableStyleLight1 4" xfId="82"/>
    <cellStyle name="Text upozornění" xfId="83"/>
    <cellStyle name="Title" xfId="84"/>
    <cellStyle name="Total" xfId="85"/>
    <cellStyle name="Vstup" xfId="86"/>
    <cellStyle name="Výpočet" xfId="87"/>
    <cellStyle name="Výstup" xfId="88"/>
    <cellStyle name="Vysvětlující text" xfId="89"/>
    <cellStyle name="Warning Text" xfId="90"/>
    <cellStyle name="Zvýraznění 1" xfId="91"/>
    <cellStyle name="Zvýraznění 2" xfId="92"/>
    <cellStyle name="Zvýraznění 3" xfId="93"/>
    <cellStyle name="Zvýraznění 4" xfId="94"/>
    <cellStyle name="Zvýraznění 5" xfId="95"/>
    <cellStyle name="Zvýraznění 6" xfId="96"/>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499"/>
  <sheetViews>
    <sheetView view="pageBreakPreview" zoomScale="85" zoomScaleSheetLayoutView="85" workbookViewId="0" topLeftCell="C233">
      <selection activeCell="U92" sqref="U92"/>
    </sheetView>
  </sheetViews>
  <sheetFormatPr defaultColWidth="9.00390625" defaultRowHeight="12.75"/>
  <cols>
    <col min="1" max="1" width="7.625" style="215" customWidth="1"/>
    <col min="2" max="2" width="17.00390625" style="216" customWidth="1"/>
    <col min="3" max="3" width="10.00390625" style="217" customWidth="1"/>
    <col min="4" max="4" width="54.625" style="80" customWidth="1"/>
    <col min="5" max="5" width="8.875" style="74" bestFit="1" customWidth="1"/>
    <col min="6" max="6" width="11.625" style="75" bestFit="1" customWidth="1"/>
    <col min="7" max="7" width="12.625" style="76" customWidth="1"/>
    <col min="8" max="8" width="15.375" style="74" customWidth="1"/>
    <col min="9" max="9" width="4.75390625" style="65" customWidth="1"/>
    <col min="10" max="10" width="0" style="0" hidden="1" customWidth="1"/>
    <col min="11" max="11" width="16.25390625" style="25" hidden="1" customWidth="1"/>
    <col min="12" max="15" width="16.25390625" style="1" hidden="1" customWidth="1"/>
    <col min="16" max="16" width="16.25390625" style="3" hidden="1" customWidth="1"/>
    <col min="17" max="17" width="7.75390625" style="2" customWidth="1"/>
    <col min="18" max="18" width="11.875" style="422" customWidth="1"/>
    <col min="19" max="19" width="12.00390625" style="422" customWidth="1"/>
    <col min="20" max="20" width="15.875" style="422" customWidth="1"/>
    <col min="21" max="21" width="14.625" style="422" customWidth="1"/>
    <col min="22" max="22" width="14.875" style="422" customWidth="1"/>
    <col min="23" max="23" width="14.625" style="422" customWidth="1"/>
    <col min="24" max="24" width="33.75390625" style="355" hidden="1" customWidth="1"/>
    <col min="25" max="25" width="17.375" style="413" hidden="1" customWidth="1"/>
    <col min="26" max="27" width="14.625" style="413" hidden="1" customWidth="1"/>
    <col min="28" max="29" width="14.625" style="1" hidden="1" customWidth="1"/>
    <col min="30" max="30" width="18.25390625" style="1" hidden="1" customWidth="1"/>
    <col min="31" max="16384" width="9.125" style="1" customWidth="1"/>
  </cols>
  <sheetData>
    <row r="1" spans="4:27" ht="22.5" customHeight="1">
      <c r="D1" s="218"/>
      <c r="E1" s="219"/>
      <c r="F1" s="222" t="s">
        <v>315</v>
      </c>
      <c r="G1" s="223" t="s">
        <v>316</v>
      </c>
      <c r="H1" s="224" t="s">
        <v>317</v>
      </c>
      <c r="I1" s="340" t="s">
        <v>539</v>
      </c>
      <c r="L1" s="20" t="s">
        <v>463</v>
      </c>
      <c r="M1" s="20" t="s">
        <v>464</v>
      </c>
      <c r="N1" s="20" t="s">
        <v>465</v>
      </c>
      <c r="Q1" s="373" t="s">
        <v>851</v>
      </c>
      <c r="R1" s="503"/>
      <c r="S1" s="503"/>
      <c r="T1" s="503"/>
      <c r="U1" s="503"/>
      <c r="V1" s="503"/>
      <c r="W1" s="503"/>
      <c r="X1" s="356" t="s">
        <v>892</v>
      </c>
      <c r="Y1" s="431"/>
      <c r="Z1" s="431"/>
      <c r="AA1" s="432"/>
    </row>
    <row r="2" spans="4:27" ht="12.75">
      <c r="D2" s="218"/>
      <c r="E2" s="219"/>
      <c r="F2" s="220"/>
      <c r="G2" s="221"/>
      <c r="H2" s="219"/>
      <c r="L2" s="21"/>
      <c r="M2" s="21"/>
      <c r="N2" s="13"/>
      <c r="Y2" s="428"/>
      <c r="Z2" s="428"/>
      <c r="AA2" s="428"/>
    </row>
    <row r="3" spans="4:27" ht="12.75">
      <c r="D3" s="218"/>
      <c r="E3" s="219"/>
      <c r="F3" s="220"/>
      <c r="G3" s="221"/>
      <c r="H3" s="219"/>
      <c r="L3" s="21"/>
      <c r="M3" s="21"/>
      <c r="N3" s="13"/>
      <c r="Y3" s="428"/>
      <c r="Z3" s="428"/>
      <c r="AA3" s="428"/>
    </row>
    <row r="4" spans="4:27" ht="44.25" customHeight="1">
      <c r="D4" s="572" t="s">
        <v>514</v>
      </c>
      <c r="E4" s="573"/>
      <c r="F4" s="573"/>
      <c r="G4" s="573"/>
      <c r="H4" s="574"/>
      <c r="L4" s="21"/>
      <c r="M4" s="21"/>
      <c r="N4" s="13"/>
      <c r="Y4" s="428"/>
      <c r="Z4" s="428"/>
      <c r="AA4" s="428"/>
    </row>
    <row r="5" spans="4:27" ht="18" customHeight="1">
      <c r="D5" s="569" t="s">
        <v>757</v>
      </c>
      <c r="E5" s="570"/>
      <c r="F5" s="570"/>
      <c r="G5" s="570"/>
      <c r="H5" s="571"/>
      <c r="L5" s="21"/>
      <c r="M5" s="21"/>
      <c r="N5" s="13"/>
      <c r="Y5" s="428"/>
      <c r="Z5" s="428"/>
      <c r="AA5" s="428"/>
    </row>
    <row r="6" spans="4:27" ht="18" customHeight="1">
      <c r="D6" s="569" t="s">
        <v>758</v>
      </c>
      <c r="E6" s="570"/>
      <c r="F6" s="570"/>
      <c r="G6" s="570"/>
      <c r="H6" s="571"/>
      <c r="L6" s="21"/>
      <c r="M6" s="21"/>
      <c r="N6" s="13"/>
      <c r="Y6" s="433"/>
      <c r="Z6" s="433"/>
      <c r="AA6" s="428"/>
    </row>
    <row r="7" spans="4:27" ht="18" customHeight="1">
      <c r="D7" s="569" t="s">
        <v>826</v>
      </c>
      <c r="E7" s="570"/>
      <c r="F7" s="570"/>
      <c r="G7" s="570"/>
      <c r="H7" s="571"/>
      <c r="L7" s="21"/>
      <c r="M7" s="21"/>
      <c r="N7" s="13"/>
      <c r="Y7" s="433"/>
      <c r="Z7" s="433"/>
      <c r="AA7" s="428"/>
    </row>
    <row r="8" spans="4:27" ht="18" customHeight="1">
      <c r="D8" s="569" t="s">
        <v>827</v>
      </c>
      <c r="E8" s="570"/>
      <c r="F8" s="570"/>
      <c r="G8" s="570"/>
      <c r="H8" s="571"/>
      <c r="L8" s="21"/>
      <c r="M8" s="21"/>
      <c r="N8" s="13"/>
      <c r="Y8" s="428"/>
      <c r="Z8" s="428"/>
      <c r="AA8" s="428"/>
    </row>
    <row r="9" spans="4:27" ht="18" customHeight="1">
      <c r="D9" s="225"/>
      <c r="E9" s="226"/>
      <c r="F9" s="227"/>
      <c r="G9" s="228"/>
      <c r="H9" s="229"/>
      <c r="L9" s="21"/>
      <c r="M9" s="21"/>
      <c r="N9" s="13"/>
      <c r="Y9" s="428"/>
      <c r="Z9" s="428"/>
      <c r="AA9" s="428"/>
    </row>
    <row r="10" spans="4:27" ht="23.25">
      <c r="D10" s="230" t="s">
        <v>318</v>
      </c>
      <c r="E10" s="231"/>
      <c r="F10" s="232"/>
      <c r="G10" s="233"/>
      <c r="H10" s="234"/>
      <c r="L10" s="21"/>
      <c r="M10" s="21"/>
      <c r="N10" s="13"/>
      <c r="Y10" s="428"/>
      <c r="Z10" s="428"/>
      <c r="AA10" s="428"/>
    </row>
    <row r="11" spans="12:27" ht="12.75">
      <c r="L11" s="21"/>
      <c r="M11" s="21"/>
      <c r="N11" s="13"/>
      <c r="Y11" s="428"/>
      <c r="Z11" s="428"/>
      <c r="AA11" s="428"/>
    </row>
    <row r="12" spans="12:27" ht="12.75">
      <c r="L12" s="2"/>
      <c r="M12" s="2"/>
      <c r="N12" s="13"/>
      <c r="Y12" s="428"/>
      <c r="Z12" s="428"/>
      <c r="AA12" s="428"/>
    </row>
    <row r="13" spans="1:27" s="2" customFormat="1" ht="16.5">
      <c r="A13" s="235"/>
      <c r="B13" s="236"/>
      <c r="C13" s="237">
        <v>1</v>
      </c>
      <c r="D13" s="238" t="str">
        <f>Kapitola_1</f>
        <v>Přípravné a bourací práce</v>
      </c>
      <c r="E13" s="239"/>
      <c r="F13" s="240"/>
      <c r="G13" s="241"/>
      <c r="H13" s="241">
        <f>+Cena_1</f>
        <v>78143.45383269999</v>
      </c>
      <c r="I13" s="341"/>
      <c r="K13" s="26"/>
      <c r="L13" s="22">
        <f>SUMIF(I$113:I$151,"O",H$113:H$151)</f>
        <v>78143.45383269999</v>
      </c>
      <c r="M13" s="22">
        <f>SUMIF(I$113:I$151,"i",H$113:H$151)</f>
        <v>0</v>
      </c>
      <c r="N13" s="23">
        <f>SUM(L13:M13)</f>
        <v>78143.45383269999</v>
      </c>
      <c r="O13" s="166">
        <f>+H13-N13</f>
        <v>0</v>
      </c>
      <c r="P13" s="14"/>
      <c r="Q13" s="390"/>
      <c r="R13" s="504"/>
      <c r="S13" s="504"/>
      <c r="T13" s="504"/>
      <c r="U13" s="423"/>
      <c r="V13" s="423"/>
      <c r="W13" s="423"/>
      <c r="X13" s="357"/>
      <c r="Y13" s="434"/>
      <c r="Z13" s="434"/>
      <c r="AA13" s="434"/>
    </row>
    <row r="14" spans="1:27" s="2" customFormat="1" ht="16.5">
      <c r="A14" s="235"/>
      <c r="B14" s="236"/>
      <c r="C14" s="237">
        <v>2</v>
      </c>
      <c r="D14" s="238" t="str">
        <f>Kapitola_2</f>
        <v>Stavební úpravy bytové jednotky</v>
      </c>
      <c r="E14" s="239"/>
      <c r="F14" s="240"/>
      <c r="G14" s="241"/>
      <c r="H14" s="241">
        <f>SUM(G15:G28)</f>
        <v>1277554.38019225</v>
      </c>
      <c r="I14" s="341"/>
      <c r="K14" s="26"/>
      <c r="O14" s="166"/>
      <c r="P14" s="14"/>
      <c r="Q14" s="390"/>
      <c r="R14" s="504"/>
      <c r="S14" s="504"/>
      <c r="T14" s="504"/>
      <c r="U14" s="504"/>
      <c r="V14" s="504"/>
      <c r="W14" s="504"/>
      <c r="X14" s="357"/>
      <c r="Y14" s="434"/>
      <c r="Z14" s="434"/>
      <c r="AA14" s="434"/>
    </row>
    <row r="15" spans="1:27" s="2" customFormat="1" ht="16.5">
      <c r="A15" s="235"/>
      <c r="B15" s="236"/>
      <c r="C15" s="242" t="s">
        <v>346</v>
      </c>
      <c r="D15" s="238" t="str">
        <f>Kapitola_2a</f>
        <v>Stěny a příčky</v>
      </c>
      <c r="E15" s="239"/>
      <c r="F15" s="240"/>
      <c r="G15" s="241">
        <f>+Cena_2a</f>
        <v>79036.1737125</v>
      </c>
      <c r="H15" s="241"/>
      <c r="I15" s="341"/>
      <c r="K15" s="26"/>
      <c r="L15" s="22">
        <f>SUMIF(I$156:I$174,"O",H$156:H$174)</f>
        <v>6435.479250000001</v>
      </c>
      <c r="M15" s="22">
        <f>SUMIF(I$156:I$174,"i",H$156:H$174)</f>
        <v>72600.6944625</v>
      </c>
      <c r="N15" s="23">
        <f aca="true" t="shared" si="0" ref="N15:N29">SUM(L15:M15)</f>
        <v>79036.1737125</v>
      </c>
      <c r="O15" s="166">
        <f>+G15-N15</f>
        <v>0</v>
      </c>
      <c r="P15" s="14"/>
      <c r="Q15" s="390"/>
      <c r="R15" s="504"/>
      <c r="S15" s="504"/>
      <c r="T15" s="504"/>
      <c r="U15" s="504"/>
      <c r="V15" s="504"/>
      <c r="W15" s="504"/>
      <c r="X15" s="357"/>
      <c r="Y15" s="434"/>
      <c r="Z15" s="434"/>
      <c r="AA15" s="434"/>
    </row>
    <row r="16" spans="1:27" s="2" customFormat="1" ht="16.5">
      <c r="A16" s="235"/>
      <c r="B16" s="236"/>
      <c r="C16" s="242" t="s">
        <v>347</v>
      </c>
      <c r="D16" s="238" t="str">
        <f>Kapitola_2b</f>
        <v>Stropy a stropní konstrukce</v>
      </c>
      <c r="E16" s="239"/>
      <c r="F16" s="240"/>
      <c r="G16" s="241">
        <f>+Cena_2b</f>
        <v>90603.61025000001</v>
      </c>
      <c r="H16" s="241"/>
      <c r="I16" s="341"/>
      <c r="K16" s="26"/>
      <c r="L16" s="22">
        <f>SUMIF(I$179:I$200,"O",H$179:H$200)</f>
        <v>35930.4</v>
      </c>
      <c r="M16" s="22">
        <f>SUMIF(I$179:I$200,"i",H$179:H$200)</f>
        <v>54673.21025</v>
      </c>
      <c r="N16" s="23">
        <f t="shared" si="0"/>
        <v>90603.61025</v>
      </c>
      <c r="O16" s="166">
        <f aca="true" t="shared" si="1" ref="O16:O28">+G16-N16</f>
        <v>0</v>
      </c>
      <c r="P16" s="14"/>
      <c r="Q16" s="390"/>
      <c r="R16" s="504"/>
      <c r="S16" s="504"/>
      <c r="T16" s="504"/>
      <c r="U16" s="504"/>
      <c r="V16" s="504"/>
      <c r="W16" s="504"/>
      <c r="X16" s="357"/>
      <c r="Y16" s="434"/>
      <c r="Z16" s="434"/>
      <c r="AA16" s="434"/>
    </row>
    <row r="17" spans="1:27" s="2" customFormat="1" ht="16.5">
      <c r="A17" s="235"/>
      <c r="B17" s="236"/>
      <c r="C17" s="242" t="s">
        <v>348</v>
      </c>
      <c r="D17" s="238" t="str">
        <f>Kapitola_2c</f>
        <v>Úpravy povrchů vnitřní (stěny, stropy)</v>
      </c>
      <c r="E17" s="239"/>
      <c r="F17" s="240"/>
      <c r="G17" s="241">
        <f>+Cena_2c</f>
        <v>196118.69027175</v>
      </c>
      <c r="H17" s="241"/>
      <c r="I17" s="341"/>
      <c r="K17" s="26"/>
      <c r="L17" s="22">
        <f>SUMIF(I$205:I$257,"O",H$205:H$257)</f>
        <v>194276.69027175</v>
      </c>
      <c r="M17" s="22">
        <f>SUMIF(I$205:I$257,"i",H$205:H$257)</f>
        <v>1842</v>
      </c>
      <c r="N17" s="23">
        <f t="shared" si="0"/>
        <v>196118.69027175</v>
      </c>
      <c r="O17" s="166">
        <f t="shared" si="1"/>
        <v>0</v>
      </c>
      <c r="P17" s="14"/>
      <c r="Q17" s="390"/>
      <c r="R17" s="504"/>
      <c r="S17" s="504"/>
      <c r="T17" s="504"/>
      <c r="U17" s="504"/>
      <c r="V17" s="504"/>
      <c r="W17" s="504"/>
      <c r="X17" s="357"/>
      <c r="Y17" s="434"/>
      <c r="Z17" s="434"/>
      <c r="AA17" s="434"/>
    </row>
    <row r="18" spans="1:27" s="2" customFormat="1" ht="16.5">
      <c r="A18" s="235"/>
      <c r="B18" s="236"/>
      <c r="C18" s="242" t="s">
        <v>349</v>
      </c>
      <c r="D18" s="238" t="str">
        <f>Kapitola_2d</f>
        <v>Zdravotechnika - vnitřní kanalizace</v>
      </c>
      <c r="E18" s="239"/>
      <c r="F18" s="240"/>
      <c r="G18" s="241">
        <f>+Cena_2d</f>
        <v>12512</v>
      </c>
      <c r="H18" s="241"/>
      <c r="I18" s="341"/>
      <c r="K18" s="26"/>
      <c r="L18" s="22">
        <f>SUMIF(I$262:I$275,"O",H$262:H$275)</f>
        <v>11112</v>
      </c>
      <c r="M18" s="22">
        <f>SUMIF(I$262:I$275,"i",H$262:H$275)</f>
        <v>1400</v>
      </c>
      <c r="N18" s="23">
        <f t="shared" si="0"/>
        <v>12512</v>
      </c>
      <c r="O18" s="166">
        <f t="shared" si="1"/>
        <v>0</v>
      </c>
      <c r="P18" s="14"/>
      <c r="Q18" s="390"/>
      <c r="R18" s="504"/>
      <c r="S18" s="504"/>
      <c r="T18" s="504"/>
      <c r="U18" s="504"/>
      <c r="V18" s="504"/>
      <c r="W18" s="504"/>
      <c r="X18" s="357"/>
      <c r="Y18" s="434"/>
      <c r="Z18" s="434"/>
      <c r="AA18" s="434"/>
    </row>
    <row r="19" spans="1:27" s="2" customFormat="1" ht="16.5">
      <c r="A19" s="235"/>
      <c r="B19" s="236"/>
      <c r="C19" s="242" t="s">
        <v>350</v>
      </c>
      <c r="D19" s="238" t="str">
        <f>Kapitola_2e</f>
        <v>Zdravotechnika - vnitřní vodovod</v>
      </c>
      <c r="E19" s="239"/>
      <c r="F19" s="240"/>
      <c r="G19" s="241">
        <f>+Cena_2e</f>
        <v>22400.327999999998</v>
      </c>
      <c r="H19" s="241"/>
      <c r="I19" s="341"/>
      <c r="K19" s="26"/>
      <c r="L19" s="22">
        <f>SUMIF(I$280:I$294,"O",H$280:H$294)</f>
        <v>22400.327999999998</v>
      </c>
      <c r="M19" s="22">
        <f>SUMIF(I$280:I$294,"i",H$280:H$294)</f>
        <v>0</v>
      </c>
      <c r="N19" s="23">
        <f t="shared" si="0"/>
        <v>22400.327999999998</v>
      </c>
      <c r="O19" s="166">
        <f t="shared" si="1"/>
        <v>0</v>
      </c>
      <c r="P19" s="14"/>
      <c r="Q19" s="390"/>
      <c r="R19" s="504"/>
      <c r="S19" s="504"/>
      <c r="T19" s="504"/>
      <c r="U19" s="504"/>
      <c r="V19" s="504"/>
      <c r="W19" s="504"/>
      <c r="X19" s="357"/>
      <c r="Y19" s="434"/>
      <c r="Z19" s="434"/>
      <c r="AA19" s="434"/>
    </row>
    <row r="20" spans="1:27" s="2" customFormat="1" ht="16.5">
      <c r="A20" s="235"/>
      <c r="B20" s="236"/>
      <c r="C20" s="242" t="s">
        <v>351</v>
      </c>
      <c r="D20" s="238" t="str">
        <f>+D297</f>
        <v>Plynovod</v>
      </c>
      <c r="E20" s="239"/>
      <c r="F20" s="240"/>
      <c r="G20" s="241">
        <f>+H323</f>
        <v>81545.894</v>
      </c>
      <c r="H20" s="241"/>
      <c r="I20" s="341"/>
      <c r="K20" s="26"/>
      <c r="L20" s="22">
        <f>SUMIF(I$299:I$322,"O",H$299:H$322)</f>
        <v>81545.894</v>
      </c>
      <c r="M20" s="22">
        <f>SUMIF(I$299:I$322,"i",H$299:H$322)</f>
        <v>0</v>
      </c>
      <c r="N20" s="23">
        <f>SUM(L20:M20)</f>
        <v>81545.894</v>
      </c>
      <c r="O20" s="166">
        <f t="shared" si="1"/>
        <v>0</v>
      </c>
      <c r="P20" s="14"/>
      <c r="Q20" s="390"/>
      <c r="R20" s="504"/>
      <c r="S20" s="504"/>
      <c r="T20" s="504"/>
      <c r="U20" s="504"/>
      <c r="V20" s="504"/>
      <c r="W20" s="504"/>
      <c r="X20" s="357"/>
      <c r="Y20" s="434"/>
      <c r="Z20" s="434"/>
      <c r="AA20" s="434"/>
    </row>
    <row r="21" spans="1:27" s="2" customFormat="1" ht="16.5">
      <c r="A21" s="235"/>
      <c r="B21" s="236"/>
      <c r="C21" s="242" t="s">
        <v>352</v>
      </c>
      <c r="D21" s="238" t="str">
        <f>Kapitola_2f</f>
        <v>Zdravotechnika - zařizovací předměty, armatury </v>
      </c>
      <c r="E21" s="239"/>
      <c r="F21" s="240"/>
      <c r="G21" s="241">
        <f>+Cena_2f</f>
        <v>61495.8</v>
      </c>
      <c r="H21" s="241"/>
      <c r="I21" s="341"/>
      <c r="K21" s="26"/>
      <c r="L21" s="22">
        <f>SUMIF(I$327:I$354,"O",H$327:H$354)</f>
        <v>61495.8</v>
      </c>
      <c r="M21" s="22">
        <f>SUMIF(I$327:I$354,"i",H$327:H$354)</f>
        <v>0</v>
      </c>
      <c r="N21" s="23">
        <f>SUM(L21:M21)</f>
        <v>61495.8</v>
      </c>
      <c r="O21" s="166">
        <f t="shared" si="1"/>
        <v>0</v>
      </c>
      <c r="P21" s="14"/>
      <c r="Q21" s="390"/>
      <c r="R21" s="504"/>
      <c r="S21" s="504"/>
      <c r="T21" s="504"/>
      <c r="U21" s="504"/>
      <c r="V21" s="504"/>
      <c r="W21" s="504"/>
      <c r="X21" s="357"/>
      <c r="Y21" s="434"/>
      <c r="Z21" s="434"/>
      <c r="AA21" s="434"/>
    </row>
    <row r="22" spans="1:27" s="2" customFormat="1" ht="16.5">
      <c r="A22" s="235"/>
      <c r="B22" s="236"/>
      <c r="C22" s="242" t="s">
        <v>358</v>
      </c>
      <c r="D22" s="238" t="str">
        <f>Kapitola_2g</f>
        <v>Elektroinstalace - silnoproud </v>
      </c>
      <c r="E22" s="239"/>
      <c r="F22" s="240"/>
      <c r="G22" s="241">
        <f>+Cena_2g</f>
        <v>120274.35</v>
      </c>
      <c r="H22" s="241"/>
      <c r="I22" s="341"/>
      <c r="K22" s="26"/>
      <c r="L22" s="22">
        <f>SUMIF(I$359:I$361,"O",H$359:H$361)</f>
        <v>120274.35</v>
      </c>
      <c r="M22" s="22">
        <f>SUMIF(I$359:I$361,"i",H$359:H$361)</f>
        <v>0</v>
      </c>
      <c r="N22" s="23">
        <f t="shared" si="0"/>
        <v>120274.35</v>
      </c>
      <c r="O22" s="166">
        <f t="shared" si="1"/>
        <v>0</v>
      </c>
      <c r="P22" s="14"/>
      <c r="Q22" s="390"/>
      <c r="R22" s="504"/>
      <c r="S22" s="504"/>
      <c r="T22" s="504"/>
      <c r="U22" s="504"/>
      <c r="V22" s="504"/>
      <c r="W22" s="504"/>
      <c r="X22" s="357"/>
      <c r="Y22" s="434"/>
      <c r="Z22" s="434"/>
      <c r="AA22" s="434"/>
    </row>
    <row r="23" spans="1:27" s="2" customFormat="1" ht="16.5">
      <c r="A23" s="235"/>
      <c r="B23" s="236"/>
      <c r="C23" s="242" t="s">
        <v>386</v>
      </c>
      <c r="D23" s="238" t="str">
        <f>Kapitola_2h</f>
        <v>Elektroinstalace - slaboproud</v>
      </c>
      <c r="E23" s="239"/>
      <c r="F23" s="240"/>
      <c r="G23" s="241">
        <f>+Cena_2h</f>
        <v>7817.25</v>
      </c>
      <c r="H23" s="241"/>
      <c r="I23" s="341"/>
      <c r="K23" s="26"/>
      <c r="L23" s="22">
        <f>SUMIF(I$366:I$367,"O",H$366:H$367)</f>
        <v>7817.25</v>
      </c>
      <c r="M23" s="22">
        <f>SUMIF(I$366:I$367,"i",H$366:H$367)</f>
        <v>0</v>
      </c>
      <c r="N23" s="23">
        <f t="shared" si="0"/>
        <v>7817.25</v>
      </c>
      <c r="O23" s="166">
        <f t="shared" si="1"/>
        <v>0</v>
      </c>
      <c r="P23" s="14"/>
      <c r="Q23" s="390"/>
      <c r="R23" s="504"/>
      <c r="S23" s="504"/>
      <c r="T23" s="504"/>
      <c r="U23" s="504"/>
      <c r="V23" s="504"/>
      <c r="W23" s="504"/>
      <c r="X23" s="357"/>
      <c r="Y23" s="434"/>
      <c r="Z23" s="434"/>
      <c r="AA23" s="434"/>
    </row>
    <row r="24" spans="1:27" s="2" customFormat="1" ht="16.5">
      <c r="A24" s="235"/>
      <c r="B24" s="236"/>
      <c r="C24" s="243" t="s">
        <v>387</v>
      </c>
      <c r="D24" s="238" t="str">
        <f>Kapitola_2i</f>
        <v>Vzduchotechnika</v>
      </c>
      <c r="E24" s="239"/>
      <c r="F24" s="240"/>
      <c r="G24" s="241">
        <f>+Cena_2i</f>
        <v>68173.58499999999</v>
      </c>
      <c r="H24" s="241"/>
      <c r="I24" s="341"/>
      <c r="K24" s="26"/>
      <c r="L24" s="22">
        <f>SUMIF(I$372:I$393,"O",H$372:H$393)</f>
        <v>0</v>
      </c>
      <c r="M24" s="22">
        <f>SUMIF(I$372:I$393,"i",H$372:H$393)</f>
        <v>68173.58499999999</v>
      </c>
      <c r="N24" s="23">
        <f t="shared" si="0"/>
        <v>68173.58499999999</v>
      </c>
      <c r="O24" s="166">
        <f t="shared" si="1"/>
        <v>0</v>
      </c>
      <c r="P24" s="14"/>
      <c r="Q24" s="390"/>
      <c r="R24" s="504"/>
      <c r="S24" s="504"/>
      <c r="T24" s="504"/>
      <c r="U24" s="504"/>
      <c r="V24" s="504"/>
      <c r="W24" s="504"/>
      <c r="X24" s="357"/>
      <c r="Y24" s="434"/>
      <c r="Z24" s="434"/>
      <c r="AA24" s="434"/>
    </row>
    <row r="25" spans="1:27" s="2" customFormat="1" ht="16.5">
      <c r="A25" s="235"/>
      <c r="B25" s="236"/>
      <c r="C25" s="243" t="s">
        <v>388</v>
      </c>
      <c r="D25" s="238" t="str">
        <f>Kapitola_2j</f>
        <v>Konstrukce truhlářské</v>
      </c>
      <c r="E25" s="239"/>
      <c r="F25" s="240"/>
      <c r="G25" s="241">
        <f>+Cena_2j</f>
        <v>204140.25</v>
      </c>
      <c r="H25" s="241"/>
      <c r="I25" s="341"/>
      <c r="K25" s="26"/>
      <c r="L25" s="22">
        <f>SUMIF(I$398:I$420,"O",H$398:H$420)</f>
        <v>95596</v>
      </c>
      <c r="M25" s="22">
        <f>SUMIF(I$398:I$420,"i",H$398:H$420)</f>
        <v>108544.25</v>
      </c>
      <c r="N25" s="23">
        <f t="shared" si="0"/>
        <v>204140.25</v>
      </c>
      <c r="O25" s="166">
        <f t="shared" si="1"/>
        <v>0</v>
      </c>
      <c r="P25" s="14"/>
      <c r="Q25" s="390"/>
      <c r="R25" s="504"/>
      <c r="S25" s="504"/>
      <c r="T25" s="504"/>
      <c r="U25" s="504"/>
      <c r="V25" s="504"/>
      <c r="W25" s="504"/>
      <c r="X25" s="357"/>
      <c r="Y25" s="434"/>
      <c r="Z25" s="434"/>
      <c r="AA25" s="434"/>
    </row>
    <row r="26" spans="1:27" s="2" customFormat="1" ht="16.5">
      <c r="A26" s="235"/>
      <c r="B26" s="236"/>
      <c r="C26" s="243" t="s">
        <v>389</v>
      </c>
      <c r="D26" s="238" t="str">
        <f>Kapitola_2k</f>
        <v>Konstrukce zámečnické</v>
      </c>
      <c r="E26" s="239"/>
      <c r="F26" s="240"/>
      <c r="G26" s="241">
        <f>+Cena_2k</f>
        <v>94784.149978</v>
      </c>
      <c r="H26" s="241"/>
      <c r="I26" s="341"/>
      <c r="K26" s="26"/>
      <c r="L26" s="22">
        <f>SUMIF(I$425:I$443,"O",H$425:H$443)</f>
        <v>94520.649978</v>
      </c>
      <c r="M26" s="22">
        <f>SUMIF(I$425:I$443,"i",H$425:H$443)</f>
        <v>263.5</v>
      </c>
      <c r="N26" s="23">
        <f t="shared" si="0"/>
        <v>94784.149978</v>
      </c>
      <c r="O26" s="166">
        <f t="shared" si="1"/>
        <v>0</v>
      </c>
      <c r="P26" s="14"/>
      <c r="Q26" s="390"/>
      <c r="R26" s="504"/>
      <c r="S26" s="504"/>
      <c r="T26" s="504"/>
      <c r="U26" s="504"/>
      <c r="V26" s="504"/>
      <c r="W26" s="504"/>
      <c r="X26" s="357"/>
      <c r="Y26" s="434"/>
      <c r="Z26" s="434"/>
      <c r="AA26" s="434"/>
    </row>
    <row r="27" spans="1:27" s="2" customFormat="1" ht="16.5">
      <c r="A27" s="235"/>
      <c r="B27" s="236"/>
      <c r="C27" s="243" t="s">
        <v>390</v>
      </c>
      <c r="D27" s="238" t="str">
        <f>Kapitola_2l</f>
        <v>Podlahy z dlaždic</v>
      </c>
      <c r="E27" s="239"/>
      <c r="F27" s="240"/>
      <c r="G27" s="241">
        <f>+Cena_2l</f>
        <v>50895.05492999999</v>
      </c>
      <c r="H27" s="241"/>
      <c r="I27" s="341"/>
      <c r="K27" s="26"/>
      <c r="L27" s="22">
        <f>SUMIF(I$448:I$471,"O",H$448:H$471)</f>
        <v>50895.05492999999</v>
      </c>
      <c r="M27" s="22">
        <f>SUMIF(I$448:I$471,"i",H$448:H$471)</f>
        <v>0</v>
      </c>
      <c r="N27" s="23">
        <f t="shared" si="0"/>
        <v>50895.05492999999</v>
      </c>
      <c r="O27" s="166">
        <f t="shared" si="1"/>
        <v>0</v>
      </c>
      <c r="P27" s="14"/>
      <c r="Q27" s="390"/>
      <c r="R27" s="504"/>
      <c r="S27" s="504"/>
      <c r="T27" s="504"/>
      <c r="U27" s="504"/>
      <c r="V27" s="504"/>
      <c r="W27" s="504"/>
      <c r="X27" s="357"/>
      <c r="Y27" s="434"/>
      <c r="Z27" s="434"/>
      <c r="AA27" s="434"/>
    </row>
    <row r="28" spans="1:27" s="2" customFormat="1" ht="16.5">
      <c r="A28" s="235"/>
      <c r="B28" s="236"/>
      <c r="C28" s="243" t="s">
        <v>471</v>
      </c>
      <c r="D28" s="238" t="str">
        <f>Kapitola_2m</f>
        <v>Podlahy povlakové a dřevěné</v>
      </c>
      <c r="E28" s="239"/>
      <c r="F28" s="240"/>
      <c r="G28" s="241">
        <f>Cena_2m</f>
        <v>187757.24404999998</v>
      </c>
      <c r="H28" s="241"/>
      <c r="I28" s="341"/>
      <c r="K28" s="26"/>
      <c r="L28" s="22">
        <f>SUMIF(I$476:I$493,"O",H$476:H$493)</f>
        <v>187757.24404999998</v>
      </c>
      <c r="M28" s="22">
        <f>SUMIF(I$476:I$493,"i",H$476:H$493)</f>
        <v>0</v>
      </c>
      <c r="N28" s="23">
        <f t="shared" si="0"/>
        <v>187757.24404999998</v>
      </c>
      <c r="O28" s="166">
        <f t="shared" si="1"/>
        <v>0</v>
      </c>
      <c r="P28" s="14"/>
      <c r="Q28" s="390"/>
      <c r="R28" s="504"/>
      <c r="S28" s="504"/>
      <c r="T28" s="504"/>
      <c r="U28" s="504"/>
      <c r="V28" s="504"/>
      <c r="W28" s="504"/>
      <c r="X28" s="357"/>
      <c r="Y28" s="434"/>
      <c r="Z28" s="434"/>
      <c r="AA28" s="434"/>
    </row>
    <row r="29" spans="1:28" s="2" customFormat="1" ht="16.5">
      <c r="A29" s="235"/>
      <c r="B29" s="236"/>
      <c r="C29" s="237">
        <v>3</v>
      </c>
      <c r="D29" s="238" t="str">
        <f>Dokoncovaci_prace</f>
        <v>Dokončovací práce</v>
      </c>
      <c r="E29" s="239"/>
      <c r="F29" s="240"/>
      <c r="G29" s="241"/>
      <c r="H29" s="241">
        <f>Cena_dokoncovaci_prace</f>
        <v>5800</v>
      </c>
      <c r="I29" s="341"/>
      <c r="K29" s="26"/>
      <c r="L29" s="22">
        <f>SUMIF(I$497:I$497,"O",H$497:H$497)</f>
        <v>5800</v>
      </c>
      <c r="M29" s="22">
        <f>SUMIF(I$497:I$497,"i",H$497:H$497)</f>
        <v>0</v>
      </c>
      <c r="N29" s="23">
        <f t="shared" si="0"/>
        <v>5800</v>
      </c>
      <c r="O29" s="166">
        <f>+H29-N29</f>
        <v>0</v>
      </c>
      <c r="P29" s="14"/>
      <c r="Q29" s="390"/>
      <c r="R29" s="504"/>
      <c r="S29" s="504"/>
      <c r="T29" s="504"/>
      <c r="U29" s="504"/>
      <c r="V29" s="504"/>
      <c r="W29" s="504"/>
      <c r="X29" s="357"/>
      <c r="Y29" s="434"/>
      <c r="Z29" s="435"/>
      <c r="AA29" s="435"/>
      <c r="AB29" s="423"/>
    </row>
    <row r="30" spans="4:28" ht="12.75">
      <c r="D30" s="244"/>
      <c r="E30" s="245"/>
      <c r="F30" s="246"/>
      <c r="G30" s="247"/>
      <c r="H30" s="247"/>
      <c r="L30" s="21"/>
      <c r="M30" s="21"/>
      <c r="N30" s="21"/>
      <c r="Q30" s="501"/>
      <c r="R30" s="505" t="s">
        <v>852</v>
      </c>
      <c r="S30" s="505" t="s">
        <v>857</v>
      </c>
      <c r="T30" s="505" t="s">
        <v>913</v>
      </c>
      <c r="U30" s="543" t="s">
        <v>911</v>
      </c>
      <c r="V30" s="505" t="s">
        <v>912</v>
      </c>
      <c r="W30" s="523" t="s">
        <v>872</v>
      </c>
      <c r="Y30" s="433"/>
      <c r="Z30" s="436"/>
      <c r="AA30" s="435"/>
      <c r="AB30" s="422"/>
    </row>
    <row r="31" spans="4:28" ht="15" customHeight="1">
      <c r="D31" s="248" t="s">
        <v>319</v>
      </c>
      <c r="E31" s="249"/>
      <c r="F31" s="250"/>
      <c r="G31" s="567">
        <v>1361498</v>
      </c>
      <c r="H31" s="567"/>
      <c r="L31" s="24">
        <f>SUM(L13:L30)</f>
        <v>1054000.59431245</v>
      </c>
      <c r="M31" s="24">
        <f>SUM(M13:M30)</f>
        <v>307497.2397125</v>
      </c>
      <c r="N31" s="24">
        <f>SUM(L31:M31)</f>
        <v>1361497.83402495</v>
      </c>
      <c r="Q31" s="498"/>
      <c r="R31" s="506">
        <f>R44+R45</f>
        <v>-166189.78399999999</v>
      </c>
      <c r="S31" s="506">
        <f>S44+S45</f>
        <v>73846</v>
      </c>
      <c r="T31" s="506">
        <f>T44+T45</f>
        <v>-92343.784</v>
      </c>
      <c r="U31" s="544">
        <f>G31+R31+S31</f>
        <v>1269154.216</v>
      </c>
      <c r="V31" s="506">
        <f>V44+V45</f>
        <v>1084567.38</v>
      </c>
      <c r="W31" s="524">
        <f>U31-V31</f>
        <v>184586.83600000013</v>
      </c>
      <c r="Y31" s="428"/>
      <c r="Z31" s="428"/>
      <c r="AA31" s="428"/>
      <c r="AB31" s="422"/>
    </row>
    <row r="32" spans="4:27" ht="12.75">
      <c r="D32" s="251"/>
      <c r="E32" s="249"/>
      <c r="F32" s="252"/>
      <c r="G32" s="253"/>
      <c r="H32" s="254"/>
      <c r="L32" s="21"/>
      <c r="M32" s="21"/>
      <c r="N32" s="21"/>
      <c r="Q32" s="499"/>
      <c r="R32" s="507"/>
      <c r="S32" s="507"/>
      <c r="T32" s="507"/>
      <c r="U32" s="545"/>
      <c r="V32" s="507"/>
      <c r="W32" s="525"/>
      <c r="Y32" s="428"/>
      <c r="Z32" s="428"/>
      <c r="AA32" s="428"/>
    </row>
    <row r="33" spans="3:27" ht="17.25" thickBot="1">
      <c r="C33" s="40"/>
      <c r="D33" s="167" t="s">
        <v>740</v>
      </c>
      <c r="E33" s="255"/>
      <c r="F33" s="256"/>
      <c r="G33" s="257"/>
      <c r="H33" s="258">
        <f>H110</f>
        <v>150500</v>
      </c>
      <c r="I33" s="342">
        <f>H33/G31</f>
        <v>0.11054000813809495</v>
      </c>
      <c r="L33" s="21"/>
      <c r="M33" s="21"/>
      <c r="N33" s="21"/>
      <c r="Q33" s="499"/>
      <c r="R33" s="507">
        <v>0</v>
      </c>
      <c r="S33" s="507">
        <v>0</v>
      </c>
      <c r="T33" s="507">
        <v>0</v>
      </c>
      <c r="U33" s="545">
        <f>H33+R33+S33</f>
        <v>150500</v>
      </c>
      <c r="V33" s="507">
        <f>V48+V49</f>
        <v>134500.001</v>
      </c>
      <c r="W33" s="525">
        <f>U33-V33</f>
        <v>15999.99900000001</v>
      </c>
      <c r="X33" s="358"/>
      <c r="Y33" s="428"/>
      <c r="Z33" s="428"/>
      <c r="AA33" s="428"/>
    </row>
    <row r="34" spans="4:27" ht="13.5" thickBot="1">
      <c r="D34" s="251"/>
      <c r="E34" s="249"/>
      <c r="F34" s="252"/>
      <c r="G34" s="259"/>
      <c r="H34" s="260"/>
      <c r="L34" s="21"/>
      <c r="M34" s="21"/>
      <c r="N34" s="21"/>
      <c r="Q34" s="499"/>
      <c r="R34" s="507"/>
      <c r="S34" s="507"/>
      <c r="T34" s="507"/>
      <c r="U34" s="545"/>
      <c r="V34" s="507"/>
      <c r="W34" s="525"/>
      <c r="X34" s="497"/>
      <c r="Y34" s="428"/>
      <c r="Z34" s="428"/>
      <c r="AA34" s="428"/>
    </row>
    <row r="35" spans="4:28" ht="15">
      <c r="D35" s="248" t="s">
        <v>467</v>
      </c>
      <c r="E35" s="249"/>
      <c r="F35" s="252"/>
      <c r="G35" s="253"/>
      <c r="H35" s="261">
        <f>+G31+H33</f>
        <v>1511998</v>
      </c>
      <c r="L35" s="21"/>
      <c r="M35" s="21"/>
      <c r="N35" s="21"/>
      <c r="Q35" s="500"/>
      <c r="R35" s="508">
        <f aca="true" t="shared" si="2" ref="R35:W35">R31+R33</f>
        <v>-166189.78399999999</v>
      </c>
      <c r="S35" s="508">
        <f t="shared" si="2"/>
        <v>73846</v>
      </c>
      <c r="T35" s="508">
        <f t="shared" si="2"/>
        <v>-92343.784</v>
      </c>
      <c r="U35" s="546">
        <f t="shared" si="2"/>
        <v>1419654.216</v>
      </c>
      <c r="V35" s="508">
        <f t="shared" si="2"/>
        <v>1219067.3809999998</v>
      </c>
      <c r="W35" s="508">
        <f t="shared" si="2"/>
        <v>200586.83500000014</v>
      </c>
      <c r="Y35" s="433"/>
      <c r="Z35" s="428"/>
      <c r="AA35" s="428"/>
      <c r="AB35" s="422"/>
    </row>
    <row r="36" spans="4:27" ht="12.75">
      <c r="D36" s="251"/>
      <c r="E36" s="249"/>
      <c r="F36" s="252"/>
      <c r="G36" s="253"/>
      <c r="H36" s="249"/>
      <c r="I36" s="343"/>
      <c r="L36" s="21"/>
      <c r="M36" s="21"/>
      <c r="N36" s="21"/>
      <c r="Q36" s="390"/>
      <c r="R36" s="507"/>
      <c r="S36" s="507"/>
      <c r="T36" s="507"/>
      <c r="U36" s="507"/>
      <c r="V36" s="507"/>
      <c r="W36" s="507"/>
      <c r="X36" s="354"/>
      <c r="Y36" s="428"/>
      <c r="Z36" s="428"/>
      <c r="AA36" s="428"/>
    </row>
    <row r="37" spans="4:27" ht="12.75">
      <c r="D37" s="251" t="s">
        <v>320</v>
      </c>
      <c r="E37" s="249"/>
      <c r="F37" s="252"/>
      <c r="G37" s="19">
        <v>0.15</v>
      </c>
      <c r="H37" s="260">
        <f>ROUND((G31+H33)*G37,0)</f>
        <v>226800</v>
      </c>
      <c r="I37" s="343"/>
      <c r="L37" s="21"/>
      <c r="M37" s="21"/>
      <c r="N37" s="21"/>
      <c r="Q37" s="390"/>
      <c r="R37" s="507"/>
      <c r="S37" s="507"/>
      <c r="T37" s="507"/>
      <c r="U37" s="507"/>
      <c r="V37" s="507"/>
      <c r="W37" s="507"/>
      <c r="X37" s="354"/>
      <c r="Y37" s="428"/>
      <c r="Z37" s="428"/>
      <c r="AA37" s="428"/>
    </row>
    <row r="38" spans="4:27" ht="12.75">
      <c r="D38" s="251" t="s">
        <v>320</v>
      </c>
      <c r="E38" s="249"/>
      <c r="F38" s="252"/>
      <c r="G38" s="19">
        <v>0.21</v>
      </c>
      <c r="H38" s="260">
        <v>0</v>
      </c>
      <c r="L38" s="21"/>
      <c r="M38" s="21"/>
      <c r="N38" s="21"/>
      <c r="Q38" s="390"/>
      <c r="R38" s="507"/>
      <c r="S38" s="507"/>
      <c r="T38" s="507"/>
      <c r="U38" s="507"/>
      <c r="V38" s="507"/>
      <c r="W38" s="507"/>
      <c r="Y38" s="428"/>
      <c r="Z38" s="428"/>
      <c r="AA38" s="428"/>
    </row>
    <row r="39" spans="4:27" ht="13.5" thickBot="1">
      <c r="D39" s="262"/>
      <c r="E39" s="263"/>
      <c r="F39" s="264"/>
      <c r="G39" s="265"/>
      <c r="H39" s="263"/>
      <c r="L39" s="21"/>
      <c r="M39" s="21"/>
      <c r="N39" s="21"/>
      <c r="Q39" s="390"/>
      <c r="R39" s="507"/>
      <c r="S39" s="507"/>
      <c r="T39" s="507"/>
      <c r="U39" s="507"/>
      <c r="V39" s="507"/>
      <c r="W39" s="507"/>
      <c r="Y39" s="437"/>
      <c r="Z39" s="437"/>
      <c r="AA39" s="437"/>
    </row>
    <row r="40" spans="4:30" ht="16.5" thickBot="1">
      <c r="D40" s="266" t="s">
        <v>321</v>
      </c>
      <c r="E40" s="263"/>
      <c r="F40" s="264"/>
      <c r="G40" s="264"/>
      <c r="H40" s="267">
        <f>G31+H33+H37+H38</f>
        <v>1738798</v>
      </c>
      <c r="Q40" s="390"/>
      <c r="R40" s="507"/>
      <c r="S40" s="507"/>
      <c r="T40" s="507"/>
      <c r="U40" s="507"/>
      <c r="V40" s="507"/>
      <c r="W40" s="507"/>
      <c r="Y40" s="414" t="s">
        <v>871</v>
      </c>
      <c r="Z40" s="414" t="s">
        <v>881</v>
      </c>
      <c r="AA40" s="415" t="s">
        <v>872</v>
      </c>
      <c r="AD40" s="1" t="s">
        <v>910</v>
      </c>
    </row>
    <row r="41" spans="17:27" ht="12.75">
      <c r="Q41" s="390"/>
      <c r="R41" s="507"/>
      <c r="S41" s="507"/>
      <c r="T41" s="507"/>
      <c r="U41" s="507"/>
      <c r="V41" s="507"/>
      <c r="W41" s="507"/>
      <c r="Y41" s="416"/>
      <c r="Z41" s="416"/>
      <c r="AA41" s="416"/>
    </row>
    <row r="42" spans="17:27" ht="12.75">
      <c r="Q42" s="401"/>
      <c r="R42" s="508"/>
      <c r="S42" s="508"/>
      <c r="T42" s="508"/>
      <c r="U42" s="507"/>
      <c r="V42" s="507"/>
      <c r="W42" s="507"/>
      <c r="Y42" s="416"/>
      <c r="Z42" s="416"/>
      <c r="AA42" s="416"/>
    </row>
    <row r="43" spans="4:27" ht="15">
      <c r="D43" s="268" t="s">
        <v>741</v>
      </c>
      <c r="E43" s="212"/>
      <c r="F43" s="269"/>
      <c r="G43" s="212"/>
      <c r="H43" s="212"/>
      <c r="Q43" s="501"/>
      <c r="R43" s="505" t="s">
        <v>852</v>
      </c>
      <c r="S43" s="505" t="s">
        <v>857</v>
      </c>
      <c r="T43" s="505" t="s">
        <v>913</v>
      </c>
      <c r="U43" s="543" t="s">
        <v>911</v>
      </c>
      <c r="V43" s="505" t="s">
        <v>912</v>
      </c>
      <c r="W43" s="523" t="s">
        <v>872</v>
      </c>
      <c r="Y43" s="416"/>
      <c r="Z43" s="416"/>
      <c r="AA43" s="416"/>
    </row>
    <row r="44" spans="4:30" ht="12.75">
      <c r="D44" s="270" t="s">
        <v>461</v>
      </c>
      <c r="E44" s="271"/>
      <c r="F44" s="269"/>
      <c r="G44" s="212"/>
      <c r="H44" s="272">
        <v>1054001</v>
      </c>
      <c r="I44" s="344">
        <f>+H44/G31</f>
        <v>0.7741480340037223</v>
      </c>
      <c r="Q44" s="548"/>
      <c r="R44" s="506">
        <f>T228+T257+T263+T264+T275+T288+T290+T294+T299+T300+T322+T346+T351+T354+T359+T360+T361+T409+T415+T457+T471+T483+T493</f>
        <v>-134818.155</v>
      </c>
      <c r="S44" s="506">
        <f>T265+T266+T301+T302+T347+T352+T458+T484</f>
        <v>73846</v>
      </c>
      <c r="T44" s="527">
        <f>R44+S44</f>
        <v>-60972.155</v>
      </c>
      <c r="U44" s="545">
        <f>H44+R44+S44</f>
        <v>993028.845</v>
      </c>
      <c r="V44" s="509">
        <f>Y44+Z44</f>
        <v>808441.7590000001</v>
      </c>
      <c r="W44" s="549">
        <f>U44-V44</f>
        <v>184587.0859999999</v>
      </c>
      <c r="X44" s="359"/>
      <c r="Y44" s="420">
        <f>Y115+Y113+Y114+Y118+Y119+Y120+Y123+Y126+Y127+Y129+Y130+Y131+Y132+Y133+Y134+Y135+Y136+Y141+Y142+Y143+Y144+Y145+Y146+Y147+Y148+Y149+Y150+Y151+Y156+Y158+Y160+Y161+Y193+Y194+Y195+Y196+Y197+Y262+Y263+Y264+Y268+Y269+Y270+Y271+Y275+Y280+Y281+Y282+Y283+Y284+Y285+Y286+Y287+Y291+Y293+Y299+Y300+Y304+Y305+Y306+Y313+Y319+Y359+Y366+Y425+Y426+Y427+Y428+Y430+Y431+Y432+Y433+Y434+Y435+Y436+Y437+Y439+Y440+Y441+Y442+Y443+Y476+Y477+Y480+Y481+Y482</f>
        <v>328992.85899999994</v>
      </c>
      <c r="Z44" s="420">
        <f>Z113+Z114+Z133+Z205+Z206+Z208+Z209+Z215+Z218+Z223+Z225+Z230+Z231+Z232+Z233+Z236+Z238+Z243+Z244+Z245+Z246+Z247+Z248+Z249+Z256+Z257+Z263+Z264+Z265+Z266+Z267+Z273+Z274+Z275+Z288+Z289+Z292+Z294+Z299+Z300+Z301+Z302+Z303+Z307+Z308+Z309+Z310+Z311+Z312+Z314+Z315+Z316+Z317+Z318+Z320+Z321+Z322+Z327+Z328+Z329+Z330+Z331+Z332+Z333+Z334+Z335+Z336+Z337+Z338+Z339+Z340+Z341+Z342+Z343+Z344+Z345+Z347+Z348+Z349+Z350+Z352+Z353+Z354+Z412+Z448+Z449+Z452+Z453+Z454+Z455+Z458+Z459+Z460+Z461+Z462+Z463+Z464+Z465+Z466+Z467+Z468+Z469+Z470+Z471+Z484+Z485+Z486+Z487+Z488+Z489+Z490+Z491+Z492+Z493+Z497</f>
        <v>479448.9000000001</v>
      </c>
      <c r="AA44" s="420">
        <f>AA115+AA118+AA127+AA133+AA134+AA136+AA144+AA145+AA146+AA147+AA148+AA149+AA150+AA151+AA156+AA158+AA161+AA205+AA208+AA209+AA218+AA228+AA231+AA232+AA233+AA236+AA243+AA244+AA245+AA246+AA248+AA249+AA257+AA263+AA264+AA275+AA282+AA288+AA290+AA292+AA294+AA299+AA300+AA305+AA322+AA346+AA351+AA354+AA359+AA360+AA361+AA366+AA367+AA398+AA404+AA405+AA406+AA407+AA408+AA409+AA425+AA426+AA427+AA428+AA430+AA435+AA443+AA449+AA457+AA461+AA462+AA463+AA465+AA467+AA468+AA471+AA483+AA484+AA485+AA490+AA493</f>
        <v>222558.77327475</v>
      </c>
      <c r="AB44" s="162">
        <f>Y44+Z44+AA44</f>
        <v>1031000.5322747501</v>
      </c>
      <c r="AD44" s="496">
        <f>H44-Y44-Z44+T44</f>
        <v>184587.08599999998</v>
      </c>
    </row>
    <row r="45" spans="4:30" ht="12.75">
      <c r="D45" s="270" t="s">
        <v>462</v>
      </c>
      <c r="E45" s="271"/>
      <c r="F45" s="269"/>
      <c r="G45" s="212"/>
      <c r="H45" s="272">
        <v>307497</v>
      </c>
      <c r="I45" s="344">
        <f>+H45/G31</f>
        <v>0.22585196599627763</v>
      </c>
      <c r="Q45" s="499"/>
      <c r="R45" s="507">
        <f>T164+T172+T174+T181+T200+T272+T386+T387+T388+T393+T420</f>
        <v>-31371.628999999997</v>
      </c>
      <c r="S45" s="507">
        <v>0</v>
      </c>
      <c r="T45" s="509">
        <f>R45+S45</f>
        <v>-31371.628999999997</v>
      </c>
      <c r="U45" s="545">
        <f>H45+R45+S45</f>
        <v>276125.371</v>
      </c>
      <c r="V45" s="509">
        <f>Y45+Z45</f>
        <v>276125.6209999999</v>
      </c>
      <c r="W45" s="549">
        <f>U45-V45</f>
        <v>-0.24999999994179234</v>
      </c>
      <c r="X45" s="359"/>
      <c r="Y45" s="440">
        <f>Y162+Y164+Y166+Y167+Y168+Y169+Y170+Y171+Y179+Y180+Y182+Y183+Y184+Y185+Y186+Y187+Y188+Y189+Y190+Y198+Y199+Y372+Y373+Y374+Y375+Y376+Y377+Y378+Y379+Y380+Y381+Y382+Y383+Y386+Y387+Y388+Y389+Y390+Y391+Y392+Y429</f>
        <v>142230.54799999998</v>
      </c>
      <c r="Z45" s="420">
        <f>Z162+Z164+Z171+Z174+Z179+Z180+Z181+Z182+Z191+Z192+Z200+Z241+Z242+Z384+Z385+Z386+Z387+Z388+Z393+Z410+Z411+Z413+Z414+Z416+Z417+Z418+Z419+Z420</f>
        <v>133895.07299999997</v>
      </c>
      <c r="AA45" s="420">
        <v>31371.83</v>
      </c>
      <c r="AB45" s="162">
        <f>Y45+Z45+AA45</f>
        <v>307497.45099999994</v>
      </c>
      <c r="AD45" s="442">
        <f>H45-Y45-Z45+T45</f>
        <v>-0.24999999995270628</v>
      </c>
    </row>
    <row r="46" spans="4:28" ht="12.75">
      <c r="D46" s="212"/>
      <c r="E46" s="212"/>
      <c r="F46" s="269"/>
      <c r="G46" s="212"/>
      <c r="H46" s="273"/>
      <c r="Q46" s="499"/>
      <c r="R46" s="507"/>
      <c r="S46" s="507"/>
      <c r="T46" s="509"/>
      <c r="U46" s="547"/>
      <c r="V46" s="509"/>
      <c r="W46" s="549"/>
      <c r="Y46" s="420"/>
      <c r="Z46" s="420"/>
      <c r="AA46" s="420"/>
      <c r="AB46" s="162"/>
    </row>
    <row r="47" spans="4:28" ht="15">
      <c r="D47" s="268" t="s">
        <v>742</v>
      </c>
      <c r="E47" s="212"/>
      <c r="F47" s="269"/>
      <c r="G47" s="212"/>
      <c r="H47" s="273"/>
      <c r="Q47" s="499"/>
      <c r="R47" s="507"/>
      <c r="S47" s="507"/>
      <c r="T47" s="509"/>
      <c r="U47" s="547"/>
      <c r="V47" s="509"/>
      <c r="W47" s="549"/>
      <c r="Y47" s="420"/>
      <c r="Z47" s="420"/>
      <c r="AA47" s="420"/>
      <c r="AB47" s="162"/>
    </row>
    <row r="48" spans="4:28" ht="12.75">
      <c r="D48" s="270" t="s">
        <v>461</v>
      </c>
      <c r="E48" s="271"/>
      <c r="F48" s="269"/>
      <c r="G48" s="212"/>
      <c r="H48" s="274">
        <v>116509</v>
      </c>
      <c r="Q48" s="499"/>
      <c r="R48" s="507">
        <v>0</v>
      </c>
      <c r="S48" s="507">
        <v>0</v>
      </c>
      <c r="T48" s="509">
        <v>0</v>
      </c>
      <c r="U48" s="545">
        <f>H48+R48+S48</f>
        <v>116509</v>
      </c>
      <c r="V48" s="509">
        <f>Y48+Z48</f>
        <v>100509.25</v>
      </c>
      <c r="W48" s="549">
        <f>U48-V48</f>
        <v>15999.75</v>
      </c>
      <c r="Y48" s="420">
        <v>43932.89</v>
      </c>
      <c r="Z48" s="420">
        <v>56576.36</v>
      </c>
      <c r="AA48" s="420">
        <f>AA89</f>
        <v>16000</v>
      </c>
      <c r="AB48" s="162">
        <f>Y48+Z48+AA48</f>
        <v>116509.25</v>
      </c>
    </row>
    <row r="49" spans="4:28" ht="12.75">
      <c r="D49" s="270" t="s">
        <v>462</v>
      </c>
      <c r="E49" s="271"/>
      <c r="F49" s="269"/>
      <c r="G49" s="212"/>
      <c r="H49" s="274">
        <v>33991</v>
      </c>
      <c r="Q49" s="499"/>
      <c r="R49" s="507">
        <v>0</v>
      </c>
      <c r="S49" s="507">
        <v>0</v>
      </c>
      <c r="T49" s="509">
        <v>0</v>
      </c>
      <c r="U49" s="545">
        <f>H49+R49+S49</f>
        <v>33991</v>
      </c>
      <c r="V49" s="509">
        <f>Y49+Z49</f>
        <v>33990.751000000004</v>
      </c>
      <c r="W49" s="549">
        <f>U49-V49</f>
        <v>0.2489999999961583</v>
      </c>
      <c r="Y49" s="426">
        <v>12817.11</v>
      </c>
      <c r="Z49" s="426">
        <v>21173.641</v>
      </c>
      <c r="AA49" s="420">
        <v>0</v>
      </c>
      <c r="AB49" s="162">
        <f>Y49+Z49+AA49</f>
        <v>33990.751000000004</v>
      </c>
    </row>
    <row r="50" spans="4:28" ht="12.75">
      <c r="D50" s="212"/>
      <c r="E50" s="212"/>
      <c r="F50" s="269"/>
      <c r="G50" s="212"/>
      <c r="H50" s="273"/>
      <c r="Q50" s="499"/>
      <c r="R50" s="507"/>
      <c r="S50" s="507"/>
      <c r="T50" s="509"/>
      <c r="U50" s="547"/>
      <c r="V50" s="509"/>
      <c r="W50" s="549"/>
      <c r="Y50" s="420"/>
      <c r="Z50" s="420"/>
      <c r="AA50" s="420"/>
      <c r="AB50" s="162"/>
    </row>
    <row r="51" spans="4:28" ht="15">
      <c r="D51" s="268" t="s">
        <v>743</v>
      </c>
      <c r="E51" s="212"/>
      <c r="F51" s="269"/>
      <c r="G51" s="212"/>
      <c r="H51" s="273"/>
      <c r="Q51" s="499"/>
      <c r="R51" s="507"/>
      <c r="S51" s="507"/>
      <c r="T51" s="509"/>
      <c r="U51" s="547"/>
      <c r="V51" s="509"/>
      <c r="W51" s="549"/>
      <c r="Y51" s="420"/>
      <c r="Z51" s="420"/>
      <c r="AA51" s="420"/>
      <c r="AB51" s="162"/>
    </row>
    <row r="52" spans="4:30" ht="12.75">
      <c r="D52" s="270" t="s">
        <v>461</v>
      </c>
      <c r="E52" s="271"/>
      <c r="F52" s="269"/>
      <c r="G52" s="212"/>
      <c r="H52" s="272">
        <f>+H44+H48</f>
        <v>1170510</v>
      </c>
      <c r="I52" s="344">
        <f>+H52/H35</f>
        <v>0.7741478494019172</v>
      </c>
      <c r="Q52" s="499"/>
      <c r="R52" s="507">
        <f>R44</f>
        <v>-134818.155</v>
      </c>
      <c r="S52" s="507">
        <f>S44</f>
        <v>73846</v>
      </c>
      <c r="T52" s="509">
        <f>R52+S52</f>
        <v>-60972.155</v>
      </c>
      <c r="U52" s="545">
        <f>H52+R52+S52</f>
        <v>1109537.845</v>
      </c>
      <c r="V52" s="509">
        <f>V44+V48</f>
        <v>908951.0090000001</v>
      </c>
      <c r="W52" s="549">
        <f>U52-V52</f>
        <v>200586.8359999999</v>
      </c>
      <c r="X52" s="502"/>
      <c r="Y52" s="439">
        <f aca="true" t="shared" si="3" ref="Y52:AA53">Y44+Y48</f>
        <v>372925.74899999995</v>
      </c>
      <c r="Z52" s="421">
        <f t="shared" si="3"/>
        <v>536025.2600000001</v>
      </c>
      <c r="AA52" s="426">
        <f t="shared" si="3"/>
        <v>238558.77327475</v>
      </c>
      <c r="AB52" s="162">
        <f>Y52+Z52+AA52</f>
        <v>1147509.78227475</v>
      </c>
      <c r="AD52" s="442">
        <f>H52-Y52-Z52+T52</f>
        <v>200586.83599999992</v>
      </c>
    </row>
    <row r="53" spans="4:30" ht="12.75">
      <c r="D53" s="270" t="s">
        <v>462</v>
      </c>
      <c r="E53" s="271"/>
      <c r="F53" s="269"/>
      <c r="G53" s="212"/>
      <c r="H53" s="272">
        <f>+H45+H49</f>
        <v>341488</v>
      </c>
      <c r="I53" s="344">
        <f>+H53/H35</f>
        <v>0.2258521505980828</v>
      </c>
      <c r="Q53" s="499"/>
      <c r="R53" s="507">
        <f>R45</f>
        <v>-31371.628999999997</v>
      </c>
      <c r="S53" s="507">
        <f>S45</f>
        <v>0</v>
      </c>
      <c r="T53" s="509">
        <f>R53+S53</f>
        <v>-31371.628999999997</v>
      </c>
      <c r="U53" s="545">
        <f>H53+R53+S53</f>
        <v>310116.371</v>
      </c>
      <c r="V53" s="509">
        <f>V45+V49</f>
        <v>310116.3719999999</v>
      </c>
      <c r="W53" s="549">
        <f>U53-V53</f>
        <v>-0.0009999999310821295</v>
      </c>
      <c r="X53" s="502"/>
      <c r="Y53" s="439">
        <f t="shared" si="3"/>
        <v>155047.658</v>
      </c>
      <c r="Z53" s="421">
        <f>Z45+Z49</f>
        <v>155068.71399999998</v>
      </c>
      <c r="AA53" s="426">
        <f t="shared" si="3"/>
        <v>31371.83</v>
      </c>
      <c r="AB53" s="162">
        <f>Y53+Z53+AA53</f>
        <v>341488.202</v>
      </c>
      <c r="AC53" s="442"/>
      <c r="AD53" s="442">
        <f>H53-Y53-Z53+T53</f>
        <v>-0.0009999999710998964</v>
      </c>
    </row>
    <row r="54" spans="17:28" ht="12.75">
      <c r="Q54" s="500"/>
      <c r="R54" s="526">
        <f aca="true" t="shared" si="4" ref="R54:W54">SUM(R52:R53)</f>
        <v>-166189.78399999999</v>
      </c>
      <c r="S54" s="526">
        <f t="shared" si="4"/>
        <v>73846</v>
      </c>
      <c r="T54" s="526">
        <f t="shared" si="4"/>
        <v>-92343.784</v>
      </c>
      <c r="U54" s="546">
        <f t="shared" si="4"/>
        <v>1419654.216</v>
      </c>
      <c r="V54" s="526">
        <f t="shared" si="4"/>
        <v>1219067.381</v>
      </c>
      <c r="W54" s="550">
        <f t="shared" si="4"/>
        <v>200586.83499999996</v>
      </c>
      <c r="Y54" s="416"/>
      <c r="Z54" s="416"/>
      <c r="AA54" s="416"/>
      <c r="AB54" s="422"/>
    </row>
    <row r="55" spans="4:29" ht="18" hidden="1">
      <c r="D55" s="275" t="s">
        <v>355</v>
      </c>
      <c r="E55" s="245"/>
      <c r="F55" s="246"/>
      <c r="G55" s="276"/>
      <c r="H55" s="245"/>
      <c r="Q55" s="390"/>
      <c r="R55" s="507"/>
      <c r="S55" s="507"/>
      <c r="T55" s="507"/>
      <c r="U55" s="507"/>
      <c r="V55" s="507"/>
      <c r="W55" s="507"/>
      <c r="Y55" s="438">
        <f>SUM(Y52:Y54)</f>
        <v>527973.4069999999</v>
      </c>
      <c r="Z55" s="416">
        <f>SUM(Z52:Z54)</f>
        <v>691093.9740000002</v>
      </c>
      <c r="AA55" s="416">
        <f>SUM(AA52:AA54)</f>
        <v>269930.60327475</v>
      </c>
      <c r="AB55" s="162">
        <f>Y55+Z55+AA55</f>
        <v>1488997.98427475</v>
      </c>
      <c r="AC55" s="441"/>
    </row>
    <row r="56" spans="25:27" ht="7.5" customHeight="1" hidden="1">
      <c r="Y56" s="427"/>
      <c r="Z56" s="427"/>
      <c r="AA56" s="427"/>
    </row>
    <row r="57" spans="4:27" ht="12.75" hidden="1">
      <c r="D57" s="73" t="s">
        <v>322</v>
      </c>
      <c r="Y57" s="428"/>
      <c r="Z57" s="428"/>
      <c r="AA57" s="428"/>
    </row>
    <row r="58" spans="4:27" ht="12.75" hidden="1">
      <c r="D58" s="551" t="s">
        <v>323</v>
      </c>
      <c r="E58" s="552"/>
      <c r="F58" s="552"/>
      <c r="G58" s="552"/>
      <c r="H58" s="553"/>
      <c r="Q58" s="390"/>
      <c r="R58" s="507"/>
      <c r="S58" s="507"/>
      <c r="T58" s="507"/>
      <c r="U58" s="507"/>
      <c r="V58" s="507"/>
      <c r="W58" s="507"/>
      <c r="Y58" s="428"/>
      <c r="Z58" s="428"/>
      <c r="AA58" s="428"/>
    </row>
    <row r="59" spans="1:27" s="3" customFormat="1" ht="44.25" customHeight="1" hidden="1">
      <c r="A59" s="215"/>
      <c r="B59" s="277"/>
      <c r="C59" s="217"/>
      <c r="D59" s="554" t="s">
        <v>825</v>
      </c>
      <c r="E59" s="555"/>
      <c r="F59" s="555"/>
      <c r="G59" s="555"/>
      <c r="H59" s="556"/>
      <c r="I59" s="343"/>
      <c r="K59" s="84"/>
      <c r="Q59" s="390"/>
      <c r="R59" s="507"/>
      <c r="S59" s="507"/>
      <c r="T59" s="507"/>
      <c r="U59" s="507"/>
      <c r="V59" s="507"/>
      <c r="W59" s="507"/>
      <c r="X59" s="354"/>
      <c r="Y59" s="428"/>
      <c r="Z59" s="428"/>
      <c r="AA59" s="428"/>
    </row>
    <row r="60" spans="1:27" s="3" customFormat="1" ht="19.5" customHeight="1" hidden="1">
      <c r="A60" s="215"/>
      <c r="B60" s="277"/>
      <c r="C60" s="217"/>
      <c r="D60" s="554" t="s">
        <v>221</v>
      </c>
      <c r="E60" s="555"/>
      <c r="F60" s="555"/>
      <c r="G60" s="555"/>
      <c r="H60" s="556"/>
      <c r="I60" s="343"/>
      <c r="K60" s="84"/>
      <c r="Q60" s="390"/>
      <c r="R60" s="507"/>
      <c r="S60" s="507"/>
      <c r="T60" s="507"/>
      <c r="U60" s="507"/>
      <c r="V60" s="507"/>
      <c r="W60" s="507"/>
      <c r="X60" s="354"/>
      <c r="Y60" s="428"/>
      <c r="Z60" s="428"/>
      <c r="AA60" s="428"/>
    </row>
    <row r="61" spans="1:27" s="3" customFormat="1" ht="33.75" customHeight="1" hidden="1">
      <c r="A61" s="215"/>
      <c r="B61" s="277"/>
      <c r="C61" s="217"/>
      <c r="D61" s="554" t="s">
        <v>220</v>
      </c>
      <c r="E61" s="555"/>
      <c r="F61" s="555"/>
      <c r="G61" s="555"/>
      <c r="H61" s="556"/>
      <c r="I61" s="343"/>
      <c r="K61" s="84"/>
      <c r="Q61" s="399"/>
      <c r="R61" s="510"/>
      <c r="S61" s="510"/>
      <c r="T61" s="510"/>
      <c r="U61" s="510"/>
      <c r="V61" s="510"/>
      <c r="W61" s="510"/>
      <c r="X61" s="354"/>
      <c r="Y61" s="428"/>
      <c r="Z61" s="428"/>
      <c r="AA61" s="428"/>
    </row>
    <row r="62" spans="1:27" s="3" customFormat="1" ht="32.25" customHeight="1" hidden="1">
      <c r="A62" s="215"/>
      <c r="B62" s="277"/>
      <c r="C62" s="217"/>
      <c r="D62" s="554" t="s">
        <v>95</v>
      </c>
      <c r="E62" s="555"/>
      <c r="F62" s="555"/>
      <c r="G62" s="555"/>
      <c r="H62" s="556"/>
      <c r="I62" s="343"/>
      <c r="K62" s="84"/>
      <c r="Q62" s="399"/>
      <c r="R62" s="510"/>
      <c r="S62" s="510"/>
      <c r="T62" s="510"/>
      <c r="U62" s="510"/>
      <c r="V62" s="510"/>
      <c r="W62" s="510"/>
      <c r="X62" s="354"/>
      <c r="Y62" s="428"/>
      <c r="Z62" s="428"/>
      <c r="AA62" s="428"/>
    </row>
    <row r="63" spans="1:27" s="3" customFormat="1" ht="19.5" customHeight="1" hidden="1">
      <c r="A63" s="215"/>
      <c r="B63" s="277"/>
      <c r="C63" s="217"/>
      <c r="D63" s="554" t="s">
        <v>324</v>
      </c>
      <c r="E63" s="555"/>
      <c r="F63" s="555"/>
      <c r="G63" s="555"/>
      <c r="H63" s="556"/>
      <c r="I63" s="343"/>
      <c r="K63" s="84"/>
      <c r="Q63" s="399"/>
      <c r="R63" s="510"/>
      <c r="S63" s="510"/>
      <c r="T63" s="510"/>
      <c r="U63" s="510"/>
      <c r="V63" s="510"/>
      <c r="W63" s="510"/>
      <c r="X63" s="354"/>
      <c r="Y63" s="428"/>
      <c r="Z63" s="428"/>
      <c r="AA63" s="428"/>
    </row>
    <row r="64" spans="1:27" s="3" customFormat="1" ht="48" customHeight="1" hidden="1">
      <c r="A64" s="215"/>
      <c r="B64" s="277"/>
      <c r="C64" s="217"/>
      <c r="D64" s="554" t="s">
        <v>39</v>
      </c>
      <c r="E64" s="555"/>
      <c r="F64" s="555"/>
      <c r="G64" s="555"/>
      <c r="H64" s="556"/>
      <c r="I64" s="343"/>
      <c r="K64" s="84"/>
      <c r="Q64" s="399"/>
      <c r="R64" s="510"/>
      <c r="S64" s="510"/>
      <c r="T64" s="510"/>
      <c r="U64" s="510"/>
      <c r="V64" s="510"/>
      <c r="W64" s="510"/>
      <c r="X64" s="354"/>
      <c r="Y64" s="428"/>
      <c r="Z64" s="428"/>
      <c r="AA64" s="428"/>
    </row>
    <row r="65" spans="1:27" s="3" customFormat="1" ht="42" customHeight="1" hidden="1">
      <c r="A65" s="215"/>
      <c r="B65" s="277"/>
      <c r="C65" s="217"/>
      <c r="D65" s="554" t="s">
        <v>40</v>
      </c>
      <c r="E65" s="555"/>
      <c r="F65" s="555"/>
      <c r="G65" s="555"/>
      <c r="H65" s="556"/>
      <c r="I65" s="343"/>
      <c r="K65" s="84"/>
      <c r="Q65" s="399"/>
      <c r="R65" s="510"/>
      <c r="S65" s="510"/>
      <c r="T65" s="510"/>
      <c r="U65" s="510"/>
      <c r="V65" s="510"/>
      <c r="W65" s="510"/>
      <c r="X65" s="354"/>
      <c r="Y65" s="428"/>
      <c r="Z65" s="428"/>
      <c r="AA65" s="428"/>
    </row>
    <row r="66" spans="1:27" s="3" customFormat="1" ht="20.25" customHeight="1" hidden="1">
      <c r="A66" s="215"/>
      <c r="B66" s="277"/>
      <c r="C66" s="217"/>
      <c r="D66" s="554" t="s">
        <v>222</v>
      </c>
      <c r="E66" s="555"/>
      <c r="F66" s="555"/>
      <c r="G66" s="555"/>
      <c r="H66" s="556"/>
      <c r="I66" s="343"/>
      <c r="K66" s="84"/>
      <c r="Q66" s="399"/>
      <c r="R66" s="510"/>
      <c r="S66" s="510"/>
      <c r="T66" s="510"/>
      <c r="U66" s="510"/>
      <c r="V66" s="510"/>
      <c r="W66" s="510"/>
      <c r="X66" s="354"/>
      <c r="Y66" s="428"/>
      <c r="Z66" s="428"/>
      <c r="AA66" s="428"/>
    </row>
    <row r="67" spans="1:27" s="3" customFormat="1" ht="21.75" customHeight="1" hidden="1">
      <c r="A67" s="215"/>
      <c r="B67" s="277"/>
      <c r="C67" s="217"/>
      <c r="D67" s="554" t="s">
        <v>223</v>
      </c>
      <c r="E67" s="555"/>
      <c r="F67" s="555"/>
      <c r="G67" s="555"/>
      <c r="H67" s="556"/>
      <c r="I67" s="343"/>
      <c r="K67" s="84"/>
      <c r="Q67" s="399"/>
      <c r="R67" s="510"/>
      <c r="S67" s="510"/>
      <c r="T67" s="510"/>
      <c r="U67" s="510"/>
      <c r="V67" s="510"/>
      <c r="W67" s="510"/>
      <c r="X67" s="354"/>
      <c r="Y67" s="428"/>
      <c r="Z67" s="428"/>
      <c r="AA67" s="428"/>
    </row>
    <row r="68" spans="1:27" s="3" customFormat="1" ht="31.5" customHeight="1" hidden="1">
      <c r="A68" s="215"/>
      <c r="B68" s="277"/>
      <c r="C68" s="217"/>
      <c r="D68" s="554" t="s">
        <v>225</v>
      </c>
      <c r="E68" s="555"/>
      <c r="F68" s="555"/>
      <c r="G68" s="555"/>
      <c r="H68" s="556"/>
      <c r="I68" s="343"/>
      <c r="K68" s="84"/>
      <c r="Q68" s="399"/>
      <c r="R68" s="510"/>
      <c r="S68" s="510"/>
      <c r="T68" s="510"/>
      <c r="U68" s="510"/>
      <c r="V68" s="510"/>
      <c r="W68" s="510"/>
      <c r="X68" s="354"/>
      <c r="Y68" s="428"/>
      <c r="Z68" s="428"/>
      <c r="AA68" s="428"/>
    </row>
    <row r="69" spans="1:27" s="3" customFormat="1" ht="17.25" customHeight="1" hidden="1">
      <c r="A69" s="215"/>
      <c r="B69" s="277"/>
      <c r="C69" s="217"/>
      <c r="D69" s="554" t="s">
        <v>224</v>
      </c>
      <c r="E69" s="555"/>
      <c r="F69" s="555"/>
      <c r="G69" s="555"/>
      <c r="H69" s="556"/>
      <c r="I69" s="343"/>
      <c r="K69" s="84"/>
      <c r="Q69" s="399"/>
      <c r="R69" s="510"/>
      <c r="S69" s="510"/>
      <c r="T69" s="510"/>
      <c r="U69" s="510"/>
      <c r="V69" s="510"/>
      <c r="W69" s="510"/>
      <c r="X69" s="354"/>
      <c r="Y69" s="428"/>
      <c r="Z69" s="428"/>
      <c r="AA69" s="428"/>
    </row>
    <row r="70" spans="1:27" s="3" customFormat="1" ht="35.25" customHeight="1" hidden="1">
      <c r="A70" s="215"/>
      <c r="B70" s="277"/>
      <c r="C70" s="217"/>
      <c r="D70" s="554" t="s">
        <v>226</v>
      </c>
      <c r="E70" s="555"/>
      <c r="F70" s="555"/>
      <c r="G70" s="555"/>
      <c r="H70" s="556"/>
      <c r="I70" s="343"/>
      <c r="K70" s="84"/>
      <c r="Q70" s="399"/>
      <c r="R70" s="510"/>
      <c r="S70" s="510"/>
      <c r="T70" s="510"/>
      <c r="U70" s="510"/>
      <c r="V70" s="510"/>
      <c r="W70" s="510"/>
      <c r="X70" s="354"/>
      <c r="Y70" s="428"/>
      <c r="Z70" s="428"/>
      <c r="AA70" s="428"/>
    </row>
    <row r="71" spans="1:27" s="3" customFormat="1" ht="42.75" customHeight="1" hidden="1">
      <c r="A71" s="215"/>
      <c r="B71" s="277"/>
      <c r="C71" s="217"/>
      <c r="D71" s="554" t="s">
        <v>41</v>
      </c>
      <c r="E71" s="555"/>
      <c r="F71" s="555"/>
      <c r="G71" s="555"/>
      <c r="H71" s="556"/>
      <c r="I71" s="343"/>
      <c r="K71" s="84"/>
      <c r="Q71" s="399"/>
      <c r="R71" s="510"/>
      <c r="S71" s="510"/>
      <c r="T71" s="510"/>
      <c r="U71" s="510"/>
      <c r="V71" s="510"/>
      <c r="W71" s="510"/>
      <c r="X71" s="354"/>
      <c r="Y71" s="428"/>
      <c r="Z71" s="428"/>
      <c r="AA71" s="428"/>
    </row>
    <row r="72" spans="1:27" s="3" customFormat="1" ht="17.25" customHeight="1" hidden="1">
      <c r="A72" s="215"/>
      <c r="B72" s="277"/>
      <c r="C72" s="217"/>
      <c r="D72" s="554" t="s">
        <v>227</v>
      </c>
      <c r="E72" s="555"/>
      <c r="F72" s="555"/>
      <c r="G72" s="555"/>
      <c r="H72" s="556"/>
      <c r="I72" s="343"/>
      <c r="K72" s="84"/>
      <c r="Q72" s="399"/>
      <c r="R72" s="510"/>
      <c r="S72" s="510"/>
      <c r="T72" s="510"/>
      <c r="U72" s="510"/>
      <c r="V72" s="510"/>
      <c r="W72" s="510"/>
      <c r="X72" s="354"/>
      <c r="Y72" s="428"/>
      <c r="Z72" s="428"/>
      <c r="AA72" s="428"/>
    </row>
    <row r="73" spans="1:27" s="3" customFormat="1" ht="18.75" customHeight="1" hidden="1">
      <c r="A73" s="215"/>
      <c r="B73" s="277"/>
      <c r="C73" s="217"/>
      <c r="D73" s="554" t="s">
        <v>228</v>
      </c>
      <c r="E73" s="555"/>
      <c r="F73" s="555"/>
      <c r="G73" s="555"/>
      <c r="H73" s="556"/>
      <c r="I73" s="343"/>
      <c r="K73" s="84"/>
      <c r="Q73" s="399"/>
      <c r="R73" s="510"/>
      <c r="S73" s="510"/>
      <c r="T73" s="510"/>
      <c r="U73" s="510"/>
      <c r="V73" s="510"/>
      <c r="W73" s="510"/>
      <c r="X73" s="354"/>
      <c r="Y73" s="428"/>
      <c r="Z73" s="428"/>
      <c r="AA73" s="428"/>
    </row>
    <row r="74" spans="4:27" ht="12.75" customHeight="1" hidden="1">
      <c r="D74" s="77"/>
      <c r="E74" s="78"/>
      <c r="F74" s="78"/>
      <c r="G74" s="78"/>
      <c r="H74" s="79"/>
      <c r="Q74" s="399"/>
      <c r="R74" s="510"/>
      <c r="S74" s="510"/>
      <c r="T74" s="510"/>
      <c r="U74" s="510"/>
      <c r="V74" s="510"/>
      <c r="W74" s="510"/>
      <c r="Y74" s="428"/>
      <c r="Z74" s="428"/>
      <c r="AA74" s="428"/>
    </row>
    <row r="75" spans="1:27" s="3" customFormat="1" ht="40.5" customHeight="1" hidden="1">
      <c r="A75" s="215"/>
      <c r="B75" s="277"/>
      <c r="C75" s="217"/>
      <c r="D75" s="554" t="s">
        <v>340</v>
      </c>
      <c r="E75" s="555"/>
      <c r="F75" s="555"/>
      <c r="G75" s="555"/>
      <c r="H75" s="556"/>
      <c r="I75" s="343"/>
      <c r="K75" s="84"/>
      <c r="Q75" s="399"/>
      <c r="R75" s="510"/>
      <c r="S75" s="510"/>
      <c r="T75" s="510"/>
      <c r="U75" s="510"/>
      <c r="V75" s="510"/>
      <c r="W75" s="510"/>
      <c r="X75" s="354"/>
      <c r="Y75" s="428"/>
      <c r="Z75" s="428"/>
      <c r="AA75" s="428"/>
    </row>
    <row r="76" spans="1:27" s="3" customFormat="1" ht="45.75" customHeight="1" hidden="1">
      <c r="A76" s="215"/>
      <c r="B76" s="277"/>
      <c r="C76" s="217"/>
      <c r="D76" s="558" t="s">
        <v>823</v>
      </c>
      <c r="E76" s="558"/>
      <c r="F76" s="558"/>
      <c r="G76" s="558"/>
      <c r="H76" s="558"/>
      <c r="I76" s="343"/>
      <c r="K76" s="84"/>
      <c r="Q76" s="390"/>
      <c r="R76" s="507"/>
      <c r="S76" s="507"/>
      <c r="T76" s="507"/>
      <c r="U76" s="507"/>
      <c r="V76" s="507"/>
      <c r="W76" s="507"/>
      <c r="X76" s="354"/>
      <c r="Y76" s="429"/>
      <c r="Z76" s="429"/>
      <c r="AA76" s="429"/>
    </row>
    <row r="77" spans="1:27" s="3" customFormat="1" ht="31.5" customHeight="1" hidden="1">
      <c r="A77" s="215"/>
      <c r="B77" s="277"/>
      <c r="C77" s="217"/>
      <c r="D77" s="554" t="s">
        <v>325</v>
      </c>
      <c r="E77" s="555"/>
      <c r="F77" s="555"/>
      <c r="G77" s="555"/>
      <c r="H77" s="556"/>
      <c r="I77" s="343"/>
      <c r="K77" s="84"/>
      <c r="Q77" s="399"/>
      <c r="R77" s="510"/>
      <c r="S77" s="510"/>
      <c r="T77" s="510"/>
      <c r="U77" s="510"/>
      <c r="V77" s="510"/>
      <c r="W77" s="510"/>
      <c r="X77" s="354"/>
      <c r="Y77" s="428"/>
      <c r="Z77" s="428"/>
      <c r="AA77" s="428"/>
    </row>
    <row r="78" spans="1:27" s="3" customFormat="1" ht="36" customHeight="1" hidden="1">
      <c r="A78" s="215"/>
      <c r="B78" s="277"/>
      <c r="C78" s="217"/>
      <c r="D78" s="554" t="s">
        <v>230</v>
      </c>
      <c r="E78" s="555"/>
      <c r="F78" s="555"/>
      <c r="G78" s="555"/>
      <c r="H78" s="556"/>
      <c r="I78" s="343"/>
      <c r="K78" s="84"/>
      <c r="Q78" s="399"/>
      <c r="R78" s="510"/>
      <c r="S78" s="510"/>
      <c r="T78" s="510"/>
      <c r="U78" s="510"/>
      <c r="V78" s="510"/>
      <c r="W78" s="510"/>
      <c r="X78" s="354"/>
      <c r="Y78" s="429"/>
      <c r="Z78" s="429"/>
      <c r="AA78" s="429"/>
    </row>
    <row r="79" spans="1:27" s="3" customFormat="1" ht="54.75" customHeight="1" hidden="1">
      <c r="A79" s="215"/>
      <c r="B79" s="277"/>
      <c r="C79" s="217"/>
      <c r="D79" s="554" t="s">
        <v>42</v>
      </c>
      <c r="E79" s="555"/>
      <c r="F79" s="555"/>
      <c r="G79" s="555"/>
      <c r="H79" s="556"/>
      <c r="I79" s="343"/>
      <c r="K79" s="84"/>
      <c r="Q79" s="399"/>
      <c r="R79" s="510"/>
      <c r="S79" s="510"/>
      <c r="T79" s="510"/>
      <c r="U79" s="510"/>
      <c r="V79" s="510"/>
      <c r="W79" s="510"/>
      <c r="X79" s="354"/>
      <c r="Y79" s="428"/>
      <c r="Z79" s="428"/>
      <c r="AA79" s="428"/>
    </row>
    <row r="80" spans="1:27" s="3" customFormat="1" ht="19.5" customHeight="1" hidden="1">
      <c r="A80" s="215"/>
      <c r="B80" s="277"/>
      <c r="C80" s="217"/>
      <c r="D80" s="554" t="s">
        <v>356</v>
      </c>
      <c r="E80" s="555"/>
      <c r="F80" s="555"/>
      <c r="G80" s="555"/>
      <c r="H80" s="556"/>
      <c r="I80" s="343"/>
      <c r="K80" s="84"/>
      <c r="Q80" s="399"/>
      <c r="R80" s="510"/>
      <c r="S80" s="510"/>
      <c r="T80" s="510"/>
      <c r="U80" s="510"/>
      <c r="V80" s="510"/>
      <c r="W80" s="510"/>
      <c r="X80" s="354"/>
      <c r="Y80" s="428"/>
      <c r="Z80" s="428"/>
      <c r="AA80" s="428"/>
    </row>
    <row r="81" spans="1:27" s="3" customFormat="1" ht="80.25" customHeight="1" hidden="1">
      <c r="A81" s="215"/>
      <c r="B81" s="277"/>
      <c r="C81" s="217"/>
      <c r="D81" s="554" t="s">
        <v>824</v>
      </c>
      <c r="E81" s="555"/>
      <c r="F81" s="555"/>
      <c r="G81" s="555"/>
      <c r="H81" s="556"/>
      <c r="I81" s="343"/>
      <c r="K81" s="84"/>
      <c r="Q81" s="399"/>
      <c r="R81" s="510"/>
      <c r="S81" s="510"/>
      <c r="T81" s="510"/>
      <c r="U81" s="510"/>
      <c r="V81" s="510"/>
      <c r="W81" s="510"/>
      <c r="X81" s="354"/>
      <c r="Y81" s="428"/>
      <c r="Z81" s="428"/>
      <c r="AA81" s="428"/>
    </row>
    <row r="82" spans="1:27" s="3" customFormat="1" ht="42.75" customHeight="1" hidden="1">
      <c r="A82" s="215"/>
      <c r="B82" s="277"/>
      <c r="C82" s="217"/>
      <c r="D82" s="554" t="s">
        <v>93</v>
      </c>
      <c r="E82" s="555"/>
      <c r="F82" s="555"/>
      <c r="G82" s="555"/>
      <c r="H82" s="556"/>
      <c r="I82" s="343"/>
      <c r="K82" s="84"/>
      <c r="Q82" s="399"/>
      <c r="R82" s="510"/>
      <c r="S82" s="510"/>
      <c r="T82" s="510"/>
      <c r="U82" s="510"/>
      <c r="V82" s="510"/>
      <c r="W82" s="510"/>
      <c r="X82" s="354"/>
      <c r="Y82" s="428"/>
      <c r="Z82" s="428"/>
      <c r="AA82" s="428"/>
    </row>
    <row r="83" spans="5:27" ht="12.75" customHeight="1" hidden="1">
      <c r="E83" s="81"/>
      <c r="F83" s="82"/>
      <c r="G83" s="83"/>
      <c r="H83" s="81"/>
      <c r="Q83" s="399"/>
      <c r="R83" s="510"/>
      <c r="S83" s="510"/>
      <c r="T83" s="510"/>
      <c r="U83" s="510"/>
      <c r="V83" s="510"/>
      <c r="W83" s="510"/>
      <c r="Y83" s="428"/>
      <c r="Z83" s="428"/>
      <c r="AA83" s="428"/>
    </row>
    <row r="84" spans="4:27" ht="18.75" customHeight="1" hidden="1">
      <c r="D84" s="557" t="s">
        <v>343</v>
      </c>
      <c r="E84" s="566"/>
      <c r="F84" s="566"/>
      <c r="G84" s="566"/>
      <c r="H84" s="566"/>
      <c r="Q84" s="399"/>
      <c r="R84" s="510"/>
      <c r="S84" s="510"/>
      <c r="T84" s="510"/>
      <c r="U84" s="510"/>
      <c r="V84" s="510"/>
      <c r="W84" s="510"/>
      <c r="Y84" s="428"/>
      <c r="Z84" s="428"/>
      <c r="AA84" s="428"/>
    </row>
    <row r="85" spans="1:27" s="4" customFormat="1" ht="12.75" hidden="1">
      <c r="A85" s="278"/>
      <c r="B85" s="279"/>
      <c r="C85" s="280"/>
      <c r="D85" s="557" t="s">
        <v>342</v>
      </c>
      <c r="E85" s="566"/>
      <c r="F85" s="566"/>
      <c r="G85" s="566"/>
      <c r="H85" s="566"/>
      <c r="I85" s="345"/>
      <c r="K85" s="27"/>
      <c r="P85" s="15"/>
      <c r="Q85" s="390"/>
      <c r="R85" s="507"/>
      <c r="S85" s="507"/>
      <c r="T85" s="507"/>
      <c r="U85" s="507"/>
      <c r="V85" s="507"/>
      <c r="W85" s="507"/>
      <c r="X85" s="360"/>
      <c r="Y85" s="428"/>
      <c r="Z85" s="428"/>
      <c r="AA85" s="428"/>
    </row>
    <row r="86" spans="1:29" ht="54.75" customHeight="1">
      <c r="A86" s="85"/>
      <c r="B86" s="39"/>
      <c r="C86" s="40"/>
      <c r="D86" s="41" t="s">
        <v>173</v>
      </c>
      <c r="E86" s="42"/>
      <c r="F86" s="43"/>
      <c r="G86" s="44"/>
      <c r="H86" s="45"/>
      <c r="I86" s="46"/>
      <c r="K86" s="46"/>
      <c r="L86" s="46"/>
      <c r="N86"/>
      <c r="O86"/>
      <c r="Q86" s="390"/>
      <c r="R86" s="507"/>
      <c r="S86" s="507"/>
      <c r="T86" s="507"/>
      <c r="U86" s="507"/>
      <c r="V86" s="507"/>
      <c r="W86" s="507"/>
      <c r="X86" s="361"/>
      <c r="Y86" s="428"/>
      <c r="Z86" s="428"/>
      <c r="AA86" s="428"/>
      <c r="AB86"/>
      <c r="AC86"/>
    </row>
    <row r="87" spans="1:29" ht="14.25" customHeight="1">
      <c r="A87" s="85"/>
      <c r="B87" s="39"/>
      <c r="C87" s="47"/>
      <c r="D87" s="48" t="s">
        <v>173</v>
      </c>
      <c r="E87" s="49" t="s">
        <v>174</v>
      </c>
      <c r="F87" s="50" t="s">
        <v>175</v>
      </c>
      <c r="G87" s="51" t="s">
        <v>176</v>
      </c>
      <c r="H87" s="51" t="s">
        <v>177</v>
      </c>
      <c r="I87" s="46"/>
      <c r="K87" s="46"/>
      <c r="L87" s="46"/>
      <c r="N87"/>
      <c r="O87"/>
      <c r="Q87" s="400"/>
      <c r="R87" s="511"/>
      <c r="S87" s="511"/>
      <c r="T87" s="511"/>
      <c r="U87" s="511"/>
      <c r="V87" s="511"/>
      <c r="W87" s="511"/>
      <c r="X87" s="361"/>
      <c r="Y87" s="430"/>
      <c r="Z87" s="430"/>
      <c r="AA87" s="430"/>
      <c r="AB87"/>
      <c r="AC87"/>
    </row>
    <row r="88" spans="1:29" ht="14.25" customHeight="1">
      <c r="A88" s="85"/>
      <c r="B88" s="39"/>
      <c r="C88" s="47" t="s">
        <v>178</v>
      </c>
      <c r="D88" s="52" t="s">
        <v>179</v>
      </c>
      <c r="E88" s="53"/>
      <c r="F88" s="54"/>
      <c r="G88" s="55"/>
      <c r="H88" s="55"/>
      <c r="I88" s="46"/>
      <c r="K88" s="46"/>
      <c r="L88" s="46"/>
      <c r="N88"/>
      <c r="O88"/>
      <c r="Q88" s="401"/>
      <c r="R88" s="528"/>
      <c r="S88" s="528"/>
      <c r="T88" s="528"/>
      <c r="U88" s="512"/>
      <c r="V88" s="512"/>
      <c r="W88" s="512"/>
      <c r="X88" s="361"/>
      <c r="Y88" s="414" t="s">
        <v>871</v>
      </c>
      <c r="Z88" s="414" t="s">
        <v>881</v>
      </c>
      <c r="AA88" s="424" t="s">
        <v>872</v>
      </c>
      <c r="AB88"/>
      <c r="AC88"/>
    </row>
    <row r="89" spans="1:29" ht="12.75">
      <c r="A89" s="86">
        <v>1</v>
      </c>
      <c r="C89" s="56"/>
      <c r="D89" s="57" t="s">
        <v>437</v>
      </c>
      <c r="E89" s="58" t="s">
        <v>327</v>
      </c>
      <c r="F89" s="59">
        <v>1</v>
      </c>
      <c r="G89" s="33">
        <v>16000</v>
      </c>
      <c r="H89" s="61">
        <f>+F89*G89</f>
        <v>16000</v>
      </c>
      <c r="I89" s="46"/>
      <c r="K89" s="46"/>
      <c r="L89" s="46"/>
      <c r="N89"/>
      <c r="O89"/>
      <c r="Q89" s="398"/>
      <c r="R89" s="529"/>
      <c r="S89" s="529"/>
      <c r="T89" s="529"/>
      <c r="U89" s="512"/>
      <c r="V89" s="512"/>
      <c r="W89" s="512"/>
      <c r="X89" s="490" t="s">
        <v>900</v>
      </c>
      <c r="Y89" s="417">
        <v>0</v>
      </c>
      <c r="Z89" s="417">
        <v>0</v>
      </c>
      <c r="AA89" s="425">
        <f>H89-Z89-Y89</f>
        <v>16000</v>
      </c>
      <c r="AB89" s="418" t="s">
        <v>874</v>
      </c>
      <c r="AC89"/>
    </row>
    <row r="90" spans="1:29" ht="14.25" customHeight="1">
      <c r="A90" s="86">
        <v>2</v>
      </c>
      <c r="C90" s="56"/>
      <c r="D90" s="62" t="s">
        <v>229</v>
      </c>
      <c r="E90" s="63" t="s">
        <v>327</v>
      </c>
      <c r="F90" s="64">
        <v>1</v>
      </c>
      <c r="G90" s="33">
        <v>2500</v>
      </c>
      <c r="H90" s="61">
        <f>+F90*G90</f>
        <v>2500</v>
      </c>
      <c r="I90" s="46"/>
      <c r="K90" s="46"/>
      <c r="L90" s="46"/>
      <c r="N90"/>
      <c r="O90"/>
      <c r="Q90" s="398"/>
      <c r="R90" s="529"/>
      <c r="S90" s="529"/>
      <c r="T90" s="529"/>
      <c r="U90" s="512"/>
      <c r="V90" s="512"/>
      <c r="W90" s="512"/>
      <c r="X90" s="361"/>
      <c r="Y90" s="417">
        <v>0</v>
      </c>
      <c r="Z90" s="417">
        <v>2500</v>
      </c>
      <c r="AA90" s="425">
        <f aca="true" t="shared" si="5" ref="AA90:AA153">H90-Z90-Y90</f>
        <v>0</v>
      </c>
      <c r="AB90"/>
      <c r="AC90"/>
    </row>
    <row r="91" spans="1:29" ht="14.25" customHeight="1">
      <c r="A91" s="86"/>
      <c r="C91" s="47" t="s">
        <v>180</v>
      </c>
      <c r="D91" s="52" t="s">
        <v>181</v>
      </c>
      <c r="E91" s="53"/>
      <c r="F91" s="54"/>
      <c r="G91" s="55"/>
      <c r="H91" s="55"/>
      <c r="I91" s="46"/>
      <c r="K91" s="46"/>
      <c r="L91" s="46"/>
      <c r="N91"/>
      <c r="O91"/>
      <c r="Q91" s="398"/>
      <c r="R91" s="529"/>
      <c r="S91" s="529"/>
      <c r="T91" s="529"/>
      <c r="U91" s="512"/>
      <c r="V91" s="512"/>
      <c r="W91" s="512"/>
      <c r="X91" s="361"/>
      <c r="Y91" s="417"/>
      <c r="Z91" s="417"/>
      <c r="AA91" s="425">
        <f t="shared" si="5"/>
        <v>0</v>
      </c>
      <c r="AB91"/>
      <c r="AC91"/>
    </row>
    <row r="92" spans="1:29" ht="12.75">
      <c r="A92" s="86">
        <v>3</v>
      </c>
      <c r="C92" s="56"/>
      <c r="D92" s="57" t="s">
        <v>182</v>
      </c>
      <c r="E92" s="58" t="s">
        <v>327</v>
      </c>
      <c r="F92" s="59">
        <v>1</v>
      </c>
      <c r="G92" s="33">
        <v>20000</v>
      </c>
      <c r="H92" s="61">
        <f>+F92*G92</f>
        <v>20000</v>
      </c>
      <c r="I92" s="46"/>
      <c r="K92" s="46"/>
      <c r="L92" s="46"/>
      <c r="N92"/>
      <c r="O92"/>
      <c r="Q92" s="398"/>
      <c r="R92" s="529"/>
      <c r="S92" s="529"/>
      <c r="T92" s="529"/>
      <c r="U92" s="512"/>
      <c r="V92" s="512"/>
      <c r="W92" s="512"/>
      <c r="X92" s="361"/>
      <c r="Y92" s="417">
        <v>10000</v>
      </c>
      <c r="Z92" s="417">
        <v>10000</v>
      </c>
      <c r="AA92" s="425">
        <f t="shared" si="5"/>
        <v>0</v>
      </c>
      <c r="AB92"/>
      <c r="AC92"/>
    </row>
    <row r="93" spans="1:29" ht="55.5" customHeight="1">
      <c r="A93" s="87"/>
      <c r="C93" s="40"/>
      <c r="D93" s="561" t="s">
        <v>34</v>
      </c>
      <c r="E93" s="561"/>
      <c r="F93" s="561"/>
      <c r="G93" s="561"/>
      <c r="H93" s="561"/>
      <c r="I93" s="46"/>
      <c r="K93" s="46"/>
      <c r="L93" s="46"/>
      <c r="N93"/>
      <c r="O93"/>
      <c r="Q93" s="398"/>
      <c r="R93" s="529"/>
      <c r="S93" s="529"/>
      <c r="T93" s="529"/>
      <c r="U93" s="512"/>
      <c r="V93" s="512"/>
      <c r="W93" s="512"/>
      <c r="X93" s="361"/>
      <c r="Y93" s="417"/>
      <c r="Z93" s="417"/>
      <c r="AA93" s="425">
        <f t="shared" si="5"/>
        <v>0</v>
      </c>
      <c r="AB93"/>
      <c r="AC93"/>
    </row>
    <row r="94" spans="1:29" ht="14.25" customHeight="1">
      <c r="A94" s="87"/>
      <c r="C94" s="47" t="s">
        <v>183</v>
      </c>
      <c r="D94" s="52" t="s">
        <v>184</v>
      </c>
      <c r="E94" s="53"/>
      <c r="F94" s="54"/>
      <c r="G94" s="55"/>
      <c r="H94" s="55"/>
      <c r="I94" s="46"/>
      <c r="K94" s="46"/>
      <c r="L94" s="46"/>
      <c r="N94"/>
      <c r="O94"/>
      <c r="Q94" s="398"/>
      <c r="R94" s="529"/>
      <c r="S94" s="529"/>
      <c r="T94" s="529"/>
      <c r="U94" s="512"/>
      <c r="V94" s="512"/>
      <c r="W94" s="512"/>
      <c r="X94" s="361"/>
      <c r="Y94" s="417"/>
      <c r="Z94" s="417"/>
      <c r="AA94" s="425">
        <f t="shared" si="5"/>
        <v>0</v>
      </c>
      <c r="AB94"/>
      <c r="AC94"/>
    </row>
    <row r="95" spans="1:29" ht="38.25">
      <c r="A95" s="86">
        <v>4</v>
      </c>
      <c r="C95" s="56"/>
      <c r="D95" s="57" t="s">
        <v>185</v>
      </c>
      <c r="E95" s="58" t="s">
        <v>327</v>
      </c>
      <c r="F95" s="59">
        <v>1</v>
      </c>
      <c r="G95" s="33">
        <v>21000</v>
      </c>
      <c r="H95" s="61">
        <f>+F95*G95</f>
        <v>21000</v>
      </c>
      <c r="I95" s="374"/>
      <c r="K95" s="374"/>
      <c r="L95" s="374"/>
      <c r="M95" s="376"/>
      <c r="N95" s="377"/>
      <c r="O95" s="377"/>
      <c r="P95" s="378"/>
      <c r="Q95" s="398"/>
      <c r="R95" s="529"/>
      <c r="S95" s="529"/>
      <c r="T95" s="529"/>
      <c r="U95" s="512"/>
      <c r="V95" s="512"/>
      <c r="W95" s="512"/>
      <c r="X95" s="375"/>
      <c r="Y95" s="417">
        <v>15750</v>
      </c>
      <c r="Z95" s="417">
        <v>5250</v>
      </c>
      <c r="AA95" s="425">
        <f t="shared" si="5"/>
        <v>0</v>
      </c>
      <c r="AB95"/>
      <c r="AC95"/>
    </row>
    <row r="96" spans="1:29" ht="42" customHeight="1">
      <c r="A96" s="87"/>
      <c r="C96" s="40"/>
      <c r="D96" s="563" t="s">
        <v>35</v>
      </c>
      <c r="E96" s="563"/>
      <c r="F96" s="563"/>
      <c r="G96" s="563"/>
      <c r="H96" s="563"/>
      <c r="I96" s="374"/>
      <c r="K96" s="374"/>
      <c r="L96" s="374"/>
      <c r="M96" s="376"/>
      <c r="N96" s="377"/>
      <c r="O96" s="377"/>
      <c r="P96" s="378"/>
      <c r="Q96" s="398"/>
      <c r="R96" s="529"/>
      <c r="S96" s="529"/>
      <c r="T96" s="529"/>
      <c r="U96" s="512"/>
      <c r="V96" s="512"/>
      <c r="W96" s="512"/>
      <c r="X96" s="375"/>
      <c r="Y96" s="417"/>
      <c r="Z96" s="417"/>
      <c r="AA96" s="425">
        <f t="shared" si="5"/>
        <v>0</v>
      </c>
      <c r="AB96"/>
      <c r="AC96"/>
    </row>
    <row r="97" spans="1:29" ht="16.5">
      <c r="A97" s="87"/>
      <c r="C97" s="47" t="s">
        <v>186</v>
      </c>
      <c r="D97" s="52" t="s">
        <v>187</v>
      </c>
      <c r="E97" s="53"/>
      <c r="F97" s="54"/>
      <c r="G97" s="55"/>
      <c r="H97" s="55"/>
      <c r="I97" s="374"/>
      <c r="K97" s="374"/>
      <c r="L97" s="374"/>
      <c r="M97" s="376"/>
      <c r="N97" s="377"/>
      <c r="O97" s="377"/>
      <c r="P97" s="378"/>
      <c r="Q97" s="398"/>
      <c r="R97" s="529"/>
      <c r="S97" s="529"/>
      <c r="T97" s="529"/>
      <c r="U97" s="512"/>
      <c r="V97" s="512"/>
      <c r="W97" s="512"/>
      <c r="X97" s="375"/>
      <c r="Y97" s="417"/>
      <c r="Z97" s="417"/>
      <c r="AA97" s="425">
        <f t="shared" si="5"/>
        <v>0</v>
      </c>
      <c r="AB97"/>
      <c r="AC97"/>
    </row>
    <row r="98" spans="1:29" ht="51">
      <c r="A98" s="86"/>
      <c r="C98" s="56"/>
      <c r="D98" s="57" t="s">
        <v>188</v>
      </c>
      <c r="E98" s="58" t="s">
        <v>327</v>
      </c>
      <c r="F98" s="59">
        <v>1</v>
      </c>
      <c r="G98" s="60"/>
      <c r="H98" s="61">
        <v>0</v>
      </c>
      <c r="I98" s="374"/>
      <c r="K98" s="374"/>
      <c r="L98" s="374"/>
      <c r="M98" s="376"/>
      <c r="N98" s="377"/>
      <c r="O98" s="377"/>
      <c r="P98" s="378"/>
      <c r="Q98" s="398"/>
      <c r="R98" s="529"/>
      <c r="S98" s="529"/>
      <c r="T98" s="529"/>
      <c r="U98" s="512"/>
      <c r="V98" s="512"/>
      <c r="W98" s="512"/>
      <c r="X98" s="375"/>
      <c r="Y98" s="417"/>
      <c r="Z98" s="417"/>
      <c r="AA98" s="425">
        <f t="shared" si="5"/>
        <v>0</v>
      </c>
      <c r="AB98"/>
      <c r="AC98"/>
    </row>
    <row r="99" spans="1:29" ht="63.75">
      <c r="A99" s="86">
        <v>5</v>
      </c>
      <c r="C99" s="56"/>
      <c r="D99" s="57" t="s">
        <v>36</v>
      </c>
      <c r="E99" s="58" t="s">
        <v>327</v>
      </c>
      <c r="F99" s="59">
        <v>1</v>
      </c>
      <c r="G99" s="33">
        <v>11000</v>
      </c>
      <c r="H99" s="61">
        <f>+F99*G99</f>
        <v>11000</v>
      </c>
      <c r="I99" s="374"/>
      <c r="K99" s="374"/>
      <c r="L99" s="374"/>
      <c r="M99" s="376"/>
      <c r="N99" s="377"/>
      <c r="O99" s="377"/>
      <c r="P99" s="378"/>
      <c r="Q99" s="398"/>
      <c r="R99" s="529"/>
      <c r="S99" s="529"/>
      <c r="T99" s="529"/>
      <c r="U99" s="512"/>
      <c r="V99" s="512"/>
      <c r="W99" s="512"/>
      <c r="X99" s="375"/>
      <c r="Y99" s="417">
        <v>0</v>
      </c>
      <c r="Z99" s="417">
        <v>11000</v>
      </c>
      <c r="AA99" s="425">
        <f t="shared" si="5"/>
        <v>0</v>
      </c>
      <c r="AB99"/>
      <c r="AC99"/>
    </row>
    <row r="100" spans="1:29" ht="25.5">
      <c r="A100" s="86"/>
      <c r="C100" s="56"/>
      <c r="D100" s="57" t="s">
        <v>189</v>
      </c>
      <c r="E100" s="58" t="s">
        <v>327</v>
      </c>
      <c r="F100" s="59">
        <v>1</v>
      </c>
      <c r="G100" s="60"/>
      <c r="H100" s="61">
        <v>0</v>
      </c>
      <c r="I100" s="379"/>
      <c r="K100" s="379"/>
      <c r="L100" s="381"/>
      <c r="M100" s="378"/>
      <c r="N100" s="377"/>
      <c r="O100" s="377"/>
      <c r="P100" s="378"/>
      <c r="Q100" s="398"/>
      <c r="R100" s="529"/>
      <c r="S100" s="529"/>
      <c r="T100" s="529"/>
      <c r="U100" s="512"/>
      <c r="V100" s="512"/>
      <c r="W100" s="512"/>
      <c r="X100" s="380"/>
      <c r="Y100" s="417"/>
      <c r="Z100" s="417"/>
      <c r="AA100" s="425">
        <f t="shared" si="5"/>
        <v>0</v>
      </c>
      <c r="AB100"/>
      <c r="AC100"/>
    </row>
    <row r="101" spans="1:29" ht="14.25" customHeight="1">
      <c r="A101" s="87"/>
      <c r="C101" s="47" t="s">
        <v>190</v>
      </c>
      <c r="D101" s="52" t="s">
        <v>191</v>
      </c>
      <c r="E101" s="53"/>
      <c r="F101" s="54"/>
      <c r="G101" s="55"/>
      <c r="H101" s="55"/>
      <c r="I101" s="379"/>
      <c r="K101" s="379"/>
      <c r="L101" s="381"/>
      <c r="M101" s="378"/>
      <c r="N101" s="377"/>
      <c r="O101" s="377"/>
      <c r="P101" s="378"/>
      <c r="Q101" s="398"/>
      <c r="R101" s="529"/>
      <c r="S101" s="529"/>
      <c r="T101" s="529"/>
      <c r="U101" s="512"/>
      <c r="V101" s="512"/>
      <c r="W101" s="512"/>
      <c r="X101" s="380"/>
      <c r="Y101" s="417"/>
      <c r="Z101" s="417"/>
      <c r="AA101" s="425">
        <f t="shared" si="5"/>
        <v>0</v>
      </c>
      <c r="AB101"/>
      <c r="AC101"/>
    </row>
    <row r="102" spans="1:29" ht="63.75">
      <c r="A102" s="86">
        <v>6</v>
      </c>
      <c r="C102" s="56"/>
      <c r="D102" s="57" t="s">
        <v>37</v>
      </c>
      <c r="E102" s="58" t="s">
        <v>327</v>
      </c>
      <c r="F102" s="59">
        <v>1</v>
      </c>
      <c r="G102" s="33">
        <v>11000</v>
      </c>
      <c r="H102" s="61">
        <f>+F102*G102</f>
        <v>11000</v>
      </c>
      <c r="I102" s="379"/>
      <c r="K102" s="379"/>
      <c r="L102" s="381"/>
      <c r="M102" s="378"/>
      <c r="N102" s="377"/>
      <c r="O102" s="377"/>
      <c r="P102" s="378"/>
      <c r="Q102" s="398"/>
      <c r="R102" s="529"/>
      <c r="S102" s="529"/>
      <c r="T102" s="529"/>
      <c r="U102" s="512"/>
      <c r="V102" s="512"/>
      <c r="W102" s="512"/>
      <c r="X102" s="380"/>
      <c r="Y102" s="417">
        <v>0</v>
      </c>
      <c r="Z102" s="417">
        <v>11000</v>
      </c>
      <c r="AA102" s="425">
        <f t="shared" si="5"/>
        <v>0</v>
      </c>
      <c r="AB102"/>
      <c r="AC102"/>
    </row>
    <row r="103" spans="1:29" ht="14.25" customHeight="1">
      <c r="A103" s="86"/>
      <c r="C103" s="47" t="s">
        <v>192</v>
      </c>
      <c r="D103" s="52" t="s">
        <v>193</v>
      </c>
      <c r="E103" s="53"/>
      <c r="F103" s="54"/>
      <c r="G103" s="55"/>
      <c r="H103" s="55"/>
      <c r="I103" s="379"/>
      <c r="K103" s="379"/>
      <c r="L103" s="381"/>
      <c r="M103" s="378"/>
      <c r="N103" s="377"/>
      <c r="O103" s="377"/>
      <c r="P103" s="378"/>
      <c r="Q103" s="398"/>
      <c r="R103" s="529"/>
      <c r="S103" s="529"/>
      <c r="T103" s="529"/>
      <c r="U103" s="512"/>
      <c r="V103" s="512"/>
      <c r="W103" s="512"/>
      <c r="X103" s="380"/>
      <c r="Y103" s="417"/>
      <c r="Z103" s="417"/>
      <c r="AA103" s="425">
        <f t="shared" si="5"/>
        <v>0</v>
      </c>
      <c r="AB103"/>
      <c r="AC103"/>
    </row>
    <row r="104" spans="1:29" ht="63.75">
      <c r="A104" s="86">
        <v>7</v>
      </c>
      <c r="C104" s="56"/>
      <c r="D104" s="57" t="s">
        <v>744</v>
      </c>
      <c r="E104" s="58" t="s">
        <v>327</v>
      </c>
      <c r="F104" s="59">
        <v>1</v>
      </c>
      <c r="G104" s="33">
        <v>13000</v>
      </c>
      <c r="H104" s="61">
        <f>+F104*G104</f>
        <v>13000</v>
      </c>
      <c r="K104" s="65"/>
      <c r="L104" s="66"/>
      <c r="M104" s="3"/>
      <c r="P104" s="1"/>
      <c r="Q104" s="398"/>
      <c r="R104" s="530"/>
      <c r="S104" s="530"/>
      <c r="T104" s="530"/>
      <c r="U104" s="507"/>
      <c r="V104" s="507"/>
      <c r="W104" s="507"/>
      <c r="Y104" s="417">
        <v>0</v>
      </c>
      <c r="Z104" s="417">
        <v>13000</v>
      </c>
      <c r="AA104" s="425">
        <f t="shared" si="5"/>
        <v>0</v>
      </c>
      <c r="AB104"/>
      <c r="AC104"/>
    </row>
    <row r="105" spans="1:29" ht="14.25" customHeight="1">
      <c r="A105" s="86">
        <v>8</v>
      </c>
      <c r="C105" s="47" t="s">
        <v>194</v>
      </c>
      <c r="D105" s="52" t="s">
        <v>195</v>
      </c>
      <c r="E105" s="53"/>
      <c r="F105" s="54"/>
      <c r="G105" s="55"/>
      <c r="H105" s="55"/>
      <c r="K105" s="65"/>
      <c r="L105" s="66"/>
      <c r="M105" s="3"/>
      <c r="P105" s="1"/>
      <c r="Q105" s="398"/>
      <c r="R105" s="530"/>
      <c r="S105" s="530"/>
      <c r="T105" s="530"/>
      <c r="U105" s="507"/>
      <c r="V105" s="507"/>
      <c r="W105" s="507"/>
      <c r="Y105" s="417"/>
      <c r="Z105" s="417"/>
      <c r="AA105" s="425">
        <f t="shared" si="5"/>
        <v>0</v>
      </c>
      <c r="AB105"/>
      <c r="AC105"/>
    </row>
    <row r="106" spans="1:29" ht="25.5">
      <c r="A106" s="86"/>
      <c r="C106" s="56"/>
      <c r="D106" s="57" t="s">
        <v>196</v>
      </c>
      <c r="E106" s="58" t="s">
        <v>327</v>
      </c>
      <c r="F106" s="59">
        <v>1</v>
      </c>
      <c r="G106" s="33">
        <v>50000</v>
      </c>
      <c r="H106" s="61">
        <f>+F106*G106</f>
        <v>50000</v>
      </c>
      <c r="K106" s="65"/>
      <c r="L106" s="66"/>
      <c r="M106" s="3"/>
      <c r="P106" s="1"/>
      <c r="Q106" s="398"/>
      <c r="R106" s="530"/>
      <c r="S106" s="530"/>
      <c r="T106" s="530"/>
      <c r="U106" s="507"/>
      <c r="V106" s="507"/>
      <c r="W106" s="507"/>
      <c r="Y106" s="417">
        <v>25000</v>
      </c>
      <c r="Z106" s="417">
        <v>25000</v>
      </c>
      <c r="AA106" s="425">
        <f t="shared" si="5"/>
        <v>0</v>
      </c>
      <c r="AB106"/>
      <c r="AC106"/>
    </row>
    <row r="107" spans="1:29" ht="109.5" customHeight="1">
      <c r="A107" s="86"/>
      <c r="C107" s="56"/>
      <c r="D107" s="560" t="s">
        <v>745</v>
      </c>
      <c r="E107" s="560"/>
      <c r="F107" s="560"/>
      <c r="G107" s="560"/>
      <c r="H107" s="560"/>
      <c r="K107" s="65"/>
      <c r="L107" s="66"/>
      <c r="M107" s="3"/>
      <c r="P107" s="1"/>
      <c r="Q107" s="398"/>
      <c r="R107" s="530"/>
      <c r="S107" s="530"/>
      <c r="T107" s="530"/>
      <c r="U107" s="507"/>
      <c r="V107" s="507"/>
      <c r="W107" s="507"/>
      <c r="Y107" s="417"/>
      <c r="Z107" s="417"/>
      <c r="AA107" s="425">
        <f t="shared" si="5"/>
        <v>0</v>
      </c>
      <c r="AB107"/>
      <c r="AC107"/>
    </row>
    <row r="108" spans="1:29" ht="14.25" customHeight="1">
      <c r="A108" s="86">
        <v>9</v>
      </c>
      <c r="C108" s="56"/>
      <c r="D108" s="57" t="s">
        <v>287</v>
      </c>
      <c r="E108" s="58" t="s">
        <v>327</v>
      </c>
      <c r="F108" s="59">
        <v>1</v>
      </c>
      <c r="G108" s="33">
        <v>6000</v>
      </c>
      <c r="H108" s="61">
        <f>+G108*F108</f>
        <v>6000</v>
      </c>
      <c r="K108" s="65"/>
      <c r="L108" s="66"/>
      <c r="M108" s="3"/>
      <c r="P108" s="1"/>
      <c r="Q108" s="398"/>
      <c r="R108" s="530"/>
      <c r="S108" s="530"/>
      <c r="T108" s="530"/>
      <c r="U108" s="507"/>
      <c r="V108" s="507"/>
      <c r="W108" s="507"/>
      <c r="Y108" s="417">
        <v>6000</v>
      </c>
      <c r="Z108" s="417">
        <v>0</v>
      </c>
      <c r="AA108" s="425">
        <f t="shared" si="5"/>
        <v>0</v>
      </c>
      <c r="AB108"/>
      <c r="AC108"/>
    </row>
    <row r="109" spans="1:29" ht="42.75" customHeight="1" thickBot="1">
      <c r="A109" s="85"/>
      <c r="B109" s="39"/>
      <c r="C109" s="40"/>
      <c r="D109" s="562" t="s">
        <v>38</v>
      </c>
      <c r="E109" s="562"/>
      <c r="F109" s="562"/>
      <c r="G109" s="562"/>
      <c r="H109" s="562"/>
      <c r="K109" s="65"/>
      <c r="L109" s="66"/>
      <c r="M109" s="3"/>
      <c r="P109" s="1"/>
      <c r="Q109" s="398"/>
      <c r="R109" s="530"/>
      <c r="S109" s="530"/>
      <c r="T109" s="530"/>
      <c r="U109" s="507"/>
      <c r="V109" s="507"/>
      <c r="W109" s="507"/>
      <c r="Y109" s="417"/>
      <c r="Z109" s="417"/>
      <c r="AA109" s="425">
        <f t="shared" si="5"/>
        <v>0</v>
      </c>
      <c r="AB109"/>
      <c r="AC109"/>
    </row>
    <row r="110" spans="1:29" ht="14.25" customHeight="1" thickBot="1">
      <c r="A110" s="85"/>
      <c r="B110" s="39"/>
      <c r="C110" s="40"/>
      <c r="D110" s="67" t="s">
        <v>329</v>
      </c>
      <c r="E110" s="68"/>
      <c r="F110" s="69"/>
      <c r="G110" s="70"/>
      <c r="H110" s="71">
        <f>+H108+H106+H104+H102+H99+H95+H92+H90+H89</f>
        <v>150500</v>
      </c>
      <c r="K110" s="72">
        <v>0.026495185202858255</v>
      </c>
      <c r="L110" s="66"/>
      <c r="M110" s="3"/>
      <c r="P110" s="1"/>
      <c r="Q110" s="402"/>
      <c r="R110" s="531"/>
      <c r="S110" s="531"/>
      <c r="T110" s="531"/>
      <c r="U110" s="513"/>
      <c r="V110" s="513"/>
      <c r="W110" s="513"/>
      <c r="Y110" s="417"/>
      <c r="Z110" s="417"/>
      <c r="AA110" s="425"/>
      <c r="AB110"/>
      <c r="AC110"/>
    </row>
    <row r="111" spans="1:27" ht="37.5" customHeight="1">
      <c r="A111" s="281"/>
      <c r="B111" s="88" t="s">
        <v>159</v>
      </c>
      <c r="C111" s="89" t="s">
        <v>160</v>
      </c>
      <c r="D111" s="244"/>
      <c r="E111" s="245"/>
      <c r="F111" s="246"/>
      <c r="G111" s="282"/>
      <c r="H111" s="283"/>
      <c r="Q111" s="398"/>
      <c r="R111" s="530"/>
      <c r="S111" s="530"/>
      <c r="T111" s="530"/>
      <c r="U111" s="507"/>
      <c r="V111" s="507"/>
      <c r="W111" s="507"/>
      <c r="Y111" s="417"/>
      <c r="Z111" s="417"/>
      <c r="AA111" s="425">
        <f t="shared" si="5"/>
        <v>0</v>
      </c>
    </row>
    <row r="112" spans="1:27" s="5" customFormat="1" ht="16.5">
      <c r="A112" s="284"/>
      <c r="B112" s="285"/>
      <c r="C112" s="286">
        <v>1</v>
      </c>
      <c r="D112" s="564" t="s">
        <v>472</v>
      </c>
      <c r="E112" s="564"/>
      <c r="F112" s="564"/>
      <c r="G112" s="564"/>
      <c r="H112" s="564"/>
      <c r="I112" s="346"/>
      <c r="K112" s="28"/>
      <c r="P112" s="9"/>
      <c r="Q112" s="403"/>
      <c r="R112" s="532"/>
      <c r="S112" s="532"/>
      <c r="T112" s="532"/>
      <c r="U112" s="514"/>
      <c r="V112" s="514"/>
      <c r="W112" s="514"/>
      <c r="X112" s="362"/>
      <c r="Y112" s="416"/>
      <c r="Z112" s="416"/>
      <c r="AA112" s="425">
        <f t="shared" si="5"/>
        <v>0</v>
      </c>
    </row>
    <row r="113" spans="1:28" ht="12.75">
      <c r="A113" s="287">
        <f>A108+1</f>
        <v>10</v>
      </c>
      <c r="B113" s="90" t="s">
        <v>268</v>
      </c>
      <c r="C113" s="99"/>
      <c r="D113" s="94" t="s">
        <v>385</v>
      </c>
      <c r="E113" s="100" t="s">
        <v>330</v>
      </c>
      <c r="F113" s="96">
        <v>1</v>
      </c>
      <c r="G113" s="33">
        <v>25</v>
      </c>
      <c r="H113" s="288">
        <f>F113*G113</f>
        <v>25</v>
      </c>
      <c r="I113" s="65" t="s">
        <v>460</v>
      </c>
      <c r="K113" s="3"/>
      <c r="N113" s="10">
        <f>0.024*F113</f>
        <v>0.024</v>
      </c>
      <c r="O113" t="s">
        <v>540</v>
      </c>
      <c r="P113" s="1"/>
      <c r="Q113" s="398"/>
      <c r="R113" s="530"/>
      <c r="S113" s="530"/>
      <c r="T113" s="530"/>
      <c r="U113" s="507"/>
      <c r="V113" s="507"/>
      <c r="W113" s="507"/>
      <c r="Y113" s="416">
        <v>0</v>
      </c>
      <c r="Z113" s="416">
        <v>25</v>
      </c>
      <c r="AA113" s="425">
        <f t="shared" si="5"/>
        <v>0</v>
      </c>
      <c r="AB113" s="422"/>
    </row>
    <row r="114" spans="1:28" ht="12.75">
      <c r="A114" s="287">
        <f aca="true" t="shared" si="6" ref="A114:A120">A113+1</f>
        <v>11</v>
      </c>
      <c r="B114" s="90" t="s">
        <v>11</v>
      </c>
      <c r="C114" s="99"/>
      <c r="D114" s="94" t="s">
        <v>12</v>
      </c>
      <c r="E114" s="100" t="s">
        <v>330</v>
      </c>
      <c r="F114" s="96">
        <v>1</v>
      </c>
      <c r="G114" s="33">
        <v>510</v>
      </c>
      <c r="H114" s="288">
        <f>F114*G114</f>
        <v>510</v>
      </c>
      <c r="I114" s="65" t="s">
        <v>460</v>
      </c>
      <c r="K114" s="3"/>
      <c r="N114" s="10">
        <f>0.014*F114</f>
        <v>0.014</v>
      </c>
      <c r="O114"/>
      <c r="P114" s="1"/>
      <c r="Q114" s="398"/>
      <c r="R114" s="530"/>
      <c r="S114" s="530"/>
      <c r="T114" s="530"/>
      <c r="U114" s="507"/>
      <c r="V114" s="507"/>
      <c r="W114" s="507"/>
      <c r="Y114" s="416">
        <v>0</v>
      </c>
      <c r="Z114" s="416">
        <v>510</v>
      </c>
      <c r="AA114" s="425">
        <f t="shared" si="5"/>
        <v>0</v>
      </c>
      <c r="AB114" s="422"/>
    </row>
    <row r="115" spans="1:28" ht="25.5">
      <c r="A115" s="287">
        <f t="shared" si="6"/>
        <v>12</v>
      </c>
      <c r="B115" s="90" t="s">
        <v>43</v>
      </c>
      <c r="C115" s="99"/>
      <c r="D115" s="91" t="s">
        <v>232</v>
      </c>
      <c r="E115" s="100" t="s">
        <v>328</v>
      </c>
      <c r="F115" s="96">
        <f>E116+E117</f>
        <v>142.4883</v>
      </c>
      <c r="G115" s="33">
        <v>3.8</v>
      </c>
      <c r="H115" s="288">
        <f>F115*G115</f>
        <v>541.45554</v>
      </c>
      <c r="I115" s="343" t="s">
        <v>460</v>
      </c>
      <c r="K115" s="3"/>
      <c r="L115" s="1">
        <v>0.002</v>
      </c>
      <c r="N115" s="10">
        <f>+F115*L115</f>
        <v>0.2849766</v>
      </c>
      <c r="O115"/>
      <c r="P115" s="1"/>
      <c r="Q115" s="398"/>
      <c r="R115" s="530"/>
      <c r="S115" s="530"/>
      <c r="T115" s="530"/>
      <c r="U115" s="507"/>
      <c r="V115" s="507"/>
      <c r="W115" s="507"/>
      <c r="X115" s="354"/>
      <c r="Y115" s="416">
        <v>541.499</v>
      </c>
      <c r="Z115" s="416">
        <v>0</v>
      </c>
      <c r="AA115" s="425">
        <v>0</v>
      </c>
      <c r="AB115" s="422"/>
    </row>
    <row r="116" spans="1:28" ht="12.75">
      <c r="A116" s="287"/>
      <c r="B116" s="289"/>
      <c r="C116" s="99"/>
      <c r="D116" s="123" t="s">
        <v>747</v>
      </c>
      <c r="E116" s="290">
        <f>16.93*3.6-0.9*2.05-1.335*2.32-1.05*2.315</f>
        <v>53.57505</v>
      </c>
      <c r="F116" s="96"/>
      <c r="G116" s="38"/>
      <c r="H116" s="288"/>
      <c r="I116" s="343"/>
      <c r="K116" s="3"/>
      <c r="N116" s="10"/>
      <c r="O116"/>
      <c r="P116" s="1"/>
      <c r="Q116" s="398"/>
      <c r="R116" s="530"/>
      <c r="S116" s="530"/>
      <c r="T116" s="530"/>
      <c r="U116" s="507"/>
      <c r="V116" s="507"/>
      <c r="W116" s="507"/>
      <c r="X116" s="354"/>
      <c r="Y116" s="416"/>
      <c r="Z116" s="416"/>
      <c r="AA116" s="425">
        <f t="shared" si="5"/>
        <v>0</v>
      </c>
      <c r="AB116" s="422"/>
    </row>
    <row r="117" spans="1:28" ht="12.75">
      <c r="A117" s="287"/>
      <c r="B117" s="289"/>
      <c r="C117" s="99"/>
      <c r="D117" s="123" t="s">
        <v>527</v>
      </c>
      <c r="E117" s="290">
        <f>20.74*3.6-2*1.35*2.3-1.05*2.315-0.6*(1.95+1.9)+25.2</f>
        <v>88.91325</v>
      </c>
      <c r="F117" s="96"/>
      <c r="G117" s="38"/>
      <c r="H117" s="288"/>
      <c r="I117" s="343"/>
      <c r="K117" s="3"/>
      <c r="N117" s="10"/>
      <c r="O117"/>
      <c r="P117" s="1"/>
      <c r="Q117" s="398"/>
      <c r="R117" s="530"/>
      <c r="S117" s="530"/>
      <c r="T117" s="530"/>
      <c r="U117" s="507"/>
      <c r="V117" s="507"/>
      <c r="W117" s="507"/>
      <c r="X117" s="354"/>
      <c r="Y117" s="416"/>
      <c r="Z117" s="416"/>
      <c r="AA117" s="425">
        <f t="shared" si="5"/>
        <v>0</v>
      </c>
      <c r="AB117" s="422"/>
    </row>
    <row r="118" spans="1:28" ht="25.5">
      <c r="A118" s="287">
        <f>A115+1</f>
        <v>13</v>
      </c>
      <c r="B118" s="289" t="s">
        <v>619</v>
      </c>
      <c r="C118" s="99"/>
      <c r="D118" s="94" t="s">
        <v>219</v>
      </c>
      <c r="E118" s="100" t="s">
        <v>328</v>
      </c>
      <c r="F118" s="96">
        <f>0.3*(E116+E117)</f>
        <v>42.74649</v>
      </c>
      <c r="G118" s="33">
        <v>24.7</v>
      </c>
      <c r="H118" s="288">
        <f>+F118*G118</f>
        <v>1055.838303</v>
      </c>
      <c r="I118" s="343" t="s">
        <v>460</v>
      </c>
      <c r="K118" s="3"/>
      <c r="L118" s="3"/>
      <c r="M118" s="3"/>
      <c r="N118" s="16"/>
      <c r="O118"/>
      <c r="P118" s="1"/>
      <c r="Q118" s="398"/>
      <c r="R118" s="530"/>
      <c r="S118" s="530"/>
      <c r="T118" s="530"/>
      <c r="U118" s="507"/>
      <c r="V118" s="507"/>
      <c r="W118" s="507"/>
      <c r="X118" s="354"/>
      <c r="Y118" s="416">
        <v>1055.8</v>
      </c>
      <c r="Z118" s="416">
        <v>0</v>
      </c>
      <c r="AA118" s="425">
        <v>0</v>
      </c>
      <c r="AB118" s="422"/>
    </row>
    <row r="119" spans="1:28" ht="12.75">
      <c r="A119" s="287">
        <f t="shared" si="6"/>
        <v>14</v>
      </c>
      <c r="B119" s="93" t="s">
        <v>82</v>
      </c>
      <c r="C119" s="99"/>
      <c r="D119" s="94" t="s">
        <v>83</v>
      </c>
      <c r="E119" s="100" t="s">
        <v>328</v>
      </c>
      <c r="F119" s="96">
        <f>+E124+E125</f>
        <v>35.9</v>
      </c>
      <c r="G119" s="33">
        <v>130</v>
      </c>
      <c r="H119" s="288">
        <f>+F119*G119</f>
        <v>4667</v>
      </c>
      <c r="I119" s="343" t="s">
        <v>460</v>
      </c>
      <c r="K119" s="392"/>
      <c r="L119" s="392">
        <v>0.018</v>
      </c>
      <c r="M119" s="392"/>
      <c r="N119" s="393">
        <f>+L119*F119</f>
        <v>0.6461999999999999</v>
      </c>
      <c r="O119" s="384" t="s">
        <v>540</v>
      </c>
      <c r="P119" s="394"/>
      <c r="Q119" s="398"/>
      <c r="R119" s="530"/>
      <c r="S119" s="530"/>
      <c r="T119" s="530"/>
      <c r="U119" s="507"/>
      <c r="V119" s="507"/>
      <c r="W119" s="507"/>
      <c r="X119" s="391"/>
      <c r="Y119" s="416">
        <v>4667</v>
      </c>
      <c r="Z119" s="416">
        <v>0</v>
      </c>
      <c r="AA119" s="425">
        <f t="shared" si="5"/>
        <v>0</v>
      </c>
      <c r="AB119" s="422"/>
    </row>
    <row r="120" spans="1:28" ht="25.5">
      <c r="A120" s="287">
        <f t="shared" si="6"/>
        <v>15</v>
      </c>
      <c r="B120" s="95" t="s">
        <v>265</v>
      </c>
      <c r="C120" s="99"/>
      <c r="D120" s="57" t="s">
        <v>266</v>
      </c>
      <c r="E120" s="58" t="s">
        <v>328</v>
      </c>
      <c r="F120" s="96">
        <f>SUM(E121:E122)</f>
        <v>35.9</v>
      </c>
      <c r="G120" s="33">
        <v>68</v>
      </c>
      <c r="H120" s="288">
        <f>+F120*G120</f>
        <v>2441.2</v>
      </c>
      <c r="I120" s="65" t="s">
        <v>460</v>
      </c>
      <c r="K120" s="378"/>
      <c r="L120" s="378">
        <v>0.167</v>
      </c>
      <c r="M120" s="378"/>
      <c r="N120" s="386">
        <f>+L120*F120</f>
        <v>5.9953</v>
      </c>
      <c r="O120" s="377"/>
      <c r="P120" s="376"/>
      <c r="Q120" s="398"/>
      <c r="R120" s="530"/>
      <c r="S120" s="530"/>
      <c r="T120" s="530"/>
      <c r="U120" s="507"/>
      <c r="V120" s="507"/>
      <c r="W120" s="507"/>
      <c r="X120" s="380"/>
      <c r="Y120" s="416">
        <v>2441.2</v>
      </c>
      <c r="Z120" s="416">
        <v>0</v>
      </c>
      <c r="AA120" s="425">
        <f t="shared" si="5"/>
        <v>0</v>
      </c>
      <c r="AB120" s="422"/>
    </row>
    <row r="121" spans="1:28" ht="12.75">
      <c r="A121" s="287"/>
      <c r="B121" s="289"/>
      <c r="C121" s="99"/>
      <c r="D121" s="291" t="s">
        <v>46</v>
      </c>
      <c r="E121" s="290">
        <v>14.2</v>
      </c>
      <c r="F121" s="96"/>
      <c r="G121" s="38"/>
      <c r="H121" s="288"/>
      <c r="I121" s="46"/>
      <c r="K121" s="386"/>
      <c r="L121" s="378"/>
      <c r="M121" s="378"/>
      <c r="N121" s="386"/>
      <c r="O121" s="377"/>
      <c r="P121" s="376"/>
      <c r="Q121" s="398"/>
      <c r="R121" s="530"/>
      <c r="S121" s="530"/>
      <c r="T121" s="530"/>
      <c r="U121" s="507"/>
      <c r="V121" s="507"/>
      <c r="W121" s="507"/>
      <c r="X121" s="375"/>
      <c r="Y121" s="416"/>
      <c r="Z121" s="416"/>
      <c r="AA121" s="425">
        <f t="shared" si="5"/>
        <v>0</v>
      </c>
      <c r="AB121" s="422"/>
    </row>
    <row r="122" spans="1:28" ht="12.75">
      <c r="A122" s="287"/>
      <c r="B122" s="289"/>
      <c r="C122" s="99"/>
      <c r="D122" s="291" t="s">
        <v>45</v>
      </c>
      <c r="E122" s="290">
        <v>21.7</v>
      </c>
      <c r="F122" s="96"/>
      <c r="G122" s="38"/>
      <c r="H122" s="288"/>
      <c r="I122" s="46"/>
      <c r="K122" s="386"/>
      <c r="L122" s="378">
        <v>1</v>
      </c>
      <c r="M122" s="378"/>
      <c r="N122" s="386">
        <f>+F122*L122</f>
        <v>0</v>
      </c>
      <c r="O122" s="377"/>
      <c r="P122" s="376"/>
      <c r="Q122" s="398"/>
      <c r="R122" s="530"/>
      <c r="S122" s="530"/>
      <c r="T122" s="530"/>
      <c r="U122" s="507"/>
      <c r="V122" s="507"/>
      <c r="W122" s="507"/>
      <c r="X122" s="375"/>
      <c r="Y122" s="416"/>
      <c r="Z122" s="416"/>
      <c r="AA122" s="425">
        <f t="shared" si="5"/>
        <v>0</v>
      </c>
      <c r="AB122" s="422"/>
    </row>
    <row r="123" spans="1:28" ht="12.75">
      <c r="A123" s="287">
        <f>A120+1</f>
        <v>16</v>
      </c>
      <c r="B123" s="289" t="s">
        <v>541</v>
      </c>
      <c r="C123" s="99"/>
      <c r="D123" s="94" t="s">
        <v>643</v>
      </c>
      <c r="E123" s="100" t="s">
        <v>328</v>
      </c>
      <c r="F123" s="96">
        <f>SUM(E124:E125)</f>
        <v>35.9</v>
      </c>
      <c r="G123" s="33">
        <v>120</v>
      </c>
      <c r="H123" s="288">
        <f>+F123*G123</f>
        <v>4308</v>
      </c>
      <c r="I123" s="343" t="s">
        <v>460</v>
      </c>
      <c r="K123" s="387"/>
      <c r="L123" s="376"/>
      <c r="M123" s="376"/>
      <c r="N123" s="376"/>
      <c r="O123" s="376"/>
      <c r="P123" s="376"/>
      <c r="Q123" s="398"/>
      <c r="R123" s="530"/>
      <c r="S123" s="530"/>
      <c r="T123" s="530"/>
      <c r="U123" s="507"/>
      <c r="V123" s="507"/>
      <c r="W123" s="507"/>
      <c r="X123" s="385"/>
      <c r="Y123" s="416">
        <v>4308</v>
      </c>
      <c r="Z123" s="416">
        <v>0</v>
      </c>
      <c r="AA123" s="425">
        <f t="shared" si="5"/>
        <v>0</v>
      </c>
      <c r="AB123" s="422"/>
    </row>
    <row r="124" spans="1:28" ht="12.75">
      <c r="A124" s="287"/>
      <c r="B124" s="289"/>
      <c r="C124" s="99"/>
      <c r="D124" s="291" t="s">
        <v>604</v>
      </c>
      <c r="E124" s="290">
        <v>14.2</v>
      </c>
      <c r="F124" s="96"/>
      <c r="G124" s="38"/>
      <c r="H124" s="288"/>
      <c r="I124" s="46"/>
      <c r="K124" s="386">
        <v>0.022</v>
      </c>
      <c r="L124" s="378">
        <v>0.8</v>
      </c>
      <c r="M124" s="378"/>
      <c r="N124" s="386">
        <v>0.14175039999999997</v>
      </c>
      <c r="O124" s="377" t="s">
        <v>540</v>
      </c>
      <c r="P124" s="376"/>
      <c r="Q124" s="398"/>
      <c r="R124" s="530"/>
      <c r="S124" s="530"/>
      <c r="T124" s="530"/>
      <c r="U124" s="507"/>
      <c r="V124" s="507"/>
      <c r="W124" s="507"/>
      <c r="X124" s="375"/>
      <c r="Y124" s="416"/>
      <c r="Z124" s="416"/>
      <c r="AA124" s="425">
        <f t="shared" si="5"/>
        <v>0</v>
      </c>
      <c r="AB124" s="422"/>
    </row>
    <row r="125" spans="1:28" ht="12.75">
      <c r="A125" s="287"/>
      <c r="B125" s="289"/>
      <c r="C125" s="99"/>
      <c r="D125" s="291" t="s">
        <v>605</v>
      </c>
      <c r="E125" s="290">
        <v>21.7</v>
      </c>
      <c r="F125" s="96"/>
      <c r="G125" s="38"/>
      <c r="H125" s="288"/>
      <c r="I125" s="46"/>
      <c r="K125" s="386">
        <v>0.03</v>
      </c>
      <c r="L125" s="378">
        <v>0.8</v>
      </c>
      <c r="M125" s="378"/>
      <c r="N125" s="386">
        <v>0.5952000000000001</v>
      </c>
      <c r="O125" s="377" t="s">
        <v>540</v>
      </c>
      <c r="P125" s="376"/>
      <c r="Q125" s="398"/>
      <c r="R125" s="530"/>
      <c r="S125" s="530"/>
      <c r="T125" s="530"/>
      <c r="U125" s="507"/>
      <c r="V125" s="507"/>
      <c r="W125" s="507"/>
      <c r="X125" s="375"/>
      <c r="Y125" s="416"/>
      <c r="Z125" s="416"/>
      <c r="AA125" s="425">
        <f t="shared" si="5"/>
        <v>0</v>
      </c>
      <c r="AB125" s="422"/>
    </row>
    <row r="126" spans="1:28" ht="25.5">
      <c r="A126" s="287">
        <f>A123+1</f>
        <v>17</v>
      </c>
      <c r="B126" s="92" t="s">
        <v>274</v>
      </c>
      <c r="C126" s="99"/>
      <c r="D126" s="94" t="s">
        <v>44</v>
      </c>
      <c r="E126" s="100" t="s">
        <v>468</v>
      </c>
      <c r="F126" s="96">
        <f>0.11*1.4*0.5</f>
        <v>0.077</v>
      </c>
      <c r="G126" s="33">
        <v>4000</v>
      </c>
      <c r="H126" s="288">
        <f aca="true" t="shared" si="7" ref="H126:H136">F126*G126</f>
        <v>308</v>
      </c>
      <c r="I126" s="343" t="s">
        <v>460</v>
      </c>
      <c r="K126" s="378"/>
      <c r="L126" s="378">
        <v>2.2</v>
      </c>
      <c r="M126" s="378"/>
      <c r="N126" s="388">
        <f>+F126*L126</f>
        <v>0.16940000000000002</v>
      </c>
      <c r="O126" s="377"/>
      <c r="P126" s="388"/>
      <c r="Q126" s="398"/>
      <c r="R126" s="530"/>
      <c r="S126" s="530"/>
      <c r="T126" s="530"/>
      <c r="U126" s="507"/>
      <c r="V126" s="507"/>
      <c r="W126" s="507"/>
      <c r="X126" s="385"/>
      <c r="Y126" s="416">
        <v>308</v>
      </c>
      <c r="Z126" s="416">
        <v>0</v>
      </c>
      <c r="AA126" s="425">
        <f t="shared" si="5"/>
        <v>0</v>
      </c>
      <c r="AB126" s="422"/>
    </row>
    <row r="127" spans="1:28" ht="12.75">
      <c r="A127" s="287">
        <f>+A126+1</f>
        <v>18</v>
      </c>
      <c r="B127" s="112" t="s">
        <v>636</v>
      </c>
      <c r="C127" s="99"/>
      <c r="D127" s="57" t="s">
        <v>637</v>
      </c>
      <c r="E127" s="58" t="s">
        <v>468</v>
      </c>
      <c r="F127" s="114">
        <f>+E128</f>
        <v>0.1093925</v>
      </c>
      <c r="G127" s="33">
        <v>910</v>
      </c>
      <c r="H127" s="288">
        <f t="shared" si="7"/>
        <v>99.54717500000001</v>
      </c>
      <c r="I127" s="343" t="s">
        <v>460</v>
      </c>
      <c r="K127" s="378"/>
      <c r="L127" s="378">
        <v>1.8</v>
      </c>
      <c r="M127" s="378"/>
      <c r="N127" s="388">
        <f>+F127*L127</f>
        <v>0.1969065</v>
      </c>
      <c r="O127" s="377"/>
      <c r="P127" s="388"/>
      <c r="Q127" s="398"/>
      <c r="R127" s="530"/>
      <c r="S127" s="530"/>
      <c r="T127" s="530"/>
      <c r="U127" s="507"/>
      <c r="V127" s="507"/>
      <c r="W127" s="507"/>
      <c r="X127" s="385"/>
      <c r="Y127" s="416">
        <v>99.5</v>
      </c>
      <c r="Z127" s="416">
        <v>0</v>
      </c>
      <c r="AA127" s="425">
        <v>0</v>
      </c>
      <c r="AB127" s="422"/>
    </row>
    <row r="128" spans="1:28" ht="12.75">
      <c r="A128" s="287"/>
      <c r="B128" s="92"/>
      <c r="C128" s="99"/>
      <c r="D128" s="123" t="s">
        <v>638</v>
      </c>
      <c r="E128" s="292">
        <f>(1.405*2.55-1*2.02)*0.07</f>
        <v>0.1093925</v>
      </c>
      <c r="F128" s="114"/>
      <c r="G128" s="38"/>
      <c r="H128" s="288"/>
      <c r="I128" s="343"/>
      <c r="K128" s="378"/>
      <c r="L128" s="378"/>
      <c r="M128" s="378"/>
      <c r="N128" s="388"/>
      <c r="O128" s="377"/>
      <c r="P128" s="388"/>
      <c r="Q128" s="398"/>
      <c r="R128" s="530"/>
      <c r="S128" s="530"/>
      <c r="T128" s="530"/>
      <c r="U128" s="507"/>
      <c r="V128" s="507"/>
      <c r="W128" s="507"/>
      <c r="X128" s="385"/>
      <c r="Y128" s="416"/>
      <c r="Z128" s="416"/>
      <c r="AA128" s="425">
        <f t="shared" si="5"/>
        <v>0</v>
      </c>
      <c r="AB128" s="422"/>
    </row>
    <row r="129" spans="1:28" ht="25.5">
      <c r="A129" s="287">
        <f>+A127+1</f>
        <v>19</v>
      </c>
      <c r="B129" s="92" t="s">
        <v>672</v>
      </c>
      <c r="C129" s="99"/>
      <c r="D129" s="94" t="s">
        <v>671</v>
      </c>
      <c r="E129" s="58" t="s">
        <v>331</v>
      </c>
      <c r="F129" s="114">
        <f>2.4+0.6</f>
        <v>3</v>
      </c>
      <c r="G129" s="33">
        <v>326</v>
      </c>
      <c r="H129" s="61">
        <f>F129*G129</f>
        <v>978</v>
      </c>
      <c r="I129" s="65" t="s">
        <v>460</v>
      </c>
      <c r="K129" s="378"/>
      <c r="L129" s="378">
        <v>0.081</v>
      </c>
      <c r="M129" s="378"/>
      <c r="N129" s="388">
        <f>+F129*L129</f>
        <v>0.243</v>
      </c>
      <c r="O129" s="377"/>
      <c r="P129" s="388"/>
      <c r="Q129" s="398"/>
      <c r="R129" s="530"/>
      <c r="S129" s="530"/>
      <c r="T129" s="530"/>
      <c r="U129" s="507"/>
      <c r="V129" s="507"/>
      <c r="W129" s="507"/>
      <c r="X129" s="380"/>
      <c r="Y129" s="416">
        <v>978</v>
      </c>
      <c r="Z129" s="416">
        <v>0</v>
      </c>
      <c r="AA129" s="425">
        <f t="shared" si="5"/>
        <v>0</v>
      </c>
      <c r="AB129" s="422"/>
    </row>
    <row r="130" spans="1:28" ht="12.75">
      <c r="A130" s="287">
        <f>+A129+1</f>
        <v>20</v>
      </c>
      <c r="B130" s="97" t="s">
        <v>114</v>
      </c>
      <c r="C130" s="98"/>
      <c r="D130" s="57" t="s">
        <v>48</v>
      </c>
      <c r="E130" s="58" t="s">
        <v>330</v>
      </c>
      <c r="F130" s="96">
        <v>2</v>
      </c>
      <c r="G130" s="33">
        <v>92.2</v>
      </c>
      <c r="H130" s="288">
        <f t="shared" si="7"/>
        <v>184.4</v>
      </c>
      <c r="I130" s="65" t="s">
        <v>460</v>
      </c>
      <c r="K130" s="378"/>
      <c r="L130" s="376"/>
      <c r="M130" s="378"/>
      <c r="N130" s="388">
        <v>0.008</v>
      </c>
      <c r="O130" s="377"/>
      <c r="P130" s="388"/>
      <c r="Q130" s="398"/>
      <c r="R130" s="530"/>
      <c r="S130" s="530"/>
      <c r="T130" s="530"/>
      <c r="U130" s="507"/>
      <c r="V130" s="507"/>
      <c r="W130" s="507"/>
      <c r="X130" s="380"/>
      <c r="Y130" s="416">
        <v>184.4</v>
      </c>
      <c r="Z130" s="416">
        <v>0</v>
      </c>
      <c r="AA130" s="425">
        <f t="shared" si="5"/>
        <v>0</v>
      </c>
      <c r="AB130" s="422"/>
    </row>
    <row r="131" spans="1:28" ht="25.5">
      <c r="A131" s="287">
        <f aca="true" t="shared" si="8" ref="A131:A136">A130+1</f>
        <v>21</v>
      </c>
      <c r="B131" s="289" t="s">
        <v>544</v>
      </c>
      <c r="C131" s="99"/>
      <c r="D131" s="94" t="s">
        <v>583</v>
      </c>
      <c r="E131" s="100" t="s">
        <v>330</v>
      </c>
      <c r="F131" s="96">
        <v>8</v>
      </c>
      <c r="G131" s="33">
        <v>420</v>
      </c>
      <c r="H131" s="288">
        <f>F131*G131</f>
        <v>3360</v>
      </c>
      <c r="I131" s="343" t="s">
        <v>460</v>
      </c>
      <c r="K131" s="378">
        <v>0.131</v>
      </c>
      <c r="L131" s="376">
        <v>1.8</v>
      </c>
      <c r="M131" s="376"/>
      <c r="N131" s="389">
        <v>0.2358</v>
      </c>
      <c r="O131" s="390"/>
      <c r="P131" s="388"/>
      <c r="Q131" s="398"/>
      <c r="R131" s="530"/>
      <c r="S131" s="530"/>
      <c r="T131" s="530"/>
      <c r="U131" s="507"/>
      <c r="V131" s="507"/>
      <c r="W131" s="507"/>
      <c r="X131" s="385"/>
      <c r="Y131" s="416">
        <v>3360</v>
      </c>
      <c r="Z131" s="416">
        <v>0</v>
      </c>
      <c r="AA131" s="425">
        <f t="shared" si="5"/>
        <v>0</v>
      </c>
      <c r="AB131" s="422"/>
    </row>
    <row r="132" spans="1:28" ht="25.5">
      <c r="A132" s="287">
        <f t="shared" si="8"/>
        <v>22</v>
      </c>
      <c r="B132" s="289" t="s">
        <v>581</v>
      </c>
      <c r="C132" s="99"/>
      <c r="D132" s="94" t="s">
        <v>582</v>
      </c>
      <c r="E132" s="100" t="s">
        <v>330</v>
      </c>
      <c r="F132" s="96">
        <v>4</v>
      </c>
      <c r="G132" s="33">
        <v>389</v>
      </c>
      <c r="H132" s="288">
        <f>F132*G132</f>
        <v>1556</v>
      </c>
      <c r="I132" s="343" t="s">
        <v>460</v>
      </c>
      <c r="K132" s="378">
        <v>0.00648</v>
      </c>
      <c r="L132" s="376">
        <v>1.8</v>
      </c>
      <c r="M132" s="376"/>
      <c r="N132" s="389">
        <v>0.046655999999999996</v>
      </c>
      <c r="O132" s="390"/>
      <c r="P132" s="388"/>
      <c r="Q132" s="398"/>
      <c r="R132" s="530"/>
      <c r="S132" s="530"/>
      <c r="T132" s="530"/>
      <c r="U132" s="507"/>
      <c r="V132" s="507"/>
      <c r="W132" s="507"/>
      <c r="X132" s="385"/>
      <c r="Y132" s="416">
        <v>1556</v>
      </c>
      <c r="Z132" s="416">
        <v>0</v>
      </c>
      <c r="AA132" s="425">
        <f t="shared" si="5"/>
        <v>0</v>
      </c>
      <c r="AB132" s="422"/>
    </row>
    <row r="133" spans="1:28" ht="12.75">
      <c r="A133" s="287">
        <f t="shared" si="8"/>
        <v>23</v>
      </c>
      <c r="B133" s="90" t="s">
        <v>267</v>
      </c>
      <c r="C133" s="99"/>
      <c r="D133" s="94" t="s">
        <v>47</v>
      </c>
      <c r="E133" s="100" t="s">
        <v>328</v>
      </c>
      <c r="F133" s="96">
        <f>3*1.36*2.32</f>
        <v>9.4656</v>
      </c>
      <c r="G133" s="33">
        <v>20.3</v>
      </c>
      <c r="H133" s="288">
        <f t="shared" si="7"/>
        <v>192.15168</v>
      </c>
      <c r="I133" s="343" t="s">
        <v>460</v>
      </c>
      <c r="K133" s="378">
        <f>0.04*0.7</f>
        <v>0.027999999999999997</v>
      </c>
      <c r="L133" s="376">
        <v>2.1</v>
      </c>
      <c r="M133" s="376"/>
      <c r="N133" s="388">
        <f>+K133*L133</f>
        <v>0.0588</v>
      </c>
      <c r="O133" s="376"/>
      <c r="P133" s="388"/>
      <c r="Q133" s="398"/>
      <c r="R133" s="530"/>
      <c r="S133" s="530"/>
      <c r="T133" s="530"/>
      <c r="U133" s="507"/>
      <c r="V133" s="507"/>
      <c r="W133" s="507"/>
      <c r="X133" s="385"/>
      <c r="Y133" s="416">
        <v>0</v>
      </c>
      <c r="Z133" s="416">
        <v>192.2</v>
      </c>
      <c r="AA133" s="425">
        <v>0</v>
      </c>
      <c r="AB133" s="422"/>
    </row>
    <row r="134" spans="1:28" ht="25.5">
      <c r="A134" s="287">
        <f t="shared" si="8"/>
        <v>24</v>
      </c>
      <c r="B134" s="289" t="s">
        <v>644</v>
      </c>
      <c r="C134" s="99"/>
      <c r="D134" s="94" t="s">
        <v>570</v>
      </c>
      <c r="E134" s="100" t="s">
        <v>331</v>
      </c>
      <c r="F134" s="96">
        <f>5.43*2</f>
        <v>10.86</v>
      </c>
      <c r="G134" s="33">
        <v>148</v>
      </c>
      <c r="H134" s="288">
        <f t="shared" si="7"/>
        <v>1607.28</v>
      </c>
      <c r="I134" s="343" t="s">
        <v>460</v>
      </c>
      <c r="K134" s="378">
        <v>0.39096</v>
      </c>
      <c r="L134" s="376">
        <v>0.8</v>
      </c>
      <c r="M134" s="376"/>
      <c r="N134" s="389">
        <v>0.312768</v>
      </c>
      <c r="O134" s="390" t="s">
        <v>540</v>
      </c>
      <c r="P134" s="388"/>
      <c r="Q134" s="398"/>
      <c r="R134" s="530"/>
      <c r="S134" s="530"/>
      <c r="T134" s="530"/>
      <c r="U134" s="507"/>
      <c r="V134" s="507"/>
      <c r="W134" s="507"/>
      <c r="X134" s="385"/>
      <c r="Y134" s="416">
        <v>1607.3</v>
      </c>
      <c r="Z134" s="416">
        <v>0</v>
      </c>
      <c r="AA134" s="425">
        <v>0</v>
      </c>
      <c r="AB134" s="422"/>
    </row>
    <row r="135" spans="1:28" ht="25.5">
      <c r="A135" s="287">
        <f t="shared" si="8"/>
        <v>25</v>
      </c>
      <c r="B135" s="289" t="s">
        <v>571</v>
      </c>
      <c r="C135" s="99"/>
      <c r="D135" s="94" t="s">
        <v>566</v>
      </c>
      <c r="E135" s="100" t="s">
        <v>331</v>
      </c>
      <c r="F135" s="96">
        <f>5.425*2</f>
        <v>10.85</v>
      </c>
      <c r="G135" s="33">
        <v>1120</v>
      </c>
      <c r="H135" s="288">
        <f t="shared" si="7"/>
        <v>12152</v>
      </c>
      <c r="I135" s="343" t="s">
        <v>460</v>
      </c>
      <c r="K135" s="378"/>
      <c r="L135" s="376"/>
      <c r="M135" s="376"/>
      <c r="N135" s="389"/>
      <c r="O135" s="390"/>
      <c r="P135" s="388"/>
      <c r="Q135" s="398"/>
      <c r="R135" s="530"/>
      <c r="S135" s="530"/>
      <c r="T135" s="530"/>
      <c r="U135" s="507"/>
      <c r="V135" s="507"/>
      <c r="W135" s="507"/>
      <c r="X135" s="385"/>
      <c r="Y135" s="416">
        <v>12152</v>
      </c>
      <c r="Z135" s="416">
        <v>0</v>
      </c>
      <c r="AA135" s="425">
        <f t="shared" si="5"/>
        <v>0</v>
      </c>
      <c r="AB135" s="422"/>
    </row>
    <row r="136" spans="1:28" ht="25.5">
      <c r="A136" s="287">
        <f t="shared" si="8"/>
        <v>26</v>
      </c>
      <c r="B136" s="289" t="s">
        <v>572</v>
      </c>
      <c r="C136" s="99"/>
      <c r="D136" s="94" t="s">
        <v>573</v>
      </c>
      <c r="E136" s="100" t="s">
        <v>328</v>
      </c>
      <c r="F136" s="96">
        <f>SUM(E137:E140)</f>
        <v>43.9352</v>
      </c>
      <c r="G136" s="33">
        <v>21</v>
      </c>
      <c r="H136" s="288">
        <f t="shared" si="7"/>
        <v>922.6392000000001</v>
      </c>
      <c r="I136" s="343" t="s">
        <v>460</v>
      </c>
      <c r="K136" s="378"/>
      <c r="L136" s="376"/>
      <c r="M136" s="376"/>
      <c r="N136" s="389"/>
      <c r="O136" s="390"/>
      <c r="P136" s="388"/>
      <c r="Q136" s="398"/>
      <c r="R136" s="530"/>
      <c r="S136" s="530"/>
      <c r="T136" s="530"/>
      <c r="U136" s="507"/>
      <c r="V136" s="507"/>
      <c r="W136" s="507"/>
      <c r="X136" s="385"/>
      <c r="Y136" s="416">
        <v>922.6</v>
      </c>
      <c r="Z136" s="416">
        <v>0</v>
      </c>
      <c r="AA136" s="425">
        <v>0</v>
      </c>
      <c r="AB136" s="422"/>
    </row>
    <row r="137" spans="1:28" ht="12.75">
      <c r="A137" s="293"/>
      <c r="B137" s="289"/>
      <c r="C137" s="99"/>
      <c r="D137" s="291" t="s">
        <v>546</v>
      </c>
      <c r="E137" s="294">
        <f>(0.18+0.2*2)*5.43*8</f>
        <v>25.195200000000003</v>
      </c>
      <c r="F137" s="295"/>
      <c r="G137" s="38"/>
      <c r="H137" s="296"/>
      <c r="I137" s="347"/>
      <c r="K137" s="378"/>
      <c r="L137" s="376"/>
      <c r="M137" s="376"/>
      <c r="N137" s="388"/>
      <c r="O137" s="376"/>
      <c r="P137" s="376"/>
      <c r="Q137" s="398"/>
      <c r="R137" s="530"/>
      <c r="S137" s="530"/>
      <c r="T137" s="530"/>
      <c r="U137" s="507"/>
      <c r="V137" s="507"/>
      <c r="W137" s="507"/>
      <c r="X137" s="385"/>
      <c r="Y137" s="416"/>
      <c r="Z137" s="416"/>
      <c r="AA137" s="425">
        <f t="shared" si="5"/>
        <v>0</v>
      </c>
      <c r="AB137" s="422"/>
    </row>
    <row r="138" spans="1:28" ht="12.75">
      <c r="A138" s="293"/>
      <c r="B138" s="289"/>
      <c r="C138" s="99"/>
      <c r="D138" s="291" t="s">
        <v>547</v>
      </c>
      <c r="E138" s="294">
        <f>+(0.14*2*5.3*10)</f>
        <v>14.84</v>
      </c>
      <c r="F138" s="295"/>
      <c r="G138" s="38"/>
      <c r="H138" s="296"/>
      <c r="I138" s="347"/>
      <c r="K138" s="378"/>
      <c r="L138" s="376"/>
      <c r="M138" s="376"/>
      <c r="N138" s="388"/>
      <c r="O138" s="376"/>
      <c r="P138" s="376"/>
      <c r="Q138" s="398"/>
      <c r="R138" s="530"/>
      <c r="S138" s="530"/>
      <c r="T138" s="530"/>
      <c r="U138" s="507"/>
      <c r="V138" s="507"/>
      <c r="W138" s="507"/>
      <c r="X138" s="385"/>
      <c r="Y138" s="416"/>
      <c r="Z138" s="416"/>
      <c r="AA138" s="425">
        <f t="shared" si="5"/>
        <v>0</v>
      </c>
      <c r="AB138" s="422"/>
    </row>
    <row r="139" spans="1:28" ht="12.75">
      <c r="A139" s="293"/>
      <c r="B139" s="289"/>
      <c r="C139" s="99"/>
      <c r="D139" s="291" t="s">
        <v>548</v>
      </c>
      <c r="E139" s="294">
        <f>(0.1+0.04)*2*5*2</f>
        <v>2.8000000000000003</v>
      </c>
      <c r="F139" s="295"/>
      <c r="G139" s="38"/>
      <c r="H139" s="296"/>
      <c r="I139" s="347"/>
      <c r="K139" s="378"/>
      <c r="L139" s="376"/>
      <c r="M139" s="376"/>
      <c r="N139" s="388"/>
      <c r="O139" s="376"/>
      <c r="P139" s="376"/>
      <c r="Q139" s="398"/>
      <c r="R139" s="530"/>
      <c r="S139" s="530"/>
      <c r="T139" s="530"/>
      <c r="U139" s="507"/>
      <c r="V139" s="507"/>
      <c r="W139" s="507"/>
      <c r="X139" s="385"/>
      <c r="Y139" s="416"/>
      <c r="Z139" s="416"/>
      <c r="AA139" s="425">
        <f t="shared" si="5"/>
        <v>0</v>
      </c>
      <c r="AB139" s="422"/>
    </row>
    <row r="140" spans="1:28" ht="12.75">
      <c r="A140" s="293"/>
      <c r="B140" s="289"/>
      <c r="C140" s="99"/>
      <c r="D140" s="291" t="s">
        <v>549</v>
      </c>
      <c r="E140" s="294">
        <f>(0.07+0.04)*2*5</f>
        <v>1.1</v>
      </c>
      <c r="F140" s="295"/>
      <c r="G140" s="38"/>
      <c r="H140" s="296"/>
      <c r="I140" s="347"/>
      <c r="K140" s="378"/>
      <c r="L140" s="376"/>
      <c r="M140" s="376"/>
      <c r="N140" s="388"/>
      <c r="O140" s="376"/>
      <c r="P140" s="376"/>
      <c r="Q140" s="398"/>
      <c r="R140" s="530"/>
      <c r="S140" s="530"/>
      <c r="T140" s="530"/>
      <c r="U140" s="507"/>
      <c r="V140" s="507"/>
      <c r="W140" s="507"/>
      <c r="X140" s="385"/>
      <c r="Y140" s="416"/>
      <c r="Z140" s="416"/>
      <c r="AA140" s="425">
        <f t="shared" si="5"/>
        <v>0</v>
      </c>
      <c r="AB140" s="422"/>
    </row>
    <row r="141" spans="1:28" ht="38.25">
      <c r="A141" s="287">
        <f>+A136+1</f>
        <v>27</v>
      </c>
      <c r="B141" s="289" t="s">
        <v>602</v>
      </c>
      <c r="C141" s="99"/>
      <c r="D141" s="94" t="s">
        <v>601</v>
      </c>
      <c r="E141" s="100" t="s">
        <v>331</v>
      </c>
      <c r="F141" s="96">
        <v>5</v>
      </c>
      <c r="G141" s="33">
        <v>635</v>
      </c>
      <c r="H141" s="288">
        <f>F141*G141</f>
        <v>3175</v>
      </c>
      <c r="I141" s="343" t="s">
        <v>460</v>
      </c>
      <c r="K141" s="378"/>
      <c r="L141" s="376"/>
      <c r="M141" s="376"/>
      <c r="N141" s="389"/>
      <c r="O141" s="390"/>
      <c r="P141" s="388"/>
      <c r="Q141" s="398"/>
      <c r="R141" s="530"/>
      <c r="S141" s="530"/>
      <c r="T141" s="530"/>
      <c r="U141" s="507"/>
      <c r="V141" s="507"/>
      <c r="W141" s="507"/>
      <c r="X141" s="385"/>
      <c r="Y141" s="416">
        <v>3175</v>
      </c>
      <c r="Z141" s="416">
        <v>0</v>
      </c>
      <c r="AA141" s="425">
        <f t="shared" si="5"/>
        <v>0</v>
      </c>
      <c r="AB141" s="422"/>
    </row>
    <row r="142" spans="1:28" ht="25.5">
      <c r="A142" s="287">
        <f>+A141+1</f>
        <v>28</v>
      </c>
      <c r="B142" s="289" t="s">
        <v>411</v>
      </c>
      <c r="C142" s="99"/>
      <c r="D142" s="94" t="s">
        <v>576</v>
      </c>
      <c r="E142" s="100" t="s">
        <v>330</v>
      </c>
      <c r="F142" s="96">
        <v>3</v>
      </c>
      <c r="G142" s="33">
        <v>782</v>
      </c>
      <c r="H142" s="288">
        <f>F142*G142</f>
        <v>2346</v>
      </c>
      <c r="I142" s="343" t="s">
        <v>460</v>
      </c>
      <c r="K142" s="383"/>
      <c r="L142" s="382"/>
      <c r="M142" s="382"/>
      <c r="N142" s="395"/>
      <c r="O142" s="396"/>
      <c r="P142" s="397"/>
      <c r="Q142" s="398"/>
      <c r="R142" s="530"/>
      <c r="S142" s="530"/>
      <c r="T142" s="530"/>
      <c r="U142" s="507"/>
      <c r="V142" s="507"/>
      <c r="W142" s="507"/>
      <c r="X142" s="385"/>
      <c r="Y142" s="416">
        <v>2346</v>
      </c>
      <c r="Z142" s="416">
        <v>0</v>
      </c>
      <c r="AA142" s="425">
        <f t="shared" si="5"/>
        <v>0</v>
      </c>
      <c r="AB142" s="422"/>
    </row>
    <row r="143" spans="1:28" ht="12.75">
      <c r="A143" s="287">
        <f aca="true" t="shared" si="9" ref="A143:A151">+A142+1</f>
        <v>29</v>
      </c>
      <c r="B143" s="289" t="s">
        <v>545</v>
      </c>
      <c r="C143" s="99"/>
      <c r="D143" s="94" t="s">
        <v>538</v>
      </c>
      <c r="E143" s="100" t="s">
        <v>330</v>
      </c>
      <c r="F143" s="96">
        <v>3</v>
      </c>
      <c r="G143" s="33">
        <v>221</v>
      </c>
      <c r="H143" s="288">
        <f>F143*G143</f>
        <v>663</v>
      </c>
      <c r="I143" s="343" t="s">
        <v>460</v>
      </c>
      <c r="K143" s="3">
        <v>0.025199999999999997</v>
      </c>
      <c r="L143" s="1">
        <v>0.8</v>
      </c>
      <c r="N143" s="11">
        <v>0.06047999999999999</v>
      </c>
      <c r="O143" s="2" t="s">
        <v>540</v>
      </c>
      <c r="P143" s="10"/>
      <c r="Q143" s="398"/>
      <c r="R143" s="530"/>
      <c r="S143" s="530"/>
      <c r="T143" s="530"/>
      <c r="U143" s="507"/>
      <c r="V143" s="507"/>
      <c r="W143" s="507"/>
      <c r="X143" s="385"/>
      <c r="Y143" s="416">
        <v>663</v>
      </c>
      <c r="Z143" s="416">
        <v>0</v>
      </c>
      <c r="AA143" s="425">
        <f t="shared" si="5"/>
        <v>0</v>
      </c>
      <c r="AB143" s="422"/>
    </row>
    <row r="144" spans="1:28" ht="12.75">
      <c r="A144" s="287">
        <f t="shared" si="9"/>
        <v>30</v>
      </c>
      <c r="B144" s="289" t="s">
        <v>577</v>
      </c>
      <c r="C144" s="99"/>
      <c r="D144" s="94" t="s">
        <v>537</v>
      </c>
      <c r="E144" s="100" t="s">
        <v>331</v>
      </c>
      <c r="F144" s="96">
        <v>5.3</v>
      </c>
      <c r="G144" s="33">
        <v>110.5</v>
      </c>
      <c r="H144" s="288">
        <f>F144*G144</f>
        <v>585.65</v>
      </c>
      <c r="I144" s="343" t="s">
        <v>460</v>
      </c>
      <c r="K144" s="3">
        <v>0.05194000000000001</v>
      </c>
      <c r="L144" s="1">
        <v>0.8</v>
      </c>
      <c r="N144" s="11">
        <v>0.041552000000000006</v>
      </c>
      <c r="O144" s="2" t="s">
        <v>540</v>
      </c>
      <c r="P144" s="10"/>
      <c r="Q144" s="398"/>
      <c r="R144" s="530"/>
      <c r="S144" s="530"/>
      <c r="T144" s="530"/>
      <c r="U144" s="507"/>
      <c r="V144" s="507"/>
      <c r="W144" s="507"/>
      <c r="X144" s="354"/>
      <c r="Y144" s="416">
        <v>585.7</v>
      </c>
      <c r="Z144" s="416">
        <v>0</v>
      </c>
      <c r="AA144" s="425">
        <v>0</v>
      </c>
      <c r="AB144" s="422"/>
    </row>
    <row r="145" spans="1:28" ht="12.75">
      <c r="A145" s="287">
        <f t="shared" si="9"/>
        <v>31</v>
      </c>
      <c r="B145" s="297" t="s">
        <v>86</v>
      </c>
      <c r="C145" s="99"/>
      <c r="D145" s="94" t="s">
        <v>384</v>
      </c>
      <c r="E145" s="100" t="s">
        <v>332</v>
      </c>
      <c r="F145" s="96">
        <f>+N145</f>
        <v>9.0747895</v>
      </c>
      <c r="G145" s="33">
        <v>435</v>
      </c>
      <c r="H145" s="288">
        <f aca="true" t="shared" si="10" ref="H145:H151">F145*G145</f>
        <v>3947.5334325</v>
      </c>
      <c r="I145" s="343" t="s">
        <v>460</v>
      </c>
      <c r="K145" s="3"/>
      <c r="N145" s="11">
        <f>SUM(N113:N144)</f>
        <v>9.0747895</v>
      </c>
      <c r="O145" s="2" t="s">
        <v>332</v>
      </c>
      <c r="P145" s="10">
        <f>+N124+N125+N134+N143+N144+N113+N119</f>
        <v>1.8219504</v>
      </c>
      <c r="Q145" s="398"/>
      <c r="R145" s="530"/>
      <c r="S145" s="530"/>
      <c r="T145" s="530"/>
      <c r="U145" s="507"/>
      <c r="V145" s="507"/>
      <c r="W145" s="507"/>
      <c r="X145" s="354"/>
      <c r="Y145" s="416">
        <v>3947.5</v>
      </c>
      <c r="Z145" s="416">
        <v>0</v>
      </c>
      <c r="AA145" s="425">
        <v>0</v>
      </c>
      <c r="AB145" s="422"/>
    </row>
    <row r="146" spans="1:28" ht="12.75">
      <c r="A146" s="287">
        <f t="shared" si="9"/>
        <v>32</v>
      </c>
      <c r="B146" s="93" t="s">
        <v>299</v>
      </c>
      <c r="C146" s="99"/>
      <c r="D146" s="94" t="s">
        <v>459</v>
      </c>
      <c r="E146" s="100" t="s">
        <v>332</v>
      </c>
      <c r="F146" s="96">
        <f>+F145</f>
        <v>9.0747895</v>
      </c>
      <c r="G146" s="33">
        <v>785</v>
      </c>
      <c r="H146" s="288">
        <f t="shared" si="10"/>
        <v>7123.7097575</v>
      </c>
      <c r="I146" s="343" t="s">
        <v>460</v>
      </c>
      <c r="Q146" s="398"/>
      <c r="R146" s="530"/>
      <c r="S146" s="530"/>
      <c r="T146" s="530"/>
      <c r="U146" s="507"/>
      <c r="V146" s="507"/>
      <c r="W146" s="507"/>
      <c r="X146" s="354"/>
      <c r="Y146" s="416">
        <v>7123.7</v>
      </c>
      <c r="Z146" s="416">
        <v>0</v>
      </c>
      <c r="AA146" s="425">
        <v>0</v>
      </c>
      <c r="AB146" s="422"/>
    </row>
    <row r="147" spans="1:28" ht="12.75">
      <c r="A147" s="287">
        <f t="shared" si="9"/>
        <v>33</v>
      </c>
      <c r="B147" s="93" t="s">
        <v>300</v>
      </c>
      <c r="C147" s="99"/>
      <c r="D147" s="94" t="s">
        <v>84</v>
      </c>
      <c r="E147" s="100" t="s">
        <v>332</v>
      </c>
      <c r="F147" s="96">
        <f>+N145</f>
        <v>9.0747895</v>
      </c>
      <c r="G147" s="33">
        <v>310</v>
      </c>
      <c r="H147" s="288">
        <f t="shared" si="10"/>
        <v>2813.184745</v>
      </c>
      <c r="I147" s="343" t="s">
        <v>460</v>
      </c>
      <c r="Q147" s="398"/>
      <c r="R147" s="530"/>
      <c r="S147" s="530"/>
      <c r="T147" s="530"/>
      <c r="U147" s="507"/>
      <c r="V147" s="507"/>
      <c r="W147" s="507"/>
      <c r="X147" s="354"/>
      <c r="Y147" s="416">
        <v>2813.2</v>
      </c>
      <c r="Z147" s="416">
        <v>0</v>
      </c>
      <c r="AA147" s="425">
        <v>0</v>
      </c>
      <c r="AB147" s="422"/>
    </row>
    <row r="148" spans="1:28" ht="25.5">
      <c r="A148" s="287">
        <f t="shared" si="9"/>
        <v>34</v>
      </c>
      <c r="B148" s="93" t="s">
        <v>301</v>
      </c>
      <c r="C148" s="99"/>
      <c r="D148" s="94" t="s">
        <v>49</v>
      </c>
      <c r="E148" s="100" t="s">
        <v>332</v>
      </c>
      <c r="F148" s="96">
        <f>+N145</f>
        <v>9.0747895</v>
      </c>
      <c r="G148" s="33">
        <v>24.6</v>
      </c>
      <c r="H148" s="288">
        <f t="shared" si="10"/>
        <v>223.2398217</v>
      </c>
      <c r="I148" s="343" t="s">
        <v>460</v>
      </c>
      <c r="Q148" s="398"/>
      <c r="R148" s="530"/>
      <c r="S148" s="530"/>
      <c r="T148" s="530"/>
      <c r="U148" s="507"/>
      <c r="V148" s="507"/>
      <c r="W148" s="507"/>
      <c r="X148" s="354"/>
      <c r="Y148" s="416">
        <v>223.2</v>
      </c>
      <c r="Z148" s="416">
        <v>0</v>
      </c>
      <c r="AA148" s="425">
        <v>0</v>
      </c>
      <c r="AB148" s="422"/>
    </row>
    <row r="149" spans="1:28" ht="12.75">
      <c r="A149" s="287">
        <f t="shared" si="9"/>
        <v>35</v>
      </c>
      <c r="B149" s="93" t="s">
        <v>87</v>
      </c>
      <c r="C149" s="99"/>
      <c r="D149" s="94" t="s">
        <v>130</v>
      </c>
      <c r="E149" s="100" t="s">
        <v>332</v>
      </c>
      <c r="F149" s="96">
        <f>+N145-F150</f>
        <v>7.252839099999999</v>
      </c>
      <c r="G149" s="33">
        <v>2160</v>
      </c>
      <c r="H149" s="288">
        <f t="shared" si="10"/>
        <v>15666.132455999998</v>
      </c>
      <c r="I149" s="343" t="s">
        <v>460</v>
      </c>
      <c r="Q149" s="398"/>
      <c r="R149" s="530"/>
      <c r="S149" s="530"/>
      <c r="T149" s="530"/>
      <c r="U149" s="507"/>
      <c r="V149" s="507"/>
      <c r="W149" s="507"/>
      <c r="X149" s="354"/>
      <c r="Y149" s="416">
        <v>15666.1</v>
      </c>
      <c r="Z149" s="416">
        <v>0</v>
      </c>
      <c r="AA149" s="425">
        <v>0</v>
      </c>
      <c r="AB149" s="422"/>
    </row>
    <row r="150" spans="1:28" ht="12.75">
      <c r="A150" s="287">
        <f t="shared" si="9"/>
        <v>36</v>
      </c>
      <c r="B150" s="90" t="s">
        <v>132</v>
      </c>
      <c r="C150" s="99"/>
      <c r="D150" s="94" t="s">
        <v>131</v>
      </c>
      <c r="E150" s="100" t="s">
        <v>332</v>
      </c>
      <c r="F150" s="96">
        <f>+P145</f>
        <v>1.8219504</v>
      </c>
      <c r="G150" s="33">
        <v>1780</v>
      </c>
      <c r="H150" s="288">
        <f t="shared" si="10"/>
        <v>3243.071712</v>
      </c>
      <c r="I150" s="343" t="s">
        <v>460</v>
      </c>
      <c r="Q150" s="398"/>
      <c r="R150" s="530"/>
      <c r="S150" s="530"/>
      <c r="T150" s="530"/>
      <c r="U150" s="507"/>
      <c r="V150" s="507"/>
      <c r="W150" s="507"/>
      <c r="X150" s="354"/>
      <c r="Y150" s="416">
        <v>3243.1</v>
      </c>
      <c r="Z150" s="416">
        <v>0</v>
      </c>
      <c r="AA150" s="425">
        <v>0</v>
      </c>
      <c r="AB150" s="422"/>
    </row>
    <row r="151" spans="1:28" ht="13.5" thickBot="1">
      <c r="A151" s="287">
        <f t="shared" si="9"/>
        <v>37</v>
      </c>
      <c r="B151" s="90" t="s">
        <v>128</v>
      </c>
      <c r="C151" s="99"/>
      <c r="D151" s="94" t="s">
        <v>129</v>
      </c>
      <c r="E151" s="100" t="s">
        <v>332</v>
      </c>
      <c r="F151" s="96">
        <f>+F148</f>
        <v>9.0747895</v>
      </c>
      <c r="G151" s="33">
        <v>380</v>
      </c>
      <c r="H151" s="288">
        <f t="shared" si="10"/>
        <v>3448.42001</v>
      </c>
      <c r="I151" s="343" t="s">
        <v>460</v>
      </c>
      <c r="Q151" s="398"/>
      <c r="R151" s="530"/>
      <c r="S151" s="530"/>
      <c r="T151" s="530"/>
      <c r="U151" s="507"/>
      <c r="V151" s="507"/>
      <c r="W151" s="507"/>
      <c r="X151" s="354"/>
      <c r="Y151" s="416">
        <v>3448.4</v>
      </c>
      <c r="Z151" s="416">
        <v>0</v>
      </c>
      <c r="AA151" s="425">
        <v>0</v>
      </c>
      <c r="AB151" s="422"/>
    </row>
    <row r="152" spans="1:28" ht="13.5" thickBot="1">
      <c r="A152" s="287"/>
      <c r="B152" s="289"/>
      <c r="C152" s="99"/>
      <c r="D152" s="298" t="s">
        <v>329</v>
      </c>
      <c r="E152" s="299"/>
      <c r="F152" s="300"/>
      <c r="G152" s="301"/>
      <c r="H152" s="302">
        <f>SUBTOTAL(9,H113:H151)</f>
        <v>78143.45383269999</v>
      </c>
      <c r="I152" s="343"/>
      <c r="Q152" s="402"/>
      <c r="R152" s="531"/>
      <c r="S152" s="531"/>
      <c r="T152" s="531"/>
      <c r="U152" s="513"/>
      <c r="V152" s="513"/>
      <c r="W152" s="513"/>
      <c r="X152" s="354"/>
      <c r="Y152" s="416"/>
      <c r="Z152" s="416"/>
      <c r="AA152" s="425"/>
      <c r="AB152" s="422"/>
    </row>
    <row r="153" spans="1:27" ht="12.75">
      <c r="A153" s="287"/>
      <c r="B153" s="289"/>
      <c r="C153" s="99"/>
      <c r="D153" s="303"/>
      <c r="E153" s="304"/>
      <c r="F153" s="246"/>
      <c r="G153" s="276"/>
      <c r="H153" s="305"/>
      <c r="I153" s="343"/>
      <c r="Q153" s="398"/>
      <c r="R153" s="530"/>
      <c r="S153" s="530"/>
      <c r="T153" s="530"/>
      <c r="U153" s="507"/>
      <c r="V153" s="507"/>
      <c r="W153" s="507"/>
      <c r="X153" s="354"/>
      <c r="Y153" s="416"/>
      <c r="Z153" s="416"/>
      <c r="AA153" s="425">
        <f t="shared" si="5"/>
        <v>0</v>
      </c>
    </row>
    <row r="154" spans="1:27" ht="16.5">
      <c r="A154" s="287"/>
      <c r="B154" s="289"/>
      <c r="C154" s="286" t="s">
        <v>337</v>
      </c>
      <c r="D154" s="564" t="s">
        <v>450</v>
      </c>
      <c r="E154" s="564"/>
      <c r="F154" s="564"/>
      <c r="G154" s="564"/>
      <c r="H154" s="564"/>
      <c r="I154" s="343"/>
      <c r="Q154" s="398"/>
      <c r="R154" s="530"/>
      <c r="S154" s="530"/>
      <c r="T154" s="530"/>
      <c r="U154" s="507"/>
      <c r="V154" s="507"/>
      <c r="W154" s="507"/>
      <c r="X154" s="354"/>
      <c r="Y154" s="416"/>
      <c r="Z154" s="416"/>
      <c r="AA154" s="425">
        <f aca="true" t="shared" si="11" ref="AA154:AA217">H154-Z154-Y154</f>
        <v>0</v>
      </c>
    </row>
    <row r="155" spans="1:27" ht="16.5">
      <c r="A155" s="287"/>
      <c r="B155" s="289"/>
      <c r="C155" s="306" t="s">
        <v>346</v>
      </c>
      <c r="D155" s="564" t="s">
        <v>359</v>
      </c>
      <c r="E155" s="564"/>
      <c r="F155" s="564"/>
      <c r="G155" s="564"/>
      <c r="H155" s="564"/>
      <c r="I155" s="343"/>
      <c r="Q155" s="398"/>
      <c r="R155" s="530"/>
      <c r="S155" s="530"/>
      <c r="T155" s="530"/>
      <c r="U155" s="507"/>
      <c r="V155" s="507"/>
      <c r="W155" s="507"/>
      <c r="X155" s="354"/>
      <c r="Y155" s="416"/>
      <c r="Z155" s="416"/>
      <c r="AA155" s="425">
        <f t="shared" si="11"/>
        <v>0</v>
      </c>
    </row>
    <row r="156" spans="1:27" ht="25.5">
      <c r="A156" s="287">
        <f>A151+1</f>
        <v>38</v>
      </c>
      <c r="B156" s="90" t="s">
        <v>290</v>
      </c>
      <c r="C156" s="99"/>
      <c r="D156" s="57" t="s">
        <v>291</v>
      </c>
      <c r="E156" s="100" t="s">
        <v>468</v>
      </c>
      <c r="F156" s="96">
        <f>+E157</f>
        <v>0.301455</v>
      </c>
      <c r="G156" s="33">
        <v>6300</v>
      </c>
      <c r="H156" s="288">
        <f>F156*G156</f>
        <v>1899.1664999999998</v>
      </c>
      <c r="I156" s="343" t="s">
        <v>460</v>
      </c>
      <c r="K156" s="29"/>
      <c r="L156" s="6"/>
      <c r="M156" s="6"/>
      <c r="N156" s="6"/>
      <c r="P156" s="1"/>
      <c r="Q156" s="398"/>
      <c r="R156" s="530"/>
      <c r="S156" s="530"/>
      <c r="T156" s="530"/>
      <c r="U156" s="507"/>
      <c r="V156" s="507"/>
      <c r="W156" s="507"/>
      <c r="X156" s="354"/>
      <c r="Y156" s="416">
        <v>1899.2</v>
      </c>
      <c r="Z156" s="416">
        <v>0</v>
      </c>
      <c r="AA156" s="425">
        <v>0</v>
      </c>
    </row>
    <row r="157" spans="1:27" ht="12.75">
      <c r="A157" s="287"/>
      <c r="B157" s="289"/>
      <c r="C157" s="99"/>
      <c r="D157" s="307" t="s">
        <v>641</v>
      </c>
      <c r="E157" s="294">
        <f>((1.17*2.55)-(2.07*1))*1.1*0.3</f>
        <v>0.301455</v>
      </c>
      <c r="F157" s="96"/>
      <c r="G157" s="38"/>
      <c r="H157" s="288"/>
      <c r="I157" s="343"/>
      <c r="Q157" s="398"/>
      <c r="R157" s="530"/>
      <c r="S157" s="530"/>
      <c r="T157" s="530"/>
      <c r="U157" s="507"/>
      <c r="V157" s="507"/>
      <c r="W157" s="507"/>
      <c r="X157" s="354"/>
      <c r="Y157" s="416"/>
      <c r="Z157" s="416"/>
      <c r="AA157" s="425">
        <v>0</v>
      </c>
    </row>
    <row r="158" spans="1:27" ht="25.5">
      <c r="A158" s="287">
        <f>+A156+1</f>
        <v>39</v>
      </c>
      <c r="B158" s="90" t="s">
        <v>645</v>
      </c>
      <c r="C158" s="99"/>
      <c r="D158" s="57" t="s">
        <v>639</v>
      </c>
      <c r="E158" s="100" t="s">
        <v>468</v>
      </c>
      <c r="F158" s="96">
        <f>+E159</f>
        <v>0.33239250000000004</v>
      </c>
      <c r="G158" s="33">
        <v>6300</v>
      </c>
      <c r="H158" s="288">
        <f>F158*G158</f>
        <v>2094.0727500000003</v>
      </c>
      <c r="I158" s="343" t="s">
        <v>460</v>
      </c>
      <c r="Q158" s="398"/>
      <c r="R158" s="530"/>
      <c r="S158" s="530"/>
      <c r="T158" s="530"/>
      <c r="U158" s="507"/>
      <c r="V158" s="507"/>
      <c r="W158" s="507"/>
      <c r="X158" s="354"/>
      <c r="Y158" s="416">
        <v>2094.1</v>
      </c>
      <c r="Z158" s="416">
        <v>0</v>
      </c>
      <c r="AA158" s="425">
        <v>0</v>
      </c>
    </row>
    <row r="159" spans="1:27" ht="12.75">
      <c r="A159" s="287"/>
      <c r="B159" s="289"/>
      <c r="C159" s="99"/>
      <c r="D159" s="294" t="s">
        <v>640</v>
      </c>
      <c r="E159" s="294">
        <f>(2.55*0.23+0.2*0.2+2*0.15*0.15)*0.45*1.1</f>
        <v>0.33239250000000004</v>
      </c>
      <c r="F159" s="96"/>
      <c r="G159" s="38"/>
      <c r="H159" s="288"/>
      <c r="I159" s="343"/>
      <c r="Q159" s="398"/>
      <c r="R159" s="530"/>
      <c r="S159" s="530"/>
      <c r="T159" s="530"/>
      <c r="U159" s="507"/>
      <c r="V159" s="507"/>
      <c r="W159" s="507"/>
      <c r="X159" s="354"/>
      <c r="Y159" s="416"/>
      <c r="Z159" s="416"/>
      <c r="AA159" s="425">
        <f t="shared" si="11"/>
        <v>0</v>
      </c>
    </row>
    <row r="160" spans="1:27" ht="25.5">
      <c r="A160" s="287">
        <f>+A158+1</f>
        <v>40</v>
      </c>
      <c r="B160" s="289" t="s">
        <v>673</v>
      </c>
      <c r="C160" s="99"/>
      <c r="D160" s="94" t="s">
        <v>674</v>
      </c>
      <c r="E160" s="58" t="s">
        <v>331</v>
      </c>
      <c r="F160" s="114">
        <f>2.4+0.6</f>
        <v>3</v>
      </c>
      <c r="G160" s="33">
        <v>440</v>
      </c>
      <c r="H160" s="61">
        <f>F160*G160</f>
        <v>1320</v>
      </c>
      <c r="I160" s="65" t="s">
        <v>460</v>
      </c>
      <c r="K160" s="29"/>
      <c r="L160" s="6"/>
      <c r="M160" s="6"/>
      <c r="N160" s="6"/>
      <c r="P160" s="1"/>
      <c r="Q160" s="398"/>
      <c r="R160" s="530"/>
      <c r="S160" s="530"/>
      <c r="T160" s="530"/>
      <c r="U160" s="507"/>
      <c r="V160" s="507"/>
      <c r="W160" s="507"/>
      <c r="Y160" s="416">
        <v>1320</v>
      </c>
      <c r="Z160" s="416">
        <v>0</v>
      </c>
      <c r="AA160" s="425">
        <f t="shared" si="11"/>
        <v>0</v>
      </c>
    </row>
    <row r="161" spans="1:27" ht="38.25">
      <c r="A161" s="287">
        <f>A160+1</f>
        <v>41</v>
      </c>
      <c r="B161" s="289" t="s">
        <v>579</v>
      </c>
      <c r="C161" s="99"/>
      <c r="D161" s="57" t="s">
        <v>580</v>
      </c>
      <c r="E161" s="58" t="s">
        <v>468</v>
      </c>
      <c r="F161" s="114">
        <f>0.2*0.2*0.2*4+0.65*0.2*0.2*2+0.43*0.2*0.2*2+0.1*0.2*0.2*4</f>
        <v>0.13440000000000005</v>
      </c>
      <c r="G161" s="33">
        <v>8350</v>
      </c>
      <c r="H161" s="61">
        <f>F161*G161</f>
        <v>1122.2400000000005</v>
      </c>
      <c r="I161" s="65" t="s">
        <v>460</v>
      </c>
      <c r="K161" s="29"/>
      <c r="L161" s="6"/>
      <c r="M161" s="6"/>
      <c r="N161" s="6"/>
      <c r="P161" s="1"/>
      <c r="Q161" s="398"/>
      <c r="R161" s="530"/>
      <c r="S161" s="530"/>
      <c r="T161" s="530"/>
      <c r="U161" s="507"/>
      <c r="V161" s="507"/>
      <c r="W161" s="507"/>
      <c r="Y161" s="416">
        <v>1122.2</v>
      </c>
      <c r="Z161" s="416">
        <v>0</v>
      </c>
      <c r="AA161" s="425">
        <v>0</v>
      </c>
    </row>
    <row r="162" spans="1:27" ht="76.5">
      <c r="A162" s="287">
        <f>+A161+1</f>
        <v>42</v>
      </c>
      <c r="B162" s="102" t="s">
        <v>620</v>
      </c>
      <c r="C162" s="99" t="s">
        <v>533</v>
      </c>
      <c r="D162" s="57" t="s">
        <v>829</v>
      </c>
      <c r="E162" s="58" t="s">
        <v>328</v>
      </c>
      <c r="F162" s="114">
        <f>+(3.21+0.91)*3.6-0.8*2.05+(2.54+1.55)*3.6</f>
        <v>27.916</v>
      </c>
      <c r="G162" s="33">
        <v>1500</v>
      </c>
      <c r="H162" s="61">
        <f>F162*G162</f>
        <v>41874</v>
      </c>
      <c r="I162" s="65" t="s">
        <v>466</v>
      </c>
      <c r="K162" s="29"/>
      <c r="L162" s="6"/>
      <c r="M162" s="6"/>
      <c r="N162" s="6"/>
      <c r="P162" s="1"/>
      <c r="Q162" s="404"/>
      <c r="R162" s="533"/>
      <c r="S162" s="533"/>
      <c r="T162" s="533"/>
      <c r="U162" s="515"/>
      <c r="V162" s="515"/>
      <c r="W162" s="515"/>
      <c r="Y162" s="416">
        <v>31405.5</v>
      </c>
      <c r="Z162" s="416">
        <v>10468.5</v>
      </c>
      <c r="AA162" s="425">
        <f t="shared" si="11"/>
        <v>0</v>
      </c>
    </row>
    <row r="163" spans="1:27" ht="12.75">
      <c r="A163" s="287"/>
      <c r="B163" s="289"/>
      <c r="C163" s="99"/>
      <c r="D163" s="307" t="s">
        <v>646</v>
      </c>
      <c r="E163" s="100"/>
      <c r="F163" s="96"/>
      <c r="G163" s="38"/>
      <c r="H163" s="61"/>
      <c r="I163" s="343"/>
      <c r="K163" s="29"/>
      <c r="L163" s="6"/>
      <c r="M163" s="6"/>
      <c r="N163" s="6"/>
      <c r="P163" s="7"/>
      <c r="Q163" s="404"/>
      <c r="R163" s="533"/>
      <c r="S163" s="533"/>
      <c r="T163" s="533"/>
      <c r="U163" s="515"/>
      <c r="V163" s="515"/>
      <c r="W163" s="515"/>
      <c r="X163" s="354"/>
      <c r="Y163" s="416"/>
      <c r="Z163" s="416"/>
      <c r="AA163" s="425">
        <f t="shared" si="11"/>
        <v>0</v>
      </c>
    </row>
    <row r="164" spans="1:28" ht="63.75">
      <c r="A164" s="287">
        <f>+A162+1</f>
        <v>43</v>
      </c>
      <c r="B164" s="308" t="s">
        <v>675</v>
      </c>
      <c r="C164" s="56" t="s">
        <v>169</v>
      </c>
      <c r="D164" s="94" t="s">
        <v>831</v>
      </c>
      <c r="E164" s="58" t="s">
        <v>328</v>
      </c>
      <c r="F164" s="114">
        <f>1.2*2.54</f>
        <v>3.048</v>
      </c>
      <c r="G164" s="33">
        <v>1260</v>
      </c>
      <c r="H164" s="61">
        <f>F164*G164</f>
        <v>3840.48</v>
      </c>
      <c r="I164" s="65" t="s">
        <v>466</v>
      </c>
      <c r="K164" s="29"/>
      <c r="L164" s="6"/>
      <c r="M164" s="6"/>
      <c r="N164" s="6"/>
      <c r="P164" s="7"/>
      <c r="Q164" s="411" t="s">
        <v>852</v>
      </c>
      <c r="R164" s="534">
        <v>-3.048</v>
      </c>
      <c r="S164" s="534">
        <v>1260</v>
      </c>
      <c r="T164" s="534">
        <f>R164*S164</f>
        <v>-3840.48</v>
      </c>
      <c r="U164" s="516"/>
      <c r="V164" s="516"/>
      <c r="W164" s="516"/>
      <c r="X164" s="354" t="s">
        <v>891</v>
      </c>
      <c r="Y164" s="416">
        <v>2880.36</v>
      </c>
      <c r="Z164" s="416">
        <v>-2880.36</v>
      </c>
      <c r="AA164" s="425">
        <f t="shared" si="11"/>
        <v>3840.48</v>
      </c>
      <c r="AB164" s="419" t="s">
        <v>873</v>
      </c>
    </row>
    <row r="165" spans="1:27" ht="12.75">
      <c r="A165" s="287"/>
      <c r="B165" s="289"/>
      <c r="C165" s="99"/>
      <c r="D165" s="307" t="s">
        <v>830</v>
      </c>
      <c r="E165" s="100"/>
      <c r="F165" s="96"/>
      <c r="G165" s="38"/>
      <c r="H165" s="61"/>
      <c r="I165" s="343"/>
      <c r="K165" s="29"/>
      <c r="L165" s="6"/>
      <c r="M165" s="6"/>
      <c r="N165" s="6"/>
      <c r="P165" s="7"/>
      <c r="Q165" s="404"/>
      <c r="R165" s="533"/>
      <c r="S165" s="533"/>
      <c r="T165" s="533"/>
      <c r="U165" s="515"/>
      <c r="V165" s="515"/>
      <c r="W165" s="515"/>
      <c r="X165" s="354"/>
      <c r="Y165" s="416"/>
      <c r="Z165" s="416"/>
      <c r="AA165" s="425">
        <f t="shared" si="11"/>
        <v>0</v>
      </c>
    </row>
    <row r="166" spans="1:27" ht="12.75">
      <c r="A166" s="287">
        <f>+A164+1</f>
        <v>44</v>
      </c>
      <c r="B166" s="103" t="s">
        <v>621</v>
      </c>
      <c r="C166" s="104"/>
      <c r="D166" s="91" t="s">
        <v>647</v>
      </c>
      <c r="E166" s="106"/>
      <c r="F166" s="114">
        <f>+F162</f>
        <v>27.916</v>
      </c>
      <c r="G166" s="33">
        <v>170</v>
      </c>
      <c r="H166" s="61">
        <f aca="true" t="shared" si="12" ref="H166:H172">F166*G166</f>
        <v>4745.72</v>
      </c>
      <c r="I166" s="65" t="s">
        <v>466</v>
      </c>
      <c r="K166" s="29"/>
      <c r="L166" s="6"/>
      <c r="M166" s="6"/>
      <c r="N166" s="6"/>
      <c r="P166" s="7"/>
      <c r="Q166" s="404"/>
      <c r="R166" s="533"/>
      <c r="S166" s="533"/>
      <c r="T166" s="533"/>
      <c r="U166" s="515"/>
      <c r="V166" s="515"/>
      <c r="W166" s="515"/>
      <c r="Y166" s="416">
        <v>4745.7</v>
      </c>
      <c r="Z166" s="416">
        <v>0</v>
      </c>
      <c r="AA166" s="425">
        <v>0</v>
      </c>
    </row>
    <row r="167" spans="1:27" ht="27.75" customHeight="1">
      <c r="A167" s="287">
        <f>A166+1</f>
        <v>45</v>
      </c>
      <c r="B167" s="103" t="s">
        <v>96</v>
      </c>
      <c r="C167" s="104"/>
      <c r="D167" s="105" t="s">
        <v>167</v>
      </c>
      <c r="E167" s="106" t="s">
        <v>328</v>
      </c>
      <c r="F167" s="96">
        <f>+F166</f>
        <v>27.916</v>
      </c>
      <c r="G167" s="33">
        <v>91</v>
      </c>
      <c r="H167" s="61">
        <f t="shared" si="12"/>
        <v>2540.356</v>
      </c>
      <c r="I167" s="343" t="s">
        <v>466</v>
      </c>
      <c r="K167" s="29"/>
      <c r="L167" s="6"/>
      <c r="M167" s="6"/>
      <c r="N167" s="6"/>
      <c r="P167" s="7"/>
      <c r="Q167" s="404"/>
      <c r="R167" s="533"/>
      <c r="S167" s="533"/>
      <c r="T167" s="533"/>
      <c r="U167" s="515"/>
      <c r="V167" s="515"/>
      <c r="W167" s="515"/>
      <c r="X167" s="354"/>
      <c r="Y167" s="416">
        <v>2540.4</v>
      </c>
      <c r="Z167" s="416">
        <v>0</v>
      </c>
      <c r="AA167" s="425">
        <v>0</v>
      </c>
    </row>
    <row r="168" spans="1:27" ht="38.25">
      <c r="A168" s="287">
        <f>+A167+1</f>
        <v>46</v>
      </c>
      <c r="B168" s="140" t="s">
        <v>649</v>
      </c>
      <c r="C168" s="104"/>
      <c r="D168" s="352" t="s">
        <v>648</v>
      </c>
      <c r="E168" s="106" t="s">
        <v>330</v>
      </c>
      <c r="F168" s="96">
        <v>1</v>
      </c>
      <c r="G168" s="33">
        <v>3230</v>
      </c>
      <c r="H168" s="61">
        <f t="shared" si="12"/>
        <v>3230</v>
      </c>
      <c r="I168" s="343" t="s">
        <v>466</v>
      </c>
      <c r="K168" s="29"/>
      <c r="L168" s="6"/>
      <c r="M168" s="6"/>
      <c r="N168" s="6"/>
      <c r="P168" s="7"/>
      <c r="Q168" s="404"/>
      <c r="R168" s="533"/>
      <c r="S168" s="533"/>
      <c r="T168" s="533"/>
      <c r="U168" s="515"/>
      <c r="V168" s="515"/>
      <c r="W168" s="515"/>
      <c r="X168" s="354"/>
      <c r="Y168" s="416">
        <v>3230</v>
      </c>
      <c r="Z168" s="416">
        <v>0</v>
      </c>
      <c r="AA168" s="425">
        <f t="shared" si="11"/>
        <v>0</v>
      </c>
    </row>
    <row r="169" spans="1:27" ht="12.75">
      <c r="A169" s="287">
        <f>+A168+1</f>
        <v>47</v>
      </c>
      <c r="B169" s="102" t="s">
        <v>97</v>
      </c>
      <c r="C169" s="56"/>
      <c r="D169" s="57" t="s">
        <v>168</v>
      </c>
      <c r="E169" s="58" t="s">
        <v>330</v>
      </c>
      <c r="F169" s="96">
        <v>1</v>
      </c>
      <c r="G169" s="33">
        <v>297</v>
      </c>
      <c r="H169" s="61">
        <f t="shared" si="12"/>
        <v>297</v>
      </c>
      <c r="I169" s="343" t="s">
        <v>466</v>
      </c>
      <c r="K169" s="29"/>
      <c r="L169" s="6"/>
      <c r="M169" s="6"/>
      <c r="N169" s="6"/>
      <c r="P169" s="7"/>
      <c r="Q169" s="404"/>
      <c r="R169" s="533"/>
      <c r="S169" s="533"/>
      <c r="T169" s="533"/>
      <c r="U169" s="515"/>
      <c r="V169" s="515"/>
      <c r="W169" s="515"/>
      <c r="X169" s="354"/>
      <c r="Y169" s="416">
        <v>297</v>
      </c>
      <c r="Z169" s="416">
        <v>0</v>
      </c>
      <c r="AA169" s="425">
        <f t="shared" si="11"/>
        <v>0</v>
      </c>
    </row>
    <row r="170" spans="1:27" ht="12.75">
      <c r="A170" s="287">
        <f>+A169+1</f>
        <v>48</v>
      </c>
      <c r="B170" s="90" t="s">
        <v>71</v>
      </c>
      <c r="C170" s="99"/>
      <c r="D170" s="94" t="s">
        <v>650</v>
      </c>
      <c r="E170" s="100" t="s">
        <v>331</v>
      </c>
      <c r="F170" s="139">
        <f>3.21+4.21</f>
        <v>7.42</v>
      </c>
      <c r="G170" s="33">
        <v>280</v>
      </c>
      <c r="H170" s="61">
        <f t="shared" si="12"/>
        <v>2077.6</v>
      </c>
      <c r="I170" s="65" t="s">
        <v>466</v>
      </c>
      <c r="K170" s="29"/>
      <c r="L170" s="6"/>
      <c r="M170" s="6"/>
      <c r="N170" s="6"/>
      <c r="P170" s="7"/>
      <c r="Q170" s="404"/>
      <c r="R170" s="533"/>
      <c r="S170" s="533"/>
      <c r="T170" s="533"/>
      <c r="U170" s="515"/>
      <c r="V170" s="515"/>
      <c r="W170" s="515"/>
      <c r="Y170" s="416">
        <v>2077.6</v>
      </c>
      <c r="Z170" s="416">
        <v>0</v>
      </c>
      <c r="AA170" s="425">
        <f t="shared" si="11"/>
        <v>0</v>
      </c>
    </row>
    <row r="171" spans="1:27" ht="51">
      <c r="A171" s="287">
        <f>+A170+1</f>
        <v>49</v>
      </c>
      <c r="B171" s="101" t="s">
        <v>98</v>
      </c>
      <c r="C171" s="99"/>
      <c r="D171" s="57" t="s">
        <v>50</v>
      </c>
      <c r="E171" s="100" t="s">
        <v>328</v>
      </c>
      <c r="F171" s="114">
        <f>0.9*0.9</f>
        <v>0.81</v>
      </c>
      <c r="G171" s="33">
        <v>921</v>
      </c>
      <c r="H171" s="61">
        <f t="shared" si="12"/>
        <v>746.0100000000001</v>
      </c>
      <c r="I171" s="65" t="s">
        <v>466</v>
      </c>
      <c r="L171" s="6"/>
      <c r="M171" s="6"/>
      <c r="N171" s="6"/>
      <c r="P171" s="1"/>
      <c r="Q171" s="404"/>
      <c r="R171" s="533"/>
      <c r="S171" s="533"/>
      <c r="T171" s="533"/>
      <c r="U171" s="515"/>
      <c r="V171" s="515"/>
      <c r="W171" s="515"/>
      <c r="Y171" s="416">
        <v>0</v>
      </c>
      <c r="Z171" s="416">
        <v>746</v>
      </c>
      <c r="AA171" s="425">
        <v>0</v>
      </c>
    </row>
    <row r="172" spans="1:28" ht="38.25">
      <c r="A172" s="287">
        <f>+A171+1</f>
        <v>50</v>
      </c>
      <c r="B172" s="90" t="s">
        <v>213</v>
      </c>
      <c r="C172" s="99"/>
      <c r="D172" s="94" t="s">
        <v>217</v>
      </c>
      <c r="E172" s="58" t="s">
        <v>328</v>
      </c>
      <c r="F172" s="114">
        <f>3.2*3.6+1.9*1.52</f>
        <v>14.408000000000001</v>
      </c>
      <c r="G172" s="33">
        <v>700</v>
      </c>
      <c r="H172" s="61">
        <f t="shared" si="12"/>
        <v>10085.6</v>
      </c>
      <c r="I172" s="343" t="s">
        <v>466</v>
      </c>
      <c r="Q172" s="404" t="s">
        <v>852</v>
      </c>
      <c r="R172" s="533">
        <v>-14.408</v>
      </c>
      <c r="S172" s="533">
        <v>700</v>
      </c>
      <c r="T172" s="534">
        <f>R172*S172</f>
        <v>-10085.6</v>
      </c>
      <c r="U172" s="515"/>
      <c r="V172" s="515"/>
      <c r="W172" s="515"/>
      <c r="X172" s="354" t="s">
        <v>891</v>
      </c>
      <c r="Y172" s="416">
        <v>0</v>
      </c>
      <c r="Z172" s="416">
        <v>0</v>
      </c>
      <c r="AA172" s="425">
        <f t="shared" si="11"/>
        <v>10085.6</v>
      </c>
      <c r="AB172" s="419" t="s">
        <v>875</v>
      </c>
    </row>
    <row r="173" spans="1:27" ht="12.75">
      <c r="A173" s="287"/>
      <c r="B173" s="289"/>
      <c r="C173" s="99"/>
      <c r="D173" s="307" t="s">
        <v>761</v>
      </c>
      <c r="E173" s="100"/>
      <c r="F173" s="96"/>
      <c r="G173" s="38"/>
      <c r="H173" s="288"/>
      <c r="I173" s="343"/>
      <c r="Q173" s="404"/>
      <c r="R173" s="533"/>
      <c r="S173" s="533"/>
      <c r="T173" s="533"/>
      <c r="U173" s="515"/>
      <c r="V173" s="515"/>
      <c r="W173" s="515"/>
      <c r="X173" s="354"/>
      <c r="Y173" s="416"/>
      <c r="Z173" s="416"/>
      <c r="AA173" s="425">
        <f t="shared" si="11"/>
        <v>0</v>
      </c>
    </row>
    <row r="174" spans="1:28" ht="13.5" thickBot="1">
      <c r="A174" s="287">
        <f>+A172+1</f>
        <v>51</v>
      </c>
      <c r="B174" s="90" t="s">
        <v>172</v>
      </c>
      <c r="C174" s="99"/>
      <c r="D174" s="309" t="s">
        <v>357</v>
      </c>
      <c r="E174" s="100" t="s">
        <v>336</v>
      </c>
      <c r="F174" s="96">
        <f>+H156+H158+H160+H161+H162+H164+H169+H171+H172</f>
        <v>63278.56925000001</v>
      </c>
      <c r="G174" s="37">
        <v>0.05</v>
      </c>
      <c r="H174" s="288">
        <f>F174*G174</f>
        <v>3163.9284625000005</v>
      </c>
      <c r="I174" s="343" t="s">
        <v>466</v>
      </c>
      <c r="Q174" s="404" t="s">
        <v>852</v>
      </c>
      <c r="R174" s="533">
        <f>T172+T164</f>
        <v>-13926.08</v>
      </c>
      <c r="S174" s="535">
        <v>0.05</v>
      </c>
      <c r="T174" s="534">
        <f>R174*S174</f>
        <v>-696.3040000000001</v>
      </c>
      <c r="U174" s="515"/>
      <c r="V174" s="515"/>
      <c r="W174" s="515"/>
      <c r="X174" s="354" t="s">
        <v>891</v>
      </c>
      <c r="Y174" s="416">
        <v>0</v>
      </c>
      <c r="Z174" s="416">
        <v>2467.6</v>
      </c>
      <c r="AA174" s="425">
        <f t="shared" si="11"/>
        <v>696.3284625000006</v>
      </c>
      <c r="AB174" s="419" t="s">
        <v>875</v>
      </c>
    </row>
    <row r="175" spans="1:27" ht="13.5" thickBot="1">
      <c r="A175" s="287"/>
      <c r="B175" s="289"/>
      <c r="C175" s="99"/>
      <c r="D175" s="67" t="s">
        <v>329</v>
      </c>
      <c r="E175" s="310"/>
      <c r="F175" s="311"/>
      <c r="G175" s="312"/>
      <c r="H175" s="302">
        <f>SUBTOTAL(9,H156:H174)</f>
        <v>79036.1737125</v>
      </c>
      <c r="I175" s="343"/>
      <c r="Q175" s="405"/>
      <c r="R175" s="536"/>
      <c r="S175" s="536"/>
      <c r="T175" s="536"/>
      <c r="U175" s="517"/>
      <c r="V175" s="517"/>
      <c r="W175" s="517"/>
      <c r="X175" s="354"/>
      <c r="Y175" s="416"/>
      <c r="Z175" s="416"/>
      <c r="AA175" s="425"/>
    </row>
    <row r="176" spans="1:27" ht="12.75">
      <c r="A176" s="287"/>
      <c r="B176" s="289"/>
      <c r="C176" s="99"/>
      <c r="D176" s="303"/>
      <c r="E176" s="304"/>
      <c r="F176" s="246"/>
      <c r="G176" s="276"/>
      <c r="H176" s="305"/>
      <c r="I176" s="343"/>
      <c r="Q176" s="404"/>
      <c r="R176" s="533"/>
      <c r="S176" s="533"/>
      <c r="T176" s="533"/>
      <c r="U176" s="515"/>
      <c r="V176" s="515"/>
      <c r="W176" s="515"/>
      <c r="X176" s="354"/>
      <c r="Y176" s="416"/>
      <c r="Z176" s="416"/>
      <c r="AA176" s="425">
        <f t="shared" si="11"/>
        <v>0</v>
      </c>
    </row>
    <row r="177" spans="1:27" ht="16.5">
      <c r="A177" s="287"/>
      <c r="B177" s="289"/>
      <c r="C177" s="306" t="s">
        <v>347</v>
      </c>
      <c r="D177" s="564" t="s">
        <v>360</v>
      </c>
      <c r="E177" s="564"/>
      <c r="F177" s="564"/>
      <c r="G177" s="564"/>
      <c r="H177" s="564"/>
      <c r="I177" s="343"/>
      <c r="Q177" s="404"/>
      <c r="R177" s="533"/>
      <c r="S177" s="533"/>
      <c r="T177" s="533"/>
      <c r="U177" s="515"/>
      <c r="V177" s="515"/>
      <c r="W177" s="515"/>
      <c r="X177" s="354"/>
      <c r="Y177" s="416"/>
      <c r="Z177" s="416"/>
      <c r="AA177" s="425">
        <f t="shared" si="11"/>
        <v>0</v>
      </c>
    </row>
    <row r="178" spans="1:27" ht="52.5" customHeight="1">
      <c r="A178" s="287"/>
      <c r="B178" s="289"/>
      <c r="C178" s="286"/>
      <c r="D178" s="557" t="s">
        <v>375</v>
      </c>
      <c r="E178" s="557"/>
      <c r="F178" s="557"/>
      <c r="G178" s="557"/>
      <c r="H178" s="557"/>
      <c r="I178" s="343"/>
      <c r="P178" s="8"/>
      <c r="Q178" s="404"/>
      <c r="R178" s="533"/>
      <c r="S178" s="533"/>
      <c r="T178" s="533"/>
      <c r="U178" s="515"/>
      <c r="V178" s="515"/>
      <c r="W178" s="515"/>
      <c r="X178" s="354"/>
      <c r="Y178" s="416"/>
      <c r="Z178" s="416"/>
      <c r="AA178" s="425">
        <f t="shared" si="11"/>
        <v>0</v>
      </c>
    </row>
    <row r="179" spans="1:27" ht="51">
      <c r="A179" s="287">
        <f>A174+1</f>
        <v>52</v>
      </c>
      <c r="B179" s="90" t="s">
        <v>123</v>
      </c>
      <c r="C179" s="108" t="s">
        <v>51</v>
      </c>
      <c r="D179" s="94" t="s">
        <v>622</v>
      </c>
      <c r="E179" s="100" t="s">
        <v>328</v>
      </c>
      <c r="F179" s="96">
        <v>4.8</v>
      </c>
      <c r="G179" s="33">
        <v>1020</v>
      </c>
      <c r="H179" s="288">
        <f aca="true" t="shared" si="13" ref="H179:H193">F179*G179</f>
        <v>4896</v>
      </c>
      <c r="I179" s="343" t="s">
        <v>466</v>
      </c>
      <c r="P179" s="1"/>
      <c r="Q179" s="404"/>
      <c r="R179" s="533"/>
      <c r="S179" s="533"/>
      <c r="T179" s="533"/>
      <c r="U179" s="515"/>
      <c r="V179" s="515"/>
      <c r="W179" s="515"/>
      <c r="X179" s="354"/>
      <c r="Y179" s="416">
        <v>3672</v>
      </c>
      <c r="Z179" s="416">
        <v>1224</v>
      </c>
      <c r="AA179" s="425">
        <f t="shared" si="11"/>
        <v>0</v>
      </c>
    </row>
    <row r="180" spans="1:27" ht="38.25">
      <c r="A180" s="287">
        <f>A179+1</f>
        <v>53</v>
      </c>
      <c r="B180" s="90" t="s">
        <v>122</v>
      </c>
      <c r="C180" s="108" t="s">
        <v>491</v>
      </c>
      <c r="D180" s="57" t="s">
        <v>841</v>
      </c>
      <c r="E180" s="100" t="s">
        <v>328</v>
      </c>
      <c r="F180" s="96">
        <f>4.6+6.1</f>
        <v>10.7</v>
      </c>
      <c r="G180" s="33">
        <v>1400</v>
      </c>
      <c r="H180" s="288">
        <f t="shared" si="13"/>
        <v>14979.999999999998</v>
      </c>
      <c r="I180" s="343" t="s">
        <v>466</v>
      </c>
      <c r="Q180" s="404"/>
      <c r="R180" s="533"/>
      <c r="S180" s="533"/>
      <c r="T180" s="533"/>
      <c r="U180" s="515"/>
      <c r="V180" s="515"/>
      <c r="W180" s="515"/>
      <c r="X180" s="354"/>
      <c r="Y180" s="416">
        <v>11235</v>
      </c>
      <c r="Z180" s="416">
        <v>3745</v>
      </c>
      <c r="AA180" s="425">
        <f t="shared" si="11"/>
        <v>0</v>
      </c>
    </row>
    <row r="181" spans="1:28" ht="12.75">
      <c r="A181" s="287">
        <f aca="true" t="shared" si="14" ref="A181:A190">A180+1</f>
        <v>54</v>
      </c>
      <c r="B181" s="90" t="s">
        <v>122</v>
      </c>
      <c r="C181" s="99" t="s">
        <v>491</v>
      </c>
      <c r="D181" s="94" t="s">
        <v>515</v>
      </c>
      <c r="E181" s="100" t="s">
        <v>328</v>
      </c>
      <c r="F181" s="96">
        <f>5.05*(0.23+0.3)+(0.4+2*0.3)*0.98</f>
        <v>3.6565</v>
      </c>
      <c r="G181" s="33">
        <v>1010</v>
      </c>
      <c r="H181" s="288">
        <f t="shared" si="13"/>
        <v>3693.065</v>
      </c>
      <c r="I181" s="343" t="s">
        <v>466</v>
      </c>
      <c r="Q181" s="404" t="s">
        <v>852</v>
      </c>
      <c r="R181" s="533">
        <v>-2.657</v>
      </c>
      <c r="S181" s="533">
        <v>1010</v>
      </c>
      <c r="T181" s="533">
        <v>-2683.5</v>
      </c>
      <c r="U181" s="515"/>
      <c r="V181" s="515"/>
      <c r="W181" s="515"/>
      <c r="X181" s="354" t="s">
        <v>891</v>
      </c>
      <c r="Y181" s="416">
        <v>0</v>
      </c>
      <c r="Z181" s="416">
        <v>1009.57</v>
      </c>
      <c r="AA181" s="425">
        <f t="shared" si="11"/>
        <v>2683.495</v>
      </c>
      <c r="AB181" s="419" t="s">
        <v>875</v>
      </c>
    </row>
    <row r="182" spans="1:27" ht="25.5">
      <c r="A182" s="287">
        <f t="shared" si="14"/>
        <v>55</v>
      </c>
      <c r="B182" s="90" t="s">
        <v>133</v>
      </c>
      <c r="C182" s="99" t="s">
        <v>339</v>
      </c>
      <c r="D182" s="57" t="s">
        <v>207</v>
      </c>
      <c r="E182" s="100" t="s">
        <v>328</v>
      </c>
      <c r="F182" s="96">
        <f>+F179+F180</f>
        <v>15.5</v>
      </c>
      <c r="G182" s="33">
        <v>115.5</v>
      </c>
      <c r="H182" s="288">
        <f t="shared" si="13"/>
        <v>1790.25</v>
      </c>
      <c r="I182" s="343" t="s">
        <v>466</v>
      </c>
      <c r="Q182" s="404"/>
      <c r="R182" s="533"/>
      <c r="S182" s="533"/>
      <c r="T182" s="533"/>
      <c r="U182" s="515"/>
      <c r="V182" s="515"/>
      <c r="W182" s="515"/>
      <c r="X182" s="354"/>
      <c r="Y182" s="438">
        <v>1342.688</v>
      </c>
      <c r="Z182" s="416">
        <v>447.563</v>
      </c>
      <c r="AA182" s="425">
        <f t="shared" si="11"/>
        <v>-0.0010000000002037268</v>
      </c>
    </row>
    <row r="183" spans="1:27" ht="12.75">
      <c r="A183" s="287">
        <f t="shared" si="14"/>
        <v>56</v>
      </c>
      <c r="B183" s="90" t="s">
        <v>170</v>
      </c>
      <c r="C183" s="109" t="s">
        <v>338</v>
      </c>
      <c r="D183" s="110" t="s">
        <v>231</v>
      </c>
      <c r="E183" s="111" t="s">
        <v>328</v>
      </c>
      <c r="F183" s="119">
        <f>+F179+F180</f>
        <v>15.5</v>
      </c>
      <c r="G183" s="34">
        <v>127</v>
      </c>
      <c r="H183" s="313">
        <f t="shared" si="13"/>
        <v>1968.5</v>
      </c>
      <c r="I183" s="343" t="s">
        <v>466</v>
      </c>
      <c r="Q183" s="404"/>
      <c r="R183" s="533"/>
      <c r="S183" s="533"/>
      <c r="T183" s="533"/>
      <c r="U183" s="515"/>
      <c r="V183" s="515"/>
      <c r="W183" s="515"/>
      <c r="X183" s="354"/>
      <c r="Y183" s="416">
        <v>1968.5</v>
      </c>
      <c r="Z183" s="416">
        <v>0</v>
      </c>
      <c r="AA183" s="425">
        <f t="shared" si="11"/>
        <v>0</v>
      </c>
    </row>
    <row r="184" spans="1:27" ht="12.75">
      <c r="A184" s="287">
        <f t="shared" si="14"/>
        <v>57</v>
      </c>
      <c r="B184" s="90" t="s">
        <v>72</v>
      </c>
      <c r="C184" s="99" t="s">
        <v>206</v>
      </c>
      <c r="D184" s="94" t="s">
        <v>79</v>
      </c>
      <c r="E184" s="100" t="s">
        <v>328</v>
      </c>
      <c r="F184" s="96">
        <v>4.8</v>
      </c>
      <c r="G184" s="33">
        <v>92.6</v>
      </c>
      <c r="H184" s="288">
        <f t="shared" si="13"/>
        <v>444.47999999999996</v>
      </c>
      <c r="I184" s="343" t="s">
        <v>466</v>
      </c>
      <c r="Q184" s="404"/>
      <c r="R184" s="533"/>
      <c r="S184" s="533"/>
      <c r="T184" s="533"/>
      <c r="U184" s="515"/>
      <c r="V184" s="515"/>
      <c r="W184" s="515"/>
      <c r="X184" s="354"/>
      <c r="Y184" s="416">
        <v>444.5</v>
      </c>
      <c r="Z184" s="416">
        <v>0</v>
      </c>
      <c r="AA184" s="425">
        <v>0</v>
      </c>
    </row>
    <row r="185" spans="1:27" ht="25.5">
      <c r="A185" s="287">
        <f t="shared" si="14"/>
        <v>58</v>
      </c>
      <c r="B185" s="90" t="s">
        <v>75</v>
      </c>
      <c r="C185" s="99" t="s">
        <v>51</v>
      </c>
      <c r="D185" s="94" t="s">
        <v>76</v>
      </c>
      <c r="E185" s="100" t="s">
        <v>331</v>
      </c>
      <c r="F185" s="96">
        <v>11.5</v>
      </c>
      <c r="G185" s="33">
        <v>31</v>
      </c>
      <c r="H185" s="288">
        <f t="shared" si="13"/>
        <v>356.5</v>
      </c>
      <c r="I185" s="343" t="s">
        <v>466</v>
      </c>
      <c r="Q185" s="404"/>
      <c r="R185" s="533"/>
      <c r="S185" s="533"/>
      <c r="T185" s="533"/>
      <c r="U185" s="515"/>
      <c r="V185" s="515"/>
      <c r="W185" s="515"/>
      <c r="X185" s="354"/>
      <c r="Y185" s="416">
        <v>356.5</v>
      </c>
      <c r="Z185" s="416">
        <v>0</v>
      </c>
      <c r="AA185" s="425">
        <f t="shared" si="11"/>
        <v>0</v>
      </c>
    </row>
    <row r="186" spans="1:27" ht="25.5">
      <c r="A186" s="287">
        <f t="shared" si="14"/>
        <v>59</v>
      </c>
      <c r="B186" s="90" t="s">
        <v>73</v>
      </c>
      <c r="C186" s="99" t="s">
        <v>391</v>
      </c>
      <c r="D186" s="94" t="s">
        <v>74</v>
      </c>
      <c r="E186" s="100" t="s">
        <v>330</v>
      </c>
      <c r="F186" s="96">
        <v>1</v>
      </c>
      <c r="G186" s="33">
        <v>137</v>
      </c>
      <c r="H186" s="288">
        <f t="shared" si="13"/>
        <v>137</v>
      </c>
      <c r="I186" s="343" t="s">
        <v>466</v>
      </c>
      <c r="Q186" s="404"/>
      <c r="R186" s="533"/>
      <c r="S186" s="533"/>
      <c r="T186" s="533"/>
      <c r="U186" s="515"/>
      <c r="V186" s="515"/>
      <c r="W186" s="515"/>
      <c r="X186" s="354"/>
      <c r="Y186" s="416">
        <v>137</v>
      </c>
      <c r="Z186" s="416">
        <v>0</v>
      </c>
      <c r="AA186" s="425">
        <f t="shared" si="11"/>
        <v>0</v>
      </c>
    </row>
    <row r="187" spans="1:27" ht="25.5">
      <c r="A187" s="287">
        <f t="shared" si="14"/>
        <v>60</v>
      </c>
      <c r="B187" s="90">
        <v>67352326</v>
      </c>
      <c r="C187" s="109" t="s">
        <v>456</v>
      </c>
      <c r="D187" s="110" t="s">
        <v>499</v>
      </c>
      <c r="E187" s="111" t="s">
        <v>328</v>
      </c>
      <c r="F187" s="119">
        <f>+F179</f>
        <v>4.8</v>
      </c>
      <c r="G187" s="34">
        <v>50.7</v>
      </c>
      <c r="H187" s="313">
        <f t="shared" si="13"/>
        <v>243.36</v>
      </c>
      <c r="I187" s="343" t="s">
        <v>466</v>
      </c>
      <c r="Q187" s="404"/>
      <c r="R187" s="533"/>
      <c r="S187" s="533"/>
      <c r="T187" s="533"/>
      <c r="U187" s="515"/>
      <c r="V187" s="515"/>
      <c r="W187" s="515"/>
      <c r="X187" s="354"/>
      <c r="Y187" s="416">
        <v>243.4</v>
      </c>
      <c r="Z187" s="416">
        <v>0</v>
      </c>
      <c r="AA187" s="425">
        <v>0</v>
      </c>
    </row>
    <row r="188" spans="1:27" ht="12.75">
      <c r="A188" s="287">
        <f t="shared" si="14"/>
        <v>61</v>
      </c>
      <c r="B188" s="90" t="s">
        <v>239</v>
      </c>
      <c r="C188" s="109"/>
      <c r="D188" s="94" t="s">
        <v>651</v>
      </c>
      <c r="E188" s="100" t="s">
        <v>328</v>
      </c>
      <c r="F188" s="96">
        <f>4.8+4.6</f>
        <v>9.399999999999999</v>
      </c>
      <c r="G188" s="33">
        <v>230</v>
      </c>
      <c r="H188" s="288">
        <f t="shared" si="13"/>
        <v>2161.9999999999995</v>
      </c>
      <c r="I188" s="343" t="s">
        <v>466</v>
      </c>
      <c r="Q188" s="404"/>
      <c r="R188" s="533"/>
      <c r="S188" s="533"/>
      <c r="T188" s="533"/>
      <c r="U188" s="515"/>
      <c r="V188" s="515"/>
      <c r="W188" s="515"/>
      <c r="X188" s="354"/>
      <c r="Y188" s="416">
        <v>2162</v>
      </c>
      <c r="Z188" s="416">
        <v>0</v>
      </c>
      <c r="AA188" s="425">
        <f t="shared" si="11"/>
        <v>0</v>
      </c>
    </row>
    <row r="189" spans="1:27" ht="12.75">
      <c r="A189" s="287">
        <f t="shared" si="14"/>
        <v>62</v>
      </c>
      <c r="B189" s="107" t="s">
        <v>653</v>
      </c>
      <c r="C189" s="56"/>
      <c r="D189" s="57" t="s">
        <v>652</v>
      </c>
      <c r="E189" s="58" t="s">
        <v>328</v>
      </c>
      <c r="F189" s="96">
        <v>6.1</v>
      </c>
      <c r="G189" s="33">
        <v>228.5</v>
      </c>
      <c r="H189" s="314">
        <f>F189*G189</f>
        <v>1393.85</v>
      </c>
      <c r="I189" s="348" t="s">
        <v>466</v>
      </c>
      <c r="Q189" s="404"/>
      <c r="R189" s="533"/>
      <c r="S189" s="533"/>
      <c r="T189" s="533"/>
      <c r="U189" s="515"/>
      <c r="V189" s="515"/>
      <c r="W189" s="515"/>
      <c r="X189" s="361"/>
      <c r="Y189" s="416">
        <v>1393.9</v>
      </c>
      <c r="Z189" s="416">
        <v>0</v>
      </c>
      <c r="AA189" s="425">
        <v>0</v>
      </c>
    </row>
    <row r="190" spans="1:27" ht="12.75">
      <c r="A190" s="287">
        <f t="shared" si="14"/>
        <v>63</v>
      </c>
      <c r="B190" s="101" t="s">
        <v>85</v>
      </c>
      <c r="C190" s="99"/>
      <c r="D190" s="94" t="s">
        <v>198</v>
      </c>
      <c r="E190" s="100" t="s">
        <v>330</v>
      </c>
      <c r="F190" s="96">
        <v>3</v>
      </c>
      <c r="G190" s="33">
        <v>680</v>
      </c>
      <c r="H190" s="288">
        <f t="shared" si="13"/>
        <v>2040</v>
      </c>
      <c r="I190" s="343" t="s">
        <v>466</v>
      </c>
      <c r="Q190" s="404"/>
      <c r="R190" s="533"/>
      <c r="S190" s="533"/>
      <c r="T190" s="533"/>
      <c r="U190" s="515"/>
      <c r="V190" s="515"/>
      <c r="W190" s="515"/>
      <c r="X190" s="354"/>
      <c r="Y190" s="416">
        <v>2040</v>
      </c>
      <c r="Z190" s="416">
        <v>0</v>
      </c>
      <c r="AA190" s="425">
        <f t="shared" si="11"/>
        <v>0</v>
      </c>
    </row>
    <row r="191" spans="1:27" ht="25.5">
      <c r="A191" s="287">
        <f>A190+1</f>
        <v>64</v>
      </c>
      <c r="B191" s="289" t="s">
        <v>214</v>
      </c>
      <c r="C191" s="109" t="s">
        <v>534</v>
      </c>
      <c r="D191" s="110" t="s">
        <v>157</v>
      </c>
      <c r="E191" s="111" t="s">
        <v>330</v>
      </c>
      <c r="F191" s="119">
        <v>1</v>
      </c>
      <c r="G191" s="34">
        <v>8124</v>
      </c>
      <c r="H191" s="313">
        <f t="shared" si="13"/>
        <v>8124</v>
      </c>
      <c r="I191" s="343" t="s">
        <v>466</v>
      </c>
      <c r="Q191" s="404"/>
      <c r="R191" s="533"/>
      <c r="S191" s="533"/>
      <c r="T191" s="533"/>
      <c r="U191" s="515"/>
      <c r="V191" s="515"/>
      <c r="W191" s="515"/>
      <c r="X191" s="354"/>
      <c r="Y191" s="416">
        <v>0</v>
      </c>
      <c r="Z191" s="416">
        <v>8124</v>
      </c>
      <c r="AA191" s="425">
        <f t="shared" si="11"/>
        <v>0</v>
      </c>
    </row>
    <row r="192" spans="1:27" ht="25.5">
      <c r="A192" s="287">
        <f>A191+1</f>
        <v>65</v>
      </c>
      <c r="B192" s="289" t="s">
        <v>99</v>
      </c>
      <c r="C192" s="109" t="s">
        <v>490</v>
      </c>
      <c r="D192" s="110" t="s">
        <v>197</v>
      </c>
      <c r="E192" s="111" t="s">
        <v>330</v>
      </c>
      <c r="F192" s="119">
        <v>2</v>
      </c>
      <c r="G192" s="34">
        <v>393.5</v>
      </c>
      <c r="H192" s="313">
        <f t="shared" si="13"/>
        <v>787</v>
      </c>
      <c r="I192" s="343" t="s">
        <v>466</v>
      </c>
      <c r="Q192" s="404"/>
      <c r="R192" s="533"/>
      <c r="S192" s="533"/>
      <c r="T192" s="533"/>
      <c r="U192" s="515"/>
      <c r="V192" s="515"/>
      <c r="W192" s="515"/>
      <c r="X192" s="354"/>
      <c r="Y192" s="416">
        <v>0</v>
      </c>
      <c r="Z192" s="416">
        <v>787</v>
      </c>
      <c r="AA192" s="425">
        <f t="shared" si="11"/>
        <v>0</v>
      </c>
    </row>
    <row r="193" spans="1:27" ht="12.75">
      <c r="A193" s="287">
        <f aca="true" t="shared" si="15" ref="A193:A200">A192+1</f>
        <v>66</v>
      </c>
      <c r="B193" s="289" t="s">
        <v>575</v>
      </c>
      <c r="C193" s="99"/>
      <c r="D193" s="94" t="s">
        <v>574</v>
      </c>
      <c r="E193" s="100" t="s">
        <v>330</v>
      </c>
      <c r="F193" s="96">
        <f>SUM(F131:F132)</f>
        <v>12</v>
      </c>
      <c r="G193" s="33">
        <v>89</v>
      </c>
      <c r="H193" s="288">
        <f t="shared" si="13"/>
        <v>1068</v>
      </c>
      <c r="I193" s="343" t="s">
        <v>460</v>
      </c>
      <c r="P193" s="1"/>
      <c r="Q193" s="404"/>
      <c r="R193" s="533"/>
      <c r="S193" s="533"/>
      <c r="T193" s="533"/>
      <c r="U193" s="515"/>
      <c r="V193" s="515"/>
      <c r="W193" s="515"/>
      <c r="X193" s="354"/>
      <c r="Y193" s="416">
        <v>1068</v>
      </c>
      <c r="Z193" s="416">
        <v>0</v>
      </c>
      <c r="AA193" s="425">
        <f t="shared" si="11"/>
        <v>0</v>
      </c>
    </row>
    <row r="194" spans="1:27" ht="25.5">
      <c r="A194" s="287">
        <f t="shared" si="15"/>
        <v>67</v>
      </c>
      <c r="B194" s="289" t="s">
        <v>550</v>
      </c>
      <c r="C194" s="99" t="s">
        <v>597</v>
      </c>
      <c r="D194" s="94" t="s">
        <v>551</v>
      </c>
      <c r="E194" s="100" t="s">
        <v>328</v>
      </c>
      <c r="F194" s="96">
        <f>17.6*1.1</f>
        <v>19.360000000000003</v>
      </c>
      <c r="G194" s="33">
        <v>680</v>
      </c>
      <c r="H194" s="288">
        <f aca="true" t="shared" si="16" ref="H194:H199">F194*G194</f>
        <v>13164.800000000003</v>
      </c>
      <c r="I194" s="343" t="s">
        <v>460</v>
      </c>
      <c r="P194" s="1"/>
      <c r="Q194" s="404"/>
      <c r="R194" s="533"/>
      <c r="S194" s="533"/>
      <c r="T194" s="533"/>
      <c r="U194" s="515"/>
      <c r="V194" s="515"/>
      <c r="W194" s="515"/>
      <c r="X194" s="354"/>
      <c r="Y194" s="416">
        <v>13164.8</v>
      </c>
      <c r="Z194" s="416">
        <v>0</v>
      </c>
      <c r="AA194" s="425">
        <f t="shared" si="11"/>
        <v>0</v>
      </c>
    </row>
    <row r="195" spans="1:27" ht="25.5">
      <c r="A195" s="287">
        <f t="shared" si="15"/>
        <v>68</v>
      </c>
      <c r="B195" s="289" t="s">
        <v>553</v>
      </c>
      <c r="C195" s="315" t="s">
        <v>599</v>
      </c>
      <c r="D195" s="94" t="s">
        <v>552</v>
      </c>
      <c r="E195" s="100" t="s">
        <v>328</v>
      </c>
      <c r="F195" s="96">
        <f>25*1.1</f>
        <v>27.500000000000004</v>
      </c>
      <c r="G195" s="33">
        <v>700</v>
      </c>
      <c r="H195" s="288">
        <f t="shared" si="16"/>
        <v>19250.000000000004</v>
      </c>
      <c r="I195" s="343" t="s">
        <v>460</v>
      </c>
      <c r="P195" s="1"/>
      <c r="Q195" s="404"/>
      <c r="R195" s="533"/>
      <c r="S195" s="533"/>
      <c r="T195" s="533"/>
      <c r="U195" s="515"/>
      <c r="V195" s="515"/>
      <c r="W195" s="515"/>
      <c r="X195" s="354"/>
      <c r="Y195" s="416">
        <v>19250</v>
      </c>
      <c r="Z195" s="416">
        <v>0</v>
      </c>
      <c r="AA195" s="425">
        <f t="shared" si="11"/>
        <v>0</v>
      </c>
    </row>
    <row r="196" spans="1:27" ht="12.75">
      <c r="A196" s="287">
        <f t="shared" si="15"/>
        <v>69</v>
      </c>
      <c r="B196" s="289" t="s">
        <v>543</v>
      </c>
      <c r="C196" s="99"/>
      <c r="D196" s="94" t="s">
        <v>542</v>
      </c>
      <c r="E196" s="100" t="s">
        <v>328</v>
      </c>
      <c r="F196" s="96">
        <f>5*2*0.04</f>
        <v>0.4</v>
      </c>
      <c r="G196" s="33">
        <v>744</v>
      </c>
      <c r="H196" s="288">
        <f t="shared" si="16"/>
        <v>297.6</v>
      </c>
      <c r="I196" s="343" t="s">
        <v>460</v>
      </c>
      <c r="P196" s="1"/>
      <c r="Q196" s="404"/>
      <c r="R196" s="533"/>
      <c r="S196" s="533"/>
      <c r="T196" s="533"/>
      <c r="U196" s="515"/>
      <c r="V196" s="515"/>
      <c r="W196" s="515"/>
      <c r="X196" s="354"/>
      <c r="Y196" s="416">
        <v>297.6</v>
      </c>
      <c r="Z196" s="416">
        <v>0</v>
      </c>
      <c r="AA196" s="425">
        <f t="shared" si="11"/>
        <v>0</v>
      </c>
    </row>
    <row r="197" spans="1:27" ht="12.75">
      <c r="A197" s="287">
        <f t="shared" si="15"/>
        <v>70</v>
      </c>
      <c r="B197" s="289" t="s">
        <v>554</v>
      </c>
      <c r="C197" s="99"/>
      <c r="D197" s="94" t="s">
        <v>564</v>
      </c>
      <c r="E197" s="100" t="s">
        <v>331</v>
      </c>
      <c r="F197" s="96">
        <v>5</v>
      </c>
      <c r="G197" s="33">
        <v>430</v>
      </c>
      <c r="H197" s="288">
        <f t="shared" si="16"/>
        <v>2150</v>
      </c>
      <c r="I197" s="343" t="s">
        <v>460</v>
      </c>
      <c r="P197" s="1"/>
      <c r="Q197" s="404"/>
      <c r="R197" s="533"/>
      <c r="S197" s="533"/>
      <c r="T197" s="533"/>
      <c r="U197" s="515"/>
      <c r="V197" s="515"/>
      <c r="W197" s="515"/>
      <c r="X197" s="354"/>
      <c r="Y197" s="416">
        <v>2150</v>
      </c>
      <c r="Z197" s="416">
        <v>0</v>
      </c>
      <c r="AA197" s="425">
        <f t="shared" si="11"/>
        <v>0</v>
      </c>
    </row>
    <row r="198" spans="1:27" ht="25.5">
      <c r="A198" s="287">
        <f t="shared" si="15"/>
        <v>71</v>
      </c>
      <c r="B198" s="289" t="s">
        <v>578</v>
      </c>
      <c r="C198" s="99" t="s">
        <v>339</v>
      </c>
      <c r="D198" s="94" t="s">
        <v>654</v>
      </c>
      <c r="E198" s="100" t="s">
        <v>328</v>
      </c>
      <c r="F198" s="96">
        <f>+(17.4+24.8)*0.7</f>
        <v>29.54</v>
      </c>
      <c r="G198" s="33">
        <v>42.5</v>
      </c>
      <c r="H198" s="288">
        <f t="shared" si="16"/>
        <v>1255.45</v>
      </c>
      <c r="I198" s="343" t="s">
        <v>466</v>
      </c>
      <c r="P198" s="1"/>
      <c r="Q198" s="404"/>
      <c r="R198" s="533"/>
      <c r="S198" s="533"/>
      <c r="T198" s="533"/>
      <c r="U198" s="515"/>
      <c r="V198" s="515"/>
      <c r="W198" s="515"/>
      <c r="X198" s="354"/>
      <c r="Y198" s="416">
        <v>1255.5</v>
      </c>
      <c r="Z198" s="416">
        <v>0</v>
      </c>
      <c r="AA198" s="425">
        <v>0</v>
      </c>
    </row>
    <row r="199" spans="1:27" ht="12.75">
      <c r="A199" s="287">
        <f t="shared" si="15"/>
        <v>72</v>
      </c>
      <c r="B199" s="289" t="s">
        <v>555</v>
      </c>
      <c r="C199" s="109" t="s">
        <v>338</v>
      </c>
      <c r="D199" s="110" t="s">
        <v>584</v>
      </c>
      <c r="E199" s="111" t="s">
        <v>328</v>
      </c>
      <c r="F199" s="119">
        <f>+((17.4+24.8)*0.7)*1.1</f>
        <v>32.494</v>
      </c>
      <c r="G199" s="34">
        <v>200</v>
      </c>
      <c r="H199" s="313">
        <f t="shared" si="16"/>
        <v>6498.8</v>
      </c>
      <c r="I199" s="343" t="s">
        <v>466</v>
      </c>
      <c r="K199" s="84"/>
      <c r="Q199" s="404"/>
      <c r="R199" s="533"/>
      <c r="S199" s="533"/>
      <c r="T199" s="533"/>
      <c r="U199" s="515"/>
      <c r="V199" s="515"/>
      <c r="W199" s="515"/>
      <c r="X199" s="354"/>
      <c r="Y199" s="416">
        <v>6498.8</v>
      </c>
      <c r="Z199" s="416">
        <v>0</v>
      </c>
      <c r="AA199" s="425">
        <f t="shared" si="11"/>
        <v>0</v>
      </c>
    </row>
    <row r="200" spans="1:28" ht="13.5" thickBot="1">
      <c r="A200" s="287">
        <f t="shared" si="15"/>
        <v>73</v>
      </c>
      <c r="B200" s="90" t="s">
        <v>172</v>
      </c>
      <c r="C200" s="99"/>
      <c r="D200" s="94" t="s">
        <v>354</v>
      </c>
      <c r="E200" s="316" t="s">
        <v>336</v>
      </c>
      <c r="F200" s="96">
        <f>+H179+H180+H181+H183+H184+H185+H186+H187+H191+H192+H193+H194+H195+H196+H197+H199</f>
        <v>78059.10500000001</v>
      </c>
      <c r="G200" s="35">
        <v>0.05</v>
      </c>
      <c r="H200" s="317">
        <f>F200*G200</f>
        <v>3902.955250000001</v>
      </c>
      <c r="I200" s="343" t="s">
        <v>466</v>
      </c>
      <c r="Q200" s="404" t="s">
        <v>852</v>
      </c>
      <c r="R200" s="533">
        <v>-2683.5</v>
      </c>
      <c r="S200" s="535">
        <v>0.05</v>
      </c>
      <c r="T200" s="534">
        <f>R200*S200</f>
        <v>-134.175</v>
      </c>
      <c r="U200" s="515"/>
      <c r="V200" s="515"/>
      <c r="W200" s="515"/>
      <c r="X200" s="354" t="s">
        <v>891</v>
      </c>
      <c r="Y200" s="416">
        <v>0</v>
      </c>
      <c r="Z200" s="416">
        <v>3768.8</v>
      </c>
      <c r="AA200" s="425">
        <f t="shared" si="11"/>
        <v>134.1552500000007</v>
      </c>
      <c r="AB200" s="419" t="s">
        <v>875</v>
      </c>
    </row>
    <row r="201" spans="1:27" ht="13.5" thickBot="1">
      <c r="A201" s="287"/>
      <c r="B201" s="289"/>
      <c r="C201" s="99"/>
      <c r="D201" s="67" t="s">
        <v>329</v>
      </c>
      <c r="E201" s="310"/>
      <c r="F201" s="311"/>
      <c r="G201" s="312"/>
      <c r="H201" s="302">
        <f>SUBTOTAL(9,H179:H200)</f>
        <v>90603.61025000001</v>
      </c>
      <c r="I201" s="343"/>
      <c r="Q201" s="405"/>
      <c r="R201" s="536"/>
      <c r="S201" s="536"/>
      <c r="T201" s="536"/>
      <c r="U201" s="517"/>
      <c r="V201" s="517"/>
      <c r="W201" s="517"/>
      <c r="X201" s="354"/>
      <c r="Y201" s="416"/>
      <c r="Z201" s="416"/>
      <c r="AA201" s="425"/>
    </row>
    <row r="202" spans="1:27" ht="12.75">
      <c r="A202" s="287"/>
      <c r="B202" s="289"/>
      <c r="C202" s="99"/>
      <c r="D202" s="303"/>
      <c r="E202" s="304"/>
      <c r="F202" s="246"/>
      <c r="G202" s="276"/>
      <c r="H202" s="305"/>
      <c r="I202" s="343"/>
      <c r="Q202" s="404"/>
      <c r="R202" s="533"/>
      <c r="S202" s="533"/>
      <c r="T202" s="533"/>
      <c r="U202" s="515"/>
      <c r="V202" s="515"/>
      <c r="W202" s="515"/>
      <c r="X202" s="354"/>
      <c r="Y202" s="416"/>
      <c r="Z202" s="416"/>
      <c r="AA202" s="425">
        <f t="shared" si="11"/>
        <v>0</v>
      </c>
    </row>
    <row r="203" spans="1:27" ht="16.5">
      <c r="A203" s="287"/>
      <c r="B203" s="318"/>
      <c r="C203" s="306" t="s">
        <v>348</v>
      </c>
      <c r="D203" s="564" t="s">
        <v>475</v>
      </c>
      <c r="E203" s="564"/>
      <c r="F203" s="564"/>
      <c r="G203" s="564"/>
      <c r="H203" s="564"/>
      <c r="I203" s="343"/>
      <c r="Q203" s="404"/>
      <c r="R203" s="533"/>
      <c r="S203" s="533"/>
      <c r="T203" s="533"/>
      <c r="U203" s="515"/>
      <c r="V203" s="515"/>
      <c r="W203" s="515"/>
      <c r="X203" s="354"/>
      <c r="Y203" s="416"/>
      <c r="Z203" s="416"/>
      <c r="AA203" s="425">
        <f t="shared" si="11"/>
        <v>0</v>
      </c>
    </row>
    <row r="204" spans="1:27" ht="30" customHeight="1">
      <c r="A204" s="287"/>
      <c r="B204" s="289"/>
      <c r="C204" s="99"/>
      <c r="D204" s="566" t="s">
        <v>361</v>
      </c>
      <c r="E204" s="566"/>
      <c r="F204" s="566"/>
      <c r="G204" s="566"/>
      <c r="H204" s="566"/>
      <c r="I204" s="349"/>
      <c r="P204" s="8"/>
      <c r="Q204" s="404"/>
      <c r="R204" s="533"/>
      <c r="S204" s="533"/>
      <c r="T204" s="533"/>
      <c r="U204" s="515"/>
      <c r="V204" s="515"/>
      <c r="W204" s="515"/>
      <c r="X204" s="363"/>
      <c r="Y204" s="416"/>
      <c r="Z204" s="416"/>
      <c r="AA204" s="425">
        <f t="shared" si="11"/>
        <v>0</v>
      </c>
    </row>
    <row r="205" spans="1:27" ht="65.25" customHeight="1">
      <c r="A205" s="287">
        <f>A200+1</f>
        <v>74</v>
      </c>
      <c r="B205" s="289" t="s">
        <v>623</v>
      </c>
      <c r="C205" s="99" t="s">
        <v>477</v>
      </c>
      <c r="D205" s="94" t="s">
        <v>746</v>
      </c>
      <c r="E205" s="100" t="s">
        <v>328</v>
      </c>
      <c r="F205" s="96">
        <f>2*(F156/0.3)+F158/0.45+F115*0.05+0.15*5</f>
        <v>10.622765000000001</v>
      </c>
      <c r="G205" s="33">
        <v>623</v>
      </c>
      <c r="H205" s="288">
        <f>F205*G205</f>
        <v>6617.982595</v>
      </c>
      <c r="I205" s="349" t="s">
        <v>460</v>
      </c>
      <c r="P205" s="8"/>
      <c r="Q205" s="404"/>
      <c r="R205" s="533"/>
      <c r="S205" s="533"/>
      <c r="T205" s="533"/>
      <c r="U205" s="515"/>
      <c r="V205" s="515"/>
      <c r="W205" s="515"/>
      <c r="X205" s="363"/>
      <c r="Y205" s="416">
        <v>0</v>
      </c>
      <c r="Z205" s="416">
        <v>6618</v>
      </c>
      <c r="AA205" s="425">
        <v>0</v>
      </c>
    </row>
    <row r="206" spans="1:27" ht="25.5">
      <c r="A206" s="287">
        <f>A205+1</f>
        <v>75</v>
      </c>
      <c r="B206" s="112" t="s">
        <v>199</v>
      </c>
      <c r="C206" s="99" t="s">
        <v>477</v>
      </c>
      <c r="D206" s="94" t="s">
        <v>54</v>
      </c>
      <c r="E206" s="100" t="s">
        <v>328</v>
      </c>
      <c r="F206" s="96">
        <f>3.6*2.4</f>
        <v>8.64</v>
      </c>
      <c r="G206" s="33">
        <v>410</v>
      </c>
      <c r="H206" s="288">
        <f>F206*G206</f>
        <v>3542.4</v>
      </c>
      <c r="I206" s="343" t="s">
        <v>460</v>
      </c>
      <c r="Q206" s="404"/>
      <c r="R206" s="533"/>
      <c r="S206" s="533"/>
      <c r="T206" s="533"/>
      <c r="U206" s="515"/>
      <c r="V206" s="515"/>
      <c r="W206" s="515"/>
      <c r="X206" s="354"/>
      <c r="Y206" s="416">
        <v>0</v>
      </c>
      <c r="Z206" s="416">
        <v>3542.4</v>
      </c>
      <c r="AA206" s="425">
        <f t="shared" si="11"/>
        <v>0</v>
      </c>
    </row>
    <row r="207" spans="1:27" ht="12.75">
      <c r="A207" s="287"/>
      <c r="B207" s="289"/>
      <c r="C207" s="99"/>
      <c r="D207" s="307" t="s">
        <v>55</v>
      </c>
      <c r="E207" s="100"/>
      <c r="F207" s="96"/>
      <c r="G207" s="33"/>
      <c r="H207" s="288"/>
      <c r="I207" s="343"/>
      <c r="Q207" s="404"/>
      <c r="R207" s="533"/>
      <c r="S207" s="533"/>
      <c r="T207" s="533"/>
      <c r="U207" s="515"/>
      <c r="V207" s="515"/>
      <c r="W207" s="515"/>
      <c r="X207" s="354"/>
      <c r="Y207" s="416"/>
      <c r="Z207" s="416"/>
      <c r="AA207" s="425">
        <f t="shared" si="11"/>
        <v>0</v>
      </c>
    </row>
    <row r="208" spans="1:27" ht="12.75">
      <c r="A208" s="287">
        <f>A206+1</f>
        <v>76</v>
      </c>
      <c r="B208" s="90" t="s">
        <v>200</v>
      </c>
      <c r="C208" s="108"/>
      <c r="D208" s="94" t="s">
        <v>201</v>
      </c>
      <c r="E208" s="100" t="s">
        <v>328</v>
      </c>
      <c r="F208" s="96">
        <f>+F209+F215</f>
        <v>143.8472</v>
      </c>
      <c r="G208" s="33">
        <v>35.7</v>
      </c>
      <c r="H208" s="288">
        <f>F208*G208</f>
        <v>5135.34504</v>
      </c>
      <c r="I208" s="343" t="s">
        <v>460</v>
      </c>
      <c r="Q208" s="404"/>
      <c r="R208" s="533"/>
      <c r="S208" s="533"/>
      <c r="T208" s="533"/>
      <c r="U208" s="515"/>
      <c r="V208" s="515"/>
      <c r="W208" s="515"/>
      <c r="X208" s="354"/>
      <c r="Y208" s="416">
        <v>0</v>
      </c>
      <c r="Z208" s="416">
        <v>5135.3</v>
      </c>
      <c r="AA208" s="425">
        <f t="shared" si="11"/>
        <v>0.04503999999997177</v>
      </c>
    </row>
    <row r="209" spans="1:27" ht="25.5">
      <c r="A209" s="287">
        <f>A208+1</f>
        <v>77</v>
      </c>
      <c r="B209" s="90" t="s">
        <v>244</v>
      </c>
      <c r="C209" s="99" t="s">
        <v>485</v>
      </c>
      <c r="D209" s="94" t="s">
        <v>233</v>
      </c>
      <c r="E209" s="100" t="s">
        <v>328</v>
      </c>
      <c r="F209" s="96">
        <f>SUM(E210:E214)</f>
        <v>117.2072</v>
      </c>
      <c r="G209" s="33">
        <v>380</v>
      </c>
      <c r="H209" s="288">
        <f>F209*G209</f>
        <v>44538.736</v>
      </c>
      <c r="I209" s="343" t="s">
        <v>460</v>
      </c>
      <c r="Q209" s="404"/>
      <c r="R209" s="533"/>
      <c r="S209" s="533"/>
      <c r="T209" s="533"/>
      <c r="U209" s="515"/>
      <c r="V209" s="515"/>
      <c r="W209" s="515"/>
      <c r="X209" s="354"/>
      <c r="Y209" s="416">
        <v>0</v>
      </c>
      <c r="Z209" s="416">
        <v>44538.7</v>
      </c>
      <c r="AA209" s="425">
        <f t="shared" si="11"/>
        <v>0.03600000000005821</v>
      </c>
    </row>
    <row r="210" spans="1:27" ht="12.75">
      <c r="A210" s="287"/>
      <c r="B210" s="289"/>
      <c r="C210" s="99"/>
      <c r="D210" s="123" t="s">
        <v>56</v>
      </c>
      <c r="E210" s="294">
        <f>6.1*3.35-2*0.9*2.05-1.34*2.32+2*0.3*2.32</f>
        <v>15.028199999999996</v>
      </c>
      <c r="F210" s="96"/>
      <c r="G210" s="38"/>
      <c r="H210" s="288"/>
      <c r="I210" s="343"/>
      <c r="Q210" s="404"/>
      <c r="R210" s="533"/>
      <c r="S210" s="533"/>
      <c r="T210" s="533"/>
      <c r="U210" s="515"/>
      <c r="V210" s="515"/>
      <c r="W210" s="515"/>
      <c r="X210" s="354"/>
      <c r="Y210" s="416"/>
      <c r="Z210" s="416"/>
      <c r="AA210" s="425">
        <f t="shared" si="11"/>
        <v>0</v>
      </c>
    </row>
    <row r="211" spans="1:27" ht="12.75">
      <c r="A211" s="287"/>
      <c r="B211" s="289"/>
      <c r="C211" s="99"/>
      <c r="D211" s="123" t="s">
        <v>642</v>
      </c>
      <c r="E211" s="294">
        <f>1.66*2.65-1*2.07</f>
        <v>2.329</v>
      </c>
      <c r="F211" s="96"/>
      <c r="G211" s="38"/>
      <c r="H211" s="288"/>
      <c r="I211" s="343"/>
      <c r="Q211" s="404"/>
      <c r="R211" s="533"/>
      <c r="S211" s="533"/>
      <c r="T211" s="533"/>
      <c r="U211" s="515"/>
      <c r="V211" s="515"/>
      <c r="W211" s="515"/>
      <c r="X211" s="354"/>
      <c r="Y211" s="416"/>
      <c r="Z211" s="416"/>
      <c r="AA211" s="425">
        <f t="shared" si="11"/>
        <v>0</v>
      </c>
    </row>
    <row r="212" spans="1:27" ht="12.75">
      <c r="A212" s="287"/>
      <c r="B212" s="289"/>
      <c r="C212" s="99"/>
      <c r="D212" s="123" t="s">
        <v>53</v>
      </c>
      <c r="E212" s="294">
        <f>4.76*3.3</f>
        <v>15.707999999999998</v>
      </c>
      <c r="F212" s="96"/>
      <c r="G212" s="38"/>
      <c r="H212" s="288"/>
      <c r="I212" s="343"/>
      <c r="Q212" s="404"/>
      <c r="R212" s="533"/>
      <c r="S212" s="533"/>
      <c r="T212" s="533"/>
      <c r="U212" s="515"/>
      <c r="V212" s="515"/>
      <c r="W212" s="515"/>
      <c r="X212" s="354"/>
      <c r="Y212" s="416"/>
      <c r="Z212" s="416"/>
      <c r="AA212" s="425">
        <f t="shared" si="11"/>
        <v>0</v>
      </c>
    </row>
    <row r="213" spans="1:27" ht="12.75">
      <c r="A213" s="287"/>
      <c r="B213" s="289"/>
      <c r="C213" s="109"/>
      <c r="D213" s="123" t="s">
        <v>536</v>
      </c>
      <c r="E213" s="294">
        <f>5.44*3.3-0.8*2.05</f>
        <v>16.312</v>
      </c>
      <c r="F213" s="119"/>
      <c r="G213" s="38"/>
      <c r="H213" s="313"/>
      <c r="I213" s="343"/>
      <c r="Q213" s="404"/>
      <c r="R213" s="533"/>
      <c r="S213" s="533"/>
      <c r="T213" s="533"/>
      <c r="U213" s="515"/>
      <c r="V213" s="515"/>
      <c r="W213" s="515"/>
      <c r="X213" s="354"/>
      <c r="Y213" s="416"/>
      <c r="Z213" s="416"/>
      <c r="AA213" s="425">
        <f t="shared" si="11"/>
        <v>0</v>
      </c>
    </row>
    <row r="214" spans="1:27" ht="12.75">
      <c r="A214" s="287"/>
      <c r="B214" s="289"/>
      <c r="C214" s="99"/>
      <c r="D214" s="123" t="s">
        <v>57</v>
      </c>
      <c r="E214" s="294">
        <f>19.8*3.6-2*1.35*2.3+4*0.3*2.3</f>
        <v>67.83000000000001</v>
      </c>
      <c r="F214" s="96"/>
      <c r="G214" s="38"/>
      <c r="H214" s="288"/>
      <c r="I214" s="343"/>
      <c r="Q214" s="404"/>
      <c r="R214" s="533"/>
      <c r="S214" s="533"/>
      <c r="T214" s="533"/>
      <c r="U214" s="515"/>
      <c r="V214" s="515"/>
      <c r="W214" s="515"/>
      <c r="X214" s="354"/>
      <c r="Y214" s="416"/>
      <c r="Z214" s="416"/>
      <c r="AA214" s="425">
        <f t="shared" si="11"/>
        <v>0</v>
      </c>
    </row>
    <row r="215" spans="1:27" ht="25.5">
      <c r="A215" s="287">
        <f>+A209+1</f>
        <v>78</v>
      </c>
      <c r="B215" s="112" t="s">
        <v>264</v>
      </c>
      <c r="C215" s="99"/>
      <c r="D215" s="57" t="s">
        <v>234</v>
      </c>
      <c r="E215" s="100" t="s">
        <v>328</v>
      </c>
      <c r="F215" s="96">
        <f>+E216+E217</f>
        <v>26.64</v>
      </c>
      <c r="G215" s="33">
        <v>380</v>
      </c>
      <c r="H215" s="288">
        <f>F215*G215</f>
        <v>10123.2</v>
      </c>
      <c r="I215" s="343" t="s">
        <v>460</v>
      </c>
      <c r="Q215" s="404"/>
      <c r="R215" s="533"/>
      <c r="S215" s="533"/>
      <c r="T215" s="533"/>
      <c r="U215" s="515"/>
      <c r="V215" s="515"/>
      <c r="W215" s="515"/>
      <c r="X215" s="354"/>
      <c r="Y215" s="416">
        <v>0</v>
      </c>
      <c r="Z215" s="416">
        <v>10123.2</v>
      </c>
      <c r="AA215" s="425">
        <f t="shared" si="11"/>
        <v>0</v>
      </c>
    </row>
    <row r="216" spans="1:27" ht="12.75">
      <c r="A216" s="287"/>
      <c r="B216" s="289"/>
      <c r="C216" s="99"/>
      <c r="D216" s="123" t="s">
        <v>52</v>
      </c>
      <c r="E216" s="294">
        <v>25.2</v>
      </c>
      <c r="F216" s="96"/>
      <c r="G216" s="38"/>
      <c r="H216" s="288"/>
      <c r="I216" s="343"/>
      <c r="Q216" s="404"/>
      <c r="R216" s="533"/>
      <c r="S216" s="533"/>
      <c r="T216" s="533"/>
      <c r="U216" s="515"/>
      <c r="V216" s="515"/>
      <c r="W216" s="515"/>
      <c r="X216" s="354"/>
      <c r="Y216" s="416"/>
      <c r="Z216" s="416"/>
      <c r="AA216" s="425">
        <f t="shared" si="11"/>
        <v>0</v>
      </c>
    </row>
    <row r="217" spans="1:27" ht="12.75">
      <c r="A217" s="287"/>
      <c r="B217" s="289"/>
      <c r="C217" s="99"/>
      <c r="D217" s="123" t="s">
        <v>58</v>
      </c>
      <c r="E217" s="294">
        <f>3*0.3*1.34+0.2*1.17</f>
        <v>1.44</v>
      </c>
      <c r="F217" s="96"/>
      <c r="G217" s="38"/>
      <c r="H217" s="288"/>
      <c r="I217" s="343"/>
      <c r="Q217" s="404"/>
      <c r="R217" s="533"/>
      <c r="S217" s="533"/>
      <c r="T217" s="533"/>
      <c r="U217" s="515"/>
      <c r="V217" s="515"/>
      <c r="W217" s="515"/>
      <c r="X217" s="354"/>
      <c r="Y217" s="416"/>
      <c r="Z217" s="416"/>
      <c r="AA217" s="425">
        <f t="shared" si="11"/>
        <v>0</v>
      </c>
    </row>
    <row r="218" spans="1:27" ht="38.25">
      <c r="A218" s="287">
        <f>A215+1</f>
        <v>79</v>
      </c>
      <c r="B218" s="90" t="s">
        <v>242</v>
      </c>
      <c r="C218" s="99" t="s">
        <v>478</v>
      </c>
      <c r="D218" s="57" t="s">
        <v>285</v>
      </c>
      <c r="E218" s="100" t="s">
        <v>328</v>
      </c>
      <c r="F218" s="96">
        <f>SUM(E219:E222)</f>
        <v>96.9922</v>
      </c>
      <c r="G218" s="33">
        <v>296</v>
      </c>
      <c r="H218" s="288">
        <f>F218*G218</f>
        <v>28709.691199999997</v>
      </c>
      <c r="I218" s="349" t="s">
        <v>460</v>
      </c>
      <c r="P218" s="8"/>
      <c r="Q218" s="404"/>
      <c r="R218" s="533"/>
      <c r="S218" s="533"/>
      <c r="T218" s="533"/>
      <c r="U218" s="515"/>
      <c r="V218" s="515"/>
      <c r="W218" s="515"/>
      <c r="X218" s="363"/>
      <c r="Y218" s="416">
        <v>0</v>
      </c>
      <c r="Z218" s="416">
        <v>28709.7</v>
      </c>
      <c r="AA218" s="425">
        <f aca="true" t="shared" si="17" ref="AA218:AA281">H218-Z218-Y218</f>
        <v>-0.008800000003247987</v>
      </c>
    </row>
    <row r="219" spans="1:27" ht="12.75">
      <c r="A219" s="287"/>
      <c r="B219" s="289"/>
      <c r="C219" s="99"/>
      <c r="D219" s="294" t="s">
        <v>60</v>
      </c>
      <c r="E219" s="294">
        <f>6.1*3.35-2*0.9*2.05-1.34*2.32</f>
        <v>13.636199999999997</v>
      </c>
      <c r="F219" s="96"/>
      <c r="G219" s="38"/>
      <c r="H219" s="288"/>
      <c r="I219" s="349"/>
      <c r="P219" s="8"/>
      <c r="Q219" s="404"/>
      <c r="R219" s="533"/>
      <c r="S219" s="533"/>
      <c r="T219" s="533"/>
      <c r="U219" s="515"/>
      <c r="V219" s="515"/>
      <c r="W219" s="515"/>
      <c r="X219" s="363"/>
      <c r="Y219" s="416"/>
      <c r="Z219" s="416"/>
      <c r="AA219" s="425">
        <f t="shared" si="17"/>
        <v>0</v>
      </c>
    </row>
    <row r="220" spans="1:27" ht="12.75">
      <c r="A220" s="287"/>
      <c r="B220" s="289"/>
      <c r="C220" s="99"/>
      <c r="D220" s="294" t="s">
        <v>535</v>
      </c>
      <c r="E220" s="294">
        <f>4.76*(3.3-2.4)</f>
        <v>4.284</v>
      </c>
      <c r="F220" s="96"/>
      <c r="G220" s="38"/>
      <c r="H220" s="288"/>
      <c r="I220" s="349"/>
      <c r="P220" s="8"/>
      <c r="Q220" s="404"/>
      <c r="R220" s="533"/>
      <c r="S220" s="533"/>
      <c r="T220" s="533"/>
      <c r="U220" s="515"/>
      <c r="V220" s="515"/>
      <c r="W220" s="515"/>
      <c r="X220" s="363"/>
      <c r="Y220" s="416"/>
      <c r="Z220" s="416"/>
      <c r="AA220" s="425">
        <f t="shared" si="17"/>
        <v>0</v>
      </c>
    </row>
    <row r="221" spans="1:27" ht="12.75">
      <c r="A221" s="287"/>
      <c r="B221" s="289"/>
      <c r="C221" s="99"/>
      <c r="D221" s="294" t="s">
        <v>536</v>
      </c>
      <c r="E221" s="294">
        <f>5.44*3.3-0.8*2.05</f>
        <v>16.312</v>
      </c>
      <c r="F221" s="96"/>
      <c r="G221" s="38"/>
      <c r="H221" s="288"/>
      <c r="I221" s="349"/>
      <c r="P221" s="8"/>
      <c r="Q221" s="404"/>
      <c r="R221" s="533"/>
      <c r="S221" s="533"/>
      <c r="T221" s="533"/>
      <c r="U221" s="515"/>
      <c r="V221" s="515"/>
      <c r="W221" s="515"/>
      <c r="X221" s="363"/>
      <c r="Y221" s="416"/>
      <c r="Z221" s="416"/>
      <c r="AA221" s="425">
        <f t="shared" si="17"/>
        <v>0</v>
      </c>
    </row>
    <row r="222" spans="1:27" ht="12.75">
      <c r="A222" s="287"/>
      <c r="B222" s="289"/>
      <c r="C222" s="99"/>
      <c r="D222" s="294" t="s">
        <v>59</v>
      </c>
      <c r="E222" s="294">
        <f>19.8*3.6-2*1.35*2.3-0.6*(1.95+1.9)</f>
        <v>62.760000000000005</v>
      </c>
      <c r="F222" s="96"/>
      <c r="G222" s="38"/>
      <c r="H222" s="288"/>
      <c r="I222" s="349"/>
      <c r="P222" s="8"/>
      <c r="Q222" s="404"/>
      <c r="R222" s="533"/>
      <c r="S222" s="533"/>
      <c r="T222" s="533"/>
      <c r="U222" s="515"/>
      <c r="V222" s="515"/>
      <c r="W222" s="515"/>
      <c r="X222" s="363"/>
      <c r="Y222" s="416"/>
      <c r="Z222" s="416"/>
      <c r="AA222" s="425">
        <f t="shared" si="17"/>
        <v>0</v>
      </c>
    </row>
    <row r="223" spans="1:27" ht="38.25">
      <c r="A223" s="287">
        <f>+A218+1</f>
        <v>80</v>
      </c>
      <c r="B223" s="112" t="s">
        <v>203</v>
      </c>
      <c r="C223" s="98"/>
      <c r="D223" s="57" t="s">
        <v>100</v>
      </c>
      <c r="E223" s="58" t="s">
        <v>328</v>
      </c>
      <c r="F223" s="96">
        <f>+E224</f>
        <v>4.577999999999999</v>
      </c>
      <c r="G223" s="33">
        <v>1100</v>
      </c>
      <c r="H223" s="288">
        <f>F223*G223</f>
        <v>5035.799999999999</v>
      </c>
      <c r="I223" s="349" t="s">
        <v>460</v>
      </c>
      <c r="P223" s="8"/>
      <c r="Q223" s="404"/>
      <c r="R223" s="533"/>
      <c r="S223" s="533"/>
      <c r="T223" s="533"/>
      <c r="U223" s="515"/>
      <c r="V223" s="515"/>
      <c r="W223" s="515"/>
      <c r="X223" s="363"/>
      <c r="Y223" s="416">
        <v>0</v>
      </c>
      <c r="Z223" s="416">
        <v>5035.8</v>
      </c>
      <c r="AA223" s="425">
        <f t="shared" si="17"/>
        <v>-9.094947017729282E-13</v>
      </c>
    </row>
    <row r="224" spans="1:27" ht="12.75">
      <c r="A224" s="287"/>
      <c r="B224" s="289"/>
      <c r="C224" s="99"/>
      <c r="D224" s="294" t="s">
        <v>61</v>
      </c>
      <c r="E224" s="294">
        <f>6*0.3*2.32+0.2*2.01</f>
        <v>4.577999999999999</v>
      </c>
      <c r="F224" s="96"/>
      <c r="G224" s="38"/>
      <c r="H224" s="288"/>
      <c r="I224" s="349"/>
      <c r="P224" s="8"/>
      <c r="Q224" s="404"/>
      <c r="R224" s="533"/>
      <c r="S224" s="533"/>
      <c r="T224" s="533"/>
      <c r="U224" s="515"/>
      <c r="V224" s="515"/>
      <c r="W224" s="515"/>
      <c r="X224" s="363"/>
      <c r="Y224" s="416"/>
      <c r="Z224" s="416"/>
      <c r="AA224" s="425">
        <f t="shared" si="17"/>
        <v>0</v>
      </c>
    </row>
    <row r="225" spans="1:27" ht="38.25">
      <c r="A225" s="287">
        <f>+A223+1</f>
        <v>81</v>
      </c>
      <c r="B225" s="112" t="s">
        <v>314</v>
      </c>
      <c r="C225" s="99"/>
      <c r="D225" s="94" t="s">
        <v>284</v>
      </c>
      <c r="E225" s="100" t="s">
        <v>328</v>
      </c>
      <c r="F225" s="96">
        <f>SUM(E226:E227)</f>
        <v>26.64</v>
      </c>
      <c r="G225" s="33">
        <v>350</v>
      </c>
      <c r="H225" s="288">
        <f>+F225*G225</f>
        <v>9324</v>
      </c>
      <c r="I225" s="349" t="s">
        <v>460</v>
      </c>
      <c r="P225" s="8"/>
      <c r="Q225" s="404"/>
      <c r="R225" s="533"/>
      <c r="S225" s="533"/>
      <c r="T225" s="533"/>
      <c r="U225" s="515"/>
      <c r="V225" s="515"/>
      <c r="W225" s="515"/>
      <c r="X225" s="363"/>
      <c r="Y225" s="416">
        <v>0</v>
      </c>
      <c r="Z225" s="416">
        <v>9324</v>
      </c>
      <c r="AA225" s="425">
        <f t="shared" si="17"/>
        <v>0</v>
      </c>
    </row>
    <row r="226" spans="1:27" ht="12.75">
      <c r="A226" s="287"/>
      <c r="B226" s="90"/>
      <c r="C226" s="99"/>
      <c r="D226" s="123" t="s">
        <v>52</v>
      </c>
      <c r="E226" s="113">
        <v>25.2</v>
      </c>
      <c r="F226" s="96"/>
      <c r="G226" s="38"/>
      <c r="H226" s="288"/>
      <c r="I226" s="349"/>
      <c r="P226" s="8"/>
      <c r="Q226" s="404"/>
      <c r="R226" s="533"/>
      <c r="S226" s="533"/>
      <c r="T226" s="533"/>
      <c r="U226" s="515"/>
      <c r="V226" s="515"/>
      <c r="W226" s="515"/>
      <c r="X226" s="363"/>
      <c r="Y226" s="416"/>
      <c r="Z226" s="416"/>
      <c r="AA226" s="425">
        <f t="shared" si="17"/>
        <v>0</v>
      </c>
    </row>
    <row r="227" spans="1:27" ht="12.75">
      <c r="A227" s="287"/>
      <c r="B227" s="90"/>
      <c r="C227" s="99"/>
      <c r="D227" s="123" t="s">
        <v>58</v>
      </c>
      <c r="E227" s="294">
        <f>3*0.3*1.34+0.2*1.17</f>
        <v>1.44</v>
      </c>
      <c r="F227" s="96"/>
      <c r="G227" s="38"/>
      <c r="H227" s="288"/>
      <c r="I227" s="349"/>
      <c r="P227" s="8"/>
      <c r="Q227" s="404"/>
      <c r="R227" s="533"/>
      <c r="S227" s="533"/>
      <c r="T227" s="533"/>
      <c r="U227" s="515"/>
      <c r="V227" s="515"/>
      <c r="W227" s="515"/>
      <c r="X227" s="363"/>
      <c r="Y227" s="416"/>
      <c r="Z227" s="416"/>
      <c r="AA227" s="425">
        <f t="shared" si="17"/>
        <v>0</v>
      </c>
    </row>
    <row r="228" spans="1:28" ht="12.75">
      <c r="A228" s="287">
        <f>+A225+1</f>
        <v>82</v>
      </c>
      <c r="B228" s="112" t="s">
        <v>205</v>
      </c>
      <c r="C228" s="98"/>
      <c r="D228" s="94" t="s">
        <v>204</v>
      </c>
      <c r="E228" s="58" t="s">
        <v>331</v>
      </c>
      <c r="F228" s="114">
        <f>2.01+6*2.3</f>
        <v>15.809999999999999</v>
      </c>
      <c r="G228" s="33">
        <v>70.5</v>
      </c>
      <c r="H228" s="61">
        <f>+F228*G228</f>
        <v>1114.605</v>
      </c>
      <c r="I228" s="65" t="s">
        <v>460</v>
      </c>
      <c r="P228" s="8"/>
      <c r="Q228" s="404" t="s">
        <v>852</v>
      </c>
      <c r="R228" s="533">
        <v>-15.81</v>
      </c>
      <c r="S228" s="533">
        <v>70.5</v>
      </c>
      <c r="T228" s="534">
        <f>R228*S228</f>
        <v>-1114.605</v>
      </c>
      <c r="U228" s="515"/>
      <c r="V228" s="515"/>
      <c r="W228" s="515"/>
      <c r="X228" s="354" t="s">
        <v>891</v>
      </c>
      <c r="Y228" s="416">
        <v>0</v>
      </c>
      <c r="Z228" s="416">
        <v>0</v>
      </c>
      <c r="AA228" s="425">
        <f t="shared" si="17"/>
        <v>1114.605</v>
      </c>
      <c r="AB228" s="419" t="s">
        <v>875</v>
      </c>
    </row>
    <row r="229" spans="1:27" ht="12.75">
      <c r="A229" s="287"/>
      <c r="B229" s="90"/>
      <c r="C229" s="99"/>
      <c r="D229" s="123" t="s">
        <v>62</v>
      </c>
      <c r="E229" s="113"/>
      <c r="F229" s="96"/>
      <c r="G229" s="33"/>
      <c r="H229" s="288"/>
      <c r="I229" s="349"/>
      <c r="P229" s="8"/>
      <c r="Q229" s="404"/>
      <c r="R229" s="533"/>
      <c r="S229" s="533"/>
      <c r="T229" s="533"/>
      <c r="U229" s="515"/>
      <c r="V229" s="515"/>
      <c r="W229" s="515"/>
      <c r="X229" s="363"/>
      <c r="Y229" s="416"/>
      <c r="Z229" s="416"/>
      <c r="AA229" s="425">
        <f t="shared" si="17"/>
        <v>0</v>
      </c>
    </row>
    <row r="230" spans="1:27" ht="25.5">
      <c r="A230" s="287">
        <f>+A228+1</f>
        <v>83</v>
      </c>
      <c r="B230" s="112" t="s">
        <v>202</v>
      </c>
      <c r="C230" s="56"/>
      <c r="D230" s="57" t="s">
        <v>235</v>
      </c>
      <c r="E230" s="58" t="s">
        <v>331</v>
      </c>
      <c r="F230" s="114">
        <f>3*(1.34+2*2.32)</f>
        <v>17.939999999999998</v>
      </c>
      <c r="G230" s="33">
        <v>110</v>
      </c>
      <c r="H230" s="61">
        <f>+F230*G230</f>
        <v>1973.3999999999996</v>
      </c>
      <c r="I230" s="65" t="s">
        <v>460</v>
      </c>
      <c r="P230" s="8"/>
      <c r="Q230" s="404"/>
      <c r="R230" s="533"/>
      <c r="S230" s="533"/>
      <c r="T230" s="533"/>
      <c r="U230" s="515"/>
      <c r="V230" s="515"/>
      <c r="W230" s="515"/>
      <c r="Y230" s="416">
        <v>0</v>
      </c>
      <c r="Z230" s="416">
        <v>1973.4</v>
      </c>
      <c r="AA230" s="425">
        <f t="shared" si="17"/>
        <v>-4.547473508864641E-13</v>
      </c>
    </row>
    <row r="231" spans="1:27" ht="25.5">
      <c r="A231" s="287">
        <f>+A230+1</f>
        <v>84</v>
      </c>
      <c r="B231" s="115" t="s">
        <v>90</v>
      </c>
      <c r="C231" s="99" t="s">
        <v>516</v>
      </c>
      <c r="D231" s="57" t="s">
        <v>241</v>
      </c>
      <c r="E231" s="100" t="s">
        <v>328</v>
      </c>
      <c r="F231" s="96">
        <f>F232</f>
        <v>27.837999999999997</v>
      </c>
      <c r="G231" s="33">
        <v>48.6</v>
      </c>
      <c r="H231" s="288">
        <f>F231*G231</f>
        <v>1352.9268</v>
      </c>
      <c r="I231" s="343" t="s">
        <v>460</v>
      </c>
      <c r="Q231" s="404"/>
      <c r="R231" s="533"/>
      <c r="S231" s="533"/>
      <c r="T231" s="533"/>
      <c r="U231" s="515"/>
      <c r="V231" s="515"/>
      <c r="W231" s="515"/>
      <c r="X231" s="354"/>
      <c r="Y231" s="416">
        <v>0</v>
      </c>
      <c r="Z231" s="416">
        <v>1352.9</v>
      </c>
      <c r="AA231" s="425">
        <f t="shared" si="17"/>
        <v>0.026799999999866486</v>
      </c>
    </row>
    <row r="232" spans="1:27" ht="25.5">
      <c r="A232" s="287">
        <f>A231+1</f>
        <v>85</v>
      </c>
      <c r="B232" s="101" t="s">
        <v>655</v>
      </c>
      <c r="C232" s="99" t="s">
        <v>479</v>
      </c>
      <c r="D232" s="94" t="s">
        <v>628</v>
      </c>
      <c r="E232" s="100" t="s">
        <v>328</v>
      </c>
      <c r="F232" s="96">
        <f>11.32*2.4-0.8*2.05+0.6*(1.95+1.9)</f>
        <v>27.837999999999997</v>
      </c>
      <c r="G232" s="33">
        <v>863</v>
      </c>
      <c r="H232" s="288">
        <f>F232*G232</f>
        <v>24024.194</v>
      </c>
      <c r="I232" s="343" t="s">
        <v>460</v>
      </c>
      <c r="Q232" s="404"/>
      <c r="R232" s="533"/>
      <c r="S232" s="533"/>
      <c r="T232" s="533"/>
      <c r="U232" s="515"/>
      <c r="V232" s="515"/>
      <c r="W232" s="515"/>
      <c r="X232" s="354"/>
      <c r="Y232" s="416">
        <v>0</v>
      </c>
      <c r="Z232" s="416">
        <v>24024.2</v>
      </c>
      <c r="AA232" s="425">
        <f t="shared" si="17"/>
        <v>-0.006000000001222361</v>
      </c>
    </row>
    <row r="233" spans="1:27" ht="25.5">
      <c r="A233" s="287">
        <f>A232+1</f>
        <v>86</v>
      </c>
      <c r="B233" s="101" t="s">
        <v>656</v>
      </c>
      <c r="C233" s="109" t="s">
        <v>480</v>
      </c>
      <c r="D233" s="121" t="s">
        <v>629</v>
      </c>
      <c r="E233" s="111" t="s">
        <v>328</v>
      </c>
      <c r="F233" s="119">
        <f>SUM(E234:E235)*1.1</f>
        <v>16.971899999999998</v>
      </c>
      <c r="G233" s="34">
        <v>600</v>
      </c>
      <c r="H233" s="313">
        <f>F233*G233</f>
        <v>10183.14</v>
      </c>
      <c r="I233" s="343" t="s">
        <v>460</v>
      </c>
      <c r="Q233" s="404"/>
      <c r="R233" s="533"/>
      <c r="S233" s="533"/>
      <c r="T233" s="533"/>
      <c r="U233" s="515"/>
      <c r="V233" s="515"/>
      <c r="W233" s="515"/>
      <c r="X233" s="354"/>
      <c r="Y233" s="416">
        <v>0</v>
      </c>
      <c r="Z233" s="416">
        <v>10183.1</v>
      </c>
      <c r="AA233" s="425">
        <f t="shared" si="17"/>
        <v>0.039999999999054126</v>
      </c>
    </row>
    <row r="234" spans="1:27" ht="12.75">
      <c r="A234" s="287"/>
      <c r="B234" s="101"/>
      <c r="C234" s="109"/>
      <c r="D234" s="118" t="s">
        <v>630</v>
      </c>
      <c r="E234" s="294">
        <f>2.4*(1.21+1.885+0.91+0.98+0.1+0.3)</f>
        <v>12.923999999999998</v>
      </c>
      <c r="F234" s="119"/>
      <c r="G234" s="38"/>
      <c r="H234" s="313"/>
      <c r="I234" s="343"/>
      <c r="Q234" s="404"/>
      <c r="R234" s="533"/>
      <c r="S234" s="533"/>
      <c r="T234" s="533"/>
      <c r="U234" s="515"/>
      <c r="V234" s="515"/>
      <c r="W234" s="515"/>
      <c r="X234" s="354"/>
      <c r="Y234" s="416"/>
      <c r="Z234" s="416"/>
      <c r="AA234" s="425">
        <f t="shared" si="17"/>
        <v>0</v>
      </c>
    </row>
    <row r="235" spans="1:27" ht="12.75">
      <c r="A235" s="287"/>
      <c r="B235" s="101"/>
      <c r="C235" s="109"/>
      <c r="D235" s="118" t="s">
        <v>632</v>
      </c>
      <c r="E235" s="294">
        <f>0.6*(1.9+1.95)+0.05*1.9+0.1</f>
        <v>2.505</v>
      </c>
      <c r="F235" s="119"/>
      <c r="G235" s="38"/>
      <c r="H235" s="313"/>
      <c r="I235" s="343"/>
      <c r="Q235" s="404"/>
      <c r="R235" s="533"/>
      <c r="S235" s="533"/>
      <c r="T235" s="533"/>
      <c r="U235" s="515"/>
      <c r="V235" s="515"/>
      <c r="W235" s="515"/>
      <c r="X235" s="354"/>
      <c r="Y235" s="416"/>
      <c r="Z235" s="416"/>
      <c r="AA235" s="425">
        <f t="shared" si="17"/>
        <v>0</v>
      </c>
    </row>
    <row r="236" spans="1:27" ht="27.75" customHeight="1">
      <c r="A236" s="287">
        <f>A233+1</f>
        <v>87</v>
      </c>
      <c r="B236" s="101" t="s">
        <v>656</v>
      </c>
      <c r="C236" s="109" t="s">
        <v>481</v>
      </c>
      <c r="D236" s="121" t="s">
        <v>763</v>
      </c>
      <c r="E236" s="111" t="s">
        <v>328</v>
      </c>
      <c r="F236" s="119">
        <f>+E237*1.1</f>
        <v>15.549600000000002</v>
      </c>
      <c r="G236" s="34">
        <v>600</v>
      </c>
      <c r="H236" s="313">
        <f>F236*G236</f>
        <v>9329.76</v>
      </c>
      <c r="I236" s="343" t="s">
        <v>460</v>
      </c>
      <c r="Q236" s="404"/>
      <c r="R236" s="533"/>
      <c r="S236" s="533"/>
      <c r="T236" s="533"/>
      <c r="U236" s="515"/>
      <c r="V236" s="515"/>
      <c r="W236" s="515"/>
      <c r="X236" s="354"/>
      <c r="Y236" s="416">
        <v>0</v>
      </c>
      <c r="Z236" s="416">
        <v>9329.8</v>
      </c>
      <c r="AA236" s="425">
        <f t="shared" si="17"/>
        <v>-0.039999999999054126</v>
      </c>
    </row>
    <row r="237" spans="1:27" ht="12.75">
      <c r="A237" s="287"/>
      <c r="B237" s="101"/>
      <c r="C237" s="109"/>
      <c r="D237" s="118" t="s">
        <v>631</v>
      </c>
      <c r="E237" s="294">
        <f>2.4*(2.44+3.45)</f>
        <v>14.136000000000001</v>
      </c>
      <c r="F237" s="119"/>
      <c r="G237" s="34"/>
      <c r="H237" s="313"/>
      <c r="I237" s="343"/>
      <c r="Q237" s="404"/>
      <c r="R237" s="533"/>
      <c r="S237" s="533"/>
      <c r="T237" s="533"/>
      <c r="U237" s="515"/>
      <c r="V237" s="515"/>
      <c r="W237" s="515"/>
      <c r="X237" s="354"/>
      <c r="Y237" s="416"/>
      <c r="Z237" s="416"/>
      <c r="AA237" s="425">
        <f t="shared" si="17"/>
        <v>0</v>
      </c>
    </row>
    <row r="238" spans="1:27" ht="25.5">
      <c r="A238" s="287">
        <f>A236+1</f>
        <v>88</v>
      </c>
      <c r="B238" s="115" t="s">
        <v>281</v>
      </c>
      <c r="C238" s="99" t="s">
        <v>482</v>
      </c>
      <c r="D238" s="57" t="s">
        <v>63</v>
      </c>
      <c r="E238" s="100" t="s">
        <v>330</v>
      </c>
      <c r="F238" s="96">
        <f>CEILING(((E239+E240)*1.15),2.5)/2.5</f>
        <v>5</v>
      </c>
      <c r="G238" s="33">
        <v>764</v>
      </c>
      <c r="H238" s="288">
        <f>F238*G238</f>
        <v>3820</v>
      </c>
      <c r="I238" s="343" t="s">
        <v>460</v>
      </c>
      <c r="Q238" s="404"/>
      <c r="R238" s="533"/>
      <c r="S238" s="533"/>
      <c r="T238" s="533"/>
      <c r="U238" s="515"/>
      <c r="V238" s="515"/>
      <c r="W238" s="515"/>
      <c r="X238" s="354"/>
      <c r="Y238" s="416">
        <v>0</v>
      </c>
      <c r="Z238" s="416">
        <v>3820</v>
      </c>
      <c r="AA238" s="425">
        <f t="shared" si="17"/>
        <v>0</v>
      </c>
    </row>
    <row r="239" spans="1:27" ht="12.75">
      <c r="A239" s="287"/>
      <c r="B239" s="90"/>
      <c r="C239" s="117"/>
      <c r="D239" s="118" t="s">
        <v>658</v>
      </c>
      <c r="E239" s="294">
        <f>2*2.4+1.7+1.2</f>
        <v>7.7</v>
      </c>
      <c r="F239" s="119"/>
      <c r="G239" s="38"/>
      <c r="H239" s="313"/>
      <c r="I239" s="343"/>
      <c r="Q239" s="404"/>
      <c r="R239" s="533"/>
      <c r="S239" s="533"/>
      <c r="T239" s="533"/>
      <c r="U239" s="515"/>
      <c r="V239" s="515"/>
      <c r="W239" s="515"/>
      <c r="X239" s="354"/>
      <c r="Y239" s="416"/>
      <c r="Z239" s="416"/>
      <c r="AA239" s="425">
        <f t="shared" si="17"/>
        <v>0</v>
      </c>
    </row>
    <row r="240" spans="1:27" ht="12.75">
      <c r="A240" s="287"/>
      <c r="B240" s="90"/>
      <c r="C240" s="117"/>
      <c r="D240" s="118" t="s">
        <v>64</v>
      </c>
      <c r="E240" s="294">
        <f>2*0.6+1.9</f>
        <v>3.0999999999999996</v>
      </c>
      <c r="F240" s="119"/>
      <c r="G240" s="38"/>
      <c r="H240" s="313"/>
      <c r="I240" s="343"/>
      <c r="Q240" s="404"/>
      <c r="R240" s="533"/>
      <c r="S240" s="533"/>
      <c r="T240" s="533"/>
      <c r="U240" s="515"/>
      <c r="V240" s="515"/>
      <c r="W240" s="515"/>
      <c r="X240" s="354"/>
      <c r="Y240" s="416"/>
      <c r="Z240" s="416"/>
      <c r="AA240" s="425">
        <f t="shared" si="17"/>
        <v>0</v>
      </c>
    </row>
    <row r="241" spans="1:27" ht="12.75">
      <c r="A241" s="287">
        <f>A238+1</f>
        <v>89</v>
      </c>
      <c r="B241" s="112" t="s">
        <v>624</v>
      </c>
      <c r="C241" s="99" t="s">
        <v>484</v>
      </c>
      <c r="D241" s="94" t="s">
        <v>362</v>
      </c>
      <c r="E241" s="100" t="s">
        <v>330</v>
      </c>
      <c r="F241" s="96">
        <v>2</v>
      </c>
      <c r="G241" s="33">
        <v>587</v>
      </c>
      <c r="H241" s="288">
        <f aca="true" t="shared" si="18" ref="H241:H249">F241*G241</f>
        <v>1174</v>
      </c>
      <c r="I241" s="343" t="s">
        <v>466</v>
      </c>
      <c r="Q241" s="404"/>
      <c r="R241" s="533"/>
      <c r="S241" s="533"/>
      <c r="T241" s="533"/>
      <c r="U241" s="515"/>
      <c r="V241" s="515"/>
      <c r="W241" s="515"/>
      <c r="X241" s="354"/>
      <c r="Y241" s="416">
        <v>0</v>
      </c>
      <c r="Z241" s="416">
        <v>1174</v>
      </c>
      <c r="AA241" s="425">
        <f t="shared" si="17"/>
        <v>0</v>
      </c>
    </row>
    <row r="242" spans="1:27" ht="25.5">
      <c r="A242" s="287">
        <f aca="true" t="shared" si="19" ref="A242:A249">A241+1</f>
        <v>90</v>
      </c>
      <c r="B242" s="112" t="s">
        <v>625</v>
      </c>
      <c r="C242" s="109" t="s">
        <v>484</v>
      </c>
      <c r="D242" s="110" t="s">
        <v>626</v>
      </c>
      <c r="E242" s="111" t="s">
        <v>330</v>
      </c>
      <c r="F242" s="119">
        <v>2</v>
      </c>
      <c r="G242" s="34">
        <v>334</v>
      </c>
      <c r="H242" s="313">
        <f t="shared" si="18"/>
        <v>668</v>
      </c>
      <c r="I242" s="343" t="s">
        <v>466</v>
      </c>
      <c r="Q242" s="404"/>
      <c r="R242" s="533"/>
      <c r="S242" s="533"/>
      <c r="T242" s="533"/>
      <c r="U242" s="515"/>
      <c r="V242" s="515"/>
      <c r="W242" s="515"/>
      <c r="X242" s="354"/>
      <c r="Y242" s="416">
        <v>0</v>
      </c>
      <c r="Z242" s="416">
        <v>668</v>
      </c>
      <c r="AA242" s="425">
        <f t="shared" si="17"/>
        <v>0</v>
      </c>
    </row>
    <row r="243" spans="1:27" ht="25.5">
      <c r="A243" s="287">
        <f t="shared" si="19"/>
        <v>91</v>
      </c>
      <c r="B243" s="115" t="s">
        <v>91</v>
      </c>
      <c r="C243" s="99" t="s">
        <v>479</v>
      </c>
      <c r="D243" s="94" t="s">
        <v>370</v>
      </c>
      <c r="E243" s="100" t="s">
        <v>328</v>
      </c>
      <c r="F243" s="96">
        <f>(2*0.9+0.93)*2.2</f>
        <v>6.006</v>
      </c>
      <c r="G243" s="33">
        <v>129</v>
      </c>
      <c r="H243" s="288">
        <f t="shared" si="18"/>
        <v>774.774</v>
      </c>
      <c r="I243" s="343" t="s">
        <v>460</v>
      </c>
      <c r="Q243" s="404"/>
      <c r="R243" s="533"/>
      <c r="S243" s="533"/>
      <c r="T243" s="533"/>
      <c r="U243" s="515"/>
      <c r="V243" s="515"/>
      <c r="W243" s="515"/>
      <c r="X243" s="354"/>
      <c r="Y243" s="416">
        <v>0</v>
      </c>
      <c r="Z243" s="416">
        <v>774.8</v>
      </c>
      <c r="AA243" s="425">
        <f t="shared" si="17"/>
        <v>-0.025999999999953616</v>
      </c>
    </row>
    <row r="244" spans="1:27" ht="12.75">
      <c r="A244" s="287">
        <f t="shared" si="19"/>
        <v>92</v>
      </c>
      <c r="B244" s="115" t="s">
        <v>101</v>
      </c>
      <c r="C244" s="109" t="s">
        <v>482</v>
      </c>
      <c r="D244" s="110" t="s">
        <v>374</v>
      </c>
      <c r="E244" s="111" t="s">
        <v>341</v>
      </c>
      <c r="F244" s="119">
        <f>+F243*1.5</f>
        <v>9.009</v>
      </c>
      <c r="G244" s="34">
        <v>116.5</v>
      </c>
      <c r="H244" s="313">
        <f t="shared" si="18"/>
        <v>1049.5485</v>
      </c>
      <c r="I244" s="343" t="s">
        <v>460</v>
      </c>
      <c r="Q244" s="404"/>
      <c r="R244" s="533"/>
      <c r="S244" s="533"/>
      <c r="T244" s="533"/>
      <c r="U244" s="515"/>
      <c r="V244" s="515"/>
      <c r="W244" s="515"/>
      <c r="X244" s="354"/>
      <c r="Y244" s="416">
        <v>0</v>
      </c>
      <c r="Z244" s="416">
        <v>1049.5</v>
      </c>
      <c r="AA244" s="425">
        <f t="shared" si="17"/>
        <v>0.04850000000010368</v>
      </c>
    </row>
    <row r="245" spans="1:27" ht="12.75">
      <c r="A245" s="287">
        <f t="shared" si="19"/>
        <v>93</v>
      </c>
      <c r="B245" s="115" t="s">
        <v>243</v>
      </c>
      <c r="C245" s="99"/>
      <c r="D245" s="94" t="s">
        <v>145</v>
      </c>
      <c r="E245" s="100" t="s">
        <v>331</v>
      </c>
      <c r="F245" s="96">
        <f>+F246</f>
        <v>4.4</v>
      </c>
      <c r="G245" s="33">
        <v>50</v>
      </c>
      <c r="H245" s="288">
        <f t="shared" si="18"/>
        <v>220.00000000000003</v>
      </c>
      <c r="I245" s="343" t="s">
        <v>460</v>
      </c>
      <c r="Q245" s="404"/>
      <c r="R245" s="533"/>
      <c r="S245" s="533"/>
      <c r="T245" s="533"/>
      <c r="U245" s="515"/>
      <c r="V245" s="515"/>
      <c r="W245" s="515"/>
      <c r="X245" s="354"/>
      <c r="Y245" s="416">
        <v>0</v>
      </c>
      <c r="Z245" s="416">
        <v>220</v>
      </c>
      <c r="AA245" s="425">
        <f t="shared" si="17"/>
        <v>2.842170943040401E-14</v>
      </c>
    </row>
    <row r="246" spans="1:27" ht="25.5">
      <c r="A246" s="287">
        <f t="shared" si="19"/>
        <v>94</v>
      </c>
      <c r="B246" s="115">
        <v>28355360</v>
      </c>
      <c r="C246" s="120" t="s">
        <v>482</v>
      </c>
      <c r="D246" s="121" t="s">
        <v>113</v>
      </c>
      <c r="E246" s="122" t="s">
        <v>331</v>
      </c>
      <c r="F246" s="119">
        <f>2*2.2</f>
        <v>4.4</v>
      </c>
      <c r="G246" s="34">
        <v>74.1</v>
      </c>
      <c r="H246" s="313">
        <f t="shared" si="18"/>
        <v>326.04</v>
      </c>
      <c r="I246" s="343" t="s">
        <v>460</v>
      </c>
      <c r="Q246" s="404"/>
      <c r="R246" s="533"/>
      <c r="S246" s="533"/>
      <c r="T246" s="533"/>
      <c r="U246" s="515"/>
      <c r="V246" s="515"/>
      <c r="W246" s="515"/>
      <c r="X246" s="354"/>
      <c r="Y246" s="416">
        <v>0</v>
      </c>
      <c r="Z246" s="416">
        <v>326</v>
      </c>
      <c r="AA246" s="425">
        <f t="shared" si="17"/>
        <v>0.040000000000020464</v>
      </c>
    </row>
    <row r="247" spans="1:27" ht="25.5">
      <c r="A247" s="287">
        <f t="shared" si="19"/>
        <v>95</v>
      </c>
      <c r="B247" s="101" t="s">
        <v>302</v>
      </c>
      <c r="C247" s="98"/>
      <c r="D247" s="116" t="s">
        <v>88</v>
      </c>
      <c r="E247" s="58" t="s">
        <v>327</v>
      </c>
      <c r="F247" s="114">
        <v>1</v>
      </c>
      <c r="G247" s="33">
        <v>20.3</v>
      </c>
      <c r="H247" s="288">
        <f t="shared" si="18"/>
        <v>20.3</v>
      </c>
      <c r="I247" s="343" t="s">
        <v>460</v>
      </c>
      <c r="Q247" s="404"/>
      <c r="R247" s="533"/>
      <c r="S247" s="533"/>
      <c r="T247" s="533"/>
      <c r="U247" s="515"/>
      <c r="V247" s="515"/>
      <c r="W247" s="515"/>
      <c r="X247" s="354"/>
      <c r="Y247" s="416">
        <v>0</v>
      </c>
      <c r="Z247" s="416">
        <v>20.3</v>
      </c>
      <c r="AA247" s="425">
        <f t="shared" si="17"/>
        <v>0</v>
      </c>
    </row>
    <row r="248" spans="1:27" ht="12.75">
      <c r="A248" s="287">
        <f t="shared" si="19"/>
        <v>96</v>
      </c>
      <c r="B248" s="101" t="s">
        <v>255</v>
      </c>
      <c r="C248" s="120"/>
      <c r="D248" s="57" t="s">
        <v>256</v>
      </c>
      <c r="E248" s="58" t="s">
        <v>328</v>
      </c>
      <c r="F248" s="114">
        <f>+F249</f>
        <v>185.3153</v>
      </c>
      <c r="G248" s="33">
        <v>27</v>
      </c>
      <c r="H248" s="288">
        <f t="shared" si="18"/>
        <v>5003.5131</v>
      </c>
      <c r="I248" s="343" t="s">
        <v>460</v>
      </c>
      <c r="Q248" s="404"/>
      <c r="R248" s="533"/>
      <c r="S248" s="533"/>
      <c r="T248" s="533"/>
      <c r="U248" s="515"/>
      <c r="V248" s="515"/>
      <c r="W248" s="515"/>
      <c r="X248" s="354"/>
      <c r="Y248" s="416">
        <v>0</v>
      </c>
      <c r="Z248" s="416">
        <v>5003.5</v>
      </c>
      <c r="AA248" s="425">
        <f t="shared" si="17"/>
        <v>0.013100000000122236</v>
      </c>
    </row>
    <row r="249" spans="1:27" ht="12.75">
      <c r="A249" s="287">
        <f t="shared" si="19"/>
        <v>97</v>
      </c>
      <c r="B249" s="101" t="s">
        <v>246</v>
      </c>
      <c r="C249" s="120"/>
      <c r="D249" s="57" t="s">
        <v>245</v>
      </c>
      <c r="E249" s="58" t="s">
        <v>328</v>
      </c>
      <c r="F249" s="114">
        <f>SUM(E250:E255)</f>
        <v>185.3153</v>
      </c>
      <c r="G249" s="33">
        <v>75</v>
      </c>
      <c r="H249" s="288">
        <f t="shared" si="18"/>
        <v>13898.647500000001</v>
      </c>
      <c r="I249" s="343" t="s">
        <v>460</v>
      </c>
      <c r="Q249" s="404"/>
      <c r="R249" s="533"/>
      <c r="S249" s="533"/>
      <c r="T249" s="533"/>
      <c r="U249" s="515"/>
      <c r="V249" s="515"/>
      <c r="W249" s="515"/>
      <c r="X249" s="354"/>
      <c r="Y249" s="416">
        <v>0</v>
      </c>
      <c r="Z249" s="416">
        <v>13898.6</v>
      </c>
      <c r="AA249" s="425">
        <f t="shared" si="17"/>
        <v>0.04750000000058208</v>
      </c>
    </row>
    <row r="250" spans="1:27" ht="12.75">
      <c r="A250" s="287"/>
      <c r="B250" s="289"/>
      <c r="C250" s="99"/>
      <c r="D250" s="123" t="s">
        <v>272</v>
      </c>
      <c r="E250" s="294"/>
      <c r="F250" s="96"/>
      <c r="G250" s="38"/>
      <c r="H250" s="288"/>
      <c r="I250" s="343"/>
      <c r="P250" s="8"/>
      <c r="Q250" s="404"/>
      <c r="R250" s="533"/>
      <c r="S250" s="533"/>
      <c r="T250" s="533"/>
      <c r="U250" s="515"/>
      <c r="V250" s="515"/>
      <c r="W250" s="515"/>
      <c r="X250" s="354"/>
      <c r="Y250" s="416"/>
      <c r="Z250" s="416"/>
      <c r="AA250" s="425">
        <f t="shared" si="17"/>
        <v>0</v>
      </c>
    </row>
    <row r="251" spans="1:27" ht="12.75">
      <c r="A251" s="287"/>
      <c r="B251" s="289"/>
      <c r="C251" s="99"/>
      <c r="D251" s="319" t="s">
        <v>756</v>
      </c>
      <c r="E251" s="320">
        <f>10*3.25-1.285*2.32</f>
        <v>29.5188</v>
      </c>
      <c r="F251" s="96"/>
      <c r="G251" s="38"/>
      <c r="H251" s="288"/>
      <c r="I251" s="343"/>
      <c r="P251" s="8"/>
      <c r="Q251" s="404"/>
      <c r="R251" s="533"/>
      <c r="S251" s="533"/>
      <c r="T251" s="533"/>
      <c r="U251" s="515"/>
      <c r="V251" s="515"/>
      <c r="W251" s="515"/>
      <c r="X251" s="354"/>
      <c r="Y251" s="416"/>
      <c r="Z251" s="416"/>
      <c r="AA251" s="425">
        <f t="shared" si="17"/>
        <v>0</v>
      </c>
    </row>
    <row r="252" spans="1:27" ht="12.75">
      <c r="A252" s="287"/>
      <c r="B252" s="289"/>
      <c r="C252" s="99"/>
      <c r="D252" s="319" t="s">
        <v>753</v>
      </c>
      <c r="E252" s="320">
        <f>11.4*(3.2-2.4)</f>
        <v>9.120000000000003</v>
      </c>
      <c r="F252" s="96"/>
      <c r="G252" s="38"/>
      <c r="H252" s="288"/>
      <c r="I252" s="343"/>
      <c r="P252" s="8"/>
      <c r="Q252" s="404"/>
      <c r="R252" s="533"/>
      <c r="S252" s="533"/>
      <c r="T252" s="533"/>
      <c r="U252" s="515"/>
      <c r="V252" s="515"/>
      <c r="W252" s="515"/>
      <c r="X252" s="354"/>
      <c r="Y252" s="417"/>
      <c r="Z252" s="417"/>
      <c r="AA252" s="425">
        <f t="shared" si="17"/>
        <v>0</v>
      </c>
    </row>
    <row r="253" spans="1:27" ht="12.75">
      <c r="A253" s="287"/>
      <c r="B253" s="289"/>
      <c r="C253" s="99"/>
      <c r="D253" s="319" t="s">
        <v>754</v>
      </c>
      <c r="E253" s="320">
        <f>10.9*3.2</f>
        <v>34.88</v>
      </c>
      <c r="F253" s="96"/>
      <c r="G253" s="38"/>
      <c r="H253" s="288"/>
      <c r="I253" s="343"/>
      <c r="P253" s="8"/>
      <c r="Q253" s="404"/>
      <c r="R253" s="533"/>
      <c r="S253" s="533"/>
      <c r="T253" s="533"/>
      <c r="U253" s="515"/>
      <c r="V253" s="515"/>
      <c r="W253" s="515"/>
      <c r="X253" s="354"/>
      <c r="Y253" s="417"/>
      <c r="Z253" s="417"/>
      <c r="AA253" s="425">
        <f t="shared" si="17"/>
        <v>0</v>
      </c>
    </row>
    <row r="254" spans="1:27" ht="12.75">
      <c r="A254" s="287"/>
      <c r="B254" s="289"/>
      <c r="C254" s="99"/>
      <c r="D254" s="319" t="s">
        <v>755</v>
      </c>
      <c r="E254" s="320">
        <f>20.7*3.6-2*1.35*2.3-0.6*(1.95+1.9)</f>
        <v>66</v>
      </c>
      <c r="F254" s="96"/>
      <c r="G254" s="38"/>
      <c r="H254" s="288"/>
      <c r="I254" s="343"/>
      <c r="P254" s="8"/>
      <c r="Q254" s="404"/>
      <c r="R254" s="533"/>
      <c r="S254" s="533"/>
      <c r="T254" s="533"/>
      <c r="U254" s="515"/>
      <c r="V254" s="515"/>
      <c r="W254" s="515"/>
      <c r="X254" s="354"/>
      <c r="Y254" s="417"/>
      <c r="Z254" s="417"/>
      <c r="AA254" s="425">
        <f t="shared" si="17"/>
        <v>0</v>
      </c>
    </row>
    <row r="255" spans="1:27" ht="12.75">
      <c r="A255" s="287"/>
      <c r="B255" s="289"/>
      <c r="C255" s="99"/>
      <c r="D255" s="123" t="s">
        <v>273</v>
      </c>
      <c r="E255" s="294">
        <f>+F225+F179+F180+F181</f>
        <v>45.7965</v>
      </c>
      <c r="F255" s="96"/>
      <c r="G255" s="38"/>
      <c r="H255" s="288"/>
      <c r="I255" s="343"/>
      <c r="P255" s="8"/>
      <c r="Q255" s="404"/>
      <c r="R255" s="533"/>
      <c r="S255" s="533"/>
      <c r="T255" s="533"/>
      <c r="U255" s="515"/>
      <c r="V255" s="515"/>
      <c r="W255" s="515"/>
      <c r="X255" s="354"/>
      <c r="Y255" s="417"/>
      <c r="Z255" s="417"/>
      <c r="AA255" s="425">
        <f t="shared" si="17"/>
        <v>0</v>
      </c>
    </row>
    <row r="256" spans="1:27" ht="12.75">
      <c r="A256" s="287">
        <f>A249+1</f>
        <v>98</v>
      </c>
      <c r="B256" s="101" t="s">
        <v>102</v>
      </c>
      <c r="C256" s="99"/>
      <c r="D256" s="94" t="s">
        <v>474</v>
      </c>
      <c r="E256" s="100" t="s">
        <v>327</v>
      </c>
      <c r="F256" s="96">
        <v>1</v>
      </c>
      <c r="G256" s="33">
        <v>215</v>
      </c>
      <c r="H256" s="288">
        <f>F256*G256</f>
        <v>215</v>
      </c>
      <c r="I256" s="343" t="s">
        <v>460</v>
      </c>
      <c r="P256" s="8"/>
      <c r="Q256" s="404"/>
      <c r="R256" s="533"/>
      <c r="S256" s="533"/>
      <c r="T256" s="533"/>
      <c r="U256" s="515"/>
      <c r="V256" s="515"/>
      <c r="W256" s="515"/>
      <c r="X256" s="354"/>
      <c r="Y256" s="417">
        <v>0</v>
      </c>
      <c r="Z256" s="417">
        <v>215</v>
      </c>
      <c r="AA256" s="425">
        <f t="shared" si="17"/>
        <v>0</v>
      </c>
    </row>
    <row r="257" spans="1:28" ht="13.5" thickBot="1">
      <c r="A257" s="287">
        <f>A256+1</f>
        <v>99</v>
      </c>
      <c r="B257" s="101" t="s">
        <v>172</v>
      </c>
      <c r="C257" s="99"/>
      <c r="D257" s="309" t="s">
        <v>357</v>
      </c>
      <c r="E257" s="100" t="s">
        <v>336</v>
      </c>
      <c r="F257" s="96">
        <f>+H205+H206+H208+H209+H215+H218+H223+H225+H231+H233+H236+H238+H242+H244+H246+H249+H256+H248</f>
        <v>158873.73073500002</v>
      </c>
      <c r="G257" s="37">
        <v>0.05</v>
      </c>
      <c r="H257" s="288">
        <f>F257*G257</f>
        <v>7943.686536750001</v>
      </c>
      <c r="I257" s="343" t="s">
        <v>460</v>
      </c>
      <c r="Q257" s="404" t="s">
        <v>852</v>
      </c>
      <c r="R257" s="533">
        <v>-1114.6</v>
      </c>
      <c r="S257" s="535">
        <v>0.05</v>
      </c>
      <c r="T257" s="534">
        <f>R257*S257</f>
        <v>-55.73</v>
      </c>
      <c r="U257" s="515"/>
      <c r="V257" s="515"/>
      <c r="W257" s="515"/>
      <c r="X257" s="354" t="s">
        <v>891</v>
      </c>
      <c r="Y257" s="417">
        <v>0</v>
      </c>
      <c r="Z257" s="417">
        <v>7888</v>
      </c>
      <c r="AA257" s="425">
        <f t="shared" si="17"/>
        <v>55.68653675000132</v>
      </c>
      <c r="AB257" s="419" t="s">
        <v>875</v>
      </c>
    </row>
    <row r="258" spans="1:27" ht="13.5" thickBot="1">
      <c r="A258" s="287"/>
      <c r="B258" s="289"/>
      <c r="C258" s="99"/>
      <c r="D258" s="67" t="s">
        <v>329</v>
      </c>
      <c r="E258" s="310"/>
      <c r="F258" s="311"/>
      <c r="G258" s="312"/>
      <c r="H258" s="302">
        <f>SUBTOTAL(9,H205:H257)</f>
        <v>196118.69027175</v>
      </c>
      <c r="I258" s="343"/>
      <c r="Q258" s="405"/>
      <c r="R258" s="536"/>
      <c r="S258" s="536"/>
      <c r="T258" s="536"/>
      <c r="U258" s="517"/>
      <c r="V258" s="517"/>
      <c r="W258" s="517"/>
      <c r="X258" s="354"/>
      <c r="Y258" s="417"/>
      <c r="Z258" s="417"/>
      <c r="AA258" s="425"/>
    </row>
    <row r="259" spans="1:27" ht="12.75">
      <c r="A259" s="287"/>
      <c r="B259" s="289"/>
      <c r="C259" s="99"/>
      <c r="D259" s="303"/>
      <c r="E259" s="304"/>
      <c r="F259" s="246"/>
      <c r="G259" s="276"/>
      <c r="H259" s="305"/>
      <c r="I259" s="343"/>
      <c r="Q259" s="404"/>
      <c r="R259" s="533"/>
      <c r="S259" s="533"/>
      <c r="T259" s="533"/>
      <c r="U259" s="515"/>
      <c r="V259" s="515"/>
      <c r="W259" s="515"/>
      <c r="X259" s="354"/>
      <c r="Y259" s="417"/>
      <c r="Z259" s="417"/>
      <c r="AA259" s="425">
        <f t="shared" si="17"/>
        <v>0</v>
      </c>
    </row>
    <row r="260" spans="1:27" ht="16.5">
      <c r="A260" s="287"/>
      <c r="B260" s="289"/>
      <c r="C260" s="306" t="s">
        <v>349</v>
      </c>
      <c r="D260" s="48" t="s">
        <v>363</v>
      </c>
      <c r="E260" s="48"/>
      <c r="F260" s="321"/>
      <c r="G260" s="48"/>
      <c r="H260" s="48"/>
      <c r="I260" s="343"/>
      <c r="Q260" s="404"/>
      <c r="R260" s="533"/>
      <c r="S260" s="533"/>
      <c r="T260" s="533"/>
      <c r="U260" s="515"/>
      <c r="V260" s="515"/>
      <c r="W260" s="515"/>
      <c r="X260" s="354"/>
      <c r="Y260" s="417"/>
      <c r="Z260" s="417"/>
      <c r="AA260" s="425">
        <f t="shared" si="17"/>
        <v>0</v>
      </c>
    </row>
    <row r="261" spans="1:27" ht="52.5" customHeight="1">
      <c r="A261" s="287"/>
      <c r="B261" s="289"/>
      <c r="C261" s="286"/>
      <c r="D261" s="557" t="s">
        <v>402</v>
      </c>
      <c r="E261" s="557"/>
      <c r="F261" s="557"/>
      <c r="G261" s="557"/>
      <c r="H261" s="557"/>
      <c r="I261" s="343"/>
      <c r="Q261" s="404"/>
      <c r="R261" s="533"/>
      <c r="S261" s="533"/>
      <c r="T261" s="533"/>
      <c r="U261" s="515"/>
      <c r="V261" s="515"/>
      <c r="W261" s="515"/>
      <c r="X261" s="354"/>
      <c r="Y261" s="417"/>
      <c r="Z261" s="417"/>
      <c r="AA261" s="425">
        <f t="shared" si="17"/>
        <v>0</v>
      </c>
    </row>
    <row r="262" spans="1:27" ht="25.5">
      <c r="A262" s="287">
        <f>A257+1</f>
        <v>100</v>
      </c>
      <c r="B262" s="141" t="s">
        <v>124</v>
      </c>
      <c r="C262" s="148"/>
      <c r="D262" s="149" t="s">
        <v>240</v>
      </c>
      <c r="E262" s="100" t="s">
        <v>331</v>
      </c>
      <c r="F262" s="96">
        <f>3.2+0.8+0.8</f>
        <v>4.8</v>
      </c>
      <c r="G262" s="33">
        <v>330</v>
      </c>
      <c r="H262" s="288">
        <f aca="true" t="shared" si="20" ref="H262:H275">F262*G262</f>
        <v>1584</v>
      </c>
      <c r="I262" s="343" t="s">
        <v>460</v>
      </c>
      <c r="Q262" s="404"/>
      <c r="R262" s="533"/>
      <c r="S262" s="533"/>
      <c r="T262" s="533"/>
      <c r="U262" s="515"/>
      <c r="V262" s="515"/>
      <c r="W262" s="515"/>
      <c r="X262" s="354"/>
      <c r="Y262" s="417">
        <v>1584</v>
      </c>
      <c r="Z262" s="417">
        <v>0</v>
      </c>
      <c r="AA262" s="425">
        <f t="shared" si="17"/>
        <v>0</v>
      </c>
    </row>
    <row r="263" spans="1:28" ht="25.5">
      <c r="A263" s="287">
        <f>A262+1</f>
        <v>101</v>
      </c>
      <c r="B263" s="150" t="s">
        <v>660</v>
      </c>
      <c r="C263" s="148"/>
      <c r="D263" s="149" t="s">
        <v>661</v>
      </c>
      <c r="E263" s="100" t="s">
        <v>331</v>
      </c>
      <c r="F263" s="96">
        <v>3</v>
      </c>
      <c r="G263" s="33">
        <v>410</v>
      </c>
      <c r="H263" s="288">
        <f t="shared" si="20"/>
        <v>1230</v>
      </c>
      <c r="I263" s="343" t="s">
        <v>460</v>
      </c>
      <c r="Q263" s="404" t="s">
        <v>852</v>
      </c>
      <c r="R263" s="533">
        <v>-3</v>
      </c>
      <c r="S263" s="533">
        <v>410</v>
      </c>
      <c r="T263" s="534">
        <f>R263*S263</f>
        <v>-1230</v>
      </c>
      <c r="U263" s="515"/>
      <c r="V263" s="515"/>
      <c r="W263" s="515"/>
      <c r="X263" s="354" t="s">
        <v>891</v>
      </c>
      <c r="Y263" s="417">
        <v>1230</v>
      </c>
      <c r="Z263" s="417">
        <v>-1230</v>
      </c>
      <c r="AA263" s="425">
        <f t="shared" si="17"/>
        <v>1230</v>
      </c>
      <c r="AB263" s="419" t="s">
        <v>873</v>
      </c>
    </row>
    <row r="264" spans="1:28" ht="51">
      <c r="A264" s="287">
        <f aca="true" t="shared" si="21" ref="A264:A275">A263+1</f>
        <v>102</v>
      </c>
      <c r="B264" s="151" t="s">
        <v>662</v>
      </c>
      <c r="C264" s="148"/>
      <c r="D264" s="149" t="s">
        <v>832</v>
      </c>
      <c r="E264" s="100" t="s">
        <v>331</v>
      </c>
      <c r="F264" s="96">
        <v>1.4</v>
      </c>
      <c r="G264" s="33">
        <v>1640</v>
      </c>
      <c r="H264" s="288">
        <f t="shared" si="20"/>
        <v>2296</v>
      </c>
      <c r="I264" s="343" t="s">
        <v>460</v>
      </c>
      <c r="Q264" s="404" t="s">
        <v>852</v>
      </c>
      <c r="R264" s="533">
        <v>-1.4</v>
      </c>
      <c r="S264" s="533">
        <v>1640</v>
      </c>
      <c r="T264" s="534">
        <f>R264*S264</f>
        <v>-2296</v>
      </c>
      <c r="U264" s="515"/>
      <c r="V264" s="515"/>
      <c r="W264" s="515"/>
      <c r="X264" s="354" t="s">
        <v>891</v>
      </c>
      <c r="Y264" s="417">
        <v>2296</v>
      </c>
      <c r="Z264" s="417">
        <v>-2296</v>
      </c>
      <c r="AA264" s="425">
        <f t="shared" si="17"/>
        <v>2296</v>
      </c>
      <c r="AB264" s="419" t="s">
        <v>873</v>
      </c>
    </row>
    <row r="265" spans="1:28" ht="25.5">
      <c r="A265" s="287" t="s">
        <v>853</v>
      </c>
      <c r="B265" s="409" t="s">
        <v>854</v>
      </c>
      <c r="C265" s="148"/>
      <c r="D265" s="149" t="s">
        <v>856</v>
      </c>
      <c r="E265" s="100" t="s">
        <v>331</v>
      </c>
      <c r="F265" s="96"/>
      <c r="G265" s="33"/>
      <c r="H265" s="288"/>
      <c r="I265" s="343" t="s">
        <v>460</v>
      </c>
      <c r="Q265" s="404" t="s">
        <v>857</v>
      </c>
      <c r="R265" s="533">
        <v>3</v>
      </c>
      <c r="S265" s="537">
        <v>320</v>
      </c>
      <c r="T265" s="534">
        <f>R265*S265</f>
        <v>960</v>
      </c>
      <c r="U265" s="515"/>
      <c r="V265" s="515"/>
      <c r="W265" s="515"/>
      <c r="X265" s="354" t="s">
        <v>891</v>
      </c>
      <c r="Y265" s="417">
        <v>0</v>
      </c>
      <c r="Z265" s="417">
        <v>0</v>
      </c>
      <c r="AA265" s="425">
        <f t="shared" si="17"/>
        <v>0</v>
      </c>
      <c r="AB265" s="419" t="s">
        <v>876</v>
      </c>
    </row>
    <row r="266" spans="1:28" ht="51">
      <c r="A266" s="287" t="s">
        <v>855</v>
      </c>
      <c r="B266" s="409" t="s">
        <v>854</v>
      </c>
      <c r="C266" s="148"/>
      <c r="D266" s="149" t="s">
        <v>858</v>
      </c>
      <c r="E266" s="100"/>
      <c r="F266" s="96"/>
      <c r="G266" s="33"/>
      <c r="H266" s="288"/>
      <c r="I266" s="343" t="s">
        <v>460</v>
      </c>
      <c r="Q266" s="404" t="s">
        <v>857</v>
      </c>
      <c r="R266" s="533">
        <v>1.4</v>
      </c>
      <c r="S266" s="537">
        <v>1015</v>
      </c>
      <c r="T266" s="534">
        <f>R266*S266</f>
        <v>1421</v>
      </c>
      <c r="U266" s="515"/>
      <c r="V266" s="515"/>
      <c r="W266" s="515"/>
      <c r="X266" s="354" t="s">
        <v>891</v>
      </c>
      <c r="Y266" s="417">
        <v>0</v>
      </c>
      <c r="Z266" s="417">
        <v>0</v>
      </c>
      <c r="AA266" s="425">
        <f t="shared" si="17"/>
        <v>0</v>
      </c>
      <c r="AB266" s="419" t="s">
        <v>876</v>
      </c>
    </row>
    <row r="267" spans="1:27" ht="25.5">
      <c r="A267" s="287">
        <f>A264+1</f>
        <v>103</v>
      </c>
      <c r="B267" s="163" t="s">
        <v>663</v>
      </c>
      <c r="C267" s="148"/>
      <c r="D267" s="168" t="s">
        <v>752</v>
      </c>
      <c r="E267" s="100" t="s">
        <v>327</v>
      </c>
      <c r="F267" s="96">
        <v>1</v>
      </c>
      <c r="G267" s="33">
        <v>1390</v>
      </c>
      <c r="H267" s="288">
        <f t="shared" si="20"/>
        <v>1390</v>
      </c>
      <c r="I267" s="343" t="s">
        <v>460</v>
      </c>
      <c r="Q267" s="404"/>
      <c r="R267" s="533"/>
      <c r="S267" s="533"/>
      <c r="T267" s="533"/>
      <c r="U267" s="515"/>
      <c r="V267" s="515"/>
      <c r="W267" s="515"/>
      <c r="X267" s="354"/>
      <c r="Y267" s="417">
        <v>0</v>
      </c>
      <c r="Z267" s="417">
        <v>1390</v>
      </c>
      <c r="AA267" s="425">
        <f t="shared" si="17"/>
        <v>0</v>
      </c>
    </row>
    <row r="268" spans="1:27" ht="25.5">
      <c r="A268" s="287">
        <f t="shared" si="21"/>
        <v>104</v>
      </c>
      <c r="B268" s="141" t="s">
        <v>136</v>
      </c>
      <c r="C268" s="148"/>
      <c r="D268" s="149" t="s">
        <v>16</v>
      </c>
      <c r="E268" s="145" t="s">
        <v>330</v>
      </c>
      <c r="F268" s="139">
        <v>2</v>
      </c>
      <c r="G268" s="33">
        <v>670</v>
      </c>
      <c r="H268" s="288">
        <f t="shared" si="20"/>
        <v>1340</v>
      </c>
      <c r="I268" s="343" t="s">
        <v>460</v>
      </c>
      <c r="Q268" s="404"/>
      <c r="R268" s="533"/>
      <c r="S268" s="533"/>
      <c r="T268" s="533"/>
      <c r="U268" s="515"/>
      <c r="V268" s="515"/>
      <c r="W268" s="515"/>
      <c r="X268" s="354"/>
      <c r="Y268" s="417">
        <v>1340</v>
      </c>
      <c r="Z268" s="417">
        <v>0</v>
      </c>
      <c r="AA268" s="425">
        <f t="shared" si="17"/>
        <v>0</v>
      </c>
    </row>
    <row r="269" spans="1:27" ht="12.75">
      <c r="A269" s="287">
        <f t="shared" si="21"/>
        <v>105</v>
      </c>
      <c r="B269" s="141" t="s">
        <v>137</v>
      </c>
      <c r="C269" s="148"/>
      <c r="D269" s="149" t="s">
        <v>236</v>
      </c>
      <c r="E269" s="145" t="s">
        <v>330</v>
      </c>
      <c r="F269" s="139">
        <v>1</v>
      </c>
      <c r="G269" s="33">
        <v>80</v>
      </c>
      <c r="H269" s="288">
        <f t="shared" si="20"/>
        <v>80</v>
      </c>
      <c r="I269" s="343" t="s">
        <v>460</v>
      </c>
      <c r="Q269" s="404"/>
      <c r="R269" s="533"/>
      <c r="S269" s="533"/>
      <c r="T269" s="533"/>
      <c r="U269" s="515"/>
      <c r="V269" s="515"/>
      <c r="W269" s="515"/>
      <c r="X269" s="354"/>
      <c r="Y269" s="417">
        <v>80</v>
      </c>
      <c r="Z269" s="417">
        <v>0</v>
      </c>
      <c r="AA269" s="425">
        <f t="shared" si="17"/>
        <v>0</v>
      </c>
    </row>
    <row r="270" spans="1:27" ht="12.75">
      <c r="A270" s="287">
        <f t="shared" si="21"/>
        <v>106</v>
      </c>
      <c r="B270" s="141" t="s">
        <v>237</v>
      </c>
      <c r="C270" s="148"/>
      <c r="D270" s="149" t="s">
        <v>80</v>
      </c>
      <c r="E270" s="145" t="s">
        <v>330</v>
      </c>
      <c r="F270" s="139">
        <v>1</v>
      </c>
      <c r="G270" s="33">
        <v>125</v>
      </c>
      <c r="H270" s="288">
        <f t="shared" si="20"/>
        <v>125</v>
      </c>
      <c r="I270" s="343" t="s">
        <v>460</v>
      </c>
      <c r="Q270" s="404"/>
      <c r="R270" s="533"/>
      <c r="S270" s="533"/>
      <c r="T270" s="533"/>
      <c r="U270" s="515"/>
      <c r="V270" s="515"/>
      <c r="W270" s="515"/>
      <c r="X270" s="354"/>
      <c r="Y270" s="417">
        <v>125</v>
      </c>
      <c r="Z270" s="417">
        <v>0</v>
      </c>
      <c r="AA270" s="425">
        <f t="shared" si="17"/>
        <v>0</v>
      </c>
    </row>
    <row r="271" spans="1:27" ht="12.75">
      <c r="A271" s="287">
        <f t="shared" si="21"/>
        <v>107</v>
      </c>
      <c r="B271" s="141" t="s">
        <v>147</v>
      </c>
      <c r="C271" s="148"/>
      <c r="D271" s="149" t="s">
        <v>146</v>
      </c>
      <c r="E271" s="145" t="s">
        <v>330</v>
      </c>
      <c r="F271" s="139">
        <v>1</v>
      </c>
      <c r="G271" s="33">
        <v>140</v>
      </c>
      <c r="H271" s="288">
        <f t="shared" si="20"/>
        <v>140</v>
      </c>
      <c r="I271" s="343" t="s">
        <v>460</v>
      </c>
      <c r="Q271" s="404"/>
      <c r="R271" s="533"/>
      <c r="S271" s="533"/>
      <c r="T271" s="533"/>
      <c r="U271" s="515"/>
      <c r="V271" s="515"/>
      <c r="W271" s="515"/>
      <c r="X271" s="354"/>
      <c r="Y271" s="417">
        <v>140</v>
      </c>
      <c r="Z271" s="417">
        <v>0</v>
      </c>
      <c r="AA271" s="425">
        <f t="shared" si="17"/>
        <v>0</v>
      </c>
    </row>
    <row r="272" spans="1:28" ht="38.25">
      <c r="A272" s="287">
        <f>A271+1</f>
        <v>108</v>
      </c>
      <c r="B272" s="141" t="s">
        <v>125</v>
      </c>
      <c r="C272" s="148"/>
      <c r="D272" s="322" t="s">
        <v>762</v>
      </c>
      <c r="E272" s="145" t="s">
        <v>330</v>
      </c>
      <c r="F272" s="139">
        <v>1</v>
      </c>
      <c r="G272" s="33">
        <v>1400</v>
      </c>
      <c r="H272" s="288">
        <f t="shared" si="20"/>
        <v>1400</v>
      </c>
      <c r="I272" s="350" t="s">
        <v>466</v>
      </c>
      <c r="K272" s="153"/>
      <c r="L272" s="142"/>
      <c r="Q272" s="404" t="s">
        <v>852</v>
      </c>
      <c r="R272" s="533">
        <v>-1</v>
      </c>
      <c r="S272" s="533">
        <v>1400</v>
      </c>
      <c r="T272" s="534">
        <f>R272*S272</f>
        <v>-1400</v>
      </c>
      <c r="U272" s="515"/>
      <c r="V272" s="515"/>
      <c r="W272" s="515"/>
      <c r="X272" s="354" t="s">
        <v>891</v>
      </c>
      <c r="Y272" s="417">
        <v>0</v>
      </c>
      <c r="Z272" s="417">
        <v>0</v>
      </c>
      <c r="AA272" s="425">
        <f t="shared" si="17"/>
        <v>1400</v>
      </c>
      <c r="AB272" s="419" t="s">
        <v>875</v>
      </c>
    </row>
    <row r="273" spans="1:27" ht="38.25">
      <c r="A273" s="287">
        <f t="shared" si="21"/>
        <v>109</v>
      </c>
      <c r="B273" s="151" t="s">
        <v>166</v>
      </c>
      <c r="C273" s="99"/>
      <c r="D273" s="322" t="s">
        <v>833</v>
      </c>
      <c r="E273" s="100" t="s">
        <v>330</v>
      </c>
      <c r="F273" s="96">
        <v>1</v>
      </c>
      <c r="G273" s="33">
        <v>1900</v>
      </c>
      <c r="H273" s="288">
        <f t="shared" si="20"/>
        <v>1900</v>
      </c>
      <c r="I273" s="343" t="s">
        <v>460</v>
      </c>
      <c r="Q273" s="404"/>
      <c r="R273" s="533"/>
      <c r="S273" s="533"/>
      <c r="T273" s="533"/>
      <c r="U273" s="515"/>
      <c r="V273" s="515"/>
      <c r="W273" s="515"/>
      <c r="X273" s="354"/>
      <c r="Y273" s="417">
        <v>0</v>
      </c>
      <c r="Z273" s="417">
        <v>1900</v>
      </c>
      <c r="AA273" s="425">
        <f t="shared" si="17"/>
        <v>0</v>
      </c>
    </row>
    <row r="274" spans="1:27" ht="12.75">
      <c r="A274" s="287">
        <f t="shared" si="21"/>
        <v>110</v>
      </c>
      <c r="B274" s="141" t="s">
        <v>657</v>
      </c>
      <c r="C274" s="99"/>
      <c r="D274" s="322" t="s">
        <v>377</v>
      </c>
      <c r="E274" s="100" t="s">
        <v>331</v>
      </c>
      <c r="F274" s="96">
        <f>+F262+F264</f>
        <v>6.199999999999999</v>
      </c>
      <c r="G274" s="33">
        <v>30</v>
      </c>
      <c r="H274" s="288">
        <f t="shared" si="20"/>
        <v>185.99999999999997</v>
      </c>
      <c r="I274" s="343" t="s">
        <v>460</v>
      </c>
      <c r="Q274" s="404"/>
      <c r="R274" s="533"/>
      <c r="S274" s="533"/>
      <c r="T274" s="533"/>
      <c r="U274" s="515"/>
      <c r="V274" s="515"/>
      <c r="W274" s="515"/>
      <c r="X274" s="354"/>
      <c r="Y274" s="417">
        <v>0</v>
      </c>
      <c r="Z274" s="417">
        <v>186</v>
      </c>
      <c r="AA274" s="425">
        <f t="shared" si="17"/>
        <v>-2.842170943040401E-14</v>
      </c>
    </row>
    <row r="275" spans="1:28" ht="13.5" thickBot="1">
      <c r="A275" s="287">
        <f t="shared" si="21"/>
        <v>111</v>
      </c>
      <c r="B275" s="141" t="s">
        <v>172</v>
      </c>
      <c r="C275" s="99"/>
      <c r="D275" s="94" t="s">
        <v>354</v>
      </c>
      <c r="E275" s="316" t="s">
        <v>336</v>
      </c>
      <c r="F275" s="96">
        <f>+H262+H263+H264+H272+H273</f>
        <v>8410</v>
      </c>
      <c r="G275" s="35">
        <v>0.1</v>
      </c>
      <c r="H275" s="317">
        <f t="shared" si="20"/>
        <v>841</v>
      </c>
      <c r="I275" s="343" t="s">
        <v>460</v>
      </c>
      <c r="Q275" s="404" t="s">
        <v>852</v>
      </c>
      <c r="R275" s="533">
        <f>T263+T264+T265+T266+T272</f>
        <v>-2545</v>
      </c>
      <c r="S275" s="538">
        <v>0.1</v>
      </c>
      <c r="T275" s="534">
        <f>R275*S275</f>
        <v>-254.5</v>
      </c>
      <c r="U275" s="515"/>
      <c r="V275" s="515"/>
      <c r="W275" s="515"/>
      <c r="X275" s="354" t="s">
        <v>891</v>
      </c>
      <c r="Y275" s="417">
        <v>841</v>
      </c>
      <c r="Z275" s="417">
        <v>-254.5</v>
      </c>
      <c r="AA275" s="425">
        <f t="shared" si="17"/>
        <v>254.5</v>
      </c>
      <c r="AB275" s="419" t="s">
        <v>875</v>
      </c>
    </row>
    <row r="276" spans="1:27" ht="13.5" thickBot="1">
      <c r="A276" s="287"/>
      <c r="B276" s="289"/>
      <c r="C276" s="99"/>
      <c r="D276" s="67" t="s">
        <v>329</v>
      </c>
      <c r="E276" s="310"/>
      <c r="F276" s="311"/>
      <c r="G276" s="312"/>
      <c r="H276" s="302">
        <f>SUBTOTAL(9,H262:H275)</f>
        <v>12512</v>
      </c>
      <c r="I276" s="343"/>
      <c r="Q276" s="405"/>
      <c r="R276" s="536"/>
      <c r="S276" s="536"/>
      <c r="T276" s="536"/>
      <c r="U276" s="517"/>
      <c r="V276" s="517"/>
      <c r="W276" s="517"/>
      <c r="X276" s="354"/>
      <c r="Y276" s="417"/>
      <c r="Z276" s="417"/>
      <c r="AA276" s="425"/>
    </row>
    <row r="277" spans="1:27" ht="12.75">
      <c r="A277" s="287"/>
      <c r="B277" s="289"/>
      <c r="C277" s="99"/>
      <c r="D277" s="303"/>
      <c r="E277" s="304"/>
      <c r="F277" s="246"/>
      <c r="G277" s="276"/>
      <c r="H277" s="305"/>
      <c r="I277" s="343"/>
      <c r="Q277" s="404"/>
      <c r="R277" s="533"/>
      <c r="S277" s="533"/>
      <c r="T277" s="533"/>
      <c r="U277" s="515"/>
      <c r="V277" s="515"/>
      <c r="W277" s="515"/>
      <c r="X277" s="354"/>
      <c r="Y277" s="417"/>
      <c r="Z277" s="417"/>
      <c r="AA277" s="425">
        <f t="shared" si="17"/>
        <v>0</v>
      </c>
    </row>
    <row r="278" spans="1:27" ht="16.5">
      <c r="A278" s="287"/>
      <c r="B278" s="289"/>
      <c r="C278" s="306" t="s">
        <v>350</v>
      </c>
      <c r="D278" s="564" t="s">
        <v>364</v>
      </c>
      <c r="E278" s="564"/>
      <c r="F278" s="564"/>
      <c r="G278" s="564"/>
      <c r="H278" s="564"/>
      <c r="I278" s="343"/>
      <c r="Q278" s="404"/>
      <c r="R278" s="533"/>
      <c r="S278" s="533"/>
      <c r="T278" s="533"/>
      <c r="U278" s="515"/>
      <c r="V278" s="515"/>
      <c r="W278" s="515"/>
      <c r="X278" s="354"/>
      <c r="Y278" s="417"/>
      <c r="Z278" s="417"/>
      <c r="AA278" s="425">
        <f t="shared" si="17"/>
        <v>0</v>
      </c>
    </row>
    <row r="279" spans="1:27" ht="52.5" customHeight="1">
      <c r="A279" s="287"/>
      <c r="B279" s="289"/>
      <c r="C279" s="286"/>
      <c r="D279" s="557" t="s">
        <v>382</v>
      </c>
      <c r="E279" s="557"/>
      <c r="F279" s="557"/>
      <c r="G279" s="557"/>
      <c r="H279" s="557"/>
      <c r="I279" s="343"/>
      <c r="Q279" s="404"/>
      <c r="R279" s="533"/>
      <c r="S279" s="533"/>
      <c r="T279" s="533"/>
      <c r="U279" s="515"/>
      <c r="V279" s="515"/>
      <c r="W279" s="515"/>
      <c r="X279" s="354"/>
      <c r="Y279" s="416"/>
      <c r="Z279" s="416"/>
      <c r="AA279" s="425">
        <f t="shared" si="17"/>
        <v>0</v>
      </c>
    </row>
    <row r="280" spans="1:27" ht="12.75">
      <c r="A280" s="287">
        <f>A275+1</f>
        <v>112</v>
      </c>
      <c r="B280" s="103" t="s">
        <v>664</v>
      </c>
      <c r="C280" s="144"/>
      <c r="D280" s="152" t="s">
        <v>269</v>
      </c>
      <c r="E280" s="100" t="s">
        <v>331</v>
      </c>
      <c r="F280" s="96">
        <f>3.9+2.3+3*0.5+7.4+2*0.5</f>
        <v>16.1</v>
      </c>
      <c r="G280" s="33">
        <v>620</v>
      </c>
      <c r="H280" s="288">
        <f aca="true" t="shared" si="22" ref="H280:H294">F280*G280</f>
        <v>9982</v>
      </c>
      <c r="I280" s="343" t="s">
        <v>460</v>
      </c>
      <c r="Q280" s="404"/>
      <c r="R280" s="533"/>
      <c r="S280" s="533"/>
      <c r="T280" s="533"/>
      <c r="U280" s="515"/>
      <c r="V280" s="515"/>
      <c r="W280" s="515"/>
      <c r="X280" s="354"/>
      <c r="Y280" s="416">
        <v>9982</v>
      </c>
      <c r="Z280" s="416">
        <v>0</v>
      </c>
      <c r="AA280" s="425">
        <f t="shared" si="17"/>
        <v>0</v>
      </c>
    </row>
    <row r="281" spans="1:27" ht="12.75">
      <c r="A281" s="287">
        <f>A280+1</f>
        <v>113</v>
      </c>
      <c r="B281" s="126" t="s">
        <v>283</v>
      </c>
      <c r="C281" s="144"/>
      <c r="D281" s="152" t="s">
        <v>282</v>
      </c>
      <c r="E281" s="100" t="s">
        <v>331</v>
      </c>
      <c r="F281" s="96">
        <v>2.2</v>
      </c>
      <c r="G281" s="33">
        <v>600</v>
      </c>
      <c r="H281" s="288">
        <f t="shared" si="22"/>
        <v>1320</v>
      </c>
      <c r="I281" s="343" t="s">
        <v>460</v>
      </c>
      <c r="Q281" s="404"/>
      <c r="R281" s="533"/>
      <c r="S281" s="533"/>
      <c r="T281" s="533"/>
      <c r="U281" s="515"/>
      <c r="V281" s="515"/>
      <c r="W281" s="515"/>
      <c r="X281" s="354"/>
      <c r="Y281" s="416">
        <v>1320</v>
      </c>
      <c r="Z281" s="416">
        <v>0</v>
      </c>
      <c r="AA281" s="425">
        <f t="shared" si="17"/>
        <v>0</v>
      </c>
    </row>
    <row r="282" spans="1:27" ht="12.75">
      <c r="A282" s="287">
        <f aca="true" t="shared" si="23" ref="A282:A294">A281+1</f>
        <v>114</v>
      </c>
      <c r="B282" s="112" t="s">
        <v>311</v>
      </c>
      <c r="C282" s="136"/>
      <c r="D282" s="154" t="s">
        <v>454</v>
      </c>
      <c r="E282" s="100" t="s">
        <v>331</v>
      </c>
      <c r="F282" s="96">
        <f>3.9+2.3+3*0.5</f>
        <v>7.699999999999999</v>
      </c>
      <c r="G282" s="33">
        <v>93.4</v>
      </c>
      <c r="H282" s="288">
        <f t="shared" si="22"/>
        <v>719.18</v>
      </c>
      <c r="I282" s="343" t="s">
        <v>460</v>
      </c>
      <c r="Q282" s="404"/>
      <c r="R282" s="533"/>
      <c r="S282" s="533"/>
      <c r="T282" s="533"/>
      <c r="U282" s="515"/>
      <c r="V282" s="515"/>
      <c r="W282" s="515"/>
      <c r="X282" s="354"/>
      <c r="Y282" s="416">
        <v>719.2</v>
      </c>
      <c r="Z282" s="416">
        <v>0</v>
      </c>
      <c r="AA282" s="425">
        <f aca="true" t="shared" si="24" ref="AA282:AA345">H282-Z282-Y282</f>
        <v>-0.020000000000095497</v>
      </c>
    </row>
    <row r="283" spans="1:27" ht="12.75">
      <c r="A283" s="287">
        <f t="shared" si="23"/>
        <v>115</v>
      </c>
      <c r="B283" s="112" t="s">
        <v>257</v>
      </c>
      <c r="C283" s="136"/>
      <c r="D283" s="155" t="s">
        <v>455</v>
      </c>
      <c r="E283" s="100" t="s">
        <v>331</v>
      </c>
      <c r="F283" s="96">
        <f>+F281</f>
        <v>2.2</v>
      </c>
      <c r="G283" s="33">
        <v>91</v>
      </c>
      <c r="H283" s="288">
        <f t="shared" si="22"/>
        <v>200.20000000000002</v>
      </c>
      <c r="I283" s="343" t="s">
        <v>460</v>
      </c>
      <c r="Q283" s="404"/>
      <c r="R283" s="533"/>
      <c r="S283" s="533"/>
      <c r="T283" s="533"/>
      <c r="U283" s="515"/>
      <c r="V283" s="515"/>
      <c r="W283" s="515"/>
      <c r="X283" s="354"/>
      <c r="Y283" s="416">
        <v>200.2</v>
      </c>
      <c r="Z283" s="416">
        <v>0</v>
      </c>
      <c r="AA283" s="425">
        <f t="shared" si="24"/>
        <v>0</v>
      </c>
    </row>
    <row r="284" spans="1:27" ht="12.75">
      <c r="A284" s="287">
        <f t="shared" si="23"/>
        <v>116</v>
      </c>
      <c r="B284" s="112" t="s">
        <v>312</v>
      </c>
      <c r="C284" s="99"/>
      <c r="D284" s="309" t="s">
        <v>451</v>
      </c>
      <c r="E284" s="100" t="s">
        <v>331</v>
      </c>
      <c r="F284" s="96">
        <f>7.4+2*0.5</f>
        <v>8.4</v>
      </c>
      <c r="G284" s="33">
        <v>111</v>
      </c>
      <c r="H284" s="288">
        <f t="shared" si="22"/>
        <v>932.4000000000001</v>
      </c>
      <c r="I284" s="343" t="s">
        <v>460</v>
      </c>
      <c r="Q284" s="404"/>
      <c r="R284" s="533"/>
      <c r="S284" s="533"/>
      <c r="T284" s="533"/>
      <c r="U284" s="515"/>
      <c r="V284" s="515"/>
      <c r="W284" s="515"/>
      <c r="X284" s="354"/>
      <c r="Y284" s="416">
        <v>932.4</v>
      </c>
      <c r="Z284" s="416">
        <v>0</v>
      </c>
      <c r="AA284" s="425">
        <f t="shared" si="24"/>
        <v>0</v>
      </c>
    </row>
    <row r="285" spans="1:27" ht="12.75">
      <c r="A285" s="287">
        <f t="shared" si="23"/>
        <v>117</v>
      </c>
      <c r="B285" s="112" t="s">
        <v>262</v>
      </c>
      <c r="C285" s="133"/>
      <c r="D285" s="152" t="s">
        <v>263</v>
      </c>
      <c r="E285" s="100" t="s">
        <v>330</v>
      </c>
      <c r="F285" s="96">
        <v>9</v>
      </c>
      <c r="G285" s="33">
        <v>241</v>
      </c>
      <c r="H285" s="288">
        <f t="shared" si="22"/>
        <v>2169</v>
      </c>
      <c r="I285" s="343" t="s">
        <v>460</v>
      </c>
      <c r="Q285" s="404"/>
      <c r="R285" s="533"/>
      <c r="S285" s="533"/>
      <c r="T285" s="533"/>
      <c r="U285" s="515"/>
      <c r="V285" s="515"/>
      <c r="W285" s="515"/>
      <c r="X285" s="354"/>
      <c r="Y285" s="416">
        <v>2169</v>
      </c>
      <c r="Z285" s="416">
        <v>0</v>
      </c>
      <c r="AA285" s="425">
        <f t="shared" si="24"/>
        <v>0</v>
      </c>
    </row>
    <row r="286" spans="1:27" ht="25.5">
      <c r="A286" s="287">
        <f t="shared" si="23"/>
        <v>118</v>
      </c>
      <c r="B286" s="112" t="s">
        <v>261</v>
      </c>
      <c r="C286" s="136"/>
      <c r="D286" s="155" t="s">
        <v>298</v>
      </c>
      <c r="E286" s="100" t="s">
        <v>330</v>
      </c>
      <c r="F286" s="96">
        <v>1</v>
      </c>
      <c r="G286" s="33">
        <v>645</v>
      </c>
      <c r="H286" s="288">
        <f t="shared" si="22"/>
        <v>645</v>
      </c>
      <c r="I286" s="343" t="s">
        <v>460</v>
      </c>
      <c r="Q286" s="404"/>
      <c r="R286" s="533"/>
      <c r="S286" s="533"/>
      <c r="T286" s="533"/>
      <c r="U286" s="515"/>
      <c r="V286" s="515"/>
      <c r="W286" s="515"/>
      <c r="X286" s="354"/>
      <c r="Y286" s="416">
        <v>645</v>
      </c>
      <c r="Z286" s="416">
        <v>0</v>
      </c>
      <c r="AA286" s="425">
        <f t="shared" si="24"/>
        <v>0</v>
      </c>
    </row>
    <row r="287" spans="1:27" ht="12.75">
      <c r="A287" s="287">
        <f t="shared" si="23"/>
        <v>119</v>
      </c>
      <c r="B287" s="126" t="s">
        <v>258</v>
      </c>
      <c r="C287" s="136"/>
      <c r="D287" s="155" t="s">
        <v>297</v>
      </c>
      <c r="E287" s="100" t="s">
        <v>330</v>
      </c>
      <c r="F287" s="96">
        <v>7</v>
      </c>
      <c r="G287" s="33">
        <v>242</v>
      </c>
      <c r="H287" s="288">
        <f t="shared" si="22"/>
        <v>1694</v>
      </c>
      <c r="I287" s="343" t="s">
        <v>460</v>
      </c>
      <c r="Q287" s="404"/>
      <c r="R287" s="533"/>
      <c r="S287" s="533"/>
      <c r="T287" s="533"/>
      <c r="U287" s="515"/>
      <c r="V287" s="515"/>
      <c r="W287" s="515"/>
      <c r="X287" s="354"/>
      <c r="Y287" s="416">
        <v>1694</v>
      </c>
      <c r="Z287" s="416">
        <v>0</v>
      </c>
      <c r="AA287" s="425">
        <f t="shared" si="24"/>
        <v>0</v>
      </c>
    </row>
    <row r="288" spans="1:28" ht="12.75">
      <c r="A288" s="287">
        <f t="shared" si="23"/>
        <v>120</v>
      </c>
      <c r="B288" s="126" t="s">
        <v>30</v>
      </c>
      <c r="C288" s="144" t="s">
        <v>339</v>
      </c>
      <c r="D288" s="152" t="s">
        <v>31</v>
      </c>
      <c r="E288" s="106" t="s">
        <v>330</v>
      </c>
      <c r="F288" s="132">
        <v>2</v>
      </c>
      <c r="G288" s="33">
        <v>131</v>
      </c>
      <c r="H288" s="288">
        <f t="shared" si="22"/>
        <v>262</v>
      </c>
      <c r="I288" s="343" t="s">
        <v>460</v>
      </c>
      <c r="Q288" s="412" t="s">
        <v>852</v>
      </c>
      <c r="R288" s="537">
        <v>-1</v>
      </c>
      <c r="S288" s="533">
        <v>131</v>
      </c>
      <c r="T288" s="534">
        <f>R288*S288</f>
        <v>-131</v>
      </c>
      <c r="U288" s="515"/>
      <c r="V288" s="515"/>
      <c r="W288" s="515"/>
      <c r="X288" s="354" t="s">
        <v>891</v>
      </c>
      <c r="Y288" s="416">
        <v>0</v>
      </c>
      <c r="Z288" s="416">
        <v>131</v>
      </c>
      <c r="AA288" s="425">
        <f t="shared" si="24"/>
        <v>131</v>
      </c>
      <c r="AB288" s="419" t="s">
        <v>875</v>
      </c>
    </row>
    <row r="289" spans="1:27" ht="25.5">
      <c r="A289" s="287">
        <f t="shared" si="23"/>
        <v>121</v>
      </c>
      <c r="B289" s="115" t="s">
        <v>259</v>
      </c>
      <c r="C289" s="120" t="s">
        <v>338</v>
      </c>
      <c r="D289" s="121" t="s">
        <v>17</v>
      </c>
      <c r="E289" s="122" t="s">
        <v>330</v>
      </c>
      <c r="F289" s="119">
        <v>1</v>
      </c>
      <c r="G289" s="34">
        <v>519</v>
      </c>
      <c r="H289" s="313">
        <f t="shared" si="22"/>
        <v>519</v>
      </c>
      <c r="I289" s="343" t="s">
        <v>460</v>
      </c>
      <c r="Q289" s="404"/>
      <c r="R289" s="533"/>
      <c r="S289" s="533"/>
      <c r="T289" s="533"/>
      <c r="U289" s="515"/>
      <c r="V289" s="515"/>
      <c r="W289" s="515"/>
      <c r="X289" s="354"/>
      <c r="Y289" s="416">
        <v>0</v>
      </c>
      <c r="Z289" s="416">
        <v>519</v>
      </c>
      <c r="AA289" s="425">
        <f t="shared" si="24"/>
        <v>0</v>
      </c>
    </row>
    <row r="290" spans="1:28" ht="12.75">
      <c r="A290" s="287">
        <f t="shared" si="23"/>
        <v>122</v>
      </c>
      <c r="B290" s="115" t="s">
        <v>260</v>
      </c>
      <c r="C290" s="120" t="s">
        <v>338</v>
      </c>
      <c r="D290" s="110" t="s">
        <v>18</v>
      </c>
      <c r="E290" s="122" t="s">
        <v>330</v>
      </c>
      <c r="F290" s="119">
        <v>1</v>
      </c>
      <c r="G290" s="34">
        <v>712</v>
      </c>
      <c r="H290" s="313">
        <f t="shared" si="22"/>
        <v>712</v>
      </c>
      <c r="I290" s="343" t="s">
        <v>460</v>
      </c>
      <c r="Q290" s="404" t="s">
        <v>852</v>
      </c>
      <c r="R290" s="533">
        <v>-1</v>
      </c>
      <c r="S290" s="533">
        <v>712</v>
      </c>
      <c r="T290" s="534">
        <f>R290*S290</f>
        <v>-712</v>
      </c>
      <c r="U290" s="515"/>
      <c r="V290" s="515"/>
      <c r="W290" s="515"/>
      <c r="X290" s="354" t="s">
        <v>891</v>
      </c>
      <c r="Y290" s="416">
        <v>0</v>
      </c>
      <c r="Z290" s="416">
        <v>0</v>
      </c>
      <c r="AA290" s="425">
        <f t="shared" si="24"/>
        <v>712</v>
      </c>
      <c r="AB290" s="419" t="s">
        <v>875</v>
      </c>
    </row>
    <row r="291" spans="1:27" ht="12.75">
      <c r="A291" s="287">
        <f t="shared" si="23"/>
        <v>123</v>
      </c>
      <c r="B291" s="112" t="s">
        <v>313</v>
      </c>
      <c r="C291" s="56"/>
      <c r="D291" s="155" t="s">
        <v>270</v>
      </c>
      <c r="E291" s="58" t="s">
        <v>331</v>
      </c>
      <c r="F291" s="96">
        <f>+F280+F281</f>
        <v>18.3</v>
      </c>
      <c r="G291" s="33">
        <v>15</v>
      </c>
      <c r="H291" s="288">
        <f t="shared" si="22"/>
        <v>274.5</v>
      </c>
      <c r="I291" s="343" t="s">
        <v>460</v>
      </c>
      <c r="Q291" s="404"/>
      <c r="R291" s="533"/>
      <c r="S291" s="533"/>
      <c r="T291" s="533"/>
      <c r="U291" s="515"/>
      <c r="V291" s="515"/>
      <c r="W291" s="515"/>
      <c r="X291" s="354"/>
      <c r="Y291" s="416">
        <v>274.5</v>
      </c>
      <c r="Z291" s="416">
        <v>0</v>
      </c>
      <c r="AA291" s="425">
        <f t="shared" si="24"/>
        <v>0</v>
      </c>
    </row>
    <row r="292" spans="1:27" ht="12.75">
      <c r="A292" s="287">
        <f t="shared" si="23"/>
        <v>124</v>
      </c>
      <c r="B292" s="112" t="s">
        <v>247</v>
      </c>
      <c r="C292" s="56"/>
      <c r="D292" s="155" t="s">
        <v>248</v>
      </c>
      <c r="E292" s="58" t="s">
        <v>331</v>
      </c>
      <c r="F292" s="96">
        <f>+F291</f>
        <v>18.3</v>
      </c>
      <c r="G292" s="33">
        <v>34.9</v>
      </c>
      <c r="H292" s="288">
        <f t="shared" si="22"/>
        <v>638.67</v>
      </c>
      <c r="I292" s="343" t="s">
        <v>460</v>
      </c>
      <c r="Q292" s="404"/>
      <c r="R292" s="533"/>
      <c r="S292" s="533"/>
      <c r="T292" s="533"/>
      <c r="U292" s="515"/>
      <c r="V292" s="515"/>
      <c r="W292" s="515"/>
      <c r="X292" s="354"/>
      <c r="Y292" s="416">
        <v>0</v>
      </c>
      <c r="Z292" s="416">
        <v>638.7</v>
      </c>
      <c r="AA292" s="425">
        <f t="shared" si="24"/>
        <v>-0.030000000000086402</v>
      </c>
    </row>
    <row r="293" spans="1:27" ht="25.5">
      <c r="A293" s="287">
        <f t="shared" si="23"/>
        <v>125</v>
      </c>
      <c r="B293" s="112" t="s">
        <v>165</v>
      </c>
      <c r="C293" s="56"/>
      <c r="D293" s="309" t="s">
        <v>517</v>
      </c>
      <c r="E293" s="58" t="s">
        <v>330</v>
      </c>
      <c r="F293" s="96">
        <v>1</v>
      </c>
      <c r="G293" s="33">
        <v>660</v>
      </c>
      <c r="H293" s="288">
        <f t="shared" si="22"/>
        <v>660</v>
      </c>
      <c r="I293" s="343" t="s">
        <v>460</v>
      </c>
      <c r="Q293" s="404"/>
      <c r="R293" s="533"/>
      <c r="S293" s="533"/>
      <c r="T293" s="533"/>
      <c r="U293" s="515"/>
      <c r="V293" s="515"/>
      <c r="W293" s="515"/>
      <c r="X293" s="354"/>
      <c r="Y293" s="416">
        <v>660</v>
      </c>
      <c r="Z293" s="416">
        <v>0</v>
      </c>
      <c r="AA293" s="425">
        <f t="shared" si="24"/>
        <v>0</v>
      </c>
    </row>
    <row r="294" spans="1:28" ht="13.5" thickBot="1">
      <c r="A294" s="287">
        <f t="shared" si="23"/>
        <v>126</v>
      </c>
      <c r="B294" s="112" t="s">
        <v>172</v>
      </c>
      <c r="C294" s="99"/>
      <c r="D294" s="94" t="s">
        <v>354</v>
      </c>
      <c r="E294" s="316" t="s">
        <v>336</v>
      </c>
      <c r="F294" s="96">
        <f>+H280+H281+H282+H283+H284+H286+H287+H289+H290</f>
        <v>16723.78</v>
      </c>
      <c r="G294" s="35">
        <v>0.1</v>
      </c>
      <c r="H294" s="317">
        <f t="shared" si="22"/>
        <v>1672.378</v>
      </c>
      <c r="I294" s="343" t="s">
        <v>460</v>
      </c>
      <c r="Q294" s="404" t="s">
        <v>852</v>
      </c>
      <c r="R294" s="533">
        <f>T288+T290</f>
        <v>-843</v>
      </c>
      <c r="S294" s="538">
        <v>0.1</v>
      </c>
      <c r="T294" s="534">
        <f>R294*S294</f>
        <v>-84.30000000000001</v>
      </c>
      <c r="U294" s="515"/>
      <c r="V294" s="515"/>
      <c r="W294" s="515"/>
      <c r="X294" s="354" t="s">
        <v>891</v>
      </c>
      <c r="Y294" s="416">
        <v>0</v>
      </c>
      <c r="Z294" s="416">
        <v>1664</v>
      </c>
      <c r="AA294" s="425">
        <f t="shared" si="24"/>
        <v>8.377999999999929</v>
      </c>
      <c r="AB294" s="419" t="s">
        <v>875</v>
      </c>
    </row>
    <row r="295" spans="1:27" ht="13.5" thickBot="1">
      <c r="A295" s="287"/>
      <c r="B295" s="289"/>
      <c r="C295" s="99"/>
      <c r="D295" s="67" t="s">
        <v>329</v>
      </c>
      <c r="E295" s="310"/>
      <c r="F295" s="311"/>
      <c r="G295" s="312"/>
      <c r="H295" s="302">
        <f>SUBTOTAL(9,H280:H294)</f>
        <v>22400.327999999998</v>
      </c>
      <c r="I295" s="343"/>
      <c r="Q295" s="405"/>
      <c r="R295" s="536"/>
      <c r="S295" s="536"/>
      <c r="T295" s="536"/>
      <c r="U295" s="517"/>
      <c r="V295" s="517"/>
      <c r="W295" s="517"/>
      <c r="X295" s="354"/>
      <c r="Y295" s="416"/>
      <c r="Z295" s="416"/>
      <c r="AA295" s="425"/>
    </row>
    <row r="296" spans="1:27" ht="12.75">
      <c r="A296" s="287"/>
      <c r="B296" s="289"/>
      <c r="C296" s="99"/>
      <c r="D296" s="303"/>
      <c r="E296" s="304"/>
      <c r="F296" s="246"/>
      <c r="G296" s="276"/>
      <c r="H296" s="305"/>
      <c r="I296" s="343"/>
      <c r="Q296" s="404"/>
      <c r="R296" s="533"/>
      <c r="S296" s="533"/>
      <c r="T296" s="533"/>
      <c r="U296" s="515"/>
      <c r="V296" s="515"/>
      <c r="W296" s="515"/>
      <c r="X296" s="354"/>
      <c r="Y296" s="416"/>
      <c r="Z296" s="416"/>
      <c r="AA296" s="425">
        <f t="shared" si="24"/>
        <v>0</v>
      </c>
    </row>
    <row r="297" spans="1:27" ht="16.5">
      <c r="A297" s="323"/>
      <c r="B297" s="308"/>
      <c r="C297" s="324" t="s">
        <v>351</v>
      </c>
      <c r="D297" s="559" t="s">
        <v>492</v>
      </c>
      <c r="E297" s="559"/>
      <c r="F297" s="559"/>
      <c r="G297" s="559"/>
      <c r="H297" s="559"/>
      <c r="I297" s="214"/>
      <c r="N297" s="12"/>
      <c r="Q297" s="404"/>
      <c r="R297" s="539"/>
      <c r="S297" s="539"/>
      <c r="T297" s="539"/>
      <c r="U297" s="518"/>
      <c r="V297" s="518"/>
      <c r="W297" s="518"/>
      <c r="X297" s="361"/>
      <c r="Y297" s="416"/>
      <c r="Z297" s="416"/>
      <c r="AA297" s="425">
        <f t="shared" si="24"/>
        <v>0</v>
      </c>
    </row>
    <row r="298" spans="1:27" ht="53.25" customHeight="1">
      <c r="A298" s="323"/>
      <c r="B298" s="308"/>
      <c r="C298" s="47"/>
      <c r="D298" s="557" t="s">
        <v>493</v>
      </c>
      <c r="E298" s="557"/>
      <c r="F298" s="557"/>
      <c r="G298" s="557"/>
      <c r="H298" s="557"/>
      <c r="I298" s="214"/>
      <c r="N298" s="12"/>
      <c r="Q298" s="404"/>
      <c r="R298" s="539"/>
      <c r="S298" s="539"/>
      <c r="T298" s="539"/>
      <c r="U298" s="518"/>
      <c r="V298" s="518"/>
      <c r="W298" s="518"/>
      <c r="X298" s="361"/>
      <c r="Y298" s="416"/>
      <c r="Z298" s="416"/>
      <c r="AA298" s="425">
        <f t="shared" si="24"/>
        <v>0</v>
      </c>
    </row>
    <row r="299" spans="1:28" ht="25.5">
      <c r="A299" s="323">
        <f>A294+1</f>
        <v>127</v>
      </c>
      <c r="B299" s="126" t="s">
        <v>289</v>
      </c>
      <c r="C299" s="56" t="s">
        <v>338</v>
      </c>
      <c r="D299" s="152" t="s">
        <v>288</v>
      </c>
      <c r="E299" s="58" t="s">
        <v>331</v>
      </c>
      <c r="F299" s="114">
        <f>3.5+1.6+1.8+3.5+2.6+0.3+0.2+3.2</f>
        <v>16.7</v>
      </c>
      <c r="G299" s="33">
        <v>731</v>
      </c>
      <c r="H299" s="61">
        <f aca="true" t="shared" si="25" ref="H299:H322">F299*G299</f>
        <v>12207.699999999999</v>
      </c>
      <c r="I299" s="343" t="s">
        <v>460</v>
      </c>
      <c r="N299" s="12"/>
      <c r="Q299" s="404" t="s">
        <v>852</v>
      </c>
      <c r="R299" s="539">
        <v>-16.7</v>
      </c>
      <c r="S299" s="539">
        <v>731</v>
      </c>
      <c r="T299" s="534">
        <f>R299*S299</f>
        <v>-12207.699999999999</v>
      </c>
      <c r="U299" s="518"/>
      <c r="V299" s="518"/>
      <c r="W299" s="518"/>
      <c r="X299" s="354" t="s">
        <v>891</v>
      </c>
      <c r="Y299" s="416">
        <v>12207.7</v>
      </c>
      <c r="Z299" s="416">
        <v>-12207.7</v>
      </c>
      <c r="AA299" s="425">
        <f t="shared" si="24"/>
        <v>12207.7</v>
      </c>
      <c r="AB299" s="419" t="s">
        <v>873</v>
      </c>
    </row>
    <row r="300" spans="1:28" ht="25.5">
      <c r="A300" s="323">
        <f>+A299+1</f>
        <v>128</v>
      </c>
      <c r="B300" s="126" t="s">
        <v>78</v>
      </c>
      <c r="C300" s="56" t="s">
        <v>338</v>
      </c>
      <c r="D300" s="152" t="s">
        <v>70</v>
      </c>
      <c r="E300" s="58" t="s">
        <v>331</v>
      </c>
      <c r="F300" s="114">
        <v>4.5</v>
      </c>
      <c r="G300" s="33">
        <v>815</v>
      </c>
      <c r="H300" s="61">
        <f t="shared" si="25"/>
        <v>3667.5</v>
      </c>
      <c r="I300" s="343" t="s">
        <v>460</v>
      </c>
      <c r="N300" s="12"/>
      <c r="Q300" s="404" t="s">
        <v>852</v>
      </c>
      <c r="R300" s="539">
        <v>-4.5</v>
      </c>
      <c r="S300" s="539">
        <v>815</v>
      </c>
      <c r="T300" s="534">
        <f>R300*S300</f>
        <v>-3667.5</v>
      </c>
      <c r="U300" s="518"/>
      <c r="V300" s="518"/>
      <c r="W300" s="518"/>
      <c r="X300" s="354" t="s">
        <v>891</v>
      </c>
      <c r="Y300" s="416">
        <v>3667.5</v>
      </c>
      <c r="Z300" s="416">
        <v>-3667.5</v>
      </c>
      <c r="AA300" s="425">
        <f t="shared" si="24"/>
        <v>3667.5</v>
      </c>
      <c r="AB300" s="419" t="s">
        <v>873</v>
      </c>
    </row>
    <row r="301" spans="1:28" ht="25.5">
      <c r="A301" s="323" t="s">
        <v>859</v>
      </c>
      <c r="B301" s="408" t="s">
        <v>854</v>
      </c>
      <c r="C301" s="56"/>
      <c r="D301" s="406" t="s">
        <v>869</v>
      </c>
      <c r="E301" s="58"/>
      <c r="F301" s="114"/>
      <c r="G301" s="33"/>
      <c r="H301" s="61"/>
      <c r="I301" s="343" t="s">
        <v>460</v>
      </c>
      <c r="N301" s="12"/>
      <c r="Q301" s="404" t="s">
        <v>857</v>
      </c>
      <c r="R301" s="539">
        <v>16.7</v>
      </c>
      <c r="S301" s="539">
        <v>700</v>
      </c>
      <c r="T301" s="534">
        <f>R301*S301</f>
        <v>11690</v>
      </c>
      <c r="U301" s="518"/>
      <c r="V301" s="518"/>
      <c r="W301" s="518"/>
      <c r="X301" s="354" t="s">
        <v>891</v>
      </c>
      <c r="Y301" s="416">
        <v>0</v>
      </c>
      <c r="Z301" s="416">
        <v>0</v>
      </c>
      <c r="AA301" s="425">
        <f t="shared" si="24"/>
        <v>0</v>
      </c>
      <c r="AB301" s="419" t="s">
        <v>876</v>
      </c>
    </row>
    <row r="302" spans="1:28" ht="25.5">
      <c r="A302" s="323" t="s">
        <v>860</v>
      </c>
      <c r="B302" s="408" t="s">
        <v>854</v>
      </c>
      <c r="C302" s="56"/>
      <c r="D302" s="406" t="s">
        <v>870</v>
      </c>
      <c r="E302" s="58"/>
      <c r="F302" s="114"/>
      <c r="G302" s="33"/>
      <c r="H302" s="61"/>
      <c r="I302" s="343" t="s">
        <v>460</v>
      </c>
      <c r="N302" s="12"/>
      <c r="Q302" s="404" t="s">
        <v>857</v>
      </c>
      <c r="R302" s="539">
        <v>4.5</v>
      </c>
      <c r="S302" s="539">
        <v>750</v>
      </c>
      <c r="T302" s="534">
        <f>R302*S302</f>
        <v>3375</v>
      </c>
      <c r="U302" s="518"/>
      <c r="V302" s="518"/>
      <c r="W302" s="518"/>
      <c r="X302" s="354" t="s">
        <v>891</v>
      </c>
      <c r="Y302" s="416">
        <v>0</v>
      </c>
      <c r="Z302" s="416">
        <v>0</v>
      </c>
      <c r="AA302" s="425">
        <f t="shared" si="24"/>
        <v>0</v>
      </c>
      <c r="AB302" s="419" t="s">
        <v>876</v>
      </c>
    </row>
    <row r="303" spans="1:27" ht="12.75">
      <c r="A303" s="323">
        <f>+A300+1</f>
        <v>129</v>
      </c>
      <c r="B303" s="126" t="s">
        <v>81</v>
      </c>
      <c r="C303" s="131"/>
      <c r="D303" s="152" t="s">
        <v>8</v>
      </c>
      <c r="E303" s="106" t="s">
        <v>327</v>
      </c>
      <c r="F303" s="132">
        <v>1</v>
      </c>
      <c r="G303" s="33">
        <v>311</v>
      </c>
      <c r="H303" s="61">
        <f t="shared" si="25"/>
        <v>311</v>
      </c>
      <c r="I303" s="343" t="s">
        <v>460</v>
      </c>
      <c r="N303" s="12"/>
      <c r="Q303" s="404"/>
      <c r="R303" s="539"/>
      <c r="S303" s="539"/>
      <c r="T303" s="539"/>
      <c r="U303" s="518"/>
      <c r="V303" s="518"/>
      <c r="W303" s="518"/>
      <c r="X303" s="354"/>
      <c r="Y303" s="416">
        <v>0</v>
      </c>
      <c r="Z303" s="416">
        <v>311</v>
      </c>
      <c r="AA303" s="425">
        <f t="shared" si="24"/>
        <v>0</v>
      </c>
    </row>
    <row r="304" spans="1:27" ht="25.5">
      <c r="A304" s="323">
        <f>+A303+1</f>
        <v>130</v>
      </c>
      <c r="B304" s="101" t="s">
        <v>143</v>
      </c>
      <c r="C304" s="56"/>
      <c r="D304" s="158" t="s">
        <v>142</v>
      </c>
      <c r="E304" s="58" t="s">
        <v>330</v>
      </c>
      <c r="F304" s="96">
        <v>2</v>
      </c>
      <c r="G304" s="33">
        <v>611</v>
      </c>
      <c r="H304" s="61">
        <f t="shared" si="25"/>
        <v>1222</v>
      </c>
      <c r="I304" s="343" t="s">
        <v>460</v>
      </c>
      <c r="N304" s="12"/>
      <c r="Q304" s="404"/>
      <c r="R304" s="539"/>
      <c r="S304" s="539"/>
      <c r="T304" s="539"/>
      <c r="U304" s="518"/>
      <c r="V304" s="518"/>
      <c r="W304" s="518"/>
      <c r="X304" s="354"/>
      <c r="Y304" s="416">
        <v>1222</v>
      </c>
      <c r="Z304" s="416">
        <v>0</v>
      </c>
      <c r="AA304" s="425">
        <f t="shared" si="24"/>
        <v>0</v>
      </c>
    </row>
    <row r="305" spans="1:27" ht="25.5">
      <c r="A305" s="323">
        <f aca="true" t="shared" si="26" ref="A305:A310">+A304+1</f>
        <v>131</v>
      </c>
      <c r="B305" s="112" t="s">
        <v>294</v>
      </c>
      <c r="C305" s="56" t="s">
        <v>391</v>
      </c>
      <c r="D305" s="155" t="s">
        <v>295</v>
      </c>
      <c r="E305" s="58" t="s">
        <v>331</v>
      </c>
      <c r="F305" s="114">
        <f>2.6+3.5</f>
        <v>6.1</v>
      </c>
      <c r="G305" s="33">
        <v>29.4</v>
      </c>
      <c r="H305" s="61">
        <f t="shared" si="25"/>
        <v>179.33999999999997</v>
      </c>
      <c r="I305" s="343" t="s">
        <v>460</v>
      </c>
      <c r="Q305" s="404"/>
      <c r="R305" s="539"/>
      <c r="S305" s="539"/>
      <c r="T305" s="539"/>
      <c r="U305" s="518"/>
      <c r="V305" s="518"/>
      <c r="W305" s="518"/>
      <c r="X305" s="354"/>
      <c r="Y305" s="416">
        <v>179.3</v>
      </c>
      <c r="Z305" s="416">
        <v>0</v>
      </c>
      <c r="AA305" s="425">
        <f t="shared" si="24"/>
        <v>0.03999999999996362</v>
      </c>
    </row>
    <row r="306" spans="1:27" ht="12.75">
      <c r="A306" s="323">
        <f t="shared" si="26"/>
        <v>132</v>
      </c>
      <c r="B306" s="103" t="s">
        <v>277</v>
      </c>
      <c r="C306" s="131"/>
      <c r="D306" s="152" t="s">
        <v>278</v>
      </c>
      <c r="E306" s="106" t="s">
        <v>330</v>
      </c>
      <c r="F306" s="132">
        <v>3</v>
      </c>
      <c r="G306" s="33">
        <v>380</v>
      </c>
      <c r="H306" s="61">
        <f t="shared" si="25"/>
        <v>1140</v>
      </c>
      <c r="I306" s="343" t="s">
        <v>460</v>
      </c>
      <c r="Q306" s="404"/>
      <c r="R306" s="539"/>
      <c r="S306" s="539"/>
      <c r="T306" s="539"/>
      <c r="U306" s="518"/>
      <c r="V306" s="518"/>
      <c r="W306" s="518"/>
      <c r="X306" s="354"/>
      <c r="Y306" s="416">
        <v>1140</v>
      </c>
      <c r="Z306" s="416">
        <v>0</v>
      </c>
      <c r="AA306" s="425">
        <f t="shared" si="24"/>
        <v>0</v>
      </c>
    </row>
    <row r="307" spans="1:27" ht="25.5">
      <c r="A307" s="323">
        <f t="shared" si="26"/>
        <v>133</v>
      </c>
      <c r="B307" s="101" t="s">
        <v>310</v>
      </c>
      <c r="C307" s="136"/>
      <c r="D307" s="174" t="s">
        <v>834</v>
      </c>
      <c r="E307" s="58" t="s">
        <v>330</v>
      </c>
      <c r="F307" s="114">
        <v>1</v>
      </c>
      <c r="G307" s="33">
        <v>567</v>
      </c>
      <c r="H307" s="61">
        <f t="shared" si="25"/>
        <v>567</v>
      </c>
      <c r="I307" s="343" t="s">
        <v>460</v>
      </c>
      <c r="K307" s="8"/>
      <c r="L307" s="8"/>
      <c r="M307" s="8"/>
      <c r="N307" s="8"/>
      <c r="O307" s="8"/>
      <c r="P307" s="8"/>
      <c r="Q307" s="412"/>
      <c r="R307" s="540"/>
      <c r="S307" s="540"/>
      <c r="T307" s="540"/>
      <c r="U307" s="519"/>
      <c r="V307" s="519"/>
      <c r="W307" s="519"/>
      <c r="X307" s="354"/>
      <c r="Y307" s="416">
        <v>0</v>
      </c>
      <c r="Z307" s="416">
        <v>567</v>
      </c>
      <c r="AA307" s="425">
        <f t="shared" si="24"/>
        <v>0</v>
      </c>
    </row>
    <row r="308" spans="1:27" ht="12.75">
      <c r="A308" s="323">
        <f t="shared" si="26"/>
        <v>134</v>
      </c>
      <c r="B308" s="101" t="s">
        <v>835</v>
      </c>
      <c r="C308" s="136"/>
      <c r="D308" s="174" t="s">
        <v>836</v>
      </c>
      <c r="E308" s="58" t="s">
        <v>330</v>
      </c>
      <c r="F308" s="114">
        <v>1</v>
      </c>
      <c r="G308" s="33">
        <v>567</v>
      </c>
      <c r="H308" s="61">
        <f>F308*G308</f>
        <v>567</v>
      </c>
      <c r="I308" s="343" t="s">
        <v>460</v>
      </c>
      <c r="Q308" s="404"/>
      <c r="R308" s="539"/>
      <c r="S308" s="539"/>
      <c r="T308" s="539"/>
      <c r="U308" s="518"/>
      <c r="V308" s="518"/>
      <c r="W308" s="518"/>
      <c r="X308" s="354"/>
      <c r="Y308" s="416">
        <v>0</v>
      </c>
      <c r="Z308" s="416">
        <v>567</v>
      </c>
      <c r="AA308" s="425">
        <f t="shared" si="24"/>
        <v>0</v>
      </c>
    </row>
    <row r="309" spans="1:27" ht="12.75">
      <c r="A309" s="323">
        <f t="shared" si="26"/>
        <v>135</v>
      </c>
      <c r="B309" s="112" t="s">
        <v>119</v>
      </c>
      <c r="C309" s="98"/>
      <c r="D309" s="155" t="s">
        <v>138</v>
      </c>
      <c r="E309" s="58" t="s">
        <v>327</v>
      </c>
      <c r="F309" s="114">
        <v>1</v>
      </c>
      <c r="G309" s="33">
        <v>3000</v>
      </c>
      <c r="H309" s="61">
        <f t="shared" si="25"/>
        <v>3000</v>
      </c>
      <c r="I309" s="343" t="s">
        <v>460</v>
      </c>
      <c r="Q309" s="404"/>
      <c r="R309" s="539"/>
      <c r="S309" s="539"/>
      <c r="T309" s="539"/>
      <c r="U309" s="518"/>
      <c r="V309" s="518"/>
      <c r="W309" s="518"/>
      <c r="X309" s="354"/>
      <c r="Y309" s="416">
        <v>0</v>
      </c>
      <c r="Z309" s="416">
        <v>3000</v>
      </c>
      <c r="AA309" s="425">
        <f t="shared" si="24"/>
        <v>0</v>
      </c>
    </row>
    <row r="310" spans="1:27" ht="12.75">
      <c r="A310" s="323">
        <f t="shared" si="26"/>
        <v>136</v>
      </c>
      <c r="B310" s="103" t="s">
        <v>120</v>
      </c>
      <c r="C310" s="131"/>
      <c r="D310" s="152" t="s">
        <v>10</v>
      </c>
      <c r="E310" s="106" t="s">
        <v>327</v>
      </c>
      <c r="F310" s="132">
        <v>1</v>
      </c>
      <c r="G310" s="33">
        <v>492</v>
      </c>
      <c r="H310" s="61">
        <f t="shared" si="25"/>
        <v>492</v>
      </c>
      <c r="I310" s="343" t="s">
        <v>460</v>
      </c>
      <c r="Q310" s="404"/>
      <c r="R310" s="539"/>
      <c r="S310" s="539"/>
      <c r="T310" s="539"/>
      <c r="U310" s="518"/>
      <c r="V310" s="518"/>
      <c r="W310" s="518"/>
      <c r="X310" s="354"/>
      <c r="Y310" s="416">
        <v>0</v>
      </c>
      <c r="Z310" s="416">
        <v>492</v>
      </c>
      <c r="AA310" s="425">
        <f t="shared" si="24"/>
        <v>0</v>
      </c>
    </row>
    <row r="311" spans="1:27" ht="38.25">
      <c r="A311" s="323">
        <f aca="true" t="shared" si="27" ref="A311:A321">+A310+1</f>
        <v>137</v>
      </c>
      <c r="B311" s="101" t="s">
        <v>171</v>
      </c>
      <c r="C311" s="56"/>
      <c r="D311" s="159" t="s">
        <v>156</v>
      </c>
      <c r="E311" s="58" t="s">
        <v>330</v>
      </c>
      <c r="F311" s="114">
        <v>1</v>
      </c>
      <c r="G311" s="33">
        <v>2235</v>
      </c>
      <c r="H311" s="61">
        <f t="shared" si="25"/>
        <v>2235</v>
      </c>
      <c r="I311" s="343" t="s">
        <v>460</v>
      </c>
      <c r="L311" s="138"/>
      <c r="Q311" s="404"/>
      <c r="R311" s="539"/>
      <c r="S311" s="539"/>
      <c r="T311" s="539"/>
      <c r="U311" s="518"/>
      <c r="V311" s="518"/>
      <c r="W311" s="518"/>
      <c r="X311" s="354"/>
      <c r="Y311" s="416">
        <v>0</v>
      </c>
      <c r="Z311" s="416">
        <v>2235</v>
      </c>
      <c r="AA311" s="425">
        <f t="shared" si="24"/>
        <v>0</v>
      </c>
    </row>
    <row r="312" spans="1:27" ht="25.5">
      <c r="A312" s="323">
        <f t="shared" si="27"/>
        <v>138</v>
      </c>
      <c r="B312" s="101" t="s">
        <v>141</v>
      </c>
      <c r="C312" s="56"/>
      <c r="D312" s="159" t="s">
        <v>155</v>
      </c>
      <c r="E312" s="58" t="s">
        <v>330</v>
      </c>
      <c r="F312" s="114">
        <v>1</v>
      </c>
      <c r="G312" s="33">
        <v>1250</v>
      </c>
      <c r="H312" s="61">
        <f t="shared" si="25"/>
        <v>1250</v>
      </c>
      <c r="I312" s="343" t="s">
        <v>460</v>
      </c>
      <c r="L312" s="138"/>
      <c r="Q312" s="404"/>
      <c r="R312" s="539"/>
      <c r="S312" s="539"/>
      <c r="T312" s="539"/>
      <c r="U312" s="518"/>
      <c r="V312" s="518"/>
      <c r="W312" s="518"/>
      <c r="X312" s="354"/>
      <c r="Y312" s="416">
        <v>0</v>
      </c>
      <c r="Z312" s="416">
        <v>1250</v>
      </c>
      <c r="AA312" s="425">
        <f t="shared" si="24"/>
        <v>0</v>
      </c>
    </row>
    <row r="313" spans="1:27" ht="12.75">
      <c r="A313" s="323">
        <f t="shared" si="27"/>
        <v>139</v>
      </c>
      <c r="B313" s="103" t="s">
        <v>211</v>
      </c>
      <c r="C313" s="104"/>
      <c r="D313" s="152" t="s">
        <v>494</v>
      </c>
      <c r="E313" s="106" t="s">
        <v>330</v>
      </c>
      <c r="F313" s="132">
        <v>2</v>
      </c>
      <c r="G313" s="33">
        <v>512</v>
      </c>
      <c r="H313" s="61">
        <f>F313*G313</f>
        <v>1024</v>
      </c>
      <c r="I313" s="343" t="s">
        <v>460</v>
      </c>
      <c r="L313" s="1"/>
      <c r="Q313" s="404"/>
      <c r="R313" s="539"/>
      <c r="S313" s="539"/>
      <c r="T313" s="539"/>
      <c r="U313" s="518"/>
      <c r="V313" s="518"/>
      <c r="W313" s="518"/>
      <c r="X313" s="354"/>
      <c r="Y313" s="416">
        <v>1024</v>
      </c>
      <c r="Z313" s="416">
        <v>0</v>
      </c>
      <c r="AA313" s="425">
        <f t="shared" si="24"/>
        <v>0</v>
      </c>
    </row>
    <row r="314" spans="1:27" ht="38.25">
      <c r="A314" s="323">
        <f t="shared" si="27"/>
        <v>140</v>
      </c>
      <c r="B314" s="103" t="s">
        <v>171</v>
      </c>
      <c r="C314" s="104"/>
      <c r="D314" s="152" t="s">
        <v>9</v>
      </c>
      <c r="E314" s="106" t="s">
        <v>330</v>
      </c>
      <c r="F314" s="132">
        <v>2</v>
      </c>
      <c r="G314" s="33">
        <v>2340</v>
      </c>
      <c r="H314" s="61">
        <f>F314*G314</f>
        <v>4680</v>
      </c>
      <c r="I314" s="343" t="s">
        <v>460</v>
      </c>
      <c r="L314" s="143"/>
      <c r="Q314" s="404"/>
      <c r="R314" s="539"/>
      <c r="S314" s="539"/>
      <c r="T314" s="539"/>
      <c r="U314" s="518"/>
      <c r="V314" s="518"/>
      <c r="W314" s="518"/>
      <c r="X314" s="354"/>
      <c r="Y314" s="416">
        <v>0</v>
      </c>
      <c r="Z314" s="416">
        <v>4680</v>
      </c>
      <c r="AA314" s="425">
        <f t="shared" si="24"/>
        <v>0</v>
      </c>
    </row>
    <row r="315" spans="1:27" ht="12.75">
      <c r="A315" s="323">
        <f t="shared" si="27"/>
        <v>141</v>
      </c>
      <c r="B315" s="103" t="s">
        <v>28</v>
      </c>
      <c r="C315" s="156" t="s">
        <v>338</v>
      </c>
      <c r="D315" s="135" t="s">
        <v>23</v>
      </c>
      <c r="E315" s="130" t="s">
        <v>330</v>
      </c>
      <c r="F315" s="157">
        <v>1</v>
      </c>
      <c r="G315" s="34">
        <v>6980</v>
      </c>
      <c r="H315" s="313">
        <f>F315*G315</f>
        <v>6980</v>
      </c>
      <c r="I315" s="343" t="s">
        <v>460</v>
      </c>
      <c r="Q315" s="404"/>
      <c r="R315" s="539"/>
      <c r="S315" s="539"/>
      <c r="T315" s="539"/>
      <c r="U315" s="518"/>
      <c r="V315" s="518"/>
      <c r="W315" s="518"/>
      <c r="X315" s="354"/>
      <c r="Y315" s="416">
        <v>0</v>
      </c>
      <c r="Z315" s="416">
        <v>6980</v>
      </c>
      <c r="AA315" s="425">
        <f t="shared" si="24"/>
        <v>0</v>
      </c>
    </row>
    <row r="316" spans="1:27" ht="12.75">
      <c r="A316" s="323">
        <f t="shared" si="27"/>
        <v>142</v>
      </c>
      <c r="B316" s="103" t="s">
        <v>27</v>
      </c>
      <c r="C316" s="156" t="s">
        <v>338</v>
      </c>
      <c r="D316" s="135" t="s">
        <v>24</v>
      </c>
      <c r="E316" s="130" t="s">
        <v>330</v>
      </c>
      <c r="F316" s="157">
        <v>1</v>
      </c>
      <c r="G316" s="34">
        <v>6980</v>
      </c>
      <c r="H316" s="313">
        <f>F316*G316</f>
        <v>6980</v>
      </c>
      <c r="I316" s="343" t="s">
        <v>460</v>
      </c>
      <c r="Q316" s="404"/>
      <c r="R316" s="539"/>
      <c r="S316" s="539"/>
      <c r="T316" s="539"/>
      <c r="U316" s="518"/>
      <c r="V316" s="518"/>
      <c r="W316" s="518"/>
      <c r="X316" s="354"/>
      <c r="Y316" s="420">
        <v>0</v>
      </c>
      <c r="Z316" s="420">
        <v>6980</v>
      </c>
      <c r="AA316" s="425">
        <f t="shared" si="24"/>
        <v>0</v>
      </c>
    </row>
    <row r="317" spans="1:27" ht="12.75">
      <c r="A317" s="323">
        <f t="shared" si="27"/>
        <v>143</v>
      </c>
      <c r="B317" s="103" t="s">
        <v>25</v>
      </c>
      <c r="C317" s="104" t="s">
        <v>339</v>
      </c>
      <c r="D317" s="152" t="s">
        <v>26</v>
      </c>
      <c r="E317" s="106" t="s">
        <v>398</v>
      </c>
      <c r="F317" s="132">
        <v>2</v>
      </c>
      <c r="G317" s="33">
        <v>1704</v>
      </c>
      <c r="H317" s="288">
        <f>F317*G317</f>
        <v>3408</v>
      </c>
      <c r="I317" s="343" t="s">
        <v>460</v>
      </c>
      <c r="Q317" s="404"/>
      <c r="R317" s="539"/>
      <c r="S317" s="539"/>
      <c r="T317" s="539"/>
      <c r="U317" s="518"/>
      <c r="V317" s="518"/>
      <c r="W317" s="518"/>
      <c r="X317" s="354"/>
      <c r="Y317" s="416">
        <v>0</v>
      </c>
      <c r="Z317" s="416">
        <v>3408</v>
      </c>
      <c r="AA317" s="425">
        <f t="shared" si="24"/>
        <v>0</v>
      </c>
    </row>
    <row r="318" spans="1:27" ht="25.5">
      <c r="A318" s="323">
        <f t="shared" si="27"/>
        <v>144</v>
      </c>
      <c r="B318" s="103" t="s">
        <v>33</v>
      </c>
      <c r="C318" s="56" t="s">
        <v>338</v>
      </c>
      <c r="D318" s="322" t="s">
        <v>496</v>
      </c>
      <c r="E318" s="58" t="s">
        <v>328</v>
      </c>
      <c r="F318" s="114">
        <f>2*0.4*1</f>
        <v>0.8</v>
      </c>
      <c r="G318" s="33">
        <v>16900</v>
      </c>
      <c r="H318" s="288">
        <f t="shared" si="25"/>
        <v>13520</v>
      </c>
      <c r="I318" s="343" t="s">
        <v>460</v>
      </c>
      <c r="Q318" s="404"/>
      <c r="R318" s="539"/>
      <c r="S318" s="539"/>
      <c r="T318" s="539"/>
      <c r="U318" s="518"/>
      <c r="V318" s="518"/>
      <c r="W318" s="518"/>
      <c r="X318" s="361"/>
      <c r="Y318" s="416">
        <v>0</v>
      </c>
      <c r="Z318" s="416">
        <v>13520</v>
      </c>
      <c r="AA318" s="425">
        <f t="shared" si="24"/>
        <v>0</v>
      </c>
    </row>
    <row r="319" spans="1:27" ht="25.5">
      <c r="A319" s="323">
        <f>+A318+1</f>
        <v>145</v>
      </c>
      <c r="B319" s="103" t="s">
        <v>121</v>
      </c>
      <c r="C319" s="104"/>
      <c r="D319" s="91" t="s">
        <v>212</v>
      </c>
      <c r="E319" s="106" t="s">
        <v>327</v>
      </c>
      <c r="F319" s="132">
        <v>1</v>
      </c>
      <c r="G319" s="33">
        <v>1543</v>
      </c>
      <c r="H319" s="61">
        <f t="shared" si="25"/>
        <v>1543</v>
      </c>
      <c r="I319" s="343" t="s">
        <v>460</v>
      </c>
      <c r="Q319" s="404"/>
      <c r="R319" s="539"/>
      <c r="S319" s="539"/>
      <c r="T319" s="539"/>
      <c r="U319" s="518"/>
      <c r="V319" s="518"/>
      <c r="W319" s="518"/>
      <c r="X319" s="354"/>
      <c r="Y319" s="416">
        <v>1543</v>
      </c>
      <c r="Z319" s="416">
        <v>0</v>
      </c>
      <c r="AA319" s="425">
        <f t="shared" si="24"/>
        <v>0</v>
      </c>
    </row>
    <row r="320" spans="1:27" ht="12.75">
      <c r="A320" s="323">
        <f t="shared" si="27"/>
        <v>146</v>
      </c>
      <c r="B320" s="103" t="s">
        <v>118</v>
      </c>
      <c r="C320" s="104"/>
      <c r="D320" s="152" t="s">
        <v>495</v>
      </c>
      <c r="E320" s="106" t="s">
        <v>327</v>
      </c>
      <c r="F320" s="132">
        <v>1</v>
      </c>
      <c r="G320" s="33">
        <v>1590</v>
      </c>
      <c r="H320" s="61">
        <f>F320*G320</f>
        <v>1590</v>
      </c>
      <c r="I320" s="343" t="s">
        <v>460</v>
      </c>
      <c r="Q320" s="404"/>
      <c r="R320" s="539"/>
      <c r="S320" s="539"/>
      <c r="T320" s="539"/>
      <c r="U320" s="518"/>
      <c r="V320" s="518"/>
      <c r="W320" s="518"/>
      <c r="X320" s="354"/>
      <c r="Y320" s="416">
        <v>0</v>
      </c>
      <c r="Z320" s="416">
        <v>1590</v>
      </c>
      <c r="AA320" s="425">
        <f t="shared" si="24"/>
        <v>0</v>
      </c>
    </row>
    <row r="321" spans="1:27" ht="12.75">
      <c r="A321" s="323">
        <f t="shared" si="27"/>
        <v>147</v>
      </c>
      <c r="B321" s="103" t="s">
        <v>335</v>
      </c>
      <c r="C321" s="104"/>
      <c r="D321" s="152" t="s">
        <v>117</v>
      </c>
      <c r="E321" s="106" t="s">
        <v>426</v>
      </c>
      <c r="F321" s="132">
        <v>5</v>
      </c>
      <c r="G321" s="33">
        <v>1900</v>
      </c>
      <c r="H321" s="61">
        <f t="shared" si="25"/>
        <v>9500</v>
      </c>
      <c r="I321" s="343" t="s">
        <v>460</v>
      </c>
      <c r="N321" s="12"/>
      <c r="Q321" s="404"/>
      <c r="R321" s="539"/>
      <c r="S321" s="539"/>
      <c r="T321" s="539"/>
      <c r="U321" s="518"/>
      <c r="V321" s="518"/>
      <c r="W321" s="518"/>
      <c r="X321" s="354"/>
      <c r="Y321" s="416">
        <v>0</v>
      </c>
      <c r="Z321" s="416">
        <v>9500</v>
      </c>
      <c r="AA321" s="425">
        <f t="shared" si="24"/>
        <v>0</v>
      </c>
    </row>
    <row r="322" spans="1:28" ht="13.5" thickBot="1">
      <c r="A322" s="323">
        <f>+A321+1</f>
        <v>148</v>
      </c>
      <c r="B322" s="112" t="s">
        <v>172</v>
      </c>
      <c r="C322" s="56"/>
      <c r="D322" s="57" t="s">
        <v>354</v>
      </c>
      <c r="E322" s="325" t="s">
        <v>336</v>
      </c>
      <c r="F322" s="114">
        <f>+H299+H300+H303+H304+H305+H307+H311+H312+H313+H314+H315+H316+H318</f>
        <v>54823.53999999999</v>
      </c>
      <c r="G322" s="35">
        <v>0.1</v>
      </c>
      <c r="H322" s="326">
        <f t="shared" si="25"/>
        <v>5482.353999999999</v>
      </c>
      <c r="I322" s="343" t="s">
        <v>460</v>
      </c>
      <c r="Q322" s="404" t="s">
        <v>852</v>
      </c>
      <c r="R322" s="539">
        <f>T299+T300+T301+T302</f>
        <v>-810.1999999999989</v>
      </c>
      <c r="S322" s="538">
        <v>0.1</v>
      </c>
      <c r="T322" s="534">
        <f>R322*S322</f>
        <v>-81.0199999999999</v>
      </c>
      <c r="U322" s="518"/>
      <c r="V322" s="518"/>
      <c r="W322" s="518"/>
      <c r="X322" s="354" t="s">
        <v>891</v>
      </c>
      <c r="Y322" s="416">
        <v>0</v>
      </c>
      <c r="Z322" s="416">
        <v>5401.4</v>
      </c>
      <c r="AA322" s="425">
        <f t="shared" si="24"/>
        <v>80.95399999999972</v>
      </c>
      <c r="AB322" s="419" t="s">
        <v>875</v>
      </c>
    </row>
    <row r="323" spans="1:27" ht="13.5" thickBot="1">
      <c r="A323" s="323"/>
      <c r="B323" s="308"/>
      <c r="C323" s="56"/>
      <c r="D323" s="67" t="s">
        <v>329</v>
      </c>
      <c r="E323" s="310"/>
      <c r="F323" s="327"/>
      <c r="G323" s="70"/>
      <c r="H323" s="302">
        <f>SUBTOTAL(9,H299:H322)</f>
        <v>81545.894</v>
      </c>
      <c r="I323" s="214"/>
      <c r="Q323" s="405"/>
      <c r="R323" s="541"/>
      <c r="S323" s="541"/>
      <c r="T323" s="541"/>
      <c r="U323" s="520"/>
      <c r="V323" s="520"/>
      <c r="W323" s="520"/>
      <c r="X323" s="361"/>
      <c r="Y323" s="420"/>
      <c r="Z323" s="420"/>
      <c r="AA323" s="425"/>
    </row>
    <row r="324" spans="1:27" ht="12.75">
      <c r="A324" s="287"/>
      <c r="B324" s="289"/>
      <c r="C324" s="99"/>
      <c r="D324" s="303"/>
      <c r="E324" s="304"/>
      <c r="F324" s="246"/>
      <c r="G324" s="276"/>
      <c r="H324" s="305"/>
      <c r="I324" s="343"/>
      <c r="Q324" s="404"/>
      <c r="R324" s="533"/>
      <c r="S324" s="533"/>
      <c r="T324" s="533"/>
      <c r="U324" s="515"/>
      <c r="V324" s="515"/>
      <c r="W324" s="515"/>
      <c r="X324" s="354"/>
      <c r="Y324" s="416"/>
      <c r="Z324" s="416"/>
      <c r="AA324" s="425">
        <f t="shared" si="24"/>
        <v>0</v>
      </c>
    </row>
    <row r="325" spans="1:27" ht="16.5">
      <c r="A325" s="287"/>
      <c r="B325" s="289"/>
      <c r="C325" s="306" t="s">
        <v>352</v>
      </c>
      <c r="D325" s="564" t="s">
        <v>365</v>
      </c>
      <c r="E325" s="564"/>
      <c r="F325" s="564"/>
      <c r="G325" s="564"/>
      <c r="H325" s="564"/>
      <c r="I325" s="343"/>
      <c r="Q325" s="404"/>
      <c r="R325" s="533"/>
      <c r="S325" s="533"/>
      <c r="T325" s="533"/>
      <c r="U325" s="515"/>
      <c r="V325" s="515"/>
      <c r="W325" s="515"/>
      <c r="X325" s="354"/>
      <c r="Y325" s="416"/>
      <c r="Z325" s="416"/>
      <c r="AA325" s="425">
        <f t="shared" si="24"/>
        <v>0</v>
      </c>
    </row>
    <row r="326" spans="1:27" ht="62.25" customHeight="1">
      <c r="A326" s="287"/>
      <c r="B326" s="289"/>
      <c r="C326" s="286"/>
      <c r="D326" s="557" t="s">
        <v>400</v>
      </c>
      <c r="E326" s="557"/>
      <c r="F326" s="557"/>
      <c r="G326" s="557"/>
      <c r="H326" s="557"/>
      <c r="I326" s="343"/>
      <c r="Q326" s="404"/>
      <c r="R326" s="533"/>
      <c r="S326" s="533"/>
      <c r="T326" s="533"/>
      <c r="U326" s="515"/>
      <c r="V326" s="515"/>
      <c r="W326" s="515"/>
      <c r="X326" s="354"/>
      <c r="Y326" s="416"/>
      <c r="Z326" s="416"/>
      <c r="AA326" s="425">
        <f t="shared" si="24"/>
        <v>0</v>
      </c>
    </row>
    <row r="327" spans="1:27" ht="16.5">
      <c r="A327" s="287">
        <f>A322+1</f>
        <v>149</v>
      </c>
      <c r="B327" s="140" t="s">
        <v>20</v>
      </c>
      <c r="C327" s="148" t="s">
        <v>339</v>
      </c>
      <c r="D327" s="105" t="s">
        <v>19</v>
      </c>
      <c r="E327" s="145" t="s">
        <v>330</v>
      </c>
      <c r="F327" s="139">
        <v>1</v>
      </c>
      <c r="G327" s="33">
        <v>1287</v>
      </c>
      <c r="H327" s="288">
        <f>F327*G327</f>
        <v>1287</v>
      </c>
      <c r="I327" s="343" t="s">
        <v>460</v>
      </c>
      <c r="L327" s="142"/>
      <c r="P327" s="8"/>
      <c r="Q327" s="404"/>
      <c r="R327" s="533"/>
      <c r="S327" s="533"/>
      <c r="T327" s="533"/>
      <c r="U327" s="515"/>
      <c r="V327" s="515"/>
      <c r="W327" s="515"/>
      <c r="X327" s="354"/>
      <c r="Y327" s="416">
        <v>0</v>
      </c>
      <c r="Z327" s="416">
        <v>1287</v>
      </c>
      <c r="AA327" s="425">
        <f t="shared" si="24"/>
        <v>0</v>
      </c>
    </row>
    <row r="328" spans="1:27" ht="51">
      <c r="A328" s="287">
        <f>+A327+1</f>
        <v>150</v>
      </c>
      <c r="B328" s="141" t="s">
        <v>659</v>
      </c>
      <c r="C328" s="146" t="s">
        <v>338</v>
      </c>
      <c r="D328" s="135" t="s">
        <v>837</v>
      </c>
      <c r="E328" s="147" t="s">
        <v>330</v>
      </c>
      <c r="F328" s="125">
        <v>1</v>
      </c>
      <c r="G328" s="34">
        <v>6500</v>
      </c>
      <c r="H328" s="328">
        <f>F328*G328</f>
        <v>6500</v>
      </c>
      <c r="I328" s="343" t="s">
        <v>460</v>
      </c>
      <c r="L328" s="142"/>
      <c r="P328" s="8"/>
      <c r="Q328" s="404"/>
      <c r="R328" s="533"/>
      <c r="S328" s="533"/>
      <c r="T328" s="533"/>
      <c r="U328" s="515"/>
      <c r="V328" s="515"/>
      <c r="W328" s="515"/>
      <c r="X328" s="354"/>
      <c r="Y328" s="416">
        <v>0</v>
      </c>
      <c r="Z328" s="416">
        <v>6500</v>
      </c>
      <c r="AA328" s="425">
        <f t="shared" si="24"/>
        <v>0</v>
      </c>
    </row>
    <row r="329" spans="1:27" ht="12.75">
      <c r="A329" s="287">
        <f aca="true" t="shared" si="28" ref="A329:A336">+A328+1</f>
        <v>151</v>
      </c>
      <c r="B329" s="141" t="s">
        <v>665</v>
      </c>
      <c r="C329" s="148" t="s">
        <v>339</v>
      </c>
      <c r="D329" s="91" t="s">
        <v>838</v>
      </c>
      <c r="E329" s="145" t="s">
        <v>330</v>
      </c>
      <c r="F329" s="139">
        <v>1</v>
      </c>
      <c r="G329" s="33">
        <v>1260</v>
      </c>
      <c r="H329" s="288">
        <f>F329*G329</f>
        <v>1260</v>
      </c>
      <c r="I329" s="343" t="s">
        <v>460</v>
      </c>
      <c r="P329" s="8"/>
      <c r="Q329" s="404"/>
      <c r="R329" s="533"/>
      <c r="S329" s="533"/>
      <c r="T329" s="533"/>
      <c r="U329" s="515"/>
      <c r="V329" s="515"/>
      <c r="W329" s="515"/>
      <c r="X329" s="354"/>
      <c r="Y329" s="417">
        <v>0</v>
      </c>
      <c r="Z329" s="417">
        <v>1260</v>
      </c>
      <c r="AA329" s="425">
        <f t="shared" si="24"/>
        <v>0</v>
      </c>
    </row>
    <row r="330" spans="1:27" ht="38.25">
      <c r="A330" s="287">
        <f t="shared" si="28"/>
        <v>152</v>
      </c>
      <c r="B330" s="141" t="s">
        <v>627</v>
      </c>
      <c r="C330" s="146" t="s">
        <v>338</v>
      </c>
      <c r="D330" s="129" t="s">
        <v>77</v>
      </c>
      <c r="E330" s="147" t="s">
        <v>330</v>
      </c>
      <c r="F330" s="125">
        <v>1</v>
      </c>
      <c r="G330" s="34">
        <v>1166</v>
      </c>
      <c r="H330" s="328">
        <f>F330*G330</f>
        <v>1166</v>
      </c>
      <c r="I330" s="343" t="s">
        <v>460</v>
      </c>
      <c r="L330" s="142"/>
      <c r="P330" s="8"/>
      <c r="Q330" s="404"/>
      <c r="R330" s="533"/>
      <c r="S330" s="533"/>
      <c r="T330" s="533"/>
      <c r="U330" s="515"/>
      <c r="V330" s="515"/>
      <c r="W330" s="515"/>
      <c r="X330" s="354"/>
      <c r="Y330" s="417">
        <v>0</v>
      </c>
      <c r="Z330" s="417">
        <v>1166</v>
      </c>
      <c r="AA330" s="425">
        <f t="shared" si="24"/>
        <v>0</v>
      </c>
    </row>
    <row r="331" spans="1:27" ht="12.75">
      <c r="A331" s="287">
        <f t="shared" si="28"/>
        <v>153</v>
      </c>
      <c r="B331" s="107" t="s">
        <v>21</v>
      </c>
      <c r="C331" s="133" t="s">
        <v>339</v>
      </c>
      <c r="D331" s="105" t="s">
        <v>22</v>
      </c>
      <c r="E331" s="106" t="s">
        <v>330</v>
      </c>
      <c r="F331" s="132">
        <v>1</v>
      </c>
      <c r="G331" s="33">
        <v>2795</v>
      </c>
      <c r="H331" s="288">
        <f aca="true" t="shared" si="29" ref="H331:H354">F331*G331</f>
        <v>2795</v>
      </c>
      <c r="I331" s="343" t="s">
        <v>460</v>
      </c>
      <c r="Q331" s="404"/>
      <c r="R331" s="533"/>
      <c r="S331" s="533"/>
      <c r="T331" s="533"/>
      <c r="U331" s="515"/>
      <c r="V331" s="515"/>
      <c r="W331" s="515"/>
      <c r="X331" s="354"/>
      <c r="Y331" s="417">
        <v>0</v>
      </c>
      <c r="Z331" s="417">
        <v>2795</v>
      </c>
      <c r="AA331" s="425">
        <f t="shared" si="24"/>
        <v>0</v>
      </c>
    </row>
    <row r="332" spans="1:27" ht="57" customHeight="1">
      <c r="A332" s="287">
        <f t="shared" si="28"/>
        <v>154</v>
      </c>
      <c r="B332" s="140" t="s">
        <v>32</v>
      </c>
      <c r="C332" s="134" t="s">
        <v>338</v>
      </c>
      <c r="D332" s="129" t="s">
        <v>839</v>
      </c>
      <c r="E332" s="130" t="s">
        <v>330</v>
      </c>
      <c r="F332" s="125">
        <v>1</v>
      </c>
      <c r="G332" s="34">
        <v>8950</v>
      </c>
      <c r="H332" s="328">
        <f t="shared" si="29"/>
        <v>8950</v>
      </c>
      <c r="I332" s="343" t="s">
        <v>460</v>
      </c>
      <c r="L332" s="142"/>
      <c r="Q332" s="404"/>
      <c r="R332" s="533"/>
      <c r="S332" s="533"/>
      <c r="T332" s="533"/>
      <c r="U332" s="515"/>
      <c r="V332" s="515"/>
      <c r="W332" s="515"/>
      <c r="X332" s="354"/>
      <c r="Y332" s="417">
        <v>0</v>
      </c>
      <c r="Z332" s="417">
        <v>8950</v>
      </c>
      <c r="AA332" s="425">
        <f t="shared" si="24"/>
        <v>0</v>
      </c>
    </row>
    <row r="333" spans="1:27" ht="12.75">
      <c r="A333" s="287">
        <f t="shared" si="28"/>
        <v>155</v>
      </c>
      <c r="B333" s="112" t="s">
        <v>271</v>
      </c>
      <c r="C333" s="56" t="s">
        <v>339</v>
      </c>
      <c r="D333" s="57" t="s">
        <v>144</v>
      </c>
      <c r="E333" s="58" t="s">
        <v>330</v>
      </c>
      <c r="F333" s="114">
        <v>1</v>
      </c>
      <c r="G333" s="33">
        <v>177</v>
      </c>
      <c r="H333" s="288">
        <f t="shared" si="29"/>
        <v>177</v>
      </c>
      <c r="I333" s="65" t="s">
        <v>460</v>
      </c>
      <c r="Q333" s="404"/>
      <c r="R333" s="533"/>
      <c r="S333" s="533"/>
      <c r="T333" s="533"/>
      <c r="U333" s="515"/>
      <c r="V333" s="515"/>
      <c r="W333" s="515"/>
      <c r="Y333" s="417">
        <v>0</v>
      </c>
      <c r="Z333" s="417">
        <v>177</v>
      </c>
      <c r="AA333" s="425">
        <f t="shared" si="24"/>
        <v>0</v>
      </c>
    </row>
    <row r="334" spans="1:27" ht="16.5">
      <c r="A334" s="287">
        <f t="shared" si="28"/>
        <v>156</v>
      </c>
      <c r="B334" s="141" t="s">
        <v>108</v>
      </c>
      <c r="C334" s="146" t="s">
        <v>338</v>
      </c>
      <c r="D334" s="129" t="s">
        <v>215</v>
      </c>
      <c r="E334" s="147" t="s">
        <v>330</v>
      </c>
      <c r="F334" s="125">
        <v>1</v>
      </c>
      <c r="G334" s="34">
        <v>134</v>
      </c>
      <c r="H334" s="328">
        <f t="shared" si="29"/>
        <v>134</v>
      </c>
      <c r="I334" s="343" t="s">
        <v>460</v>
      </c>
      <c r="L334" s="142"/>
      <c r="P334" s="8"/>
      <c r="Q334" s="404"/>
      <c r="R334" s="533"/>
      <c r="S334" s="533"/>
      <c r="T334" s="533"/>
      <c r="U334" s="515"/>
      <c r="V334" s="515"/>
      <c r="W334" s="515"/>
      <c r="X334" s="354"/>
      <c r="Y334" s="417">
        <v>0</v>
      </c>
      <c r="Z334" s="417">
        <v>134</v>
      </c>
      <c r="AA334" s="425">
        <f t="shared" si="24"/>
        <v>0</v>
      </c>
    </row>
    <row r="335" spans="1:27" ht="12.75">
      <c r="A335" s="287">
        <f t="shared" si="28"/>
        <v>157</v>
      </c>
      <c r="B335" s="112" t="s">
        <v>148</v>
      </c>
      <c r="C335" s="98" t="s">
        <v>339</v>
      </c>
      <c r="D335" s="57" t="s">
        <v>149</v>
      </c>
      <c r="E335" s="58" t="s">
        <v>330</v>
      </c>
      <c r="F335" s="114">
        <v>1</v>
      </c>
      <c r="G335" s="33">
        <v>177</v>
      </c>
      <c r="H335" s="288">
        <f t="shared" si="29"/>
        <v>177</v>
      </c>
      <c r="I335" s="65" t="s">
        <v>460</v>
      </c>
      <c r="Q335" s="404"/>
      <c r="R335" s="533"/>
      <c r="S335" s="533"/>
      <c r="T335" s="533"/>
      <c r="U335" s="515"/>
      <c r="V335" s="515"/>
      <c r="W335" s="515"/>
      <c r="Y335" s="417">
        <v>0</v>
      </c>
      <c r="Z335" s="417">
        <v>177</v>
      </c>
      <c r="AA335" s="425">
        <f t="shared" si="24"/>
        <v>0</v>
      </c>
    </row>
    <row r="336" spans="1:27" ht="16.5">
      <c r="A336" s="287">
        <f t="shared" si="28"/>
        <v>158</v>
      </c>
      <c r="B336" s="141" t="s">
        <v>110</v>
      </c>
      <c r="C336" s="146" t="s">
        <v>338</v>
      </c>
      <c r="D336" s="129" t="s">
        <v>209</v>
      </c>
      <c r="E336" s="147" t="s">
        <v>330</v>
      </c>
      <c r="F336" s="125">
        <v>1</v>
      </c>
      <c r="G336" s="34">
        <v>151.5</v>
      </c>
      <c r="H336" s="328">
        <f t="shared" si="29"/>
        <v>151.5</v>
      </c>
      <c r="I336" s="343" t="s">
        <v>460</v>
      </c>
      <c r="L336" s="142"/>
      <c r="P336" s="8"/>
      <c r="Q336" s="404"/>
      <c r="R336" s="533"/>
      <c r="S336" s="533"/>
      <c r="T336" s="533"/>
      <c r="U336" s="515"/>
      <c r="V336" s="515"/>
      <c r="W336" s="515"/>
      <c r="X336" s="354"/>
      <c r="Y336" s="417">
        <v>0</v>
      </c>
      <c r="Z336" s="417">
        <v>151.5</v>
      </c>
      <c r="AA336" s="425">
        <f t="shared" si="24"/>
        <v>0</v>
      </c>
    </row>
    <row r="337" spans="1:27" ht="12.75">
      <c r="A337" s="287">
        <f aca="true" t="shared" si="30" ref="A337:A351">+A336+1</f>
        <v>159</v>
      </c>
      <c r="B337" s="112" t="s">
        <v>305</v>
      </c>
      <c r="C337" s="56" t="s">
        <v>339</v>
      </c>
      <c r="D337" s="57" t="s">
        <v>135</v>
      </c>
      <c r="E337" s="58" t="s">
        <v>330</v>
      </c>
      <c r="F337" s="114">
        <v>2</v>
      </c>
      <c r="G337" s="33">
        <v>177</v>
      </c>
      <c r="H337" s="288">
        <f t="shared" si="29"/>
        <v>354</v>
      </c>
      <c r="I337" s="65" t="s">
        <v>460</v>
      </c>
      <c r="Q337" s="404"/>
      <c r="R337" s="533"/>
      <c r="S337" s="533"/>
      <c r="T337" s="533"/>
      <c r="U337" s="515"/>
      <c r="V337" s="515"/>
      <c r="W337" s="515"/>
      <c r="Y337" s="417">
        <v>0</v>
      </c>
      <c r="Z337" s="417">
        <v>354</v>
      </c>
      <c r="AA337" s="425">
        <f t="shared" si="24"/>
        <v>0</v>
      </c>
    </row>
    <row r="338" spans="1:27" ht="38.25">
      <c r="A338" s="287">
        <f t="shared" si="30"/>
        <v>160</v>
      </c>
      <c r="B338" s="141" t="s">
        <v>112</v>
      </c>
      <c r="C338" s="146" t="s">
        <v>338</v>
      </c>
      <c r="D338" s="129" t="s">
        <v>666</v>
      </c>
      <c r="E338" s="147" t="s">
        <v>330</v>
      </c>
      <c r="F338" s="125">
        <v>1</v>
      </c>
      <c r="G338" s="34">
        <v>1250</v>
      </c>
      <c r="H338" s="328">
        <f t="shared" si="29"/>
        <v>1250</v>
      </c>
      <c r="I338" s="343" t="s">
        <v>460</v>
      </c>
      <c r="L338" s="142"/>
      <c r="P338" s="8"/>
      <c r="Q338" s="404"/>
      <c r="R338" s="533"/>
      <c r="S338" s="533"/>
      <c r="T338" s="533"/>
      <c r="U338" s="515"/>
      <c r="V338" s="515"/>
      <c r="W338" s="515"/>
      <c r="X338" s="354"/>
      <c r="Y338" s="417">
        <v>0</v>
      </c>
      <c r="Z338" s="417">
        <v>1250</v>
      </c>
      <c r="AA338" s="425">
        <f t="shared" si="24"/>
        <v>0</v>
      </c>
    </row>
    <row r="339" spans="1:27" ht="38.25">
      <c r="A339" s="287">
        <f t="shared" si="30"/>
        <v>161</v>
      </c>
      <c r="B339" s="141" t="s">
        <v>111</v>
      </c>
      <c r="C339" s="146" t="s">
        <v>338</v>
      </c>
      <c r="D339" s="129" t="s">
        <v>667</v>
      </c>
      <c r="E339" s="147" t="s">
        <v>330</v>
      </c>
      <c r="F339" s="125">
        <v>1</v>
      </c>
      <c r="G339" s="34">
        <v>1480</v>
      </c>
      <c r="H339" s="328">
        <f t="shared" si="29"/>
        <v>1480</v>
      </c>
      <c r="I339" s="343" t="s">
        <v>460</v>
      </c>
      <c r="L339" s="142"/>
      <c r="P339" s="8"/>
      <c r="Q339" s="404"/>
      <c r="R339" s="533"/>
      <c r="S339" s="533"/>
      <c r="T339" s="533"/>
      <c r="U339" s="515"/>
      <c r="V339" s="515"/>
      <c r="W339" s="515"/>
      <c r="X339" s="354"/>
      <c r="Y339" s="417">
        <v>0</v>
      </c>
      <c r="Z339" s="417">
        <v>1480</v>
      </c>
      <c r="AA339" s="425">
        <f t="shared" si="24"/>
        <v>0</v>
      </c>
    </row>
    <row r="340" spans="1:27" ht="25.5">
      <c r="A340" s="287">
        <f t="shared" si="30"/>
        <v>162</v>
      </c>
      <c r="B340" s="112" t="s">
        <v>306</v>
      </c>
      <c r="C340" s="56" t="s">
        <v>339</v>
      </c>
      <c r="D340" s="57" t="s">
        <v>238</v>
      </c>
      <c r="E340" s="58" t="s">
        <v>330</v>
      </c>
      <c r="F340" s="114">
        <v>1</v>
      </c>
      <c r="G340" s="33">
        <v>1639</v>
      </c>
      <c r="H340" s="288">
        <f t="shared" si="29"/>
        <v>1639</v>
      </c>
      <c r="I340" s="65" t="s">
        <v>460</v>
      </c>
      <c r="Q340" s="404"/>
      <c r="R340" s="533"/>
      <c r="S340" s="533"/>
      <c r="T340" s="533"/>
      <c r="U340" s="515"/>
      <c r="V340" s="515"/>
      <c r="W340" s="515"/>
      <c r="Y340" s="417">
        <v>0</v>
      </c>
      <c r="Z340" s="417">
        <v>1639</v>
      </c>
      <c r="AA340" s="425">
        <f t="shared" si="24"/>
        <v>0</v>
      </c>
    </row>
    <row r="341" spans="1:27" ht="25.5">
      <c r="A341" s="287">
        <f t="shared" si="30"/>
        <v>163</v>
      </c>
      <c r="B341" s="141" t="s">
        <v>307</v>
      </c>
      <c r="C341" s="146" t="s">
        <v>338</v>
      </c>
      <c r="D341" s="129" t="s">
        <v>66</v>
      </c>
      <c r="E341" s="147" t="s">
        <v>330</v>
      </c>
      <c r="F341" s="125">
        <v>1</v>
      </c>
      <c r="G341" s="34">
        <v>11500</v>
      </c>
      <c r="H341" s="328">
        <f t="shared" si="29"/>
        <v>11500</v>
      </c>
      <c r="I341" s="343" t="s">
        <v>460</v>
      </c>
      <c r="L341" s="142"/>
      <c r="P341" s="8"/>
      <c r="Q341" s="404"/>
      <c r="R341" s="533"/>
      <c r="S341" s="533"/>
      <c r="T341" s="533"/>
      <c r="U341" s="515"/>
      <c r="V341" s="515"/>
      <c r="W341" s="515"/>
      <c r="X341" s="354"/>
      <c r="Y341" s="417">
        <v>0</v>
      </c>
      <c r="Z341" s="417">
        <v>11500</v>
      </c>
      <c r="AA341" s="425">
        <f t="shared" si="24"/>
        <v>0</v>
      </c>
    </row>
    <row r="342" spans="1:27" ht="38.25">
      <c r="A342" s="287">
        <f t="shared" si="30"/>
        <v>164</v>
      </c>
      <c r="B342" s="141" t="s">
        <v>109</v>
      </c>
      <c r="C342" s="146" t="s">
        <v>338</v>
      </c>
      <c r="D342" s="129" t="s">
        <v>249</v>
      </c>
      <c r="E342" s="147" t="s">
        <v>330</v>
      </c>
      <c r="F342" s="125">
        <v>1</v>
      </c>
      <c r="G342" s="34">
        <v>443.5</v>
      </c>
      <c r="H342" s="328">
        <f t="shared" si="29"/>
        <v>443.5</v>
      </c>
      <c r="I342" s="343" t="s">
        <v>460</v>
      </c>
      <c r="L342" s="142"/>
      <c r="P342" s="8"/>
      <c r="Q342" s="404"/>
      <c r="R342" s="533"/>
      <c r="S342" s="533"/>
      <c r="T342" s="533"/>
      <c r="U342" s="515"/>
      <c r="V342" s="515"/>
      <c r="W342" s="515"/>
      <c r="X342" s="354"/>
      <c r="Y342" s="416">
        <v>0</v>
      </c>
      <c r="Z342" s="416">
        <v>443.5</v>
      </c>
      <c r="AA342" s="425">
        <f t="shared" si="24"/>
        <v>0</v>
      </c>
    </row>
    <row r="343" spans="1:27" ht="38.25">
      <c r="A343" s="287">
        <f t="shared" si="30"/>
        <v>165</v>
      </c>
      <c r="B343" s="141" t="s">
        <v>308</v>
      </c>
      <c r="C343" s="146" t="s">
        <v>338</v>
      </c>
      <c r="D343" s="129" t="s">
        <v>668</v>
      </c>
      <c r="E343" s="147" t="s">
        <v>330</v>
      </c>
      <c r="F343" s="125">
        <v>1</v>
      </c>
      <c r="G343" s="34">
        <v>9200</v>
      </c>
      <c r="H343" s="328">
        <f t="shared" si="29"/>
        <v>9200</v>
      </c>
      <c r="I343" s="343" t="s">
        <v>460</v>
      </c>
      <c r="L343" s="142"/>
      <c r="P343" s="8"/>
      <c r="Q343" s="404"/>
      <c r="R343" s="533"/>
      <c r="S343" s="533"/>
      <c r="T343" s="533"/>
      <c r="U343" s="515"/>
      <c r="V343" s="515"/>
      <c r="W343" s="515"/>
      <c r="X343" s="354"/>
      <c r="Y343" s="416">
        <v>0</v>
      </c>
      <c r="Z343" s="416">
        <v>9200</v>
      </c>
      <c r="AA343" s="425">
        <f t="shared" si="24"/>
        <v>0</v>
      </c>
    </row>
    <row r="344" spans="1:27" ht="12.75">
      <c r="A344" s="287">
        <f t="shared" si="30"/>
        <v>166</v>
      </c>
      <c r="B344" s="112" t="s">
        <v>126</v>
      </c>
      <c r="C344" s="56" t="s">
        <v>339</v>
      </c>
      <c r="D344" s="57" t="s">
        <v>218</v>
      </c>
      <c r="E344" s="58" t="s">
        <v>330</v>
      </c>
      <c r="F344" s="114">
        <v>1</v>
      </c>
      <c r="G344" s="33">
        <v>417.5</v>
      </c>
      <c r="H344" s="288">
        <f t="shared" si="29"/>
        <v>417.5</v>
      </c>
      <c r="I344" s="137" t="s">
        <v>460</v>
      </c>
      <c r="Q344" s="404"/>
      <c r="R344" s="533"/>
      <c r="S344" s="533"/>
      <c r="T344" s="533"/>
      <c r="U344" s="515"/>
      <c r="V344" s="515"/>
      <c r="W344" s="515"/>
      <c r="X344" s="364"/>
      <c r="Y344" s="416">
        <v>0</v>
      </c>
      <c r="Z344" s="416">
        <v>417.5</v>
      </c>
      <c r="AA344" s="425">
        <f t="shared" si="24"/>
        <v>0</v>
      </c>
    </row>
    <row r="345" spans="1:27" ht="12.75">
      <c r="A345" s="287">
        <f t="shared" si="30"/>
        <v>167</v>
      </c>
      <c r="B345" s="101" t="s">
        <v>127</v>
      </c>
      <c r="C345" s="56" t="s">
        <v>339</v>
      </c>
      <c r="D345" s="57" t="s">
        <v>280</v>
      </c>
      <c r="E345" s="58" t="s">
        <v>330</v>
      </c>
      <c r="F345" s="114">
        <v>1</v>
      </c>
      <c r="G345" s="33">
        <v>440</v>
      </c>
      <c r="H345" s="288">
        <f t="shared" si="29"/>
        <v>440</v>
      </c>
      <c r="I345" s="137" t="s">
        <v>460</v>
      </c>
      <c r="Q345" s="404"/>
      <c r="R345" s="533"/>
      <c r="S345" s="533"/>
      <c r="T345" s="533"/>
      <c r="U345" s="515"/>
      <c r="V345" s="515"/>
      <c r="W345" s="515"/>
      <c r="X345" s="364"/>
      <c r="Y345" s="416">
        <v>0</v>
      </c>
      <c r="Z345" s="416">
        <v>440</v>
      </c>
      <c r="AA345" s="425">
        <f t="shared" si="24"/>
        <v>0</v>
      </c>
    </row>
    <row r="346" spans="1:28" ht="25.5">
      <c r="A346" s="287">
        <f t="shared" si="30"/>
        <v>168</v>
      </c>
      <c r="B346" s="141" t="s">
        <v>279</v>
      </c>
      <c r="C346" s="146" t="s">
        <v>338</v>
      </c>
      <c r="D346" s="135" t="s">
        <v>286</v>
      </c>
      <c r="E346" s="147" t="s">
        <v>330</v>
      </c>
      <c r="F346" s="125">
        <v>1</v>
      </c>
      <c r="G346" s="34">
        <v>1751</v>
      </c>
      <c r="H346" s="328">
        <f t="shared" si="29"/>
        <v>1751</v>
      </c>
      <c r="I346" s="343" t="s">
        <v>460</v>
      </c>
      <c r="L346" s="142"/>
      <c r="P346" s="8"/>
      <c r="Q346" s="412" t="s">
        <v>852</v>
      </c>
      <c r="R346" s="537">
        <v>-1</v>
      </c>
      <c r="S346" s="537">
        <v>1751</v>
      </c>
      <c r="T346" s="534">
        <f>R346*S346</f>
        <v>-1751</v>
      </c>
      <c r="U346" s="521"/>
      <c r="V346" s="521"/>
      <c r="W346" s="521"/>
      <c r="X346" s="361" t="s">
        <v>891</v>
      </c>
      <c r="Y346" s="416">
        <v>0</v>
      </c>
      <c r="Z346" s="416">
        <v>0</v>
      </c>
      <c r="AA346" s="425">
        <f aca="true" t="shared" si="31" ref="AA346:AA408">H346-Z346-Y346</f>
        <v>1751</v>
      </c>
      <c r="AB346" s="419" t="s">
        <v>875</v>
      </c>
    </row>
    <row r="347" spans="1:28" ht="25.5">
      <c r="A347" s="287" t="s">
        <v>865</v>
      </c>
      <c r="B347" s="407" t="s">
        <v>854</v>
      </c>
      <c r="C347" s="146"/>
      <c r="D347" s="135" t="s">
        <v>866</v>
      </c>
      <c r="E347" s="147"/>
      <c r="F347" s="125"/>
      <c r="G347" s="34"/>
      <c r="H347" s="328"/>
      <c r="I347" s="343" t="s">
        <v>460</v>
      </c>
      <c r="L347" s="142"/>
      <c r="P347" s="8"/>
      <c r="Q347" s="412" t="s">
        <v>857</v>
      </c>
      <c r="R347" s="537">
        <v>1</v>
      </c>
      <c r="S347" s="537">
        <v>1350</v>
      </c>
      <c r="T347" s="534">
        <f>R347*S347</f>
        <v>1350</v>
      </c>
      <c r="U347" s="521"/>
      <c r="V347" s="521"/>
      <c r="W347" s="521"/>
      <c r="X347" s="361" t="s">
        <v>891</v>
      </c>
      <c r="Y347" s="416">
        <v>0</v>
      </c>
      <c r="Z347" s="416">
        <v>0</v>
      </c>
      <c r="AA347" s="425">
        <f t="shared" si="31"/>
        <v>0</v>
      </c>
      <c r="AB347" s="419" t="s">
        <v>876</v>
      </c>
    </row>
    <row r="348" spans="1:27" ht="12.75">
      <c r="A348" s="287">
        <f>+A346+1</f>
        <v>169</v>
      </c>
      <c r="B348" s="112" t="s">
        <v>250</v>
      </c>
      <c r="C348" s="56" t="s">
        <v>339</v>
      </c>
      <c r="D348" s="94" t="s">
        <v>251</v>
      </c>
      <c r="E348" s="58" t="s">
        <v>330</v>
      </c>
      <c r="F348" s="114">
        <v>1</v>
      </c>
      <c r="G348" s="33">
        <v>920</v>
      </c>
      <c r="H348" s="288">
        <f t="shared" si="29"/>
        <v>920</v>
      </c>
      <c r="I348" s="65" t="s">
        <v>460</v>
      </c>
      <c r="Q348" s="404"/>
      <c r="R348" s="533"/>
      <c r="S348" s="533"/>
      <c r="T348" s="533"/>
      <c r="U348" s="515"/>
      <c r="V348" s="515"/>
      <c r="W348" s="515"/>
      <c r="Y348" s="416">
        <v>0</v>
      </c>
      <c r="Z348" s="416">
        <v>920</v>
      </c>
      <c r="AA348" s="425">
        <f t="shared" si="31"/>
        <v>0</v>
      </c>
    </row>
    <row r="349" spans="1:27" ht="38.25">
      <c r="A349" s="287">
        <f t="shared" si="30"/>
        <v>170</v>
      </c>
      <c r="B349" s="141" t="s">
        <v>216</v>
      </c>
      <c r="C349" s="146" t="s">
        <v>338</v>
      </c>
      <c r="D349" s="135" t="s">
        <v>669</v>
      </c>
      <c r="E349" s="147" t="s">
        <v>330</v>
      </c>
      <c r="F349" s="125">
        <v>1</v>
      </c>
      <c r="G349" s="34">
        <v>1400</v>
      </c>
      <c r="H349" s="328">
        <f t="shared" si="29"/>
        <v>1400</v>
      </c>
      <c r="I349" s="343" t="s">
        <v>460</v>
      </c>
      <c r="L349" s="142"/>
      <c r="P349" s="8"/>
      <c r="Q349" s="404"/>
      <c r="R349" s="533"/>
      <c r="S349" s="533"/>
      <c r="T349" s="533"/>
      <c r="U349" s="515"/>
      <c r="V349" s="515"/>
      <c r="W349" s="515"/>
      <c r="X349" s="354"/>
      <c r="Y349" s="416">
        <v>0</v>
      </c>
      <c r="Z349" s="416">
        <v>1400</v>
      </c>
      <c r="AA349" s="425">
        <f t="shared" si="31"/>
        <v>0</v>
      </c>
    </row>
    <row r="350" spans="1:27" ht="12.75">
      <c r="A350" s="287">
        <f t="shared" si="30"/>
        <v>171</v>
      </c>
      <c r="B350" s="112" t="s">
        <v>163</v>
      </c>
      <c r="C350" s="136" t="s">
        <v>339</v>
      </c>
      <c r="D350" s="94" t="s">
        <v>210</v>
      </c>
      <c r="E350" s="58" t="s">
        <v>330</v>
      </c>
      <c r="F350" s="114">
        <v>1</v>
      </c>
      <c r="G350" s="33">
        <v>179.5</v>
      </c>
      <c r="H350" s="288">
        <f t="shared" si="29"/>
        <v>179.5</v>
      </c>
      <c r="I350" s="343" t="s">
        <v>460</v>
      </c>
      <c r="Q350" s="404"/>
      <c r="R350" s="533"/>
      <c r="S350" s="533"/>
      <c r="T350" s="533"/>
      <c r="U350" s="515"/>
      <c r="V350" s="515"/>
      <c r="W350" s="515"/>
      <c r="X350" s="354"/>
      <c r="Y350" s="416">
        <v>0</v>
      </c>
      <c r="Z350" s="416">
        <v>179.5</v>
      </c>
      <c r="AA350" s="425">
        <f t="shared" si="31"/>
        <v>0</v>
      </c>
    </row>
    <row r="351" spans="1:28" ht="25.5">
      <c r="A351" s="287">
        <f t="shared" si="30"/>
        <v>172</v>
      </c>
      <c r="B351" s="141" t="s">
        <v>309</v>
      </c>
      <c r="C351" s="146" t="s">
        <v>338</v>
      </c>
      <c r="D351" s="135" t="s">
        <v>392</v>
      </c>
      <c r="E351" s="147" t="s">
        <v>330</v>
      </c>
      <c r="F351" s="125">
        <v>1</v>
      </c>
      <c r="G351" s="34">
        <v>4250</v>
      </c>
      <c r="H351" s="328">
        <f t="shared" si="29"/>
        <v>4250</v>
      </c>
      <c r="I351" s="343" t="s">
        <v>460</v>
      </c>
      <c r="L351" s="142"/>
      <c r="P351" s="8"/>
      <c r="Q351" s="404" t="s">
        <v>852</v>
      </c>
      <c r="R351" s="533">
        <v>-1</v>
      </c>
      <c r="S351" s="533">
        <v>4250</v>
      </c>
      <c r="T351" s="534">
        <f>R351*S351</f>
        <v>-4250</v>
      </c>
      <c r="U351" s="515"/>
      <c r="V351" s="515"/>
      <c r="W351" s="515"/>
      <c r="X351" s="354" t="s">
        <v>891</v>
      </c>
      <c r="Y351" s="416">
        <v>0</v>
      </c>
      <c r="Z351" s="416">
        <v>0</v>
      </c>
      <c r="AA351" s="425">
        <f t="shared" si="31"/>
        <v>4250</v>
      </c>
      <c r="AB351" s="419" t="s">
        <v>875</v>
      </c>
    </row>
    <row r="352" spans="1:28" ht="16.5">
      <c r="A352" s="287" t="s">
        <v>861</v>
      </c>
      <c r="B352" s="407" t="s">
        <v>854</v>
      </c>
      <c r="C352" s="146"/>
      <c r="D352" s="135" t="s">
        <v>867</v>
      </c>
      <c r="E352" s="147" t="s">
        <v>330</v>
      </c>
      <c r="F352" s="125"/>
      <c r="G352" s="34"/>
      <c r="H352" s="328"/>
      <c r="I352" s="343" t="s">
        <v>460</v>
      </c>
      <c r="L352" s="142"/>
      <c r="P352" s="8"/>
      <c r="Q352" s="404" t="s">
        <v>857</v>
      </c>
      <c r="R352" s="533">
        <v>2</v>
      </c>
      <c r="S352" s="537">
        <v>875</v>
      </c>
      <c r="T352" s="534">
        <f>R352*S352</f>
        <v>1750</v>
      </c>
      <c r="U352" s="515"/>
      <c r="V352" s="515"/>
      <c r="W352" s="515"/>
      <c r="X352" s="354" t="s">
        <v>891</v>
      </c>
      <c r="Y352" s="416">
        <v>0</v>
      </c>
      <c r="Z352" s="416">
        <v>0</v>
      </c>
      <c r="AA352" s="425">
        <f t="shared" si="31"/>
        <v>0</v>
      </c>
      <c r="AB352" s="419" t="s">
        <v>876</v>
      </c>
    </row>
    <row r="353" spans="1:27" ht="12.75">
      <c r="A353" s="287">
        <f>+A351+1</f>
        <v>173</v>
      </c>
      <c r="B353" s="101" t="s">
        <v>116</v>
      </c>
      <c r="C353" s="136"/>
      <c r="D353" s="57" t="s">
        <v>401</v>
      </c>
      <c r="E353" s="58" t="s">
        <v>330</v>
      </c>
      <c r="F353" s="114">
        <v>5</v>
      </c>
      <c r="G353" s="33">
        <v>253</v>
      </c>
      <c r="H353" s="288">
        <f t="shared" si="29"/>
        <v>1265</v>
      </c>
      <c r="I353" s="343" t="s">
        <v>460</v>
      </c>
      <c r="Q353" s="404"/>
      <c r="R353" s="533"/>
      <c r="S353" s="533"/>
      <c r="T353" s="534">
        <f>R353*S353</f>
        <v>0</v>
      </c>
      <c r="U353" s="515"/>
      <c r="V353" s="515"/>
      <c r="W353" s="515"/>
      <c r="X353" s="354"/>
      <c r="Y353" s="416">
        <v>0</v>
      </c>
      <c r="Z353" s="416">
        <v>1265</v>
      </c>
      <c r="AA353" s="425">
        <f t="shared" si="31"/>
        <v>0</v>
      </c>
    </row>
    <row r="354" spans="1:28" ht="12.75" customHeight="1" thickBot="1">
      <c r="A354" s="287">
        <f>A353+1</f>
        <v>174</v>
      </c>
      <c r="B354" s="112" t="s">
        <v>172</v>
      </c>
      <c r="C354" s="99"/>
      <c r="D354" s="94" t="s">
        <v>354</v>
      </c>
      <c r="E354" s="316" t="s">
        <v>336</v>
      </c>
      <c r="F354" s="96">
        <f>+H328+H330+H332+H334+H336+H338+H339+H341+H342+H343+H346+H349+H351</f>
        <v>48176</v>
      </c>
      <c r="G354" s="35">
        <v>0.05</v>
      </c>
      <c r="H354" s="317">
        <f t="shared" si="29"/>
        <v>2408.8</v>
      </c>
      <c r="I354" s="343" t="s">
        <v>460</v>
      </c>
      <c r="Q354" s="404" t="s">
        <v>852</v>
      </c>
      <c r="R354" s="533">
        <f>T352+T351+T347+T346</f>
        <v>-2901</v>
      </c>
      <c r="S354" s="538">
        <v>0.05</v>
      </c>
      <c r="T354" s="534">
        <f>R354*S354</f>
        <v>-145.05</v>
      </c>
      <c r="U354" s="515"/>
      <c r="V354" s="515"/>
      <c r="W354" s="515"/>
      <c r="X354" s="354" t="s">
        <v>891</v>
      </c>
      <c r="Y354" s="416">
        <v>0</v>
      </c>
      <c r="Z354" s="416">
        <v>2263.7</v>
      </c>
      <c r="AA354" s="425">
        <f t="shared" si="31"/>
        <v>145.10000000000036</v>
      </c>
      <c r="AB354" s="419" t="s">
        <v>875</v>
      </c>
    </row>
    <row r="355" spans="1:27" ht="13.5" thickBot="1">
      <c r="A355" s="287"/>
      <c r="B355" s="289"/>
      <c r="C355" s="99"/>
      <c r="D355" s="67" t="s">
        <v>329</v>
      </c>
      <c r="E355" s="310"/>
      <c r="F355" s="311"/>
      <c r="G355" s="312"/>
      <c r="H355" s="302">
        <f>SUBTOTAL(9,H327:H354)</f>
        <v>61495.8</v>
      </c>
      <c r="I355" s="343"/>
      <c r="Q355" s="405"/>
      <c r="R355" s="536"/>
      <c r="S355" s="536"/>
      <c r="T355" s="536"/>
      <c r="U355" s="517"/>
      <c r="V355" s="517"/>
      <c r="W355" s="517"/>
      <c r="X355" s="354"/>
      <c r="Y355" s="416"/>
      <c r="Z355" s="416"/>
      <c r="AA355" s="425"/>
    </row>
    <row r="356" spans="1:27" ht="12.75">
      <c r="A356" s="287"/>
      <c r="B356" s="289"/>
      <c r="C356" s="99"/>
      <c r="D356" s="303"/>
      <c r="E356" s="304"/>
      <c r="F356" s="246"/>
      <c r="G356" s="276"/>
      <c r="H356" s="305"/>
      <c r="I356" s="343"/>
      <c r="Q356" s="404"/>
      <c r="R356" s="533"/>
      <c r="S356" s="533"/>
      <c r="T356" s="533"/>
      <c r="U356" s="515"/>
      <c r="V356" s="515"/>
      <c r="W356" s="515"/>
      <c r="X356" s="354"/>
      <c r="Y356" s="416"/>
      <c r="Z356" s="416"/>
      <c r="AA356" s="425">
        <f t="shared" si="31"/>
        <v>0</v>
      </c>
    </row>
    <row r="357" spans="1:27" ht="16.5">
      <c r="A357" s="287"/>
      <c r="B357" s="289"/>
      <c r="C357" s="306" t="s">
        <v>358</v>
      </c>
      <c r="D357" s="564" t="s">
        <v>497</v>
      </c>
      <c r="E357" s="564"/>
      <c r="F357" s="564"/>
      <c r="G357" s="564"/>
      <c r="H357" s="564"/>
      <c r="I357" s="343"/>
      <c r="Q357" s="404"/>
      <c r="R357" s="533"/>
      <c r="S357" s="533"/>
      <c r="T357" s="533"/>
      <c r="U357" s="515"/>
      <c r="V357" s="515"/>
      <c r="W357" s="515"/>
      <c r="X357" s="354"/>
      <c r="Y357" s="416"/>
      <c r="Z357" s="416"/>
      <c r="AA357" s="425">
        <f t="shared" si="31"/>
        <v>0</v>
      </c>
    </row>
    <row r="358" spans="1:27" ht="38.25" customHeight="1">
      <c r="A358" s="287"/>
      <c r="B358" s="289"/>
      <c r="C358" s="286"/>
      <c r="D358" s="557" t="s">
        <v>396</v>
      </c>
      <c r="E358" s="566"/>
      <c r="F358" s="566"/>
      <c r="G358" s="566"/>
      <c r="H358" s="566"/>
      <c r="I358" s="343"/>
      <c r="Q358" s="477"/>
      <c r="R358" s="542"/>
      <c r="S358" s="542"/>
      <c r="T358" s="542"/>
      <c r="U358" s="522"/>
      <c r="V358" s="522"/>
      <c r="W358" s="522"/>
      <c r="X358" s="354"/>
      <c r="Y358" s="416"/>
      <c r="Z358" s="416"/>
      <c r="AA358" s="425">
        <f t="shared" si="31"/>
        <v>0</v>
      </c>
    </row>
    <row r="359" spans="1:28" ht="13.5" customHeight="1">
      <c r="A359" s="287">
        <f>+A354+1</f>
        <v>175</v>
      </c>
      <c r="B359" s="289"/>
      <c r="C359" s="99"/>
      <c r="D359" s="94" t="s">
        <v>393</v>
      </c>
      <c r="E359" s="100" t="s">
        <v>398</v>
      </c>
      <c r="F359" s="96">
        <v>1</v>
      </c>
      <c r="G359" s="288">
        <f>+ESA_ESI!H44</f>
        <v>104707</v>
      </c>
      <c r="H359" s="288">
        <f>F359*G359</f>
        <v>104707</v>
      </c>
      <c r="I359" s="343" t="s">
        <v>460</v>
      </c>
      <c r="Q359" s="412" t="s">
        <v>852</v>
      </c>
      <c r="R359" s="537">
        <v>-1</v>
      </c>
      <c r="S359" s="537">
        <v>21415</v>
      </c>
      <c r="T359" s="534">
        <f>R359*S359</f>
        <v>-21415</v>
      </c>
      <c r="U359" s="521"/>
      <c r="V359" s="521"/>
      <c r="W359" s="521"/>
      <c r="X359" s="354" t="s">
        <v>849</v>
      </c>
      <c r="Y359" s="416">
        <v>26301.06</v>
      </c>
      <c r="Z359" s="416">
        <v>0</v>
      </c>
      <c r="AA359" s="425">
        <f t="shared" si="31"/>
        <v>78405.94</v>
      </c>
      <c r="AB359" s="419" t="s">
        <v>878</v>
      </c>
    </row>
    <row r="360" spans="1:28" ht="12.75">
      <c r="A360" s="287">
        <f>A359+1</f>
        <v>176</v>
      </c>
      <c r="B360" s="289"/>
      <c r="C360" s="99"/>
      <c r="D360" s="94" t="s">
        <v>394</v>
      </c>
      <c r="E360" s="100" t="s">
        <v>398</v>
      </c>
      <c r="F360" s="96">
        <v>1</v>
      </c>
      <c r="G360" s="288">
        <f>+ESA_ESI!H58</f>
        <v>9840</v>
      </c>
      <c r="H360" s="288">
        <f>F360*G360</f>
        <v>9840</v>
      </c>
      <c r="I360" s="343" t="s">
        <v>460</v>
      </c>
      <c r="Q360" s="412" t="s">
        <v>852</v>
      </c>
      <c r="R360" s="537">
        <v>-1</v>
      </c>
      <c r="S360" s="537">
        <v>290</v>
      </c>
      <c r="T360" s="534">
        <f>R360*S360</f>
        <v>-290</v>
      </c>
      <c r="U360" s="521"/>
      <c r="V360" s="521"/>
      <c r="W360" s="521"/>
      <c r="Y360" s="416">
        <v>0</v>
      </c>
      <c r="Z360" s="416">
        <v>0</v>
      </c>
      <c r="AA360" s="425">
        <f t="shared" si="31"/>
        <v>9840</v>
      </c>
      <c r="AB360" s="419" t="s">
        <v>877</v>
      </c>
    </row>
    <row r="361" spans="1:27" ht="13.5" thickBot="1">
      <c r="A361" s="287">
        <f>A360+1</f>
        <v>177</v>
      </c>
      <c r="B361" s="289"/>
      <c r="C361" s="99"/>
      <c r="D361" s="94" t="s">
        <v>739</v>
      </c>
      <c r="E361" s="100" t="s">
        <v>398</v>
      </c>
      <c r="F361" s="96">
        <v>1</v>
      </c>
      <c r="G361" s="288">
        <f>+ESA_ESI!H63</f>
        <v>5727.35</v>
      </c>
      <c r="H361" s="288">
        <f>F361*G361</f>
        <v>5727.35</v>
      </c>
      <c r="I361" s="343" t="s">
        <v>460</v>
      </c>
      <c r="Q361" s="412" t="s">
        <v>852</v>
      </c>
      <c r="R361" s="537">
        <v>-1</v>
      </c>
      <c r="S361" s="537">
        <v>1085.25</v>
      </c>
      <c r="T361" s="534">
        <f>R361*S361</f>
        <v>-1085.25</v>
      </c>
      <c r="U361" s="521"/>
      <c r="V361" s="521"/>
      <c r="W361" s="521"/>
      <c r="X361" s="354"/>
      <c r="Y361" s="416">
        <v>0</v>
      </c>
      <c r="Z361" s="416">
        <v>0</v>
      </c>
      <c r="AA361" s="425">
        <f t="shared" si="31"/>
        <v>5727.35</v>
      </c>
    </row>
    <row r="362" spans="1:27" ht="13.5" thickBot="1">
      <c r="A362" s="287"/>
      <c r="B362" s="289"/>
      <c r="C362" s="99"/>
      <c r="D362" s="67" t="s">
        <v>329</v>
      </c>
      <c r="E362" s="310"/>
      <c r="F362" s="311"/>
      <c r="G362" s="312"/>
      <c r="H362" s="302">
        <f>SUBTOTAL(9,H359:H361)</f>
        <v>120274.35</v>
      </c>
      <c r="Q362" s="405"/>
      <c r="R362" s="536"/>
      <c r="S362" s="536"/>
      <c r="T362" s="536"/>
      <c r="U362" s="517"/>
      <c r="V362" s="517"/>
      <c r="W362" s="517"/>
      <c r="Y362" s="416"/>
      <c r="Z362" s="416"/>
      <c r="AA362" s="425"/>
    </row>
    <row r="363" spans="1:29" ht="12.75">
      <c r="A363" s="287"/>
      <c r="B363" s="289"/>
      <c r="C363" s="99"/>
      <c r="D363" s="303"/>
      <c r="E363" s="304"/>
      <c r="F363" s="246"/>
      <c r="G363" s="276"/>
      <c r="H363" s="305"/>
      <c r="I363" s="343"/>
      <c r="Q363" s="404"/>
      <c r="R363" s="533"/>
      <c r="S363" s="533"/>
      <c r="T363" s="533"/>
      <c r="U363" s="515"/>
      <c r="V363" s="515"/>
      <c r="W363" s="515"/>
      <c r="X363" s="354"/>
      <c r="Y363" s="416"/>
      <c r="Z363" s="416"/>
      <c r="AA363" s="425">
        <f t="shared" si="31"/>
        <v>0</v>
      </c>
      <c r="AC363" s="422"/>
    </row>
    <row r="364" spans="1:29" ht="16.5">
      <c r="A364" s="287"/>
      <c r="B364" s="289"/>
      <c r="C364" s="306" t="s">
        <v>386</v>
      </c>
      <c r="D364" s="564" t="s">
        <v>498</v>
      </c>
      <c r="E364" s="564"/>
      <c r="F364" s="564"/>
      <c r="G364" s="564"/>
      <c r="H364" s="564"/>
      <c r="I364" s="343"/>
      <c r="Q364" s="404"/>
      <c r="R364" s="533"/>
      <c r="S364" s="533"/>
      <c r="T364" s="533"/>
      <c r="U364" s="515"/>
      <c r="V364" s="515"/>
      <c r="W364" s="515"/>
      <c r="X364" s="354"/>
      <c r="Y364" s="416"/>
      <c r="Z364" s="416"/>
      <c r="AA364" s="425">
        <f t="shared" si="31"/>
        <v>0</v>
      </c>
      <c r="AC364" s="422"/>
    </row>
    <row r="365" spans="1:29" ht="38.25" customHeight="1">
      <c r="A365" s="287"/>
      <c r="B365" s="289"/>
      <c r="C365" s="286"/>
      <c r="D365" s="557" t="s">
        <v>397</v>
      </c>
      <c r="E365" s="566"/>
      <c r="F365" s="566"/>
      <c r="G365" s="566"/>
      <c r="H365" s="566"/>
      <c r="I365" s="343"/>
      <c r="Q365" s="404"/>
      <c r="R365" s="533"/>
      <c r="S365" s="533"/>
      <c r="T365" s="533"/>
      <c r="U365" s="515"/>
      <c r="V365" s="515"/>
      <c r="W365" s="515"/>
      <c r="X365" s="354"/>
      <c r="Y365" s="416"/>
      <c r="Z365" s="416"/>
      <c r="AA365" s="425">
        <f t="shared" si="31"/>
        <v>0</v>
      </c>
      <c r="AC365" s="422"/>
    </row>
    <row r="366" spans="1:29" ht="12.75">
      <c r="A366" s="287">
        <f>+A361+1</f>
        <v>178</v>
      </c>
      <c r="B366" s="289"/>
      <c r="C366" s="99"/>
      <c r="D366" s="94" t="s">
        <v>449</v>
      </c>
      <c r="E366" s="100" t="s">
        <v>398</v>
      </c>
      <c r="F366" s="96">
        <v>1</v>
      </c>
      <c r="G366" s="288">
        <f>+ESA_ESI!H82</f>
        <v>7445</v>
      </c>
      <c r="H366" s="288">
        <f>F366*G366</f>
        <v>7445</v>
      </c>
      <c r="I366" s="343" t="s">
        <v>460</v>
      </c>
      <c r="Q366" s="404"/>
      <c r="R366" s="533"/>
      <c r="S366" s="533"/>
      <c r="T366" s="533"/>
      <c r="U366" s="515"/>
      <c r="V366" s="515"/>
      <c r="W366" s="515"/>
      <c r="X366" s="354"/>
      <c r="Y366" s="416">
        <v>5146</v>
      </c>
      <c r="Z366" s="416">
        <v>0</v>
      </c>
      <c r="AA366" s="425">
        <f t="shared" si="31"/>
        <v>2299</v>
      </c>
      <c r="AC366" s="422"/>
    </row>
    <row r="367" spans="1:29" ht="13.5" thickBot="1">
      <c r="A367" s="287">
        <f>A366+1</f>
        <v>179</v>
      </c>
      <c r="B367" s="289"/>
      <c r="C367" s="99"/>
      <c r="D367" s="94" t="s">
        <v>395</v>
      </c>
      <c r="E367" s="100" t="s">
        <v>398</v>
      </c>
      <c r="F367" s="96">
        <v>1</v>
      </c>
      <c r="G367" s="288">
        <f>+ESA_ESI!H87</f>
        <v>372.25</v>
      </c>
      <c r="H367" s="288">
        <f>F367*G367</f>
        <v>372.25</v>
      </c>
      <c r="I367" s="343" t="s">
        <v>460</v>
      </c>
      <c r="Q367" s="404"/>
      <c r="R367" s="533"/>
      <c r="S367" s="533"/>
      <c r="T367" s="533"/>
      <c r="U367" s="515"/>
      <c r="V367" s="515"/>
      <c r="W367" s="515"/>
      <c r="X367" s="354"/>
      <c r="Y367" s="416">
        <v>0</v>
      </c>
      <c r="Z367" s="416">
        <v>0</v>
      </c>
      <c r="AA367" s="425">
        <f t="shared" si="31"/>
        <v>372.25</v>
      </c>
      <c r="AC367" s="422"/>
    </row>
    <row r="368" spans="1:29" ht="13.5" thickBot="1">
      <c r="A368" s="287"/>
      <c r="B368" s="289"/>
      <c r="C368" s="99"/>
      <c r="D368" s="67" t="s">
        <v>329</v>
      </c>
      <c r="E368" s="310"/>
      <c r="F368" s="311"/>
      <c r="G368" s="312"/>
      <c r="H368" s="302">
        <f>SUBTOTAL(9,H366:H367)</f>
        <v>7817.25</v>
      </c>
      <c r="Q368" s="405"/>
      <c r="R368" s="536"/>
      <c r="S368" s="536"/>
      <c r="T368" s="536"/>
      <c r="U368" s="517"/>
      <c r="V368" s="517"/>
      <c r="W368" s="517"/>
      <c r="Y368" s="416"/>
      <c r="Z368" s="416"/>
      <c r="AA368" s="425"/>
      <c r="AC368" s="422"/>
    </row>
    <row r="369" spans="1:27" ht="14.25" customHeight="1" thickBot="1">
      <c r="A369" s="287"/>
      <c r="B369" s="289"/>
      <c r="C369" s="99"/>
      <c r="D369" s="303"/>
      <c r="E369" s="304"/>
      <c r="F369" s="246"/>
      <c r="G369" s="276"/>
      <c r="H369" s="305"/>
      <c r="I369" s="343"/>
      <c r="Q369" s="404"/>
      <c r="R369" s="533"/>
      <c r="S369" s="533"/>
      <c r="T369" s="533"/>
      <c r="U369" s="515"/>
      <c r="V369" s="515"/>
      <c r="W369" s="515"/>
      <c r="X369" s="354"/>
      <c r="Y369" s="416"/>
      <c r="Z369" s="416"/>
      <c r="AA369" s="425">
        <f t="shared" si="31"/>
        <v>0</v>
      </c>
    </row>
    <row r="370" spans="1:27" ht="16.5">
      <c r="A370" s="287"/>
      <c r="B370" s="289"/>
      <c r="C370" s="306" t="s">
        <v>387</v>
      </c>
      <c r="D370" s="565" t="s">
        <v>366</v>
      </c>
      <c r="E370" s="565"/>
      <c r="F370" s="565"/>
      <c r="G370" s="565"/>
      <c r="H370" s="565"/>
      <c r="I370" s="343"/>
      <c r="Q370" s="404"/>
      <c r="R370" s="533"/>
      <c r="S370" s="533"/>
      <c r="T370" s="533"/>
      <c r="U370" s="515"/>
      <c r="V370" s="515"/>
      <c r="W370" s="515"/>
      <c r="X370" s="354"/>
      <c r="Y370" s="416"/>
      <c r="Z370" s="416"/>
      <c r="AA370" s="425">
        <f t="shared" si="31"/>
        <v>0</v>
      </c>
    </row>
    <row r="371" spans="1:27" ht="63" customHeight="1">
      <c r="A371" s="287"/>
      <c r="B371" s="289"/>
      <c r="C371" s="286"/>
      <c r="D371" s="557" t="s">
        <v>399</v>
      </c>
      <c r="E371" s="557"/>
      <c r="F371" s="557"/>
      <c r="G371" s="557"/>
      <c r="H371" s="557"/>
      <c r="I371" s="343"/>
      <c r="Q371" s="404"/>
      <c r="R371" s="533"/>
      <c r="S371" s="533"/>
      <c r="T371" s="533"/>
      <c r="U371" s="515"/>
      <c r="V371" s="515"/>
      <c r="W371" s="515"/>
      <c r="X371" s="354"/>
      <c r="Y371" s="416"/>
      <c r="Z371" s="416"/>
      <c r="AA371" s="425">
        <f t="shared" si="31"/>
        <v>0</v>
      </c>
    </row>
    <row r="372" spans="1:27" ht="12.75">
      <c r="A372" s="287">
        <f>A367+1</f>
        <v>180</v>
      </c>
      <c r="B372" s="126" t="s">
        <v>275</v>
      </c>
      <c r="C372" s="133" t="s">
        <v>339</v>
      </c>
      <c r="D372" s="105" t="s">
        <v>276</v>
      </c>
      <c r="E372" s="106" t="s">
        <v>331</v>
      </c>
      <c r="F372" s="132">
        <f>+F373</f>
        <v>5.7</v>
      </c>
      <c r="G372" s="33">
        <v>210</v>
      </c>
      <c r="H372" s="61">
        <f aca="true" t="shared" si="32" ref="H372:H393">F372*G372</f>
        <v>1197</v>
      </c>
      <c r="I372" s="65" t="s">
        <v>466</v>
      </c>
      <c r="K372" s="25"/>
      <c r="Q372" s="404"/>
      <c r="R372" s="539"/>
      <c r="S372" s="539"/>
      <c r="T372" s="539"/>
      <c r="U372" s="518"/>
      <c r="V372" s="518"/>
      <c r="W372" s="518"/>
      <c r="Y372" s="416">
        <v>1197</v>
      </c>
      <c r="Z372" s="416">
        <v>0</v>
      </c>
      <c r="AA372" s="425">
        <f t="shared" si="31"/>
        <v>0</v>
      </c>
    </row>
    <row r="373" spans="1:27" ht="25.5">
      <c r="A373" s="323">
        <f>A372+1</f>
        <v>181</v>
      </c>
      <c r="B373" s="103" t="s">
        <v>679</v>
      </c>
      <c r="C373" s="128" t="s">
        <v>338</v>
      </c>
      <c r="D373" s="129" t="s">
        <v>677</v>
      </c>
      <c r="E373" s="130" t="s">
        <v>331</v>
      </c>
      <c r="F373" s="125">
        <f>1.7+4</f>
        <v>5.7</v>
      </c>
      <c r="G373" s="34">
        <v>196</v>
      </c>
      <c r="H373" s="328">
        <f t="shared" si="32"/>
        <v>1117.2</v>
      </c>
      <c r="I373" s="65" t="s">
        <v>466</v>
      </c>
      <c r="K373" s="25"/>
      <c r="P373" s="32"/>
      <c r="Q373" s="404"/>
      <c r="R373" s="539"/>
      <c r="S373" s="539"/>
      <c r="T373" s="539"/>
      <c r="U373" s="518"/>
      <c r="V373" s="518"/>
      <c r="W373" s="518"/>
      <c r="Y373" s="416">
        <v>1117.2</v>
      </c>
      <c r="Z373" s="416">
        <v>0</v>
      </c>
      <c r="AA373" s="425">
        <f t="shared" si="31"/>
        <v>0</v>
      </c>
    </row>
    <row r="374" spans="1:27" ht="16.5">
      <c r="A374" s="323">
        <f aca="true" t="shared" si="33" ref="A374:A382">A373+1</f>
        <v>182</v>
      </c>
      <c r="B374" s="103" t="s">
        <v>685</v>
      </c>
      <c r="C374" s="128" t="s">
        <v>338</v>
      </c>
      <c r="D374" s="129" t="s">
        <v>676</v>
      </c>
      <c r="E374" s="130" t="s">
        <v>330</v>
      </c>
      <c r="F374" s="125">
        <v>2</v>
      </c>
      <c r="G374" s="34">
        <v>207</v>
      </c>
      <c r="H374" s="328">
        <f t="shared" si="32"/>
        <v>414</v>
      </c>
      <c r="I374" s="65" t="s">
        <v>466</v>
      </c>
      <c r="K374" s="25"/>
      <c r="P374" s="32"/>
      <c r="Q374" s="404"/>
      <c r="R374" s="539"/>
      <c r="S374" s="539"/>
      <c r="T374" s="539"/>
      <c r="U374" s="518"/>
      <c r="V374" s="518"/>
      <c r="W374" s="518"/>
      <c r="Y374" s="416">
        <v>414</v>
      </c>
      <c r="Z374" s="416">
        <v>0</v>
      </c>
      <c r="AA374" s="425">
        <f t="shared" si="31"/>
        <v>0</v>
      </c>
    </row>
    <row r="375" spans="1:27" ht="16.5">
      <c r="A375" s="323">
        <f t="shared" si="33"/>
        <v>183</v>
      </c>
      <c r="B375" s="103" t="s">
        <v>678</v>
      </c>
      <c r="C375" s="128" t="s">
        <v>338</v>
      </c>
      <c r="D375" s="129" t="s">
        <v>151</v>
      </c>
      <c r="E375" s="130" t="s">
        <v>330</v>
      </c>
      <c r="F375" s="125">
        <v>2</v>
      </c>
      <c r="G375" s="34">
        <v>312</v>
      </c>
      <c r="H375" s="328">
        <f t="shared" si="32"/>
        <v>624</v>
      </c>
      <c r="I375" s="65" t="s">
        <v>466</v>
      </c>
      <c r="K375" s="25"/>
      <c r="P375" s="32"/>
      <c r="Q375" s="404"/>
      <c r="R375" s="539"/>
      <c r="S375" s="539"/>
      <c r="T375" s="539"/>
      <c r="U375" s="518"/>
      <c r="V375" s="518"/>
      <c r="W375" s="518"/>
      <c r="Y375" s="416">
        <v>624</v>
      </c>
      <c r="Z375" s="416">
        <v>0</v>
      </c>
      <c r="AA375" s="425">
        <f t="shared" si="31"/>
        <v>0</v>
      </c>
    </row>
    <row r="376" spans="1:27" ht="16.5">
      <c r="A376" s="323">
        <f t="shared" si="33"/>
        <v>184</v>
      </c>
      <c r="B376" s="103" t="s">
        <v>680</v>
      </c>
      <c r="C376" s="128" t="s">
        <v>338</v>
      </c>
      <c r="D376" s="129" t="s">
        <v>681</v>
      </c>
      <c r="E376" s="130" t="s">
        <v>330</v>
      </c>
      <c r="F376" s="125">
        <v>1</v>
      </c>
      <c r="G376" s="34">
        <v>237</v>
      </c>
      <c r="H376" s="328">
        <f t="shared" si="32"/>
        <v>237</v>
      </c>
      <c r="I376" s="65" t="s">
        <v>466</v>
      </c>
      <c r="K376" s="25"/>
      <c r="P376" s="32"/>
      <c r="Q376" s="404"/>
      <c r="R376" s="539"/>
      <c r="S376" s="539"/>
      <c r="T376" s="539"/>
      <c r="U376" s="518"/>
      <c r="V376" s="518"/>
      <c r="W376" s="518"/>
      <c r="Y376" s="416">
        <v>237</v>
      </c>
      <c r="Z376" s="416">
        <v>0</v>
      </c>
      <c r="AA376" s="425">
        <f t="shared" si="31"/>
        <v>0</v>
      </c>
    </row>
    <row r="377" spans="1:27" ht="16.5">
      <c r="A377" s="323">
        <f t="shared" si="33"/>
        <v>185</v>
      </c>
      <c r="B377" s="103" t="s">
        <v>686</v>
      </c>
      <c r="C377" s="128" t="s">
        <v>338</v>
      </c>
      <c r="D377" s="129" t="s">
        <v>670</v>
      </c>
      <c r="E377" s="130" t="s">
        <v>330</v>
      </c>
      <c r="F377" s="125">
        <v>1</v>
      </c>
      <c r="G377" s="34">
        <v>160</v>
      </c>
      <c r="H377" s="328">
        <f t="shared" si="32"/>
        <v>160</v>
      </c>
      <c r="I377" s="65" t="s">
        <v>466</v>
      </c>
      <c r="K377" s="25"/>
      <c r="P377" s="32"/>
      <c r="Q377" s="404"/>
      <c r="R377" s="539"/>
      <c r="S377" s="539"/>
      <c r="T377" s="539"/>
      <c r="U377" s="518"/>
      <c r="V377" s="518"/>
      <c r="W377" s="518"/>
      <c r="Y377" s="416">
        <v>160</v>
      </c>
      <c r="Z377" s="416">
        <v>0</v>
      </c>
      <c r="AA377" s="425">
        <f t="shared" si="31"/>
        <v>0</v>
      </c>
    </row>
    <row r="378" spans="1:27" ht="16.5">
      <c r="A378" s="323">
        <f t="shared" si="33"/>
        <v>186</v>
      </c>
      <c r="B378" s="103" t="s">
        <v>684</v>
      </c>
      <c r="C378" s="128" t="s">
        <v>338</v>
      </c>
      <c r="D378" s="129" t="s">
        <v>682</v>
      </c>
      <c r="E378" s="130" t="s">
        <v>330</v>
      </c>
      <c r="F378" s="125">
        <v>1</v>
      </c>
      <c r="G378" s="34">
        <v>445.5</v>
      </c>
      <c r="H378" s="328">
        <f>F378*G378</f>
        <v>445.5</v>
      </c>
      <c r="I378" s="65" t="s">
        <v>466</v>
      </c>
      <c r="K378" s="25"/>
      <c r="P378" s="32"/>
      <c r="Q378" s="404"/>
      <c r="R378" s="539"/>
      <c r="S378" s="539"/>
      <c r="T378" s="539"/>
      <c r="U378" s="518"/>
      <c r="V378" s="518"/>
      <c r="W378" s="518"/>
      <c r="Y378" s="416">
        <v>445.5</v>
      </c>
      <c r="Z378" s="416">
        <v>0</v>
      </c>
      <c r="AA378" s="425">
        <f t="shared" si="31"/>
        <v>0</v>
      </c>
    </row>
    <row r="379" spans="1:27" ht="16.5">
      <c r="A379" s="323">
        <f t="shared" si="33"/>
        <v>187</v>
      </c>
      <c r="B379" s="103">
        <v>429853256</v>
      </c>
      <c r="C379" s="128" t="s">
        <v>338</v>
      </c>
      <c r="D379" s="129" t="s">
        <v>683</v>
      </c>
      <c r="E379" s="130" t="s">
        <v>330</v>
      </c>
      <c r="F379" s="125">
        <v>1</v>
      </c>
      <c r="G379" s="34">
        <v>888</v>
      </c>
      <c r="H379" s="328">
        <f>F379*G379</f>
        <v>888</v>
      </c>
      <c r="I379" s="65" t="s">
        <v>466</v>
      </c>
      <c r="K379" s="25"/>
      <c r="P379" s="32"/>
      <c r="Q379" s="404"/>
      <c r="R379" s="539"/>
      <c r="S379" s="539"/>
      <c r="T379" s="539"/>
      <c r="U379" s="518"/>
      <c r="V379" s="518"/>
      <c r="W379" s="518"/>
      <c r="Y379" s="416">
        <v>888</v>
      </c>
      <c r="Z379" s="416">
        <v>0</v>
      </c>
      <c r="AA379" s="425">
        <f t="shared" si="31"/>
        <v>0</v>
      </c>
    </row>
    <row r="380" spans="1:27" ht="12.75">
      <c r="A380" s="323">
        <f t="shared" si="33"/>
        <v>188</v>
      </c>
      <c r="B380" s="103" t="s">
        <v>150</v>
      </c>
      <c r="C380" s="128" t="s">
        <v>338</v>
      </c>
      <c r="D380" s="351" t="s">
        <v>847</v>
      </c>
      <c r="E380" s="130" t="s">
        <v>330</v>
      </c>
      <c r="F380" s="125">
        <v>2</v>
      </c>
      <c r="G380" s="34">
        <v>652</v>
      </c>
      <c r="H380" s="328">
        <f t="shared" si="32"/>
        <v>1304</v>
      </c>
      <c r="I380" s="343" t="s">
        <v>466</v>
      </c>
      <c r="Q380" s="404"/>
      <c r="R380" s="533"/>
      <c r="S380" s="533"/>
      <c r="T380" s="533"/>
      <c r="U380" s="515"/>
      <c r="V380" s="515"/>
      <c r="W380" s="515"/>
      <c r="Y380" s="416">
        <v>1304</v>
      </c>
      <c r="Z380" s="416">
        <v>0</v>
      </c>
      <c r="AA380" s="425">
        <f t="shared" si="31"/>
        <v>0</v>
      </c>
    </row>
    <row r="381" spans="1:27" ht="25.5">
      <c r="A381" s="323">
        <f t="shared" si="33"/>
        <v>189</v>
      </c>
      <c r="B381" s="103" t="s">
        <v>688</v>
      </c>
      <c r="C381" s="131" t="s">
        <v>339</v>
      </c>
      <c r="D381" s="105" t="s">
        <v>842</v>
      </c>
      <c r="E381" s="106" t="s">
        <v>330</v>
      </c>
      <c r="F381" s="132">
        <v>1</v>
      </c>
      <c r="G381" s="33">
        <v>830</v>
      </c>
      <c r="H381" s="288">
        <f t="shared" si="32"/>
        <v>830</v>
      </c>
      <c r="I381" s="65" t="s">
        <v>466</v>
      </c>
      <c r="Q381" s="404"/>
      <c r="R381" s="533"/>
      <c r="S381" s="533"/>
      <c r="T381" s="533"/>
      <c r="U381" s="515"/>
      <c r="V381" s="515"/>
      <c r="W381" s="515"/>
      <c r="Y381" s="416">
        <v>830</v>
      </c>
      <c r="Z381" s="416">
        <v>0</v>
      </c>
      <c r="AA381" s="425">
        <f t="shared" si="31"/>
        <v>0</v>
      </c>
    </row>
    <row r="382" spans="1:27" ht="25.5">
      <c r="A382" s="323">
        <f t="shared" si="33"/>
        <v>190</v>
      </c>
      <c r="B382" s="103" t="s">
        <v>690</v>
      </c>
      <c r="C382" s="128" t="s">
        <v>338</v>
      </c>
      <c r="D382" s="129" t="s">
        <v>689</v>
      </c>
      <c r="E382" s="130" t="s">
        <v>330</v>
      </c>
      <c r="F382" s="125">
        <v>1</v>
      </c>
      <c r="G382" s="34">
        <v>1068</v>
      </c>
      <c r="H382" s="328">
        <f t="shared" si="32"/>
        <v>1068</v>
      </c>
      <c r="I382" s="65" t="s">
        <v>466</v>
      </c>
      <c r="K382" s="25"/>
      <c r="P382" s="32"/>
      <c r="Q382" s="404"/>
      <c r="R382" s="539"/>
      <c r="S382" s="539"/>
      <c r="T382" s="539"/>
      <c r="U382" s="518"/>
      <c r="V382" s="518"/>
      <c r="W382" s="518"/>
      <c r="Y382" s="416">
        <v>1068</v>
      </c>
      <c r="Z382" s="416">
        <v>0</v>
      </c>
      <c r="AA382" s="425">
        <f t="shared" si="31"/>
        <v>0</v>
      </c>
    </row>
    <row r="383" spans="1:27" ht="25.5">
      <c r="A383" s="323">
        <f aca="true" t="shared" si="34" ref="A383:A393">A382+1</f>
        <v>191</v>
      </c>
      <c r="B383" s="103" t="s">
        <v>252</v>
      </c>
      <c r="C383" s="131"/>
      <c r="D383" s="91" t="s">
        <v>134</v>
      </c>
      <c r="E383" s="145" t="s">
        <v>331</v>
      </c>
      <c r="F383" s="139">
        <v>2</v>
      </c>
      <c r="G383" s="33">
        <v>610</v>
      </c>
      <c r="H383" s="288">
        <f t="shared" si="32"/>
        <v>1220</v>
      </c>
      <c r="I383" s="65" t="s">
        <v>466</v>
      </c>
      <c r="P383" s="32"/>
      <c r="Q383" s="404"/>
      <c r="R383" s="533"/>
      <c r="S383" s="533"/>
      <c r="T383" s="533"/>
      <c r="U383" s="515"/>
      <c r="V383" s="515"/>
      <c r="W383" s="515"/>
      <c r="Y383" s="416">
        <v>1220</v>
      </c>
      <c r="Z383" s="416">
        <v>0</v>
      </c>
      <c r="AA383" s="425">
        <f t="shared" si="31"/>
        <v>0</v>
      </c>
    </row>
    <row r="384" spans="1:27" ht="25.5">
      <c r="A384" s="323">
        <f t="shared" si="34"/>
        <v>192</v>
      </c>
      <c r="B384" s="103" t="s">
        <v>687</v>
      </c>
      <c r="C384" s="131"/>
      <c r="D384" s="91" t="s">
        <v>840</v>
      </c>
      <c r="E384" s="145" t="s">
        <v>330</v>
      </c>
      <c r="F384" s="139">
        <v>2</v>
      </c>
      <c r="G384" s="33">
        <v>181</v>
      </c>
      <c r="H384" s="288">
        <f>F384*G384</f>
        <v>362</v>
      </c>
      <c r="I384" s="65" t="s">
        <v>466</v>
      </c>
      <c r="P384" s="32"/>
      <c r="Q384" s="404"/>
      <c r="R384" s="533"/>
      <c r="S384" s="533"/>
      <c r="T384" s="533"/>
      <c r="U384" s="515"/>
      <c r="V384" s="515"/>
      <c r="W384" s="515"/>
      <c r="Y384" s="416">
        <v>0</v>
      </c>
      <c r="Z384" s="416">
        <v>362</v>
      </c>
      <c r="AA384" s="425">
        <f t="shared" si="31"/>
        <v>0</v>
      </c>
    </row>
    <row r="385" spans="1:27" ht="12.75">
      <c r="A385" s="323">
        <f t="shared" si="34"/>
        <v>193</v>
      </c>
      <c r="B385" s="103" t="s">
        <v>691</v>
      </c>
      <c r="C385" s="128"/>
      <c r="D385" s="135" t="s">
        <v>760</v>
      </c>
      <c r="E385" s="147" t="s">
        <v>330</v>
      </c>
      <c r="F385" s="157">
        <v>2</v>
      </c>
      <c r="G385" s="34">
        <v>2246</v>
      </c>
      <c r="H385" s="328">
        <f>F385*G385</f>
        <v>4492</v>
      </c>
      <c r="I385" s="343" t="s">
        <v>466</v>
      </c>
      <c r="Q385" s="404"/>
      <c r="R385" s="533"/>
      <c r="S385" s="533"/>
      <c r="T385" s="533"/>
      <c r="U385" s="515"/>
      <c r="V385" s="515"/>
      <c r="W385" s="515"/>
      <c r="X385" s="354"/>
      <c r="Y385" s="416">
        <v>0</v>
      </c>
      <c r="Z385" s="416">
        <v>4492</v>
      </c>
      <c r="AA385" s="425">
        <f t="shared" si="31"/>
        <v>0</v>
      </c>
    </row>
    <row r="386" spans="1:28" ht="25.5">
      <c r="A386" s="323">
        <f t="shared" si="34"/>
        <v>194</v>
      </c>
      <c r="B386" s="103" t="s">
        <v>692</v>
      </c>
      <c r="C386" s="131" t="s">
        <v>339</v>
      </c>
      <c r="D386" s="91" t="s">
        <v>693</v>
      </c>
      <c r="E386" s="145" t="s">
        <v>331</v>
      </c>
      <c r="F386" s="139">
        <f>+F387+F388</f>
        <v>20</v>
      </c>
      <c r="G386" s="33">
        <v>1690</v>
      </c>
      <c r="H386" s="288">
        <f t="shared" si="32"/>
        <v>33800</v>
      </c>
      <c r="I386" s="343" t="s">
        <v>466</v>
      </c>
      <c r="Q386" s="404" t="s">
        <v>852</v>
      </c>
      <c r="R386" s="533">
        <v>-5</v>
      </c>
      <c r="S386" s="533">
        <v>1690</v>
      </c>
      <c r="T386" s="534">
        <f>R386*S386</f>
        <v>-8450</v>
      </c>
      <c r="U386" s="516"/>
      <c r="V386" s="516"/>
      <c r="W386" s="516"/>
      <c r="X386" s="354" t="s">
        <v>891</v>
      </c>
      <c r="Y386" s="416">
        <v>33800</v>
      </c>
      <c r="Z386" s="416">
        <v>-8450</v>
      </c>
      <c r="AA386" s="425">
        <f t="shared" si="31"/>
        <v>8450</v>
      </c>
      <c r="AB386" s="419" t="s">
        <v>873</v>
      </c>
    </row>
    <row r="387" spans="1:28" ht="25.5">
      <c r="A387" s="323">
        <f t="shared" si="34"/>
        <v>195</v>
      </c>
      <c r="B387" s="103" t="s">
        <v>139</v>
      </c>
      <c r="C387" s="128" t="s">
        <v>338</v>
      </c>
      <c r="D387" s="135" t="s">
        <v>694</v>
      </c>
      <c r="E387" s="147" t="s">
        <v>331</v>
      </c>
      <c r="F387" s="157">
        <v>10</v>
      </c>
      <c r="G387" s="34">
        <v>594</v>
      </c>
      <c r="H387" s="328">
        <f t="shared" si="32"/>
        <v>5940</v>
      </c>
      <c r="I387" s="343" t="s">
        <v>466</v>
      </c>
      <c r="Q387" s="404" t="s">
        <v>852</v>
      </c>
      <c r="R387" s="533">
        <v>-2.5</v>
      </c>
      <c r="S387" s="533">
        <v>594</v>
      </c>
      <c r="T387" s="534">
        <f>R387*S387</f>
        <v>-1485</v>
      </c>
      <c r="U387" s="521"/>
      <c r="V387" s="521"/>
      <c r="W387" s="521"/>
      <c r="X387" s="354" t="s">
        <v>891</v>
      </c>
      <c r="Y387" s="416">
        <v>5940</v>
      </c>
      <c r="Z387" s="416">
        <v>-1485</v>
      </c>
      <c r="AA387" s="425">
        <f t="shared" si="31"/>
        <v>1485</v>
      </c>
      <c r="AB387" s="419" t="s">
        <v>873</v>
      </c>
    </row>
    <row r="388" spans="1:28" ht="25.5">
      <c r="A388" s="323">
        <f t="shared" si="34"/>
        <v>196</v>
      </c>
      <c r="B388" s="103" t="s">
        <v>139</v>
      </c>
      <c r="C388" s="128" t="s">
        <v>338</v>
      </c>
      <c r="D388" s="135" t="s">
        <v>695</v>
      </c>
      <c r="E388" s="147" t="s">
        <v>331</v>
      </c>
      <c r="F388" s="157">
        <v>10</v>
      </c>
      <c r="G388" s="34">
        <v>800</v>
      </c>
      <c r="H388" s="328">
        <f t="shared" si="32"/>
        <v>8000</v>
      </c>
      <c r="I388" s="343" t="s">
        <v>466</v>
      </c>
      <c r="Q388" s="404" t="s">
        <v>852</v>
      </c>
      <c r="R388" s="533">
        <v>-2.5</v>
      </c>
      <c r="S388" s="533">
        <v>800</v>
      </c>
      <c r="T388" s="534">
        <f>R388*S388</f>
        <v>-2000</v>
      </c>
      <c r="U388" s="521"/>
      <c r="V388" s="521"/>
      <c r="W388" s="521"/>
      <c r="X388" s="354" t="s">
        <v>891</v>
      </c>
      <c r="Y388" s="416">
        <v>8000</v>
      </c>
      <c r="Z388" s="416">
        <v>-2000</v>
      </c>
      <c r="AA388" s="425">
        <f t="shared" si="31"/>
        <v>2000</v>
      </c>
      <c r="AB388" s="419" t="s">
        <v>873</v>
      </c>
    </row>
    <row r="389" spans="1:27" ht="12.75">
      <c r="A389" s="323">
        <f>A388+1</f>
        <v>197</v>
      </c>
      <c r="B389" s="126" t="s">
        <v>152</v>
      </c>
      <c r="C389" s="133" t="s">
        <v>153</v>
      </c>
      <c r="D389" s="91" t="s">
        <v>843</v>
      </c>
      <c r="E389" s="145" t="s">
        <v>330</v>
      </c>
      <c r="F389" s="139">
        <v>1</v>
      </c>
      <c r="G389" s="33">
        <v>288</v>
      </c>
      <c r="H389" s="288">
        <f t="shared" si="32"/>
        <v>288</v>
      </c>
      <c r="I389" s="343" t="s">
        <v>466</v>
      </c>
      <c r="Q389" s="404"/>
      <c r="R389" s="533"/>
      <c r="S389" s="533"/>
      <c r="T389" s="533"/>
      <c r="U389" s="515"/>
      <c r="V389" s="515"/>
      <c r="W389" s="515"/>
      <c r="X389" s="491" t="s">
        <v>894</v>
      </c>
      <c r="Y389" s="416">
        <v>288</v>
      </c>
      <c r="Z389" s="416">
        <v>0</v>
      </c>
      <c r="AA389" s="425">
        <f t="shared" si="31"/>
        <v>0</v>
      </c>
    </row>
    <row r="390" spans="1:27" ht="25.5">
      <c r="A390" s="323">
        <f t="shared" si="34"/>
        <v>198</v>
      </c>
      <c r="B390" s="103" t="s">
        <v>140</v>
      </c>
      <c r="C390" s="128" t="s">
        <v>338</v>
      </c>
      <c r="D390" s="135" t="s">
        <v>848</v>
      </c>
      <c r="E390" s="147" t="s">
        <v>327</v>
      </c>
      <c r="F390" s="157">
        <v>1</v>
      </c>
      <c r="G390" s="34">
        <v>888</v>
      </c>
      <c r="H390" s="328">
        <f t="shared" si="32"/>
        <v>888</v>
      </c>
      <c r="I390" s="343" t="s">
        <v>466</v>
      </c>
      <c r="Q390" s="404"/>
      <c r="R390" s="533"/>
      <c r="S390" s="533"/>
      <c r="T390" s="533"/>
      <c r="U390" s="515"/>
      <c r="V390" s="515"/>
      <c r="W390" s="515"/>
      <c r="X390" s="491" t="s">
        <v>894</v>
      </c>
      <c r="Y390" s="416">
        <v>888</v>
      </c>
      <c r="Z390" s="416">
        <v>0</v>
      </c>
      <c r="AA390" s="425">
        <f t="shared" si="31"/>
        <v>0</v>
      </c>
    </row>
    <row r="391" spans="1:27" ht="25.5">
      <c r="A391" s="323">
        <f t="shared" si="34"/>
        <v>199</v>
      </c>
      <c r="B391" s="126" t="s">
        <v>411</v>
      </c>
      <c r="C391" s="133"/>
      <c r="D391" s="105" t="s">
        <v>696</v>
      </c>
      <c r="E391" s="106" t="s">
        <v>327</v>
      </c>
      <c r="F391" s="132">
        <v>1</v>
      </c>
      <c r="G391" s="33">
        <v>1800</v>
      </c>
      <c r="H391" s="288">
        <f t="shared" si="32"/>
        <v>1800</v>
      </c>
      <c r="I391" s="343" t="s">
        <v>466</v>
      </c>
      <c r="P391" s="3" t="s">
        <v>483</v>
      </c>
      <c r="Q391" s="404"/>
      <c r="R391" s="533"/>
      <c r="S391" s="533"/>
      <c r="T391" s="533"/>
      <c r="U391" s="515"/>
      <c r="V391" s="515"/>
      <c r="W391" s="515"/>
      <c r="X391" s="354"/>
      <c r="Y391" s="416">
        <v>1800</v>
      </c>
      <c r="Z391" s="416">
        <v>0</v>
      </c>
      <c r="AA391" s="425">
        <f t="shared" si="31"/>
        <v>0</v>
      </c>
    </row>
    <row r="392" spans="1:27" ht="12.75">
      <c r="A392" s="323">
        <f t="shared" si="34"/>
        <v>200</v>
      </c>
      <c r="B392" s="126" t="s">
        <v>293</v>
      </c>
      <c r="C392" s="133"/>
      <c r="D392" s="105" t="s">
        <v>115</v>
      </c>
      <c r="E392" s="106" t="s">
        <v>327</v>
      </c>
      <c r="F392" s="132">
        <v>1</v>
      </c>
      <c r="G392" s="33">
        <v>1820</v>
      </c>
      <c r="H392" s="288">
        <f t="shared" si="32"/>
        <v>1820</v>
      </c>
      <c r="I392" s="343" t="s">
        <v>466</v>
      </c>
      <c r="Q392" s="404"/>
      <c r="R392" s="533"/>
      <c r="S392" s="533"/>
      <c r="T392" s="533"/>
      <c r="U392" s="515"/>
      <c r="V392" s="515"/>
      <c r="W392" s="515"/>
      <c r="X392" s="354"/>
      <c r="Y392" s="416">
        <v>1820</v>
      </c>
      <c r="Z392" s="416">
        <v>0</v>
      </c>
      <c r="AA392" s="425">
        <f t="shared" si="31"/>
        <v>0</v>
      </c>
    </row>
    <row r="393" spans="1:28" ht="13.5" thickBot="1">
      <c r="A393" s="323">
        <f t="shared" si="34"/>
        <v>201</v>
      </c>
      <c r="B393" s="90" t="s">
        <v>172</v>
      </c>
      <c r="C393" s="99"/>
      <c r="D393" s="94" t="s">
        <v>354</v>
      </c>
      <c r="E393" s="316" t="s">
        <v>336</v>
      </c>
      <c r="F393" s="96">
        <f>+H373+H374+H375+H376+H377+H378+H379+H380+H382+H385+H387+H388+H390</f>
        <v>25577.7</v>
      </c>
      <c r="G393" s="35">
        <v>0.05</v>
      </c>
      <c r="H393" s="317">
        <f t="shared" si="32"/>
        <v>1278.8850000000002</v>
      </c>
      <c r="I393" s="343" t="s">
        <v>466</v>
      </c>
      <c r="Q393" s="404" t="s">
        <v>852</v>
      </c>
      <c r="R393" s="533">
        <f>T388+T387+T386</f>
        <v>-11935</v>
      </c>
      <c r="S393" s="538">
        <v>0.05</v>
      </c>
      <c r="T393" s="534">
        <v>-596.57</v>
      </c>
      <c r="U393" s="515"/>
      <c r="V393" s="515"/>
      <c r="W393" s="515"/>
      <c r="X393" s="354"/>
      <c r="Y393" s="416">
        <v>0</v>
      </c>
      <c r="Z393" s="416">
        <v>682.1</v>
      </c>
      <c r="AA393" s="425">
        <f t="shared" si="31"/>
        <v>596.7850000000002</v>
      </c>
      <c r="AB393" s="419" t="s">
        <v>879</v>
      </c>
    </row>
    <row r="394" spans="1:27" ht="13.5" thickBot="1">
      <c r="A394" s="287"/>
      <c r="B394" s="289"/>
      <c r="C394" s="99"/>
      <c r="D394" s="67" t="s">
        <v>329</v>
      </c>
      <c r="E394" s="310"/>
      <c r="F394" s="311"/>
      <c r="G394" s="312"/>
      <c r="H394" s="302">
        <f>SUBTOTAL(9,H372:H393)</f>
        <v>68173.58499999999</v>
      </c>
      <c r="Q394" s="405"/>
      <c r="R394" s="536"/>
      <c r="S394" s="536"/>
      <c r="T394" s="536"/>
      <c r="U394" s="517"/>
      <c r="V394" s="517"/>
      <c r="W394" s="517"/>
      <c r="Y394" s="416"/>
      <c r="Z394" s="416"/>
      <c r="AA394" s="425"/>
    </row>
    <row r="395" spans="1:27" ht="12.75">
      <c r="A395" s="287"/>
      <c r="B395" s="289"/>
      <c r="C395" s="99"/>
      <c r="D395" s="303"/>
      <c r="E395" s="304"/>
      <c r="F395" s="246"/>
      <c r="G395" s="276"/>
      <c r="H395" s="305"/>
      <c r="I395" s="343"/>
      <c r="Q395" s="404"/>
      <c r="R395" s="533"/>
      <c r="S395" s="533"/>
      <c r="T395" s="533"/>
      <c r="U395" s="515"/>
      <c r="V395" s="515"/>
      <c r="W395" s="515"/>
      <c r="X395" s="354"/>
      <c r="Y395" s="416"/>
      <c r="Z395" s="416"/>
      <c r="AA395" s="425">
        <f t="shared" si="31"/>
        <v>0</v>
      </c>
    </row>
    <row r="396" spans="1:27" ht="16.5">
      <c r="A396" s="287"/>
      <c r="B396" s="289"/>
      <c r="C396" s="306" t="s">
        <v>388</v>
      </c>
      <c r="D396" s="564" t="s">
        <v>367</v>
      </c>
      <c r="E396" s="564"/>
      <c r="F396" s="564"/>
      <c r="G396" s="564"/>
      <c r="H396" s="564"/>
      <c r="I396" s="343"/>
      <c r="Q396" s="404"/>
      <c r="R396" s="533"/>
      <c r="S396" s="533"/>
      <c r="T396" s="533"/>
      <c r="U396" s="515"/>
      <c r="V396" s="515"/>
      <c r="W396" s="515"/>
      <c r="X396" s="354"/>
      <c r="Y396" s="416"/>
      <c r="Z396" s="416"/>
      <c r="AA396" s="425">
        <f t="shared" si="31"/>
        <v>0</v>
      </c>
    </row>
    <row r="397" spans="1:27" ht="66.75" customHeight="1">
      <c r="A397" s="287"/>
      <c r="B397" s="289"/>
      <c r="C397" s="286"/>
      <c r="D397" s="557" t="s">
        <v>380</v>
      </c>
      <c r="E397" s="566"/>
      <c r="F397" s="566"/>
      <c r="G397" s="566"/>
      <c r="H397" s="566"/>
      <c r="I397" s="343"/>
      <c r="Q397" s="404"/>
      <c r="R397" s="533"/>
      <c r="S397" s="533"/>
      <c r="T397" s="533"/>
      <c r="U397" s="515"/>
      <c r="V397" s="515"/>
      <c r="W397" s="515"/>
      <c r="X397" s="354"/>
      <c r="Y397" s="416"/>
      <c r="Z397" s="416"/>
      <c r="AA397" s="425">
        <f t="shared" si="31"/>
        <v>0</v>
      </c>
    </row>
    <row r="398" spans="1:27" ht="12.75">
      <c r="A398" s="287">
        <f>A393+1</f>
        <v>202</v>
      </c>
      <c r="B398" s="107" t="s">
        <v>14</v>
      </c>
      <c r="C398" s="99" t="s">
        <v>521</v>
      </c>
      <c r="D398" s="105" t="s">
        <v>13</v>
      </c>
      <c r="E398" s="100" t="s">
        <v>330</v>
      </c>
      <c r="F398" s="96">
        <v>4</v>
      </c>
      <c r="G398" s="33">
        <v>850</v>
      </c>
      <c r="H398" s="288">
        <f>F398*G398</f>
        <v>3400</v>
      </c>
      <c r="I398" s="343" t="s">
        <v>460</v>
      </c>
      <c r="Q398" s="404"/>
      <c r="R398" s="533"/>
      <c r="S398" s="533"/>
      <c r="T398" s="533"/>
      <c r="U398" s="515"/>
      <c r="V398" s="515"/>
      <c r="W398" s="515"/>
      <c r="X398" s="354"/>
      <c r="Y398" s="416">
        <v>0</v>
      </c>
      <c r="Z398" s="416">
        <v>0</v>
      </c>
      <c r="AA398" s="425">
        <f t="shared" si="31"/>
        <v>3400</v>
      </c>
    </row>
    <row r="399" spans="1:27" ht="12.75">
      <c r="A399" s="287"/>
      <c r="B399" s="107"/>
      <c r="C399" s="99"/>
      <c r="D399" s="160" t="s">
        <v>611</v>
      </c>
      <c r="E399" s="329">
        <v>3450</v>
      </c>
      <c r="F399" s="96"/>
      <c r="G399" s="33"/>
      <c r="H399" s="288"/>
      <c r="I399" s="343"/>
      <c r="K399" s="161"/>
      <c r="Q399" s="404"/>
      <c r="R399" s="533"/>
      <c r="S399" s="533"/>
      <c r="T399" s="533"/>
      <c r="U399" s="515"/>
      <c r="V399" s="515"/>
      <c r="W399" s="515"/>
      <c r="X399" s="354"/>
      <c r="Y399" s="416"/>
      <c r="Z399" s="416"/>
      <c r="AA399" s="425">
        <f t="shared" si="31"/>
        <v>0</v>
      </c>
    </row>
    <row r="400" spans="1:27" ht="12.75">
      <c r="A400" s="287"/>
      <c r="B400" s="107"/>
      <c r="C400" s="99"/>
      <c r="D400" s="160" t="s">
        <v>612</v>
      </c>
      <c r="E400" s="329">
        <v>1030</v>
      </c>
      <c r="F400" s="96"/>
      <c r="G400" s="33"/>
      <c r="H400" s="288"/>
      <c r="I400" s="343"/>
      <c r="K400" s="161"/>
      <c r="L400" s="162"/>
      <c r="Q400" s="404"/>
      <c r="R400" s="533"/>
      <c r="S400" s="533"/>
      <c r="T400" s="533"/>
      <c r="U400" s="515"/>
      <c r="V400" s="515"/>
      <c r="W400" s="515"/>
      <c r="X400" s="354"/>
      <c r="Y400" s="416"/>
      <c r="Z400" s="416"/>
      <c r="AA400" s="425">
        <f t="shared" si="31"/>
        <v>0</v>
      </c>
    </row>
    <row r="401" spans="1:27" ht="12.75">
      <c r="A401" s="287"/>
      <c r="B401" s="107"/>
      <c r="C401" s="99"/>
      <c r="D401" s="160" t="s">
        <v>615</v>
      </c>
      <c r="E401" s="329">
        <v>600</v>
      </c>
      <c r="F401" s="96"/>
      <c r="G401" s="33"/>
      <c r="H401" s="288"/>
      <c r="I401" s="343"/>
      <c r="K401" s="161"/>
      <c r="L401" s="162"/>
      <c r="Q401" s="404"/>
      <c r="R401" s="533"/>
      <c r="S401" s="533"/>
      <c r="T401" s="533"/>
      <c r="U401" s="515"/>
      <c r="V401" s="515"/>
      <c r="W401" s="515"/>
      <c r="X401" s="354"/>
      <c r="Y401" s="416"/>
      <c r="Z401" s="416"/>
      <c r="AA401" s="425">
        <f t="shared" si="31"/>
        <v>0</v>
      </c>
    </row>
    <row r="402" spans="1:27" ht="12.75">
      <c r="A402" s="287"/>
      <c r="B402" s="107"/>
      <c r="C402" s="99"/>
      <c r="D402" s="160" t="s">
        <v>613</v>
      </c>
      <c r="E402" s="329">
        <v>200</v>
      </c>
      <c r="F402" s="96"/>
      <c r="G402" s="33"/>
      <c r="H402" s="288"/>
      <c r="I402" s="343"/>
      <c r="Q402" s="404"/>
      <c r="R402" s="533"/>
      <c r="S402" s="533"/>
      <c r="T402" s="533"/>
      <c r="U402" s="515"/>
      <c r="V402" s="515"/>
      <c r="W402" s="515"/>
      <c r="X402" s="354"/>
      <c r="Y402" s="416"/>
      <c r="Z402" s="416"/>
      <c r="AA402" s="425">
        <f t="shared" si="31"/>
        <v>0</v>
      </c>
    </row>
    <row r="403" spans="1:27" ht="12.75">
      <c r="A403" s="287"/>
      <c r="B403" s="107"/>
      <c r="C403" s="99"/>
      <c r="D403" s="160" t="s">
        <v>614</v>
      </c>
      <c r="E403" s="329">
        <v>750</v>
      </c>
      <c r="F403" s="96"/>
      <c r="G403" s="33"/>
      <c r="H403" s="288"/>
      <c r="I403" s="343"/>
      <c r="Q403" s="404"/>
      <c r="R403" s="533"/>
      <c r="S403" s="533"/>
      <c r="T403" s="533"/>
      <c r="U403" s="515"/>
      <c r="V403" s="515"/>
      <c r="W403" s="515"/>
      <c r="X403" s="354"/>
      <c r="Y403" s="416"/>
      <c r="Z403" s="416"/>
      <c r="AA403" s="425">
        <f t="shared" si="31"/>
        <v>0</v>
      </c>
    </row>
    <row r="404" spans="1:27" ht="24" customHeight="1">
      <c r="A404" s="287">
        <f>A398+1</f>
        <v>203</v>
      </c>
      <c r="B404" s="289" t="s">
        <v>697</v>
      </c>
      <c r="C404" s="109" t="s">
        <v>381</v>
      </c>
      <c r="D404" s="121" t="s">
        <v>519</v>
      </c>
      <c r="E404" s="122" t="s">
        <v>330</v>
      </c>
      <c r="F404" s="330">
        <v>1</v>
      </c>
      <c r="G404" s="34">
        <v>3526</v>
      </c>
      <c r="H404" s="328">
        <f aca="true" t="shared" si="35" ref="H404:H420">F404*G404</f>
        <v>3526</v>
      </c>
      <c r="I404" s="65" t="s">
        <v>460</v>
      </c>
      <c r="Q404" s="404"/>
      <c r="R404" s="533"/>
      <c r="S404" s="533"/>
      <c r="T404" s="533"/>
      <c r="U404" s="515"/>
      <c r="V404" s="515"/>
      <c r="W404" s="515"/>
      <c r="Y404" s="416">
        <v>0</v>
      </c>
      <c r="Z404" s="416">
        <v>0</v>
      </c>
      <c r="AA404" s="425">
        <f t="shared" si="31"/>
        <v>3526</v>
      </c>
    </row>
    <row r="405" spans="1:27" ht="16.5" customHeight="1">
      <c r="A405" s="287">
        <f>A404+1</f>
        <v>204</v>
      </c>
      <c r="B405" s="289" t="s">
        <v>698</v>
      </c>
      <c r="C405" s="109" t="s">
        <v>452</v>
      </c>
      <c r="D405" s="121" t="s">
        <v>520</v>
      </c>
      <c r="E405" s="122" t="s">
        <v>330</v>
      </c>
      <c r="F405" s="330">
        <v>1</v>
      </c>
      <c r="G405" s="34">
        <v>3525</v>
      </c>
      <c r="H405" s="328">
        <f t="shared" si="35"/>
        <v>3525</v>
      </c>
      <c r="I405" s="65" t="s">
        <v>460</v>
      </c>
      <c r="Q405" s="404"/>
      <c r="R405" s="533"/>
      <c r="S405" s="533"/>
      <c r="T405" s="533"/>
      <c r="U405" s="515"/>
      <c r="V405" s="515"/>
      <c r="W405" s="515"/>
      <c r="Y405" s="416">
        <v>0</v>
      </c>
      <c r="Z405" s="416">
        <v>0</v>
      </c>
      <c r="AA405" s="425">
        <f t="shared" si="31"/>
        <v>3525</v>
      </c>
    </row>
    <row r="406" spans="1:27" ht="18" customHeight="1">
      <c r="A406" s="287">
        <f>A405+1</f>
        <v>205</v>
      </c>
      <c r="B406" s="289" t="s">
        <v>697</v>
      </c>
      <c r="C406" s="109" t="s">
        <v>486</v>
      </c>
      <c r="D406" s="121" t="s">
        <v>519</v>
      </c>
      <c r="E406" s="122" t="s">
        <v>330</v>
      </c>
      <c r="F406" s="330">
        <v>1</v>
      </c>
      <c r="G406" s="34">
        <v>3525</v>
      </c>
      <c r="H406" s="328">
        <f t="shared" si="35"/>
        <v>3525</v>
      </c>
      <c r="I406" s="65" t="s">
        <v>460</v>
      </c>
      <c r="Q406" s="404"/>
      <c r="R406" s="533"/>
      <c r="S406" s="533"/>
      <c r="T406" s="533"/>
      <c r="U406" s="515"/>
      <c r="V406" s="515"/>
      <c r="W406" s="515"/>
      <c r="Y406" s="416">
        <v>0</v>
      </c>
      <c r="Z406" s="416">
        <v>0</v>
      </c>
      <c r="AA406" s="425">
        <f t="shared" si="31"/>
        <v>3525</v>
      </c>
    </row>
    <row r="407" spans="1:27" ht="12.75">
      <c r="A407" s="287">
        <f aca="true" t="shared" si="36" ref="A407:A412">A406+1</f>
        <v>206</v>
      </c>
      <c r="B407" s="112" t="s">
        <v>606</v>
      </c>
      <c r="C407" s="120" t="s">
        <v>699</v>
      </c>
      <c r="D407" s="121" t="s">
        <v>607</v>
      </c>
      <c r="E407" s="122" t="s">
        <v>330</v>
      </c>
      <c r="F407" s="330">
        <v>1</v>
      </c>
      <c r="G407" s="34">
        <v>2410</v>
      </c>
      <c r="H407" s="328">
        <f t="shared" si="35"/>
        <v>2410</v>
      </c>
      <c r="I407" s="65" t="s">
        <v>460</v>
      </c>
      <c r="Q407" s="404"/>
      <c r="R407" s="533"/>
      <c r="S407" s="533"/>
      <c r="T407" s="533"/>
      <c r="U407" s="515"/>
      <c r="V407" s="515"/>
      <c r="W407" s="515"/>
      <c r="Y407" s="416">
        <v>0</v>
      </c>
      <c r="Z407" s="416">
        <v>0</v>
      </c>
      <c r="AA407" s="425">
        <f t="shared" si="31"/>
        <v>2410</v>
      </c>
    </row>
    <row r="408" spans="1:27" ht="25.5">
      <c r="A408" s="287">
        <f t="shared" si="36"/>
        <v>207</v>
      </c>
      <c r="B408" s="112" t="s">
        <v>608</v>
      </c>
      <c r="C408" s="120" t="s">
        <v>699</v>
      </c>
      <c r="D408" s="121" t="s">
        <v>610</v>
      </c>
      <c r="E408" s="122" t="s">
        <v>330</v>
      </c>
      <c r="F408" s="330">
        <v>1</v>
      </c>
      <c r="G408" s="34">
        <v>23000</v>
      </c>
      <c r="H408" s="328">
        <f t="shared" si="35"/>
        <v>23000</v>
      </c>
      <c r="I408" s="65" t="s">
        <v>460</v>
      </c>
      <c r="Q408" s="404"/>
      <c r="R408" s="533"/>
      <c r="S408" s="533"/>
      <c r="T408" s="533"/>
      <c r="U408" s="515"/>
      <c r="V408" s="515"/>
      <c r="W408" s="515"/>
      <c r="Y408" s="416">
        <v>0</v>
      </c>
      <c r="Z408" s="416">
        <v>0</v>
      </c>
      <c r="AA408" s="425">
        <f t="shared" si="31"/>
        <v>23000</v>
      </c>
    </row>
    <row r="409" spans="1:28" ht="38.25">
      <c r="A409" s="287">
        <f t="shared" si="36"/>
        <v>208</v>
      </c>
      <c r="B409" s="112" t="s">
        <v>700</v>
      </c>
      <c r="C409" s="120" t="s">
        <v>699</v>
      </c>
      <c r="D409" s="121" t="s">
        <v>609</v>
      </c>
      <c r="E409" s="122" t="s">
        <v>330</v>
      </c>
      <c r="F409" s="330">
        <v>1</v>
      </c>
      <c r="G409" s="34">
        <v>23000</v>
      </c>
      <c r="H409" s="328">
        <f t="shared" si="35"/>
        <v>23000</v>
      </c>
      <c r="I409" s="65" t="s">
        <v>460</v>
      </c>
      <c r="Q409" s="404" t="s">
        <v>852</v>
      </c>
      <c r="R409" s="533">
        <v>-1</v>
      </c>
      <c r="S409" s="533">
        <v>23000</v>
      </c>
      <c r="T409" s="533">
        <v>-23000</v>
      </c>
      <c r="U409" s="515"/>
      <c r="V409" s="515"/>
      <c r="W409" s="515"/>
      <c r="X409" s="361" t="s">
        <v>850</v>
      </c>
      <c r="Y409" s="416">
        <v>0</v>
      </c>
      <c r="Z409" s="416">
        <v>0</v>
      </c>
      <c r="AA409" s="425">
        <v>0</v>
      </c>
      <c r="AB409" s="419" t="s">
        <v>880</v>
      </c>
    </row>
    <row r="410" spans="1:27" ht="12.75">
      <c r="A410" s="287">
        <f t="shared" si="36"/>
        <v>209</v>
      </c>
      <c r="B410" s="90" t="s">
        <v>702</v>
      </c>
      <c r="C410" s="99" t="s">
        <v>6</v>
      </c>
      <c r="D410" s="94" t="s">
        <v>703</v>
      </c>
      <c r="E410" s="100" t="s">
        <v>330</v>
      </c>
      <c r="F410" s="96">
        <v>1</v>
      </c>
      <c r="G410" s="33">
        <v>237</v>
      </c>
      <c r="H410" s="61">
        <f t="shared" si="35"/>
        <v>237</v>
      </c>
      <c r="I410" s="65" t="s">
        <v>466</v>
      </c>
      <c r="Q410" s="404"/>
      <c r="R410" s="533"/>
      <c r="S410" s="533"/>
      <c r="T410" s="533"/>
      <c r="U410" s="515"/>
      <c r="V410" s="515"/>
      <c r="W410" s="515"/>
      <c r="Y410" s="416">
        <v>0</v>
      </c>
      <c r="Z410" s="416">
        <v>237</v>
      </c>
      <c r="AA410" s="425">
        <f aca="true" t="shared" si="37" ref="AA410:AA474">H410-Z410-Y410</f>
        <v>0</v>
      </c>
    </row>
    <row r="411" spans="1:27" ht="12.75">
      <c r="A411" s="287">
        <f t="shared" si="36"/>
        <v>210</v>
      </c>
      <c r="B411" s="90" t="s">
        <v>701</v>
      </c>
      <c r="C411" s="120" t="s">
        <v>522</v>
      </c>
      <c r="D411" s="121" t="s">
        <v>523</v>
      </c>
      <c r="E411" s="122" t="s">
        <v>330</v>
      </c>
      <c r="F411" s="330">
        <v>1</v>
      </c>
      <c r="G411" s="34">
        <v>8100</v>
      </c>
      <c r="H411" s="328">
        <f t="shared" si="35"/>
        <v>8100</v>
      </c>
      <c r="I411" s="65" t="s">
        <v>466</v>
      </c>
      <c r="Q411" s="404"/>
      <c r="R411" s="533"/>
      <c r="S411" s="533"/>
      <c r="T411" s="533"/>
      <c r="U411" s="515"/>
      <c r="V411" s="515"/>
      <c r="W411" s="515"/>
      <c r="Y411" s="416">
        <v>0</v>
      </c>
      <c r="Z411" s="416">
        <v>8100</v>
      </c>
      <c r="AA411" s="425">
        <f t="shared" si="37"/>
        <v>0</v>
      </c>
    </row>
    <row r="412" spans="1:27" ht="63.75">
      <c r="A412" s="287">
        <f t="shared" si="36"/>
        <v>211</v>
      </c>
      <c r="B412" s="101" t="s">
        <v>292</v>
      </c>
      <c r="C412" s="99"/>
      <c r="D412" s="57" t="s">
        <v>65</v>
      </c>
      <c r="E412" s="58" t="s">
        <v>328</v>
      </c>
      <c r="F412" s="96">
        <f>3*(1.2*2.25)</f>
        <v>8.1</v>
      </c>
      <c r="G412" s="33">
        <v>4100</v>
      </c>
      <c r="H412" s="288">
        <f t="shared" si="35"/>
        <v>33210</v>
      </c>
      <c r="I412" s="343" t="s">
        <v>460</v>
      </c>
      <c r="Q412" s="404"/>
      <c r="R412" s="533"/>
      <c r="S412" s="533"/>
      <c r="T412" s="533"/>
      <c r="U412" s="515"/>
      <c r="V412" s="515"/>
      <c r="W412" s="515"/>
      <c r="X412" s="354"/>
      <c r="Y412" s="416">
        <v>0</v>
      </c>
      <c r="Z412" s="416">
        <v>33210</v>
      </c>
      <c r="AA412" s="425">
        <f t="shared" si="37"/>
        <v>0</v>
      </c>
    </row>
    <row r="413" spans="1:27" ht="25.5">
      <c r="A413" s="287">
        <f aca="true" t="shared" si="38" ref="A413:A419">A412+1</f>
        <v>212</v>
      </c>
      <c r="B413" s="112" t="s">
        <v>164</v>
      </c>
      <c r="C413" s="99"/>
      <c r="D413" s="57" t="s">
        <v>208</v>
      </c>
      <c r="E413" s="100" t="s">
        <v>330</v>
      </c>
      <c r="F413" s="96">
        <f>+G414</f>
        <v>42424</v>
      </c>
      <c r="G413" s="37">
        <v>0.5</v>
      </c>
      <c r="H413" s="288">
        <f t="shared" si="35"/>
        <v>21212</v>
      </c>
      <c r="I413" s="343" t="s">
        <v>466</v>
      </c>
      <c r="Q413" s="404"/>
      <c r="R413" s="533"/>
      <c r="S413" s="533"/>
      <c r="T413" s="533"/>
      <c r="U413" s="515"/>
      <c r="V413" s="515"/>
      <c r="W413" s="515"/>
      <c r="X413" s="354"/>
      <c r="Y413" s="416">
        <v>0</v>
      </c>
      <c r="Z413" s="416">
        <v>21212</v>
      </c>
      <c r="AA413" s="425">
        <f t="shared" si="37"/>
        <v>0</v>
      </c>
    </row>
    <row r="414" spans="1:27" ht="51">
      <c r="A414" s="287">
        <f t="shared" si="38"/>
        <v>213</v>
      </c>
      <c r="B414" s="112" t="s">
        <v>103</v>
      </c>
      <c r="C414" s="124" t="s">
        <v>338</v>
      </c>
      <c r="D414" s="110" t="s">
        <v>296</v>
      </c>
      <c r="E414" s="122" t="s">
        <v>327</v>
      </c>
      <c r="F414" s="157">
        <v>1</v>
      </c>
      <c r="G414" s="34">
        <v>42424</v>
      </c>
      <c r="H414" s="328">
        <f t="shared" si="35"/>
        <v>42424</v>
      </c>
      <c r="I414" s="343" t="s">
        <v>466</v>
      </c>
      <c r="Q414" s="404"/>
      <c r="R414" s="533"/>
      <c r="S414" s="533"/>
      <c r="T414" s="533"/>
      <c r="U414" s="515"/>
      <c r="V414" s="515"/>
      <c r="W414" s="515"/>
      <c r="X414" s="491" t="s">
        <v>893</v>
      </c>
      <c r="Y414" s="416">
        <v>0</v>
      </c>
      <c r="Z414" s="416">
        <v>42424</v>
      </c>
      <c r="AA414" s="425">
        <v>0</v>
      </c>
    </row>
    <row r="415" spans="1:27" ht="61.5" customHeight="1">
      <c r="A415" s="287" t="s">
        <v>908</v>
      </c>
      <c r="B415" s="495" t="s">
        <v>854</v>
      </c>
      <c r="C415" s="124"/>
      <c r="D415" s="110" t="s">
        <v>909</v>
      </c>
      <c r="E415" s="122"/>
      <c r="F415" s="157"/>
      <c r="G415" s="34"/>
      <c r="H415" s="328"/>
      <c r="I415" s="343" t="s">
        <v>460</v>
      </c>
      <c r="Q415" s="404" t="s">
        <v>852</v>
      </c>
      <c r="R415" s="533">
        <v>-1</v>
      </c>
      <c r="S415" s="533">
        <v>2424</v>
      </c>
      <c r="T415" s="534">
        <f>R415*S415</f>
        <v>-2424</v>
      </c>
      <c r="U415" s="515"/>
      <c r="V415" s="515"/>
      <c r="W415" s="515"/>
      <c r="X415" s="491"/>
      <c r="Y415" s="416">
        <v>0</v>
      </c>
      <c r="Z415" s="416">
        <v>0</v>
      </c>
      <c r="AA415" s="425">
        <v>-2424</v>
      </c>
    </row>
    <row r="416" spans="1:27" ht="25.5">
      <c r="A416" s="287">
        <f>A414+1</f>
        <v>214</v>
      </c>
      <c r="B416" s="112" t="s">
        <v>105</v>
      </c>
      <c r="C416" s="109" t="s">
        <v>338</v>
      </c>
      <c r="D416" s="121" t="s">
        <v>92</v>
      </c>
      <c r="E416" s="122" t="s">
        <v>330</v>
      </c>
      <c r="F416" s="330">
        <v>1</v>
      </c>
      <c r="G416" s="34">
        <v>3270</v>
      </c>
      <c r="H416" s="328">
        <f t="shared" si="35"/>
        <v>3270</v>
      </c>
      <c r="I416" s="343" t="s">
        <v>466</v>
      </c>
      <c r="P416" s="31"/>
      <c r="Q416" s="404"/>
      <c r="R416" s="533"/>
      <c r="S416" s="533"/>
      <c r="T416" s="533"/>
      <c r="U416" s="515"/>
      <c r="V416" s="515"/>
      <c r="W416" s="515"/>
      <c r="X416" s="484"/>
      <c r="Y416" s="416">
        <v>0</v>
      </c>
      <c r="Z416" s="416">
        <v>3270</v>
      </c>
      <c r="AA416" s="425">
        <f t="shared" si="37"/>
        <v>0</v>
      </c>
    </row>
    <row r="417" spans="1:27" ht="12.75">
      <c r="A417" s="287">
        <f t="shared" si="38"/>
        <v>215</v>
      </c>
      <c r="B417" s="112" t="s">
        <v>106</v>
      </c>
      <c r="C417" s="109" t="s">
        <v>338</v>
      </c>
      <c r="D417" s="121" t="s">
        <v>518</v>
      </c>
      <c r="E417" s="122" t="s">
        <v>330</v>
      </c>
      <c r="F417" s="330">
        <v>1</v>
      </c>
      <c r="G417" s="34">
        <v>5245</v>
      </c>
      <c r="H417" s="328">
        <f t="shared" si="35"/>
        <v>5245</v>
      </c>
      <c r="I417" s="343" t="s">
        <v>466</v>
      </c>
      <c r="P417" s="31"/>
      <c r="Q417" s="404"/>
      <c r="R417" s="533"/>
      <c r="S417" s="533"/>
      <c r="T417" s="533"/>
      <c r="U417" s="515"/>
      <c r="V417" s="515"/>
      <c r="W417" s="515"/>
      <c r="X417" s="354"/>
      <c r="Y417" s="416">
        <v>0</v>
      </c>
      <c r="Z417" s="416">
        <v>5245</v>
      </c>
      <c r="AA417" s="425">
        <f t="shared" si="37"/>
        <v>0</v>
      </c>
    </row>
    <row r="418" spans="1:27" ht="38.25">
      <c r="A418" s="287">
        <f t="shared" si="38"/>
        <v>216</v>
      </c>
      <c r="B418" s="112" t="s">
        <v>94</v>
      </c>
      <c r="C418" s="109" t="s">
        <v>338</v>
      </c>
      <c r="D418" s="121" t="s">
        <v>759</v>
      </c>
      <c r="E418" s="122" t="s">
        <v>330</v>
      </c>
      <c r="F418" s="125">
        <v>1</v>
      </c>
      <c r="G418" s="34">
        <v>18000</v>
      </c>
      <c r="H418" s="169">
        <f t="shared" si="35"/>
        <v>18000</v>
      </c>
      <c r="I418" s="170" t="s">
        <v>466</v>
      </c>
      <c r="K418" s="171"/>
      <c r="L418" s="66"/>
      <c r="M418" s="142"/>
      <c r="P418" s="31"/>
      <c r="Q418" s="404"/>
      <c r="R418" s="533"/>
      <c r="S418" s="533"/>
      <c r="T418" s="533"/>
      <c r="U418" s="515"/>
      <c r="V418" s="515"/>
      <c r="W418" s="515"/>
      <c r="X418" s="365"/>
      <c r="Y418" s="416">
        <v>0</v>
      </c>
      <c r="Z418" s="416">
        <v>18000</v>
      </c>
      <c r="AA418" s="425">
        <f t="shared" si="37"/>
        <v>0</v>
      </c>
    </row>
    <row r="419" spans="1:27" ht="25.5">
      <c r="A419" s="287">
        <f t="shared" si="38"/>
        <v>217</v>
      </c>
      <c r="B419" s="90" t="s">
        <v>104</v>
      </c>
      <c r="C419" s="99" t="s">
        <v>391</v>
      </c>
      <c r="D419" s="57" t="s">
        <v>7</v>
      </c>
      <c r="E419" s="100" t="s">
        <v>330</v>
      </c>
      <c r="F419" s="96">
        <v>1</v>
      </c>
      <c r="G419" s="33">
        <v>3100</v>
      </c>
      <c r="H419" s="288">
        <f t="shared" si="35"/>
        <v>3100</v>
      </c>
      <c r="I419" s="343" t="s">
        <v>466</v>
      </c>
      <c r="P419" s="31"/>
      <c r="Q419" s="404"/>
      <c r="R419" s="533"/>
      <c r="S419" s="533"/>
      <c r="T419" s="533"/>
      <c r="U419" s="515"/>
      <c r="V419" s="515"/>
      <c r="W419" s="515"/>
      <c r="X419" s="354"/>
      <c r="Y419" s="416">
        <v>0</v>
      </c>
      <c r="Z419" s="416">
        <v>3100</v>
      </c>
      <c r="AA419" s="425">
        <f t="shared" si="37"/>
        <v>0</v>
      </c>
    </row>
    <row r="420" spans="1:27" ht="13.5" thickBot="1">
      <c r="A420" s="287">
        <f>A419+1</f>
        <v>218</v>
      </c>
      <c r="B420" s="90" t="s">
        <v>172</v>
      </c>
      <c r="C420" s="99"/>
      <c r="D420" s="94" t="s">
        <v>354</v>
      </c>
      <c r="E420" s="316" t="s">
        <v>336</v>
      </c>
      <c r="F420" s="96">
        <f>+H404+H405+H406+H407+H408+H409+H411+H414+H416+H417+H418+H419</f>
        <v>139125</v>
      </c>
      <c r="G420" s="35">
        <v>0.05</v>
      </c>
      <c r="H420" s="317">
        <f t="shared" si="35"/>
        <v>6956.25</v>
      </c>
      <c r="I420" s="343" t="s">
        <v>466</v>
      </c>
      <c r="Q420" s="404"/>
      <c r="R420" s="533"/>
      <c r="S420" s="538"/>
      <c r="T420" s="533"/>
      <c r="U420" s="515"/>
      <c r="V420" s="515"/>
      <c r="W420" s="515"/>
      <c r="X420" s="354"/>
      <c r="Y420" s="416">
        <v>0</v>
      </c>
      <c r="Z420" s="416">
        <v>6956.3</v>
      </c>
      <c r="AA420" s="425">
        <f t="shared" si="37"/>
        <v>-0.0500000000001819</v>
      </c>
    </row>
    <row r="421" spans="1:27" ht="13.5" thickBot="1">
      <c r="A421" s="287"/>
      <c r="B421" s="289"/>
      <c r="C421" s="99"/>
      <c r="D421" s="67" t="s">
        <v>329</v>
      </c>
      <c r="E421" s="310"/>
      <c r="F421" s="311"/>
      <c r="G421" s="312"/>
      <c r="H421" s="302">
        <f>SUBTOTAL(9,H398:H420)</f>
        <v>204140.25</v>
      </c>
      <c r="Q421" s="405"/>
      <c r="R421" s="536"/>
      <c r="S421" s="536"/>
      <c r="T421" s="536"/>
      <c r="U421" s="517"/>
      <c r="V421" s="517"/>
      <c r="W421" s="517"/>
      <c r="Y421" s="416"/>
      <c r="Z421" s="416"/>
      <c r="AA421" s="425"/>
    </row>
    <row r="422" spans="1:27" ht="12.75">
      <c r="A422" s="287"/>
      <c r="B422" s="289"/>
      <c r="C422" s="99"/>
      <c r="D422" s="303"/>
      <c r="E422" s="304"/>
      <c r="F422" s="246"/>
      <c r="G422" s="276"/>
      <c r="H422" s="305"/>
      <c r="I422" s="343"/>
      <c r="P422" s="3" t="s">
        <v>483</v>
      </c>
      <c r="Q422" s="404"/>
      <c r="R422" s="533"/>
      <c r="S422" s="533"/>
      <c r="T422" s="533"/>
      <c r="U422" s="515"/>
      <c r="V422" s="515"/>
      <c r="W422" s="515"/>
      <c r="X422" s="354"/>
      <c r="Y422" s="416"/>
      <c r="Z422" s="416"/>
      <c r="AA422" s="425">
        <f t="shared" si="37"/>
        <v>0</v>
      </c>
    </row>
    <row r="423" spans="1:27" ht="16.5">
      <c r="A423" s="287"/>
      <c r="B423" s="289"/>
      <c r="C423" s="306" t="s">
        <v>389</v>
      </c>
      <c r="D423" s="564" t="s">
        <v>353</v>
      </c>
      <c r="E423" s="564"/>
      <c r="F423" s="564"/>
      <c r="G423" s="564"/>
      <c r="H423" s="564"/>
      <c r="I423" s="343"/>
      <c r="Q423" s="404"/>
      <c r="R423" s="533"/>
      <c r="S423" s="533"/>
      <c r="T423" s="533"/>
      <c r="U423" s="515"/>
      <c r="V423" s="515"/>
      <c r="W423" s="515"/>
      <c r="X423" s="354"/>
      <c r="Y423" s="416"/>
      <c r="Z423" s="416"/>
      <c r="AA423" s="425">
        <f t="shared" si="37"/>
        <v>0</v>
      </c>
    </row>
    <row r="424" spans="1:27" ht="66.75" customHeight="1">
      <c r="A424" s="287"/>
      <c r="B424" s="289"/>
      <c r="C424" s="286"/>
      <c r="D424" s="557" t="s">
        <v>380</v>
      </c>
      <c r="E424" s="566"/>
      <c r="F424" s="566"/>
      <c r="G424" s="566"/>
      <c r="H424" s="566"/>
      <c r="I424" s="343"/>
      <c r="Q424" s="404"/>
      <c r="R424" s="533"/>
      <c r="S424" s="533"/>
      <c r="T424" s="533"/>
      <c r="U424" s="515"/>
      <c r="V424" s="515"/>
      <c r="W424" s="515"/>
      <c r="X424" s="354"/>
      <c r="Y424" s="416"/>
      <c r="Z424" s="416"/>
      <c r="AA424" s="425">
        <f t="shared" si="37"/>
        <v>0</v>
      </c>
    </row>
    <row r="425" spans="1:29" ht="12.75">
      <c r="A425" s="287">
        <f>A420+1</f>
        <v>219</v>
      </c>
      <c r="B425" s="126" t="s">
        <v>68</v>
      </c>
      <c r="C425" s="144" t="s">
        <v>339</v>
      </c>
      <c r="D425" s="105" t="s">
        <v>69</v>
      </c>
      <c r="E425" s="145" t="s">
        <v>341</v>
      </c>
      <c r="F425" s="96">
        <f>+F426+F427+F428</f>
        <v>156.994</v>
      </c>
      <c r="G425" s="33">
        <v>13</v>
      </c>
      <c r="H425" s="288">
        <f aca="true" t="shared" si="39" ref="H425:H431">F425*G425</f>
        <v>2040.922</v>
      </c>
      <c r="I425" s="343" t="s">
        <v>460</v>
      </c>
      <c r="Q425" s="404"/>
      <c r="R425" s="533"/>
      <c r="S425" s="533"/>
      <c r="T425" s="533"/>
      <c r="U425" s="515"/>
      <c r="V425" s="515"/>
      <c r="W425" s="515"/>
      <c r="X425" s="354"/>
      <c r="Y425" s="416">
        <v>2040.9</v>
      </c>
      <c r="Z425" s="416">
        <v>0</v>
      </c>
      <c r="AA425" s="425">
        <f t="shared" si="37"/>
        <v>0.021999999999934516</v>
      </c>
      <c r="AC425" s="422"/>
    </row>
    <row r="426" spans="1:29" ht="12.75">
      <c r="A426" s="287">
        <f>A425+1</f>
        <v>220</v>
      </c>
      <c r="B426" s="164" t="s">
        <v>704</v>
      </c>
      <c r="C426" s="109" t="s">
        <v>3</v>
      </c>
      <c r="D426" s="110" t="s">
        <v>706</v>
      </c>
      <c r="E426" s="111" t="s">
        <v>341</v>
      </c>
      <c r="F426" s="119">
        <f>3.1*3.43</f>
        <v>10.633000000000001</v>
      </c>
      <c r="G426" s="36">
        <v>55</v>
      </c>
      <c r="H426" s="313">
        <f t="shared" si="39"/>
        <v>584.815</v>
      </c>
      <c r="I426" s="343" t="s">
        <v>460</v>
      </c>
      <c r="Q426" s="404"/>
      <c r="R426" s="533"/>
      <c r="S426" s="533"/>
      <c r="T426" s="533"/>
      <c r="U426" s="515"/>
      <c r="V426" s="515"/>
      <c r="W426" s="515"/>
      <c r="X426" s="354"/>
      <c r="Y426" s="416">
        <v>584.8</v>
      </c>
      <c r="Z426" s="416">
        <v>0</v>
      </c>
      <c r="AA426" s="425">
        <f t="shared" si="37"/>
        <v>0.015000000000100044</v>
      </c>
      <c r="AC426" s="422"/>
    </row>
    <row r="427" spans="1:29" ht="15.75" customHeight="1">
      <c r="A427" s="287">
        <f aca="true" t="shared" si="40" ref="A427:A433">A426+1</f>
        <v>221</v>
      </c>
      <c r="B427" s="90">
        <v>13383315</v>
      </c>
      <c r="C427" s="109" t="s">
        <v>4</v>
      </c>
      <c r="D427" s="110" t="s">
        <v>67</v>
      </c>
      <c r="E427" s="111" t="s">
        <v>341</v>
      </c>
      <c r="F427" s="119">
        <f>5.96*8.1</f>
        <v>48.275999999999996</v>
      </c>
      <c r="G427" s="36">
        <v>68</v>
      </c>
      <c r="H427" s="313">
        <f t="shared" si="39"/>
        <v>3282.7679999999996</v>
      </c>
      <c r="I427" s="343" t="s">
        <v>460</v>
      </c>
      <c r="Q427" s="404"/>
      <c r="R427" s="533"/>
      <c r="S427" s="533"/>
      <c r="T427" s="533"/>
      <c r="U427" s="515"/>
      <c r="V427" s="515"/>
      <c r="W427" s="515"/>
      <c r="X427" s="354"/>
      <c r="Y427" s="416">
        <v>3282.8</v>
      </c>
      <c r="Z427" s="416">
        <v>0</v>
      </c>
      <c r="AA427" s="425">
        <f t="shared" si="37"/>
        <v>-0.03200000000060754</v>
      </c>
      <c r="AC427" s="422"/>
    </row>
    <row r="428" spans="1:29" ht="30" customHeight="1">
      <c r="A428" s="287">
        <f t="shared" si="40"/>
        <v>222</v>
      </c>
      <c r="B428" s="90" t="s">
        <v>707</v>
      </c>
      <c r="C428" s="109" t="s">
        <v>709</v>
      </c>
      <c r="D428" s="110" t="s">
        <v>708</v>
      </c>
      <c r="E428" s="111" t="s">
        <v>341</v>
      </c>
      <c r="F428" s="119">
        <f>6.5*15.09</f>
        <v>98.085</v>
      </c>
      <c r="G428" s="36">
        <v>62.8</v>
      </c>
      <c r="H428" s="313">
        <f>F428*G428</f>
        <v>6159.737999999999</v>
      </c>
      <c r="I428" s="343" t="s">
        <v>460</v>
      </c>
      <c r="Q428" s="404"/>
      <c r="R428" s="533"/>
      <c r="S428" s="533"/>
      <c r="T428" s="533"/>
      <c r="U428" s="515"/>
      <c r="V428" s="515"/>
      <c r="W428" s="515"/>
      <c r="X428" s="354"/>
      <c r="Y428" s="416">
        <v>6159.7</v>
      </c>
      <c r="Z428" s="416">
        <v>0</v>
      </c>
      <c r="AA428" s="425">
        <f t="shared" si="37"/>
        <v>0.03799999999955617</v>
      </c>
      <c r="AC428" s="422"/>
    </row>
    <row r="429" spans="1:29" ht="12.75">
      <c r="A429" s="287">
        <f t="shared" si="40"/>
        <v>223</v>
      </c>
      <c r="B429" s="164" t="s">
        <v>828</v>
      </c>
      <c r="C429" s="99"/>
      <c r="D429" s="94" t="s">
        <v>559</v>
      </c>
      <c r="E429" s="100" t="s">
        <v>331</v>
      </c>
      <c r="F429" s="96">
        <f>8.1+0.4</f>
        <v>8.5</v>
      </c>
      <c r="G429" s="33">
        <v>31</v>
      </c>
      <c r="H429" s="288">
        <f t="shared" si="39"/>
        <v>263.5</v>
      </c>
      <c r="I429" s="343" t="s">
        <v>466</v>
      </c>
      <c r="Q429" s="404"/>
      <c r="R429" s="533"/>
      <c r="S429" s="533"/>
      <c r="T429" s="533"/>
      <c r="U429" s="515"/>
      <c r="V429" s="515"/>
      <c r="W429" s="515"/>
      <c r="X429" s="354"/>
      <c r="Y429" s="416">
        <v>263.5</v>
      </c>
      <c r="Z429" s="416">
        <v>0</v>
      </c>
      <c r="AA429" s="425">
        <f t="shared" si="37"/>
        <v>0</v>
      </c>
      <c r="AC429" s="422"/>
    </row>
    <row r="430" spans="1:29" ht="12.75">
      <c r="A430" s="287">
        <f>A429+1</f>
        <v>224</v>
      </c>
      <c r="B430" s="289" t="s">
        <v>558</v>
      </c>
      <c r="C430" s="99"/>
      <c r="D430" s="94" t="s">
        <v>557</v>
      </c>
      <c r="E430" s="100" t="s">
        <v>341</v>
      </c>
      <c r="F430" s="96">
        <f>33.7*10.7</f>
        <v>360.59000000000003</v>
      </c>
      <c r="G430" s="33">
        <v>11.25</v>
      </c>
      <c r="H430" s="288">
        <f t="shared" si="39"/>
        <v>4056.6375000000003</v>
      </c>
      <c r="I430" s="343" t="s">
        <v>460</v>
      </c>
      <c r="Q430" s="404"/>
      <c r="R430" s="533"/>
      <c r="S430" s="533"/>
      <c r="T430" s="533"/>
      <c r="U430" s="515"/>
      <c r="V430" s="515"/>
      <c r="W430" s="515"/>
      <c r="X430" s="354"/>
      <c r="Y430" s="416">
        <v>4056.6</v>
      </c>
      <c r="Z430" s="416">
        <v>0</v>
      </c>
      <c r="AA430" s="425">
        <f t="shared" si="37"/>
        <v>0.0375000000003638</v>
      </c>
      <c r="AC430" s="422"/>
    </row>
    <row r="431" spans="1:29" ht="12.75">
      <c r="A431" s="287">
        <f t="shared" si="40"/>
        <v>225</v>
      </c>
      <c r="B431" s="90" t="s">
        <v>705</v>
      </c>
      <c r="C431" s="109" t="s">
        <v>5</v>
      </c>
      <c r="D431" s="110" t="s">
        <v>556</v>
      </c>
      <c r="E431" s="111" t="s">
        <v>341</v>
      </c>
      <c r="F431" s="119">
        <f>F430</f>
        <v>360.59000000000003</v>
      </c>
      <c r="G431" s="36">
        <v>98</v>
      </c>
      <c r="H431" s="313">
        <f t="shared" si="39"/>
        <v>35337.82</v>
      </c>
      <c r="I431" s="343" t="s">
        <v>460</v>
      </c>
      <c r="Q431" s="404"/>
      <c r="R431" s="533"/>
      <c r="S431" s="533"/>
      <c r="T431" s="533"/>
      <c r="U431" s="515"/>
      <c r="V431" s="515"/>
      <c r="W431" s="515"/>
      <c r="X431" s="354"/>
      <c r="Y431" s="416">
        <v>35337.8</v>
      </c>
      <c r="Z431" s="416">
        <v>0</v>
      </c>
      <c r="AA431" s="425">
        <f t="shared" si="37"/>
        <v>0.01999999999679858</v>
      </c>
      <c r="AC431" s="422"/>
    </row>
    <row r="432" spans="1:29" ht="12.75">
      <c r="A432" s="287">
        <f t="shared" si="40"/>
        <v>226</v>
      </c>
      <c r="B432" s="289" t="s">
        <v>561</v>
      </c>
      <c r="C432" s="99"/>
      <c r="D432" s="94" t="s">
        <v>587</v>
      </c>
      <c r="E432" s="100" t="s">
        <v>341</v>
      </c>
      <c r="F432" s="96">
        <f>2*1.2*3*22.8</f>
        <v>164.16</v>
      </c>
      <c r="G432" s="33">
        <v>11.25</v>
      </c>
      <c r="H432" s="288">
        <f aca="true" t="shared" si="41" ref="H432:H441">F432*G432</f>
        <v>1846.8</v>
      </c>
      <c r="I432" s="343" t="s">
        <v>460</v>
      </c>
      <c r="Q432" s="404"/>
      <c r="R432" s="533"/>
      <c r="S432" s="533"/>
      <c r="T432" s="533"/>
      <c r="U432" s="515"/>
      <c r="V432" s="515"/>
      <c r="W432" s="515"/>
      <c r="X432" s="354"/>
      <c r="Y432" s="416">
        <v>1846.8</v>
      </c>
      <c r="Z432" s="416">
        <v>0</v>
      </c>
      <c r="AA432" s="425">
        <f t="shared" si="37"/>
        <v>0</v>
      </c>
      <c r="AC432" s="422"/>
    </row>
    <row r="433" spans="1:29" ht="12.75">
      <c r="A433" s="287">
        <f t="shared" si="40"/>
        <v>227</v>
      </c>
      <c r="B433" s="289" t="s">
        <v>591</v>
      </c>
      <c r="C433" s="109" t="s">
        <v>338</v>
      </c>
      <c r="D433" s="110" t="s">
        <v>590</v>
      </c>
      <c r="E433" s="111" t="s">
        <v>341</v>
      </c>
      <c r="F433" s="119">
        <f>F432</f>
        <v>164.16</v>
      </c>
      <c r="G433" s="36">
        <v>80</v>
      </c>
      <c r="H433" s="313">
        <f t="shared" si="41"/>
        <v>13132.8</v>
      </c>
      <c r="I433" s="343" t="s">
        <v>460</v>
      </c>
      <c r="Q433" s="404"/>
      <c r="R433" s="533"/>
      <c r="S433" s="533"/>
      <c r="T433" s="533"/>
      <c r="U433" s="515"/>
      <c r="V433" s="515"/>
      <c r="W433" s="515"/>
      <c r="X433" s="354"/>
      <c r="Y433" s="416">
        <v>13132.8</v>
      </c>
      <c r="Z433" s="416">
        <v>0</v>
      </c>
      <c r="AA433" s="425">
        <f t="shared" si="37"/>
        <v>0</v>
      </c>
      <c r="AC433" s="422"/>
    </row>
    <row r="434" spans="1:29" ht="12.75">
      <c r="A434" s="287">
        <f aca="true" t="shared" si="42" ref="A434:A443">A433+1</f>
        <v>228</v>
      </c>
      <c r="B434" s="289" t="s">
        <v>589</v>
      </c>
      <c r="C434" s="99"/>
      <c r="D434" s="94" t="s">
        <v>588</v>
      </c>
      <c r="E434" s="100" t="s">
        <v>330</v>
      </c>
      <c r="F434" s="96">
        <v>3</v>
      </c>
      <c r="G434" s="33">
        <v>185</v>
      </c>
      <c r="H434" s="288">
        <f t="shared" si="41"/>
        <v>555</v>
      </c>
      <c r="I434" s="343" t="s">
        <v>460</v>
      </c>
      <c r="Q434" s="404"/>
      <c r="R434" s="533"/>
      <c r="S434" s="533"/>
      <c r="T434" s="533"/>
      <c r="U434" s="515"/>
      <c r="V434" s="515"/>
      <c r="W434" s="515"/>
      <c r="X434" s="354"/>
      <c r="Y434" s="416">
        <v>555</v>
      </c>
      <c r="Z434" s="416">
        <v>0</v>
      </c>
      <c r="AA434" s="425">
        <f t="shared" si="37"/>
        <v>0</v>
      </c>
      <c r="AC434" s="422"/>
    </row>
    <row r="435" spans="1:29" ht="25.5">
      <c r="A435" s="287">
        <f t="shared" si="42"/>
        <v>229</v>
      </c>
      <c r="B435" s="289" t="s">
        <v>562</v>
      </c>
      <c r="C435" s="99"/>
      <c r="D435" s="94" t="s">
        <v>560</v>
      </c>
      <c r="E435" s="100" t="s">
        <v>341</v>
      </c>
      <c r="F435" s="96">
        <f>16*2.55</f>
        <v>40.8</v>
      </c>
      <c r="G435" s="33">
        <v>69.28</v>
      </c>
      <c r="H435" s="288">
        <f t="shared" si="41"/>
        <v>2826.624</v>
      </c>
      <c r="I435" s="343" t="s">
        <v>460</v>
      </c>
      <c r="Q435" s="404"/>
      <c r="R435" s="533"/>
      <c r="S435" s="533"/>
      <c r="T435" s="533"/>
      <c r="U435" s="515"/>
      <c r="V435" s="515"/>
      <c r="W435" s="515"/>
      <c r="X435" s="354"/>
      <c r="Y435" s="416">
        <v>2826.6</v>
      </c>
      <c r="Z435" s="416">
        <v>0</v>
      </c>
      <c r="AA435" s="425">
        <f t="shared" si="37"/>
        <v>0.023999999999887223</v>
      </c>
      <c r="AC435" s="422"/>
    </row>
    <row r="436" spans="1:29" ht="25.5">
      <c r="A436" s="287">
        <f t="shared" si="42"/>
        <v>230</v>
      </c>
      <c r="B436" s="289" t="s">
        <v>563</v>
      </c>
      <c r="C436" s="99" t="s">
        <v>391</v>
      </c>
      <c r="D436" s="94" t="s">
        <v>565</v>
      </c>
      <c r="E436" s="100" t="s">
        <v>331</v>
      </c>
      <c r="F436" s="96">
        <v>9.4</v>
      </c>
      <c r="G436" s="33">
        <v>82</v>
      </c>
      <c r="H436" s="288">
        <f t="shared" si="41"/>
        <v>770.8000000000001</v>
      </c>
      <c r="I436" s="343" t="s">
        <v>460</v>
      </c>
      <c r="Q436" s="404"/>
      <c r="R436" s="533"/>
      <c r="S436" s="533"/>
      <c r="T436" s="533"/>
      <c r="U436" s="515"/>
      <c r="V436" s="515"/>
      <c r="W436" s="515"/>
      <c r="X436" s="354"/>
      <c r="Y436" s="416">
        <v>770.8</v>
      </c>
      <c r="Z436" s="416">
        <v>0</v>
      </c>
      <c r="AA436" s="425">
        <f t="shared" si="37"/>
        <v>0</v>
      </c>
      <c r="AC436" s="422"/>
    </row>
    <row r="437" spans="1:29" ht="12.75">
      <c r="A437" s="287">
        <f t="shared" si="42"/>
        <v>231</v>
      </c>
      <c r="B437" s="115" t="s">
        <v>89</v>
      </c>
      <c r="C437" s="98" t="s">
        <v>391</v>
      </c>
      <c r="D437" s="94" t="s">
        <v>711</v>
      </c>
      <c r="E437" s="58" t="s">
        <v>328</v>
      </c>
      <c r="F437" s="96">
        <f>+E438</f>
        <v>17.4984</v>
      </c>
      <c r="G437" s="33">
        <v>32.9</v>
      </c>
      <c r="H437" s="288">
        <f>F437*G437</f>
        <v>575.69736</v>
      </c>
      <c r="I437" s="343" t="s">
        <v>460</v>
      </c>
      <c r="Q437" s="404"/>
      <c r="R437" s="533"/>
      <c r="S437" s="533"/>
      <c r="T437" s="533"/>
      <c r="U437" s="515"/>
      <c r="V437" s="515"/>
      <c r="W437" s="515"/>
      <c r="X437" s="354"/>
      <c r="Y437" s="416">
        <v>575.7</v>
      </c>
      <c r="Z437" s="416">
        <v>0</v>
      </c>
      <c r="AA437" s="425">
        <f t="shared" si="37"/>
        <v>-0.002640000000042164</v>
      </c>
      <c r="AC437" s="422"/>
    </row>
    <row r="438" spans="1:29" ht="12.75">
      <c r="A438" s="287"/>
      <c r="B438" s="115"/>
      <c r="C438" s="98"/>
      <c r="D438" s="331" t="s">
        <v>710</v>
      </c>
      <c r="E438" s="332">
        <f>3.1*0.208+5.96*0.422+15.09*0.292+10.7*0.686+2*1.2*3*0.36</f>
        <v>17.4984</v>
      </c>
      <c r="F438" s="96"/>
      <c r="G438" s="96"/>
      <c r="H438" s="96"/>
      <c r="I438" s="343"/>
      <c r="Q438" s="404"/>
      <c r="R438" s="533"/>
      <c r="S438" s="533"/>
      <c r="T438" s="533"/>
      <c r="U438" s="515"/>
      <c r="V438" s="515"/>
      <c r="W438" s="515"/>
      <c r="X438" s="354"/>
      <c r="Y438" s="416"/>
      <c r="Z438" s="416"/>
      <c r="AA438" s="425">
        <f t="shared" si="37"/>
        <v>0</v>
      </c>
      <c r="AC438" s="422"/>
    </row>
    <row r="439" spans="1:29" ht="25.5">
      <c r="A439" s="287">
        <f>A437+1</f>
        <v>232</v>
      </c>
      <c r="B439" s="140" t="s">
        <v>29</v>
      </c>
      <c r="C439" s="104" t="s">
        <v>339</v>
      </c>
      <c r="D439" s="105" t="s">
        <v>15</v>
      </c>
      <c r="E439" s="106" t="s">
        <v>330</v>
      </c>
      <c r="F439" s="132">
        <v>3</v>
      </c>
      <c r="G439" s="33">
        <v>1208</v>
      </c>
      <c r="H439" s="288">
        <f t="shared" si="41"/>
        <v>3624</v>
      </c>
      <c r="I439" s="343" t="s">
        <v>460</v>
      </c>
      <c r="Q439" s="404"/>
      <c r="R439" s="533"/>
      <c r="S439" s="533"/>
      <c r="T439" s="533"/>
      <c r="U439" s="515"/>
      <c r="V439" s="515"/>
      <c r="W439" s="515"/>
      <c r="X439" s="354"/>
      <c r="Y439" s="416">
        <v>3624</v>
      </c>
      <c r="Z439" s="416">
        <v>0</v>
      </c>
      <c r="AA439" s="425">
        <f t="shared" si="37"/>
        <v>0</v>
      </c>
      <c r="AC439" s="422"/>
    </row>
    <row r="440" spans="1:29" ht="38.25">
      <c r="A440" s="287">
        <f t="shared" si="42"/>
        <v>233</v>
      </c>
      <c r="B440" s="141" t="s">
        <v>618</v>
      </c>
      <c r="C440" s="134" t="s">
        <v>338</v>
      </c>
      <c r="D440" s="129" t="s">
        <v>1</v>
      </c>
      <c r="E440" s="130" t="s">
        <v>330</v>
      </c>
      <c r="F440" s="125">
        <v>1</v>
      </c>
      <c r="G440" s="36">
        <v>5725</v>
      </c>
      <c r="H440" s="313">
        <f t="shared" si="41"/>
        <v>5725</v>
      </c>
      <c r="I440" s="343" t="s">
        <v>460</v>
      </c>
      <c r="L440" s="142"/>
      <c r="Q440" s="404"/>
      <c r="R440" s="533"/>
      <c r="S440" s="533"/>
      <c r="T440" s="533"/>
      <c r="U440" s="515"/>
      <c r="V440" s="515"/>
      <c r="W440" s="515"/>
      <c r="X440" s="354"/>
      <c r="Y440" s="416">
        <v>5725</v>
      </c>
      <c r="Z440" s="416">
        <v>0</v>
      </c>
      <c r="AA440" s="425">
        <f t="shared" si="37"/>
        <v>0</v>
      </c>
      <c r="AC440" s="422"/>
    </row>
    <row r="441" spans="1:29" ht="38.25">
      <c r="A441" s="287">
        <f t="shared" si="42"/>
        <v>234</v>
      </c>
      <c r="B441" s="141" t="s">
        <v>616</v>
      </c>
      <c r="C441" s="134" t="s">
        <v>338</v>
      </c>
      <c r="D441" s="129" t="s">
        <v>2</v>
      </c>
      <c r="E441" s="130" t="s">
        <v>330</v>
      </c>
      <c r="F441" s="125">
        <v>1</v>
      </c>
      <c r="G441" s="36">
        <v>5725</v>
      </c>
      <c r="H441" s="313">
        <f t="shared" si="41"/>
        <v>5725</v>
      </c>
      <c r="I441" s="343" t="s">
        <v>460</v>
      </c>
      <c r="L441" s="143"/>
      <c r="Q441" s="404"/>
      <c r="R441" s="533"/>
      <c r="S441" s="533"/>
      <c r="T441" s="533"/>
      <c r="U441" s="515"/>
      <c r="V441" s="515"/>
      <c r="W441" s="515"/>
      <c r="X441" s="354"/>
      <c r="Y441" s="416">
        <v>5725</v>
      </c>
      <c r="Z441" s="416">
        <v>0</v>
      </c>
      <c r="AA441" s="425">
        <f t="shared" si="37"/>
        <v>0</v>
      </c>
      <c r="AC441" s="422"/>
    </row>
    <row r="442" spans="1:29" ht="38.25">
      <c r="A442" s="287">
        <f t="shared" si="42"/>
        <v>235</v>
      </c>
      <c r="B442" s="141" t="s">
        <v>617</v>
      </c>
      <c r="C442" s="134" t="s">
        <v>338</v>
      </c>
      <c r="D442" s="129" t="s">
        <v>0</v>
      </c>
      <c r="E442" s="130" t="s">
        <v>330</v>
      </c>
      <c r="F442" s="125">
        <v>1</v>
      </c>
      <c r="G442" s="36">
        <v>4340</v>
      </c>
      <c r="H442" s="313">
        <f>F442*G442</f>
        <v>4340</v>
      </c>
      <c r="I442" s="343" t="s">
        <v>460</v>
      </c>
      <c r="Q442" s="404"/>
      <c r="R442" s="533"/>
      <c r="S442" s="533"/>
      <c r="T442" s="533"/>
      <c r="U442" s="515"/>
      <c r="V442" s="515"/>
      <c r="W442" s="515"/>
      <c r="X442" s="354"/>
      <c r="Y442" s="416">
        <v>4340</v>
      </c>
      <c r="Z442" s="416">
        <v>0</v>
      </c>
      <c r="AA442" s="425">
        <f t="shared" si="37"/>
        <v>0</v>
      </c>
      <c r="AC442" s="422"/>
    </row>
    <row r="443" spans="1:29" ht="13.5" thickBot="1">
      <c r="A443" s="287">
        <f t="shared" si="42"/>
        <v>236</v>
      </c>
      <c r="B443" s="90" t="s">
        <v>172</v>
      </c>
      <c r="C443" s="99"/>
      <c r="D443" s="94" t="s">
        <v>354</v>
      </c>
      <c r="E443" s="316" t="s">
        <v>336</v>
      </c>
      <c r="F443" s="96">
        <f>+H426+H427+H428+H429+H431+H433+H435+H436+H440+H441+H442+H437</f>
        <v>78724.56236000001</v>
      </c>
      <c r="G443" s="35">
        <v>0.05</v>
      </c>
      <c r="H443" s="317">
        <f>F443*G443</f>
        <v>3936.228118000001</v>
      </c>
      <c r="I443" s="343" t="s">
        <v>460</v>
      </c>
      <c r="Q443" s="404"/>
      <c r="R443" s="533"/>
      <c r="S443" s="533"/>
      <c r="T443" s="533"/>
      <c r="U443" s="515"/>
      <c r="V443" s="515"/>
      <c r="W443" s="515"/>
      <c r="X443" s="354"/>
      <c r="Y443" s="416">
        <v>3936.2</v>
      </c>
      <c r="Z443" s="416">
        <v>0</v>
      </c>
      <c r="AA443" s="425">
        <f t="shared" si="37"/>
        <v>0.02811800000108633</v>
      </c>
      <c r="AC443" s="422"/>
    </row>
    <row r="444" spans="1:29" ht="13.5" thickBot="1">
      <c r="A444" s="287"/>
      <c r="B444" s="289"/>
      <c r="C444" s="99"/>
      <c r="D444" s="67" t="s">
        <v>329</v>
      </c>
      <c r="E444" s="310"/>
      <c r="F444" s="311"/>
      <c r="G444" s="312"/>
      <c r="H444" s="302">
        <f>SUBTOTAL(9,H425:H443)</f>
        <v>94784.149978</v>
      </c>
      <c r="Q444" s="405"/>
      <c r="R444" s="536"/>
      <c r="S444" s="536"/>
      <c r="T444" s="536"/>
      <c r="U444" s="517"/>
      <c r="V444" s="517"/>
      <c r="W444" s="517"/>
      <c r="Y444" s="416"/>
      <c r="Z444" s="416"/>
      <c r="AA444" s="425"/>
      <c r="AC444" s="422"/>
    </row>
    <row r="445" spans="1:27" ht="12.75">
      <c r="A445" s="287"/>
      <c r="B445" s="289"/>
      <c r="C445" s="99"/>
      <c r="D445" s="303"/>
      <c r="E445" s="304"/>
      <c r="F445" s="246"/>
      <c r="G445" s="276"/>
      <c r="H445" s="305"/>
      <c r="I445" s="343"/>
      <c r="Q445" s="404"/>
      <c r="R445" s="533"/>
      <c r="S445" s="533"/>
      <c r="T445" s="533"/>
      <c r="U445" s="515"/>
      <c r="V445" s="515"/>
      <c r="W445" s="515"/>
      <c r="X445" s="354"/>
      <c r="Y445" s="416"/>
      <c r="Z445" s="416"/>
      <c r="AA445" s="425">
        <f t="shared" si="37"/>
        <v>0</v>
      </c>
    </row>
    <row r="446" spans="1:27" ht="16.5">
      <c r="A446" s="287"/>
      <c r="B446" s="289"/>
      <c r="C446" s="306" t="s">
        <v>390</v>
      </c>
      <c r="D446" s="564" t="s">
        <v>368</v>
      </c>
      <c r="E446" s="564"/>
      <c r="F446" s="564"/>
      <c r="G446" s="564"/>
      <c r="H446" s="564"/>
      <c r="I446" s="343"/>
      <c r="Q446" s="404"/>
      <c r="R446" s="533"/>
      <c r="S446" s="533"/>
      <c r="T446" s="533"/>
      <c r="U446" s="515"/>
      <c r="V446" s="515"/>
      <c r="W446" s="515"/>
      <c r="X446" s="354"/>
      <c r="Y446" s="416"/>
      <c r="Z446" s="416"/>
      <c r="AA446" s="425">
        <f t="shared" si="37"/>
        <v>0</v>
      </c>
    </row>
    <row r="447" spans="1:27" ht="52.5" customHeight="1">
      <c r="A447" s="287"/>
      <c r="B447" s="289"/>
      <c r="C447" s="286"/>
      <c r="D447" s="557" t="s">
        <v>376</v>
      </c>
      <c r="E447" s="566"/>
      <c r="F447" s="566"/>
      <c r="G447" s="566"/>
      <c r="H447" s="566"/>
      <c r="I447" s="343"/>
      <c r="Q447" s="404"/>
      <c r="R447" s="533"/>
      <c r="S447" s="533"/>
      <c r="T447" s="533"/>
      <c r="U447" s="515"/>
      <c r="V447" s="515"/>
      <c r="W447" s="515"/>
      <c r="X447" s="354"/>
      <c r="Y447" s="416"/>
      <c r="Z447" s="416"/>
      <c r="AA447" s="425">
        <f t="shared" si="37"/>
        <v>0</v>
      </c>
    </row>
    <row r="448" spans="1:27" ht="12.75">
      <c r="A448" s="287">
        <f>+A443+1</f>
        <v>237</v>
      </c>
      <c r="B448" s="289" t="s">
        <v>712</v>
      </c>
      <c r="C448" s="99" t="s">
        <v>487</v>
      </c>
      <c r="D448" s="94" t="s">
        <v>525</v>
      </c>
      <c r="E448" s="100" t="s">
        <v>328</v>
      </c>
      <c r="F448" s="96">
        <f>4.9+4.8</f>
        <v>9.7</v>
      </c>
      <c r="G448" s="33">
        <v>72</v>
      </c>
      <c r="H448" s="288">
        <f>F448*G448</f>
        <v>698.4</v>
      </c>
      <c r="I448" s="343" t="s">
        <v>460</v>
      </c>
      <c r="Q448" s="404"/>
      <c r="R448" s="533"/>
      <c r="S448" s="533"/>
      <c r="T448" s="533"/>
      <c r="U448" s="515"/>
      <c r="V448" s="515"/>
      <c r="W448" s="515"/>
      <c r="X448" s="354"/>
      <c r="Y448" s="416">
        <v>0</v>
      </c>
      <c r="Z448" s="416">
        <v>698.4</v>
      </c>
      <c r="AA448" s="425">
        <f t="shared" si="37"/>
        <v>0</v>
      </c>
    </row>
    <row r="449" spans="1:27" ht="25.5">
      <c r="A449" s="287">
        <f>+A448+1</f>
        <v>238</v>
      </c>
      <c r="B449" s="289" t="s">
        <v>567</v>
      </c>
      <c r="C449" s="99"/>
      <c r="D449" s="94" t="s">
        <v>592</v>
      </c>
      <c r="E449" s="100" t="s">
        <v>468</v>
      </c>
      <c r="F449" s="96">
        <f>+E450+E451</f>
        <v>0.1261</v>
      </c>
      <c r="G449" s="33">
        <v>8586</v>
      </c>
      <c r="H449" s="288">
        <f>F449*G449</f>
        <v>1082.6945999999998</v>
      </c>
      <c r="I449" s="343" t="s">
        <v>460</v>
      </c>
      <c r="Q449" s="404"/>
      <c r="R449" s="533"/>
      <c r="S449" s="533"/>
      <c r="T449" s="533"/>
      <c r="U449" s="515"/>
      <c r="V449" s="515"/>
      <c r="W449" s="515"/>
      <c r="X449" s="354"/>
      <c r="Y449" s="416">
        <v>0</v>
      </c>
      <c r="Z449" s="416">
        <v>1082.7</v>
      </c>
      <c r="AA449" s="425">
        <f t="shared" si="37"/>
        <v>-0.005400000000236105</v>
      </c>
    </row>
    <row r="450" spans="1:27" ht="12.75">
      <c r="A450" s="293"/>
      <c r="B450" s="289"/>
      <c r="C450" s="99" t="s">
        <v>593</v>
      </c>
      <c r="D450" s="331" t="s">
        <v>594</v>
      </c>
      <c r="E450" s="332">
        <f>0.013*4.9</f>
        <v>0.0637</v>
      </c>
      <c r="F450" s="96"/>
      <c r="G450" s="96"/>
      <c r="H450" s="288"/>
      <c r="I450" s="343"/>
      <c r="Q450" s="404"/>
      <c r="R450" s="533"/>
      <c r="S450" s="533"/>
      <c r="T450" s="533"/>
      <c r="U450" s="515"/>
      <c r="V450" s="515"/>
      <c r="W450" s="515"/>
      <c r="X450" s="354"/>
      <c r="Y450" s="416"/>
      <c r="Z450" s="416"/>
      <c r="AA450" s="425">
        <f t="shared" si="37"/>
        <v>0</v>
      </c>
    </row>
    <row r="451" spans="1:27" ht="12.75">
      <c r="A451" s="293"/>
      <c r="B451" s="289"/>
      <c r="C451" s="99" t="s">
        <v>596</v>
      </c>
      <c r="D451" s="331" t="s">
        <v>595</v>
      </c>
      <c r="E451" s="332">
        <f>0.013*4.8</f>
        <v>0.0624</v>
      </c>
      <c r="F451" s="96"/>
      <c r="G451" s="96"/>
      <c r="H451" s="288"/>
      <c r="I451" s="343"/>
      <c r="Q451" s="404"/>
      <c r="R451" s="533"/>
      <c r="S451" s="533"/>
      <c r="T451" s="533"/>
      <c r="U451" s="515"/>
      <c r="V451" s="515"/>
      <c r="W451" s="515"/>
      <c r="X451" s="354"/>
      <c r="Y451" s="416"/>
      <c r="Z451" s="416"/>
      <c r="AA451" s="425">
        <f t="shared" si="37"/>
        <v>0</v>
      </c>
    </row>
    <row r="452" spans="1:27" ht="25.5">
      <c r="A452" s="287">
        <f>+A449+1</f>
        <v>239</v>
      </c>
      <c r="B452" s="289" t="s">
        <v>722</v>
      </c>
      <c r="C452" s="99" t="s">
        <v>345</v>
      </c>
      <c r="D452" s="94" t="s">
        <v>720</v>
      </c>
      <c r="E452" s="100" t="s">
        <v>327</v>
      </c>
      <c r="F452" s="96">
        <v>1</v>
      </c>
      <c r="G452" s="33">
        <v>84</v>
      </c>
      <c r="H452" s="288">
        <f aca="true" t="shared" si="43" ref="H452:H463">F452*G452</f>
        <v>84</v>
      </c>
      <c r="I452" s="343" t="s">
        <v>460</v>
      </c>
      <c r="Q452" s="404"/>
      <c r="R452" s="533"/>
      <c r="S452" s="533"/>
      <c r="T452" s="533"/>
      <c r="U452" s="515"/>
      <c r="V452" s="515"/>
      <c r="W452" s="515"/>
      <c r="X452" s="354"/>
      <c r="Y452" s="416">
        <v>0</v>
      </c>
      <c r="Z452" s="416">
        <v>84</v>
      </c>
      <c r="AA452" s="425">
        <f t="shared" si="37"/>
        <v>0</v>
      </c>
    </row>
    <row r="453" spans="1:27" ht="12.75">
      <c r="A453" s="287">
        <f>A452+1</f>
        <v>240</v>
      </c>
      <c r="B453" s="289" t="s">
        <v>716</v>
      </c>
      <c r="C453" s="99" t="s">
        <v>339</v>
      </c>
      <c r="D453" s="94" t="s">
        <v>717</v>
      </c>
      <c r="E453" s="100" t="s">
        <v>468</v>
      </c>
      <c r="F453" s="96">
        <f>9.7*0.03</f>
        <v>0.291</v>
      </c>
      <c r="G453" s="33">
        <v>878</v>
      </c>
      <c r="H453" s="288">
        <f t="shared" si="43"/>
        <v>255.498</v>
      </c>
      <c r="I453" s="343" t="s">
        <v>460</v>
      </c>
      <c r="Q453" s="404"/>
      <c r="R453" s="533"/>
      <c r="S453" s="533"/>
      <c r="T453" s="533"/>
      <c r="U453" s="515"/>
      <c r="V453" s="515"/>
      <c r="W453" s="515"/>
      <c r="X453" s="354"/>
      <c r="Y453" s="416">
        <v>0</v>
      </c>
      <c r="Z453" s="416">
        <v>255.5</v>
      </c>
      <c r="AA453" s="425">
        <f t="shared" si="37"/>
        <v>-0.0020000000000095497</v>
      </c>
    </row>
    <row r="454" spans="1:27" ht="12.75">
      <c r="A454" s="287">
        <f>A453+1</f>
        <v>241</v>
      </c>
      <c r="B454" s="112">
        <v>59597100</v>
      </c>
      <c r="C454" s="109" t="s">
        <v>338</v>
      </c>
      <c r="D454" s="110" t="s">
        <v>718</v>
      </c>
      <c r="E454" s="111" t="s">
        <v>328</v>
      </c>
      <c r="F454" s="119">
        <v>9.7</v>
      </c>
      <c r="G454" s="34">
        <v>242</v>
      </c>
      <c r="H454" s="313">
        <f>F454*G454</f>
        <v>2347.3999999999996</v>
      </c>
      <c r="I454" s="343" t="s">
        <v>460</v>
      </c>
      <c r="Q454" s="404"/>
      <c r="R454" s="533"/>
      <c r="S454" s="533"/>
      <c r="T454" s="533"/>
      <c r="U454" s="515"/>
      <c r="V454" s="515"/>
      <c r="W454" s="515"/>
      <c r="X454" s="354"/>
      <c r="Y454" s="416">
        <v>0</v>
      </c>
      <c r="Z454" s="416">
        <v>2347.4</v>
      </c>
      <c r="AA454" s="425">
        <f t="shared" si="37"/>
        <v>-4.547473508864641E-13</v>
      </c>
    </row>
    <row r="455" spans="1:27" ht="25.5">
      <c r="A455" s="287">
        <f>A454+1</f>
        <v>242</v>
      </c>
      <c r="B455" s="112">
        <v>62740100</v>
      </c>
      <c r="C455" s="109" t="s">
        <v>338</v>
      </c>
      <c r="D455" s="110" t="s">
        <v>719</v>
      </c>
      <c r="E455" s="111" t="s">
        <v>341</v>
      </c>
      <c r="F455" s="119">
        <f>9.7*2*22.5</f>
        <v>436.49999999999994</v>
      </c>
      <c r="G455" s="34">
        <v>8</v>
      </c>
      <c r="H455" s="313">
        <f>F455*G455</f>
        <v>3491.9999999999995</v>
      </c>
      <c r="I455" s="343" t="s">
        <v>460</v>
      </c>
      <c r="Q455" s="404"/>
      <c r="R455" s="533"/>
      <c r="S455" s="533"/>
      <c r="T455" s="533"/>
      <c r="U455" s="515"/>
      <c r="V455" s="515"/>
      <c r="W455" s="515"/>
      <c r="X455" s="354"/>
      <c r="Y455" s="416">
        <v>0</v>
      </c>
      <c r="Z455" s="416">
        <v>3492</v>
      </c>
      <c r="AA455" s="425">
        <f t="shared" si="37"/>
        <v>-4.547473508864641E-13</v>
      </c>
    </row>
    <row r="456" spans="1:27" ht="12.75">
      <c r="A456" s="287"/>
      <c r="B456" s="289"/>
      <c r="C456" s="99"/>
      <c r="D456" s="331" t="s">
        <v>715</v>
      </c>
      <c r="E456" s="332"/>
      <c r="F456" s="96"/>
      <c r="G456" s="96"/>
      <c r="H456" s="288"/>
      <c r="I456" s="343"/>
      <c r="Q456" s="404"/>
      <c r="R456" s="533"/>
      <c r="S456" s="533"/>
      <c r="T456" s="533"/>
      <c r="U456" s="515"/>
      <c r="V456" s="515"/>
      <c r="W456" s="515"/>
      <c r="X456" s="354"/>
      <c r="Y456" s="416"/>
      <c r="Z456" s="416"/>
      <c r="AA456" s="425">
        <f t="shared" si="37"/>
        <v>0</v>
      </c>
    </row>
    <row r="457" spans="1:28" ht="63.75">
      <c r="A457" s="287">
        <f>A455+1</f>
        <v>243</v>
      </c>
      <c r="B457" s="289" t="s">
        <v>714</v>
      </c>
      <c r="C457" s="333"/>
      <c r="D457" s="57" t="s">
        <v>721</v>
      </c>
      <c r="E457" s="58" t="s">
        <v>328</v>
      </c>
      <c r="F457" s="114">
        <f>4.9+4.8</f>
        <v>9.7</v>
      </c>
      <c r="G457" s="33">
        <v>1500</v>
      </c>
      <c r="H457" s="288">
        <f t="shared" si="43"/>
        <v>14549.999999999998</v>
      </c>
      <c r="I457" s="65" t="s">
        <v>460</v>
      </c>
      <c r="N457" s="25"/>
      <c r="Q457" s="404" t="s">
        <v>852</v>
      </c>
      <c r="R457" s="533">
        <v>-9.7</v>
      </c>
      <c r="S457" s="533">
        <v>1500</v>
      </c>
      <c r="T457" s="533">
        <v>-14550</v>
      </c>
      <c r="U457" s="515"/>
      <c r="V457" s="515"/>
      <c r="W457" s="515"/>
      <c r="X457" s="355" t="s">
        <v>891</v>
      </c>
      <c r="Y457" s="416">
        <v>0</v>
      </c>
      <c r="Z457" s="416">
        <v>0</v>
      </c>
      <c r="AA457" s="425">
        <f t="shared" si="37"/>
        <v>14549.999999999998</v>
      </c>
      <c r="AB457" s="419" t="s">
        <v>875</v>
      </c>
    </row>
    <row r="458" spans="1:28" ht="51">
      <c r="A458" s="287" t="s">
        <v>862</v>
      </c>
      <c r="B458" s="410" t="s">
        <v>854</v>
      </c>
      <c r="C458" s="333"/>
      <c r="D458" s="94" t="s">
        <v>863</v>
      </c>
      <c r="E458" s="58"/>
      <c r="F458" s="114"/>
      <c r="G458" s="33"/>
      <c r="H458" s="288"/>
      <c r="I458" s="65" t="s">
        <v>460</v>
      </c>
      <c r="N458" s="25"/>
      <c r="Q458" s="404" t="s">
        <v>857</v>
      </c>
      <c r="R458" s="533">
        <v>9.7</v>
      </c>
      <c r="S458" s="533">
        <v>1300</v>
      </c>
      <c r="T458" s="533">
        <v>12610</v>
      </c>
      <c r="U458" s="515"/>
      <c r="V458" s="515"/>
      <c r="W458" s="515"/>
      <c r="X458" s="355" t="s">
        <v>891</v>
      </c>
      <c r="Y458" s="416">
        <v>0</v>
      </c>
      <c r="Z458" s="416">
        <v>0</v>
      </c>
      <c r="AA458" s="425">
        <f t="shared" si="37"/>
        <v>0</v>
      </c>
      <c r="AB458" s="419" t="s">
        <v>876</v>
      </c>
    </row>
    <row r="459" spans="1:27" ht="12.75">
      <c r="A459" s="287">
        <f>+A457+1</f>
        <v>244</v>
      </c>
      <c r="B459" s="115" t="s">
        <v>713</v>
      </c>
      <c r="C459" s="333"/>
      <c r="D459" s="57" t="s">
        <v>489</v>
      </c>
      <c r="E459" s="57" t="s">
        <v>328</v>
      </c>
      <c r="F459" s="114">
        <f>+F457</f>
        <v>9.7</v>
      </c>
      <c r="G459" s="33">
        <v>120</v>
      </c>
      <c r="H459" s="61">
        <f t="shared" si="43"/>
        <v>1164</v>
      </c>
      <c r="I459" s="65" t="s">
        <v>460</v>
      </c>
      <c r="N459" s="25"/>
      <c r="Q459" s="404"/>
      <c r="R459" s="533"/>
      <c r="S459" s="533"/>
      <c r="T459" s="533"/>
      <c r="U459" s="515"/>
      <c r="V459" s="515"/>
      <c r="W459" s="515"/>
      <c r="Y459" s="416">
        <v>0</v>
      </c>
      <c r="Z459" s="416">
        <v>1164</v>
      </c>
      <c r="AA459" s="425">
        <f t="shared" si="37"/>
        <v>0</v>
      </c>
    </row>
    <row r="460" spans="1:27" ht="25.5">
      <c r="A460" s="287">
        <f aca="true" t="shared" si="44" ref="A460:A470">+A459+1</f>
        <v>245</v>
      </c>
      <c r="B460" s="112" t="s">
        <v>253</v>
      </c>
      <c r="C460" s="99" t="s">
        <v>371</v>
      </c>
      <c r="D460" s="116" t="s">
        <v>154</v>
      </c>
      <c r="E460" s="100" t="s">
        <v>328</v>
      </c>
      <c r="F460" s="96">
        <v>4.8</v>
      </c>
      <c r="G460" s="33">
        <v>251</v>
      </c>
      <c r="H460" s="288">
        <f t="shared" si="43"/>
        <v>1204.8</v>
      </c>
      <c r="I460" s="343" t="s">
        <v>460</v>
      </c>
      <c r="Q460" s="404"/>
      <c r="R460" s="533"/>
      <c r="S460" s="533"/>
      <c r="T460" s="533"/>
      <c r="U460" s="515"/>
      <c r="V460" s="515"/>
      <c r="W460" s="515"/>
      <c r="X460" s="354"/>
      <c r="Y460" s="416">
        <v>0</v>
      </c>
      <c r="Z460" s="416">
        <v>1204.8</v>
      </c>
      <c r="AA460" s="425">
        <f t="shared" si="37"/>
        <v>0</v>
      </c>
    </row>
    <row r="461" spans="1:27" ht="12.75">
      <c r="A461" s="287">
        <f t="shared" si="44"/>
        <v>246</v>
      </c>
      <c r="B461" s="112" t="s">
        <v>101</v>
      </c>
      <c r="C461" s="109" t="s">
        <v>372</v>
      </c>
      <c r="D461" s="110" t="s">
        <v>373</v>
      </c>
      <c r="E461" s="111" t="s">
        <v>341</v>
      </c>
      <c r="F461" s="119">
        <f>1.2*F460</f>
        <v>5.76</v>
      </c>
      <c r="G461" s="34">
        <v>117</v>
      </c>
      <c r="H461" s="313">
        <f t="shared" si="43"/>
        <v>673.92</v>
      </c>
      <c r="I461" s="343" t="s">
        <v>460</v>
      </c>
      <c r="Q461" s="404"/>
      <c r="R461" s="533"/>
      <c r="S461" s="533"/>
      <c r="T461" s="533"/>
      <c r="U461" s="515"/>
      <c r="V461" s="515"/>
      <c r="W461" s="515"/>
      <c r="X461" s="354"/>
      <c r="Y461" s="416">
        <v>0</v>
      </c>
      <c r="Z461" s="416">
        <v>673.9</v>
      </c>
      <c r="AA461" s="425">
        <f t="shared" si="37"/>
        <v>0.01999999999998181</v>
      </c>
    </row>
    <row r="462" spans="1:27" ht="12.75">
      <c r="A462" s="287">
        <f t="shared" si="44"/>
        <v>247</v>
      </c>
      <c r="B462" s="112" t="s">
        <v>243</v>
      </c>
      <c r="C462" s="99"/>
      <c r="D462" s="116" t="s">
        <v>145</v>
      </c>
      <c r="E462" s="100" t="s">
        <v>331</v>
      </c>
      <c r="F462" s="96">
        <f>+F463</f>
        <v>10.52</v>
      </c>
      <c r="G462" s="33">
        <v>51</v>
      </c>
      <c r="H462" s="288">
        <f t="shared" si="43"/>
        <v>536.52</v>
      </c>
      <c r="I462" s="343" t="s">
        <v>460</v>
      </c>
      <c r="Q462" s="404"/>
      <c r="R462" s="533"/>
      <c r="S462" s="533"/>
      <c r="T462" s="533"/>
      <c r="U462" s="515"/>
      <c r="V462" s="515"/>
      <c r="W462" s="515"/>
      <c r="X462" s="354"/>
      <c r="Y462" s="416">
        <v>0</v>
      </c>
      <c r="Z462" s="416">
        <v>536.5</v>
      </c>
      <c r="AA462" s="425">
        <f t="shared" si="37"/>
        <v>0.01999999999998181</v>
      </c>
    </row>
    <row r="463" spans="1:27" ht="25.5">
      <c r="A463" s="287">
        <f t="shared" si="44"/>
        <v>248</v>
      </c>
      <c r="B463" s="112">
        <v>28355360</v>
      </c>
      <c r="C463" s="109" t="s">
        <v>372</v>
      </c>
      <c r="D463" s="127" t="s">
        <v>476</v>
      </c>
      <c r="E463" s="111" t="s">
        <v>331</v>
      </c>
      <c r="F463" s="119">
        <f>11.32-0.8</f>
        <v>10.52</v>
      </c>
      <c r="G463" s="34">
        <v>74.1</v>
      </c>
      <c r="H463" s="313">
        <f t="shared" si="43"/>
        <v>779.5319999999999</v>
      </c>
      <c r="I463" s="343" t="s">
        <v>460</v>
      </c>
      <c r="Q463" s="404"/>
      <c r="R463" s="533"/>
      <c r="S463" s="533"/>
      <c r="T463" s="533"/>
      <c r="U463" s="515"/>
      <c r="V463" s="515"/>
      <c r="W463" s="515"/>
      <c r="X463" s="354"/>
      <c r="Y463" s="416">
        <v>0</v>
      </c>
      <c r="Z463" s="416">
        <v>779.5</v>
      </c>
      <c r="AA463" s="425">
        <f t="shared" si="37"/>
        <v>0.03199999999992542</v>
      </c>
    </row>
    <row r="464" spans="1:27" ht="12.75">
      <c r="A464" s="287">
        <f>+A459+1</f>
        <v>245</v>
      </c>
      <c r="B464" s="101" t="s">
        <v>303</v>
      </c>
      <c r="C464" s="99" t="s">
        <v>470</v>
      </c>
      <c r="D464" s="57" t="s">
        <v>304</v>
      </c>
      <c r="E464" s="100" t="s">
        <v>328</v>
      </c>
      <c r="F464" s="96">
        <f>4.9+4.8-0.9*0.9</f>
        <v>8.889999999999999</v>
      </c>
      <c r="G464" s="33">
        <v>1500</v>
      </c>
      <c r="H464" s="288">
        <f aca="true" t="shared" si="45" ref="H464:H471">F464*G464</f>
        <v>13334.999999999998</v>
      </c>
      <c r="I464" s="343" t="s">
        <v>460</v>
      </c>
      <c r="N464" s="25"/>
      <c r="Q464" s="404"/>
      <c r="R464" s="533"/>
      <c r="S464" s="533"/>
      <c r="T464" s="533"/>
      <c r="U464" s="515"/>
      <c r="V464" s="515"/>
      <c r="W464" s="515"/>
      <c r="X464" s="354"/>
      <c r="Y464" s="416">
        <v>0</v>
      </c>
      <c r="Z464" s="416">
        <v>13335</v>
      </c>
      <c r="AA464" s="425">
        <f t="shared" si="37"/>
        <v>-1.8189894035458565E-12</v>
      </c>
    </row>
    <row r="465" spans="1:27" ht="25.5">
      <c r="A465" s="287">
        <f t="shared" si="44"/>
        <v>246</v>
      </c>
      <c r="B465" s="101" t="s">
        <v>723</v>
      </c>
      <c r="C465" s="109" t="s">
        <v>524</v>
      </c>
      <c r="D465" s="110" t="s">
        <v>469</v>
      </c>
      <c r="E465" s="111" t="s">
        <v>328</v>
      </c>
      <c r="F465" s="119">
        <f>(4.9+4.8-0.9*0.9)*1.1</f>
        <v>9.779</v>
      </c>
      <c r="G465" s="34">
        <v>540</v>
      </c>
      <c r="H465" s="313">
        <f t="shared" si="45"/>
        <v>5280.66</v>
      </c>
      <c r="I465" s="343" t="s">
        <v>460</v>
      </c>
      <c r="Q465" s="404"/>
      <c r="R465" s="533"/>
      <c r="S465" s="533"/>
      <c r="T465" s="533"/>
      <c r="U465" s="515"/>
      <c r="V465" s="515"/>
      <c r="W465" s="515"/>
      <c r="X465" s="354"/>
      <c r="Y465" s="416">
        <v>0</v>
      </c>
      <c r="Z465" s="416">
        <v>5280.7</v>
      </c>
      <c r="AA465" s="425">
        <f t="shared" si="37"/>
        <v>-0.03999999999996362</v>
      </c>
    </row>
    <row r="466" spans="1:27" ht="12.75">
      <c r="A466" s="287">
        <f t="shared" si="44"/>
        <v>247</v>
      </c>
      <c r="B466" s="289" t="s">
        <v>162</v>
      </c>
      <c r="C466" s="99"/>
      <c r="D466" s="94" t="s">
        <v>161</v>
      </c>
      <c r="E466" s="100" t="s">
        <v>328</v>
      </c>
      <c r="F466" s="96">
        <f>+F457</f>
        <v>9.7</v>
      </c>
      <c r="G466" s="33">
        <v>16</v>
      </c>
      <c r="H466" s="288">
        <f t="shared" si="45"/>
        <v>155.2</v>
      </c>
      <c r="I466" s="343" t="s">
        <v>460</v>
      </c>
      <c r="N466" s="30"/>
      <c r="Q466" s="404"/>
      <c r="R466" s="533"/>
      <c r="S466" s="533"/>
      <c r="T466" s="533"/>
      <c r="U466" s="515"/>
      <c r="V466" s="515"/>
      <c r="W466" s="515"/>
      <c r="X466" s="354"/>
      <c r="Y466" s="416">
        <v>0</v>
      </c>
      <c r="Z466" s="416">
        <v>155.2</v>
      </c>
      <c r="AA466" s="425">
        <f t="shared" si="37"/>
        <v>0</v>
      </c>
    </row>
    <row r="467" spans="1:27" ht="25.5">
      <c r="A467" s="287">
        <f t="shared" si="44"/>
        <v>248</v>
      </c>
      <c r="B467" s="112" t="s">
        <v>254</v>
      </c>
      <c r="C467" s="99" t="s">
        <v>379</v>
      </c>
      <c r="D467" s="94" t="s">
        <v>526</v>
      </c>
      <c r="E467" s="100" t="s">
        <v>331</v>
      </c>
      <c r="F467" s="96">
        <f>10.01-0.8-0.9-1</f>
        <v>7.309999999999999</v>
      </c>
      <c r="G467" s="33">
        <v>182</v>
      </c>
      <c r="H467" s="288">
        <f t="shared" si="45"/>
        <v>1330.4199999999998</v>
      </c>
      <c r="I467" s="343" t="s">
        <v>460</v>
      </c>
      <c r="Q467" s="404"/>
      <c r="R467" s="533"/>
      <c r="S467" s="533"/>
      <c r="T467" s="533"/>
      <c r="U467" s="515"/>
      <c r="V467" s="515"/>
      <c r="W467" s="515"/>
      <c r="X467" s="354"/>
      <c r="Y467" s="416">
        <v>0</v>
      </c>
      <c r="Z467" s="416">
        <v>1330.4</v>
      </c>
      <c r="AA467" s="425">
        <f t="shared" si="37"/>
        <v>0.019999999999754436</v>
      </c>
    </row>
    <row r="468" spans="1:27" ht="12.75">
      <c r="A468" s="287">
        <f t="shared" si="44"/>
        <v>249</v>
      </c>
      <c r="B468" s="112" t="s">
        <v>158</v>
      </c>
      <c r="C468" s="99" t="s">
        <v>379</v>
      </c>
      <c r="D468" s="94" t="s">
        <v>453</v>
      </c>
      <c r="E468" s="100" t="s">
        <v>331</v>
      </c>
      <c r="F468" s="96">
        <f>+F467</f>
        <v>7.309999999999999</v>
      </c>
      <c r="G468" s="33">
        <v>98</v>
      </c>
      <c r="H468" s="288">
        <f t="shared" si="45"/>
        <v>716.3799999999999</v>
      </c>
      <c r="I468" s="343" t="s">
        <v>460</v>
      </c>
      <c r="Q468" s="404"/>
      <c r="R468" s="533"/>
      <c r="S468" s="533"/>
      <c r="T468" s="533"/>
      <c r="U468" s="515"/>
      <c r="V468" s="515"/>
      <c r="W468" s="515"/>
      <c r="X468" s="354"/>
      <c r="Y468" s="416">
        <v>0</v>
      </c>
      <c r="Z468" s="416">
        <v>716.4</v>
      </c>
      <c r="AA468" s="425">
        <f t="shared" si="37"/>
        <v>-0.020000000000095497</v>
      </c>
    </row>
    <row r="469" spans="1:27" ht="25.5">
      <c r="A469" s="287">
        <f t="shared" si="44"/>
        <v>250</v>
      </c>
      <c r="B469" s="101" t="s">
        <v>725</v>
      </c>
      <c r="C469" s="109" t="s">
        <v>378</v>
      </c>
      <c r="D469" s="110" t="s">
        <v>473</v>
      </c>
      <c r="E469" s="111" t="s">
        <v>330</v>
      </c>
      <c r="F469" s="119">
        <f>CEILING((((F468/2)/0.3)*1.2),1)/1</f>
        <v>15</v>
      </c>
      <c r="G469" s="34">
        <v>45</v>
      </c>
      <c r="H469" s="313">
        <f t="shared" si="45"/>
        <v>675</v>
      </c>
      <c r="I469" s="343" t="s">
        <v>460</v>
      </c>
      <c r="Q469" s="404"/>
      <c r="R469" s="533"/>
      <c r="S469" s="533"/>
      <c r="T469" s="533"/>
      <c r="U469" s="515"/>
      <c r="V469" s="515"/>
      <c r="W469" s="515"/>
      <c r="X469" s="354"/>
      <c r="Y469" s="416">
        <v>0</v>
      </c>
      <c r="Z469" s="416">
        <v>675</v>
      </c>
      <c r="AA469" s="425">
        <f t="shared" si="37"/>
        <v>0</v>
      </c>
    </row>
    <row r="470" spans="1:27" ht="25.5">
      <c r="A470" s="287">
        <f t="shared" si="44"/>
        <v>251</v>
      </c>
      <c r="B470" s="112" t="s">
        <v>107</v>
      </c>
      <c r="C470" s="99" t="s">
        <v>345</v>
      </c>
      <c r="D470" s="57" t="s">
        <v>724</v>
      </c>
      <c r="E470" s="100" t="s">
        <v>327</v>
      </c>
      <c r="F470" s="96">
        <v>1</v>
      </c>
      <c r="G470" s="33">
        <v>945</v>
      </c>
      <c r="H470" s="288">
        <f t="shared" si="45"/>
        <v>945</v>
      </c>
      <c r="I470" s="343" t="s">
        <v>460</v>
      </c>
      <c r="Q470" s="404"/>
      <c r="R470" s="533"/>
      <c r="S470" s="533"/>
      <c r="T470" s="533"/>
      <c r="U470" s="515"/>
      <c r="V470" s="515"/>
      <c r="W470" s="515"/>
      <c r="X470" s="354"/>
      <c r="Y470" s="416">
        <v>0</v>
      </c>
      <c r="Z470" s="416">
        <v>945</v>
      </c>
      <c r="AA470" s="425">
        <f t="shared" si="37"/>
        <v>0</v>
      </c>
    </row>
    <row r="471" spans="1:27" ht="13.5" thickBot="1">
      <c r="A471" s="287">
        <f>A470+1</f>
        <v>252</v>
      </c>
      <c r="B471" s="90" t="s">
        <v>172</v>
      </c>
      <c r="C471" s="99"/>
      <c r="D471" s="94" t="s">
        <v>354</v>
      </c>
      <c r="E471" s="316" t="s">
        <v>336</v>
      </c>
      <c r="F471" s="96">
        <f>+H448+H449+H452+H454+H455+H457+H459+H461+H463+H465+H469+H470</f>
        <v>31772.606599999996</v>
      </c>
      <c r="G471" s="35">
        <v>0.05</v>
      </c>
      <c r="H471" s="317">
        <f t="shared" si="45"/>
        <v>1588.63033</v>
      </c>
      <c r="I471" s="343" t="s">
        <v>460</v>
      </c>
      <c r="Q471" s="404" t="s">
        <v>852</v>
      </c>
      <c r="R471" s="533">
        <f>T457+T458</f>
        <v>-1940</v>
      </c>
      <c r="S471" s="538">
        <v>0.05</v>
      </c>
      <c r="T471" s="533">
        <v>-97</v>
      </c>
      <c r="U471" s="515"/>
      <c r="V471" s="515"/>
      <c r="W471" s="515"/>
      <c r="X471" s="355" t="s">
        <v>891</v>
      </c>
      <c r="Y471" s="416">
        <v>0</v>
      </c>
      <c r="Z471" s="416">
        <v>1491.6</v>
      </c>
      <c r="AA471" s="425">
        <f t="shared" si="37"/>
        <v>97.03033000000005</v>
      </c>
    </row>
    <row r="472" spans="1:27" ht="13.5" thickBot="1">
      <c r="A472" s="287"/>
      <c r="B472" s="289"/>
      <c r="C472" s="99"/>
      <c r="D472" s="67" t="s">
        <v>329</v>
      </c>
      <c r="E472" s="310"/>
      <c r="F472" s="311"/>
      <c r="G472" s="312"/>
      <c r="H472" s="302">
        <f>SUBTOTAL(9,H448:H471)</f>
        <v>50895.05492999999</v>
      </c>
      <c r="Q472" s="405"/>
      <c r="R472" s="536"/>
      <c r="S472" s="536"/>
      <c r="T472" s="536"/>
      <c r="U472" s="517"/>
      <c r="V472" s="517"/>
      <c r="W472" s="517"/>
      <c r="Y472" s="416"/>
      <c r="Z472" s="416"/>
      <c r="AA472" s="425"/>
    </row>
    <row r="473" spans="1:27" ht="12.75">
      <c r="A473" s="287"/>
      <c r="B473" s="289"/>
      <c r="C473" s="99"/>
      <c r="D473" s="303"/>
      <c r="E473" s="304"/>
      <c r="F473" s="246"/>
      <c r="G473" s="276"/>
      <c r="H473" s="305"/>
      <c r="I473" s="343"/>
      <c r="Q473" s="404"/>
      <c r="R473" s="533"/>
      <c r="S473" s="533"/>
      <c r="T473" s="533"/>
      <c r="U473" s="515"/>
      <c r="V473" s="515"/>
      <c r="W473" s="515"/>
      <c r="X473" s="354"/>
      <c r="Y473" s="416"/>
      <c r="Z473" s="416"/>
      <c r="AA473" s="425">
        <f t="shared" si="37"/>
        <v>0</v>
      </c>
    </row>
    <row r="474" spans="1:27" ht="16.5">
      <c r="A474" s="287"/>
      <c r="B474" s="289"/>
      <c r="C474" s="306" t="s">
        <v>471</v>
      </c>
      <c r="D474" s="564" t="s">
        <v>600</v>
      </c>
      <c r="E474" s="564"/>
      <c r="F474" s="564"/>
      <c r="G474" s="564"/>
      <c r="H474" s="564"/>
      <c r="I474" s="343"/>
      <c r="Q474" s="404"/>
      <c r="R474" s="533"/>
      <c r="S474" s="533"/>
      <c r="T474" s="533"/>
      <c r="U474" s="515"/>
      <c r="V474" s="515"/>
      <c r="W474" s="515"/>
      <c r="X474" s="354"/>
      <c r="Y474" s="416"/>
      <c r="Z474" s="416"/>
      <c r="AA474" s="425">
        <f t="shared" si="37"/>
        <v>0</v>
      </c>
    </row>
    <row r="475" spans="1:27" ht="52.5" customHeight="1">
      <c r="A475" s="287"/>
      <c r="B475" s="289"/>
      <c r="C475" s="286"/>
      <c r="D475" s="568" t="s">
        <v>369</v>
      </c>
      <c r="E475" s="566"/>
      <c r="F475" s="566"/>
      <c r="G475" s="566"/>
      <c r="H475" s="566"/>
      <c r="I475" s="343"/>
      <c r="Q475" s="404"/>
      <c r="R475" s="533"/>
      <c r="S475" s="533"/>
      <c r="T475" s="533"/>
      <c r="U475" s="515"/>
      <c r="V475" s="515"/>
      <c r="W475" s="515"/>
      <c r="X475" s="354"/>
      <c r="Y475" s="416"/>
      <c r="Z475" s="416"/>
      <c r="AA475" s="425">
        <f aca="true" t="shared" si="46" ref="AA475:AA499">H475-Z475-Y475</f>
        <v>0</v>
      </c>
    </row>
    <row r="476" spans="1:27" ht="12.75">
      <c r="A476" s="287">
        <f>+A471+1</f>
        <v>253</v>
      </c>
      <c r="B476" s="289" t="s">
        <v>712</v>
      </c>
      <c r="C476" s="99" t="s">
        <v>603</v>
      </c>
      <c r="D476" s="94" t="s">
        <v>525</v>
      </c>
      <c r="E476" s="100" t="s">
        <v>328</v>
      </c>
      <c r="F476" s="96">
        <f>6.1+25.2</f>
        <v>31.299999999999997</v>
      </c>
      <c r="G476" s="33">
        <v>72</v>
      </c>
      <c r="H476" s="288">
        <f>F476*G476</f>
        <v>2253.6</v>
      </c>
      <c r="I476" s="343" t="s">
        <v>460</v>
      </c>
      <c r="Q476" s="404"/>
      <c r="R476" s="533"/>
      <c r="S476" s="533"/>
      <c r="T476" s="533"/>
      <c r="U476" s="515"/>
      <c r="V476" s="515"/>
      <c r="W476" s="515"/>
      <c r="X476" s="354"/>
      <c r="Y476" s="416">
        <v>2253.6</v>
      </c>
      <c r="Z476" s="416">
        <v>0</v>
      </c>
      <c r="AA476" s="425">
        <f t="shared" si="46"/>
        <v>0</v>
      </c>
    </row>
    <row r="477" spans="1:27" ht="25.5">
      <c r="A477" s="287">
        <f>+A476+1</f>
        <v>254</v>
      </c>
      <c r="B477" s="289" t="s">
        <v>567</v>
      </c>
      <c r="C477" s="99"/>
      <c r="D477" s="94" t="s">
        <v>568</v>
      </c>
      <c r="E477" s="100" t="s">
        <v>468</v>
      </c>
      <c r="F477" s="96">
        <f>+E478+E479</f>
        <v>0.7093</v>
      </c>
      <c r="G477" s="33">
        <v>12000</v>
      </c>
      <c r="H477" s="288">
        <f>F477*G477</f>
        <v>8511.6</v>
      </c>
      <c r="I477" s="343" t="s">
        <v>460</v>
      </c>
      <c r="Q477" s="404"/>
      <c r="R477" s="533"/>
      <c r="S477" s="533"/>
      <c r="T477" s="533"/>
      <c r="U477" s="515"/>
      <c r="V477" s="515"/>
      <c r="W477" s="515"/>
      <c r="X477" s="354"/>
      <c r="Y477" s="416">
        <v>8511.6</v>
      </c>
      <c r="Z477" s="416">
        <v>0</v>
      </c>
      <c r="AA477" s="425">
        <f t="shared" si="46"/>
        <v>0</v>
      </c>
    </row>
    <row r="478" spans="1:27" ht="12.75">
      <c r="A478" s="293"/>
      <c r="B478" s="289"/>
      <c r="C478" s="99" t="s">
        <v>598</v>
      </c>
      <c r="D478" s="331" t="s">
        <v>635</v>
      </c>
      <c r="E478" s="332">
        <f>0.013*6.1</f>
        <v>0.0793</v>
      </c>
      <c r="F478" s="96"/>
      <c r="G478" s="96"/>
      <c r="H478" s="288"/>
      <c r="I478" s="343"/>
      <c r="Q478" s="404"/>
      <c r="R478" s="533"/>
      <c r="S478" s="533"/>
      <c r="T478" s="533"/>
      <c r="U478" s="515"/>
      <c r="V478" s="515"/>
      <c r="W478" s="515"/>
      <c r="X478" s="354"/>
      <c r="Y478" s="416"/>
      <c r="Z478" s="416"/>
      <c r="AA478" s="425">
        <f t="shared" si="46"/>
        <v>0</v>
      </c>
    </row>
    <row r="479" spans="1:27" ht="12.75">
      <c r="A479" s="293"/>
      <c r="B479" s="289"/>
      <c r="C479" s="99" t="s">
        <v>597</v>
      </c>
      <c r="D479" s="331" t="s">
        <v>634</v>
      </c>
      <c r="E479" s="332">
        <f>0.025*25.2</f>
        <v>0.63</v>
      </c>
      <c r="F479" s="96"/>
      <c r="G479" s="96"/>
      <c r="H479" s="288"/>
      <c r="I479" s="343"/>
      <c r="Q479" s="404"/>
      <c r="R479" s="533"/>
      <c r="S479" s="533"/>
      <c r="T479" s="533"/>
      <c r="U479" s="515"/>
      <c r="V479" s="515"/>
      <c r="W479" s="515"/>
      <c r="X479" s="354"/>
      <c r="Y479" s="416"/>
      <c r="Z479" s="416"/>
      <c r="AA479" s="425">
        <f t="shared" si="46"/>
        <v>0</v>
      </c>
    </row>
    <row r="480" spans="1:27" ht="12.75">
      <c r="A480" s="287">
        <f>A477+1</f>
        <v>255</v>
      </c>
      <c r="B480" s="289" t="s">
        <v>716</v>
      </c>
      <c r="C480" s="99" t="s">
        <v>339</v>
      </c>
      <c r="D480" s="94" t="s">
        <v>717</v>
      </c>
      <c r="E480" s="100" t="s">
        <v>468</v>
      </c>
      <c r="F480" s="96">
        <f>F476*0.03</f>
        <v>0.9389999999999998</v>
      </c>
      <c r="G480" s="33">
        <v>870</v>
      </c>
      <c r="H480" s="288">
        <f>F480*G480</f>
        <v>816.9299999999998</v>
      </c>
      <c r="I480" s="343" t="s">
        <v>460</v>
      </c>
      <c r="Q480" s="404"/>
      <c r="R480" s="533"/>
      <c r="S480" s="533"/>
      <c r="T480" s="533"/>
      <c r="U480" s="515"/>
      <c r="V480" s="515"/>
      <c r="W480" s="515"/>
      <c r="X480" s="354"/>
      <c r="Y480" s="416">
        <v>816.9</v>
      </c>
      <c r="Z480" s="416">
        <v>0</v>
      </c>
      <c r="AA480" s="425">
        <f t="shared" si="46"/>
        <v>0.02999999999985903</v>
      </c>
    </row>
    <row r="481" spans="1:27" ht="12.75">
      <c r="A481" s="287">
        <f>A480+1</f>
        <v>256</v>
      </c>
      <c r="B481" s="112">
        <v>59597100</v>
      </c>
      <c r="C481" s="109" t="s">
        <v>338</v>
      </c>
      <c r="D481" s="110" t="s">
        <v>718</v>
      </c>
      <c r="E481" s="111" t="s">
        <v>328</v>
      </c>
      <c r="F481" s="119">
        <f>+F476</f>
        <v>31.299999999999997</v>
      </c>
      <c r="G481" s="34">
        <v>241</v>
      </c>
      <c r="H481" s="313">
        <f>F481*G481</f>
        <v>7543.299999999999</v>
      </c>
      <c r="I481" s="343" t="s">
        <v>460</v>
      </c>
      <c r="Q481" s="404"/>
      <c r="R481" s="533"/>
      <c r="S481" s="533"/>
      <c r="T481" s="533"/>
      <c r="U481" s="515"/>
      <c r="V481" s="515"/>
      <c r="W481" s="515"/>
      <c r="X481" s="354"/>
      <c r="Y481" s="416">
        <v>7543.3</v>
      </c>
      <c r="Z481" s="416">
        <v>0</v>
      </c>
      <c r="AA481" s="425">
        <f t="shared" si="46"/>
        <v>0</v>
      </c>
    </row>
    <row r="482" spans="1:27" ht="25.5">
      <c r="A482" s="287">
        <f>A481+1</f>
        <v>257</v>
      </c>
      <c r="B482" s="112">
        <v>62740100</v>
      </c>
      <c r="C482" s="109" t="s">
        <v>338</v>
      </c>
      <c r="D482" s="110" t="s">
        <v>719</v>
      </c>
      <c r="E482" s="111" t="s">
        <v>341</v>
      </c>
      <c r="F482" s="119">
        <f>F476*2*22.5</f>
        <v>1408.4999999999998</v>
      </c>
      <c r="G482" s="34">
        <v>12</v>
      </c>
      <c r="H482" s="313">
        <f>F482*G482</f>
        <v>16901.999999999996</v>
      </c>
      <c r="I482" s="343" t="s">
        <v>460</v>
      </c>
      <c r="Q482" s="404"/>
      <c r="R482" s="533"/>
      <c r="S482" s="533"/>
      <c r="T482" s="533"/>
      <c r="U482" s="515"/>
      <c r="V482" s="515"/>
      <c r="W482" s="515"/>
      <c r="X482" s="354"/>
      <c r="Y482" s="416">
        <v>16902</v>
      </c>
      <c r="Z482" s="416">
        <v>0</v>
      </c>
      <c r="AA482" s="425">
        <f t="shared" si="46"/>
        <v>0</v>
      </c>
    </row>
    <row r="483" spans="1:28" ht="55.5" customHeight="1">
      <c r="A483" s="287">
        <f>A482+1</f>
        <v>258</v>
      </c>
      <c r="B483" s="289" t="s">
        <v>714</v>
      </c>
      <c r="C483" s="333"/>
      <c r="D483" s="57" t="s">
        <v>864</v>
      </c>
      <c r="E483" s="100" t="s">
        <v>328</v>
      </c>
      <c r="F483" s="96">
        <f>+F476</f>
        <v>31.299999999999997</v>
      </c>
      <c r="G483" s="33">
        <v>1400</v>
      </c>
      <c r="H483" s="288">
        <f aca="true" t="shared" si="47" ref="H483:H493">F483*G483</f>
        <v>43819.99999999999</v>
      </c>
      <c r="I483" s="343" t="s">
        <v>460</v>
      </c>
      <c r="Q483" s="404" t="s">
        <v>852</v>
      </c>
      <c r="R483" s="533">
        <v>-31.3</v>
      </c>
      <c r="S483" s="533">
        <v>1400</v>
      </c>
      <c r="T483" s="533">
        <v>-43820</v>
      </c>
      <c r="U483" s="515"/>
      <c r="V483" s="515"/>
      <c r="W483" s="515"/>
      <c r="X483" s="355" t="s">
        <v>891</v>
      </c>
      <c r="Y483" s="416">
        <v>0</v>
      </c>
      <c r="Z483" s="416">
        <v>0</v>
      </c>
      <c r="AA483" s="425">
        <f t="shared" si="46"/>
        <v>43819.99999999999</v>
      </c>
      <c r="AB483" s="419" t="s">
        <v>875</v>
      </c>
    </row>
    <row r="484" spans="1:28" ht="55.5" customHeight="1">
      <c r="A484" s="287" t="s">
        <v>868</v>
      </c>
      <c r="B484" s="410" t="s">
        <v>854</v>
      </c>
      <c r="C484" s="333"/>
      <c r="D484" s="94" t="s">
        <v>863</v>
      </c>
      <c r="E484" s="100"/>
      <c r="F484" s="96"/>
      <c r="G484" s="33"/>
      <c r="H484" s="288"/>
      <c r="I484" s="343" t="s">
        <v>460</v>
      </c>
      <c r="Q484" s="404" t="s">
        <v>857</v>
      </c>
      <c r="R484" s="533">
        <v>31.3</v>
      </c>
      <c r="S484" s="533">
        <v>1300</v>
      </c>
      <c r="T484" s="533">
        <f>S484*R484</f>
        <v>40690</v>
      </c>
      <c r="U484" s="515"/>
      <c r="V484" s="515"/>
      <c r="W484" s="515"/>
      <c r="X484" s="355" t="s">
        <v>891</v>
      </c>
      <c r="Y484" s="416">
        <v>0</v>
      </c>
      <c r="Z484" s="416">
        <v>0</v>
      </c>
      <c r="AA484" s="425">
        <f t="shared" si="46"/>
        <v>0</v>
      </c>
      <c r="AB484" s="419" t="s">
        <v>876</v>
      </c>
    </row>
    <row r="485" spans="1:27" ht="12.75" customHeight="1">
      <c r="A485" s="287">
        <f>A483+1</f>
        <v>259</v>
      </c>
      <c r="B485" s="115" t="s">
        <v>713</v>
      </c>
      <c r="C485" s="333"/>
      <c r="D485" s="57" t="s">
        <v>489</v>
      </c>
      <c r="E485" s="57" t="s">
        <v>328</v>
      </c>
      <c r="F485" s="114">
        <f>+F483</f>
        <v>31.299999999999997</v>
      </c>
      <c r="G485" s="33">
        <v>12.5</v>
      </c>
      <c r="H485" s="288">
        <f t="shared" si="47"/>
        <v>391.24999999999994</v>
      </c>
      <c r="I485" s="343" t="s">
        <v>460</v>
      </c>
      <c r="Q485" s="404"/>
      <c r="R485" s="533"/>
      <c r="S485" s="533"/>
      <c r="T485" s="533"/>
      <c r="U485" s="515"/>
      <c r="V485" s="515"/>
      <c r="W485" s="515"/>
      <c r="X485" s="354"/>
      <c r="Y485" s="416">
        <v>0</v>
      </c>
      <c r="Z485" s="416">
        <v>391.3</v>
      </c>
      <c r="AA485" s="425">
        <f t="shared" si="46"/>
        <v>-0.05000000000006821</v>
      </c>
    </row>
    <row r="486" spans="1:27" ht="12.75" customHeight="1">
      <c r="A486" s="287">
        <f aca="true" t="shared" si="48" ref="A486:A493">A485+1</f>
        <v>260</v>
      </c>
      <c r="B486" s="112" t="s">
        <v>726</v>
      </c>
      <c r="C486" s="56" t="s">
        <v>603</v>
      </c>
      <c r="D486" s="57" t="s">
        <v>736</v>
      </c>
      <c r="E486" s="94" t="s">
        <v>328</v>
      </c>
      <c r="F486" s="96">
        <f>6.1+25.2</f>
        <v>31.299999999999997</v>
      </c>
      <c r="G486" s="33">
        <v>293</v>
      </c>
      <c r="H486" s="288">
        <f t="shared" si="47"/>
        <v>9170.9</v>
      </c>
      <c r="I486" s="343" t="s">
        <v>460</v>
      </c>
      <c r="Q486" s="404"/>
      <c r="R486" s="533"/>
      <c r="S486" s="533"/>
      <c r="T486" s="533"/>
      <c r="U486" s="515"/>
      <c r="V486" s="515"/>
      <c r="W486" s="515"/>
      <c r="X486" s="354"/>
      <c r="Y486" s="416">
        <v>0</v>
      </c>
      <c r="Z486" s="416">
        <v>9170.9</v>
      </c>
      <c r="AA486" s="425">
        <f t="shared" si="46"/>
        <v>0</v>
      </c>
    </row>
    <row r="487" spans="1:27" ht="12.75" customHeight="1">
      <c r="A487" s="287">
        <f>A486+1</f>
        <v>261</v>
      </c>
      <c r="B487" s="289" t="s">
        <v>586</v>
      </c>
      <c r="C487" s="56" t="s">
        <v>603</v>
      </c>
      <c r="D487" s="94" t="s">
        <v>585</v>
      </c>
      <c r="E487" s="94" t="s">
        <v>328</v>
      </c>
      <c r="F487" s="96">
        <f>F486</f>
        <v>31.299999999999997</v>
      </c>
      <c r="G487" s="33">
        <v>536</v>
      </c>
      <c r="H487" s="288">
        <f t="shared" si="47"/>
        <v>16776.8</v>
      </c>
      <c r="I487" s="343" t="s">
        <v>460</v>
      </c>
      <c r="Q487" s="404"/>
      <c r="R487" s="533"/>
      <c r="S487" s="533"/>
      <c r="T487" s="533"/>
      <c r="U487" s="515"/>
      <c r="V487" s="515"/>
      <c r="W487" s="515"/>
      <c r="X487" s="354"/>
      <c r="Y487" s="416">
        <v>0</v>
      </c>
      <c r="Z487" s="416">
        <v>16776.8</v>
      </c>
      <c r="AA487" s="425">
        <f t="shared" si="46"/>
        <v>0</v>
      </c>
    </row>
    <row r="488" spans="1:27" ht="25.5">
      <c r="A488" s="287">
        <f t="shared" si="48"/>
        <v>262</v>
      </c>
      <c r="B488" s="112" t="s">
        <v>727</v>
      </c>
      <c r="C488" s="109" t="s">
        <v>603</v>
      </c>
      <c r="D488" s="110" t="s">
        <v>633</v>
      </c>
      <c r="E488" s="111" t="s">
        <v>328</v>
      </c>
      <c r="F488" s="119">
        <f>F486*1.1</f>
        <v>34.43</v>
      </c>
      <c r="G488" s="34">
        <v>1950</v>
      </c>
      <c r="H488" s="313">
        <f t="shared" si="47"/>
        <v>67138.5</v>
      </c>
      <c r="I488" s="343" t="s">
        <v>460</v>
      </c>
      <c r="Q488" s="404"/>
      <c r="R488" s="533"/>
      <c r="S488" s="533"/>
      <c r="T488" s="533"/>
      <c r="U488" s="515"/>
      <c r="V488" s="515"/>
      <c r="W488" s="515"/>
      <c r="X488" s="354"/>
      <c r="Y488" s="416">
        <v>0</v>
      </c>
      <c r="Z488" s="416">
        <v>67138.5</v>
      </c>
      <c r="AA488" s="425">
        <f t="shared" si="46"/>
        <v>0</v>
      </c>
    </row>
    <row r="489" spans="1:27" ht="12.75">
      <c r="A489" s="287">
        <f t="shared" si="48"/>
        <v>263</v>
      </c>
      <c r="B489" s="334" t="s">
        <v>728</v>
      </c>
      <c r="C489" s="99" t="s">
        <v>458</v>
      </c>
      <c r="D489" s="94" t="s">
        <v>488</v>
      </c>
      <c r="E489" s="100" t="s">
        <v>331</v>
      </c>
      <c r="F489" s="96">
        <f>19+20.3-0.8-0.8</f>
        <v>37.7</v>
      </c>
      <c r="G489" s="33">
        <v>102</v>
      </c>
      <c r="H489" s="288">
        <f t="shared" si="47"/>
        <v>3845.4</v>
      </c>
      <c r="I489" s="343" t="s">
        <v>460</v>
      </c>
      <c r="Q489" s="404"/>
      <c r="R489" s="533"/>
      <c r="S489" s="533"/>
      <c r="T489" s="533"/>
      <c r="U489" s="515"/>
      <c r="V489" s="515"/>
      <c r="W489" s="515"/>
      <c r="X489" s="354"/>
      <c r="Y489" s="416">
        <v>0</v>
      </c>
      <c r="Z489" s="416">
        <v>3845.4</v>
      </c>
      <c r="AA489" s="425">
        <f t="shared" si="46"/>
        <v>0</v>
      </c>
    </row>
    <row r="490" spans="1:27" ht="12.75">
      <c r="A490" s="287">
        <f t="shared" si="48"/>
        <v>264</v>
      </c>
      <c r="B490" s="335" t="s">
        <v>729</v>
      </c>
      <c r="C490" s="109" t="s">
        <v>457</v>
      </c>
      <c r="D490" s="110" t="s">
        <v>569</v>
      </c>
      <c r="E490" s="111" t="s">
        <v>331</v>
      </c>
      <c r="F490" s="119">
        <f>+F489*1.1</f>
        <v>41.470000000000006</v>
      </c>
      <c r="G490" s="34">
        <v>71.3</v>
      </c>
      <c r="H490" s="313">
        <f>F490*G490</f>
        <v>2956.811</v>
      </c>
      <c r="I490" s="343" t="s">
        <v>460</v>
      </c>
      <c r="Q490" s="404"/>
      <c r="R490" s="533"/>
      <c r="S490" s="533"/>
      <c r="T490" s="533"/>
      <c r="U490" s="515"/>
      <c r="V490" s="515"/>
      <c r="W490" s="515"/>
      <c r="X490" s="354"/>
      <c r="Y490" s="416">
        <v>0</v>
      </c>
      <c r="Z490" s="416">
        <v>2956.8</v>
      </c>
      <c r="AA490" s="425">
        <f t="shared" si="46"/>
        <v>0.010999999999967258</v>
      </c>
    </row>
    <row r="491" spans="1:27" ht="12.75">
      <c r="A491" s="287">
        <f t="shared" si="48"/>
        <v>265</v>
      </c>
      <c r="B491" s="334" t="s">
        <v>730</v>
      </c>
      <c r="C491" s="99" t="s">
        <v>731</v>
      </c>
      <c r="D491" s="94" t="s">
        <v>732</v>
      </c>
      <c r="E491" s="100" t="s">
        <v>331</v>
      </c>
      <c r="F491" s="96">
        <f>+F492</f>
        <v>0.8</v>
      </c>
      <c r="G491" s="33">
        <v>80</v>
      </c>
      <c r="H491" s="288">
        <f>F491*G491</f>
        <v>64</v>
      </c>
      <c r="I491" s="343" t="s">
        <v>460</v>
      </c>
      <c r="Q491" s="404"/>
      <c r="R491" s="533"/>
      <c r="S491" s="533"/>
      <c r="T491" s="533"/>
      <c r="U491" s="515"/>
      <c r="V491" s="515"/>
      <c r="W491" s="515"/>
      <c r="X491" s="354"/>
      <c r="Y491" s="416">
        <v>0</v>
      </c>
      <c r="Z491" s="416">
        <v>64</v>
      </c>
      <c r="AA491" s="425">
        <f t="shared" si="46"/>
        <v>0</v>
      </c>
    </row>
    <row r="492" spans="1:27" ht="12.75">
      <c r="A492" s="287">
        <f t="shared" si="48"/>
        <v>266</v>
      </c>
      <c r="B492" s="335" t="s">
        <v>733</v>
      </c>
      <c r="C492" s="109" t="s">
        <v>734</v>
      </c>
      <c r="D492" s="110" t="s">
        <v>735</v>
      </c>
      <c r="E492" s="111" t="s">
        <v>331</v>
      </c>
      <c r="F492" s="119">
        <v>0.8</v>
      </c>
      <c r="G492" s="34">
        <v>107.5</v>
      </c>
      <c r="H492" s="313">
        <f t="shared" si="47"/>
        <v>86</v>
      </c>
      <c r="I492" s="343" t="s">
        <v>460</v>
      </c>
      <c r="Q492" s="404"/>
      <c r="R492" s="533"/>
      <c r="S492" s="533"/>
      <c r="T492" s="533"/>
      <c r="U492" s="515"/>
      <c r="V492" s="515"/>
      <c r="W492" s="515"/>
      <c r="X492" s="354"/>
      <c r="Y492" s="416">
        <v>0</v>
      </c>
      <c r="Z492" s="416">
        <v>86</v>
      </c>
      <c r="AA492" s="425">
        <f t="shared" si="46"/>
        <v>0</v>
      </c>
    </row>
    <row r="493" spans="1:28" ht="13.5" thickBot="1">
      <c r="A493" s="287">
        <f t="shared" si="48"/>
        <v>267</v>
      </c>
      <c r="B493" s="90" t="s">
        <v>172</v>
      </c>
      <c r="C493" s="99"/>
      <c r="D493" s="94" t="s">
        <v>354</v>
      </c>
      <c r="E493" s="316" t="s">
        <v>336</v>
      </c>
      <c r="F493" s="96">
        <f>+H476+H477+H481+H482+H483+H485+H488+H490+H492</f>
        <v>149603.061</v>
      </c>
      <c r="G493" s="35">
        <v>0.05</v>
      </c>
      <c r="H493" s="317">
        <f t="shared" si="47"/>
        <v>7480.15305</v>
      </c>
      <c r="I493" s="343" t="s">
        <v>460</v>
      </c>
      <c r="Q493" s="404" t="s">
        <v>852</v>
      </c>
      <c r="R493" s="533">
        <f>T484+T483</f>
        <v>-3130</v>
      </c>
      <c r="S493" s="538">
        <v>0.05</v>
      </c>
      <c r="T493" s="533">
        <f>R493/100*5</f>
        <v>-156.5</v>
      </c>
      <c r="U493" s="515"/>
      <c r="V493" s="515"/>
      <c r="W493" s="515"/>
      <c r="X493" s="355" t="s">
        <v>891</v>
      </c>
      <c r="Y493" s="416">
        <v>0</v>
      </c>
      <c r="Z493" s="416">
        <v>7323.7</v>
      </c>
      <c r="AA493" s="425">
        <f t="shared" si="46"/>
        <v>156.45305000000008</v>
      </c>
      <c r="AB493" s="419" t="s">
        <v>875</v>
      </c>
    </row>
    <row r="494" spans="1:27" ht="13.5" thickBot="1">
      <c r="A494" s="287"/>
      <c r="B494" s="289"/>
      <c r="C494" s="99"/>
      <c r="D494" s="67" t="s">
        <v>329</v>
      </c>
      <c r="E494" s="310"/>
      <c r="F494" s="311"/>
      <c r="G494" s="312"/>
      <c r="H494" s="302">
        <f>SUBTOTAL(9,H476:H493)</f>
        <v>187757.24404999998</v>
      </c>
      <c r="Q494" s="405"/>
      <c r="R494" s="536"/>
      <c r="S494" s="536"/>
      <c r="T494" s="536"/>
      <c r="U494" s="517"/>
      <c r="V494" s="517"/>
      <c r="W494" s="517"/>
      <c r="Y494" s="416"/>
      <c r="Z494" s="416"/>
      <c r="AA494" s="425"/>
    </row>
    <row r="495" spans="1:27" ht="12.75">
      <c r="A495" s="287"/>
      <c r="B495" s="289"/>
      <c r="C495" s="99"/>
      <c r="D495" s="336"/>
      <c r="E495" s="316"/>
      <c r="F495" s="337"/>
      <c r="G495" s="317"/>
      <c r="H495" s="317"/>
      <c r="I495" s="343"/>
      <c r="Q495" s="404"/>
      <c r="R495" s="533"/>
      <c r="S495" s="533"/>
      <c r="T495" s="533"/>
      <c r="U495" s="515"/>
      <c r="V495" s="515"/>
      <c r="W495" s="515"/>
      <c r="X495" s="354"/>
      <c r="Y495" s="416"/>
      <c r="Z495" s="416"/>
      <c r="AA495" s="425">
        <f t="shared" si="46"/>
        <v>0</v>
      </c>
    </row>
    <row r="496" spans="1:27" ht="15" customHeight="1">
      <c r="A496" s="281"/>
      <c r="B496" s="338"/>
      <c r="C496" s="286">
        <v>3</v>
      </c>
      <c r="D496" s="564" t="s">
        <v>344</v>
      </c>
      <c r="E496" s="564"/>
      <c r="F496" s="564"/>
      <c r="G496" s="564"/>
      <c r="H496" s="564"/>
      <c r="Q496" s="404"/>
      <c r="R496" s="533"/>
      <c r="S496" s="533"/>
      <c r="T496" s="533"/>
      <c r="U496" s="515"/>
      <c r="V496" s="515"/>
      <c r="W496" s="515"/>
      <c r="Y496" s="416"/>
      <c r="Z496" s="416"/>
      <c r="AA496" s="425">
        <f t="shared" si="46"/>
        <v>0</v>
      </c>
    </row>
    <row r="497" spans="1:27" ht="13.5" thickBot="1">
      <c r="A497" s="287">
        <f>A493+1</f>
        <v>268</v>
      </c>
      <c r="B497" s="289"/>
      <c r="C497" s="99"/>
      <c r="D497" s="94" t="s">
        <v>383</v>
      </c>
      <c r="E497" s="100" t="s">
        <v>327</v>
      </c>
      <c r="F497" s="96">
        <v>1</v>
      </c>
      <c r="G497" s="33">
        <v>5800</v>
      </c>
      <c r="H497" s="288">
        <f>F497*G497</f>
        <v>5800</v>
      </c>
      <c r="I497" s="343" t="s">
        <v>460</v>
      </c>
      <c r="Q497" s="404"/>
      <c r="R497" s="533"/>
      <c r="S497" s="533"/>
      <c r="T497" s="533"/>
      <c r="U497" s="515"/>
      <c r="V497" s="515"/>
      <c r="W497" s="515"/>
      <c r="X497" s="354"/>
      <c r="Y497" s="416">
        <v>0</v>
      </c>
      <c r="Z497" s="416">
        <v>5800</v>
      </c>
      <c r="AA497" s="425">
        <f t="shared" si="46"/>
        <v>0</v>
      </c>
    </row>
    <row r="498" spans="4:27" ht="13.5" thickBot="1">
      <c r="D498" s="67" t="s">
        <v>329</v>
      </c>
      <c r="E498" s="310"/>
      <c r="F498" s="311"/>
      <c r="G498" s="312"/>
      <c r="H498" s="339">
        <f>SUBTOTAL(9,H497:H497)</f>
        <v>5800</v>
      </c>
      <c r="Q498" s="405"/>
      <c r="R498" s="536"/>
      <c r="S498" s="536"/>
      <c r="T498" s="536"/>
      <c r="U498" s="517"/>
      <c r="V498" s="517"/>
      <c r="W498" s="517"/>
      <c r="Y498" s="416"/>
      <c r="Z498" s="416"/>
      <c r="AA498" s="425"/>
    </row>
    <row r="499" spans="4:27" ht="12.75">
      <c r="D499" s="303"/>
      <c r="E499" s="304"/>
      <c r="F499" s="246"/>
      <c r="G499" s="276"/>
      <c r="H499" s="305"/>
      <c r="Q499" s="404"/>
      <c r="R499" s="533"/>
      <c r="S499" s="533"/>
      <c r="T499" s="533"/>
      <c r="U499" s="515"/>
      <c r="V499" s="515"/>
      <c r="W499" s="515"/>
      <c r="Y499" s="416"/>
      <c r="Z499" s="416"/>
      <c r="AA499" s="425">
        <f t="shared" si="46"/>
        <v>0</v>
      </c>
    </row>
  </sheetData>
  <sheetProtection selectLockedCells="1"/>
  <autoFilter ref="I1:Q499"/>
  <mergeCells count="65">
    <mergeCell ref="D5:H5"/>
    <mergeCell ref="D6:H6"/>
    <mergeCell ref="D8:H8"/>
    <mergeCell ref="D203:H203"/>
    <mergeCell ref="D279:H279"/>
    <mergeCell ref="D4:H4"/>
    <mergeCell ref="D7:H7"/>
    <mergeCell ref="D59:H59"/>
    <mergeCell ref="D60:H60"/>
    <mergeCell ref="D61:H61"/>
    <mergeCell ref="D63:H63"/>
    <mergeCell ref="D62:H62"/>
    <mergeCell ref="G31:H31"/>
    <mergeCell ref="D475:H475"/>
    <mergeCell ref="D326:H326"/>
    <mergeCell ref="D64:H64"/>
    <mergeCell ref="D84:H84"/>
    <mergeCell ref="D112:H112"/>
    <mergeCell ref="D65:H65"/>
    <mergeCell ref="D85:H85"/>
    <mergeCell ref="D298:H298"/>
    <mergeCell ref="D204:H204"/>
    <mergeCell ref="D365:H365"/>
    <mergeCell ref="D423:H423"/>
    <mergeCell ref="D474:H474"/>
    <mergeCell ref="D424:H424"/>
    <mergeCell ref="D446:H446"/>
    <mergeCell ref="D447:H447"/>
    <mergeCell ref="D278:H278"/>
    <mergeCell ref="D325:H325"/>
    <mergeCell ref="D370:H370"/>
    <mergeCell ref="D397:H397"/>
    <mergeCell ref="D371:H371"/>
    <mergeCell ref="D496:H496"/>
    <mergeCell ref="D358:H358"/>
    <mergeCell ref="D364:H364"/>
    <mergeCell ref="D396:H396"/>
    <mergeCell ref="D297:H297"/>
    <mergeCell ref="D107:H107"/>
    <mergeCell ref="D93:H93"/>
    <mergeCell ref="D109:H109"/>
    <mergeCell ref="D96:H96"/>
    <mergeCell ref="D357:H357"/>
    <mergeCell ref="D261:H261"/>
    <mergeCell ref="D155:H155"/>
    <mergeCell ref="D177:H177"/>
    <mergeCell ref="D154:H154"/>
    <mergeCell ref="D178:H178"/>
    <mergeCell ref="D81:H81"/>
    <mergeCell ref="D68:H68"/>
    <mergeCell ref="D80:H80"/>
    <mergeCell ref="D72:H72"/>
    <mergeCell ref="D76:H76"/>
    <mergeCell ref="D77:H77"/>
    <mergeCell ref="D71:H71"/>
    <mergeCell ref="D58:H58"/>
    <mergeCell ref="D73:H73"/>
    <mergeCell ref="D82:H82"/>
    <mergeCell ref="D78:H78"/>
    <mergeCell ref="D79:H79"/>
    <mergeCell ref="D75:H75"/>
    <mergeCell ref="D66:H66"/>
    <mergeCell ref="D67:H67"/>
    <mergeCell ref="D69:H69"/>
    <mergeCell ref="D70:H70"/>
  </mergeCells>
  <conditionalFormatting sqref="D58 E84">
    <cfRule type="expression" priority="102" dxfId="3" stopIfTrue="1">
      <formula>ISTEXT(D58)</formula>
    </cfRule>
  </conditionalFormatting>
  <conditionalFormatting sqref="F84:H84">
    <cfRule type="expression" priority="103" dxfId="3" stopIfTrue="1">
      <formula>ISNUMBER(F84)</formula>
    </cfRule>
  </conditionalFormatting>
  <hyperlinks>
    <hyperlink ref="D14" location="Kapitola_2" display="Kapitola_2"/>
    <hyperlink ref="D13" location="Kapitola_1" display="Kapitola_1"/>
    <hyperlink ref="D154:H154" location="Rekapitulace_2" display="Stropní deska v úrovni terénu"/>
    <hyperlink ref="D29" location="Dokoncovaci_prace" display="Dokoncovaci_prace"/>
    <hyperlink ref="D112:H112" location="Rekapitulace_1" display="Bourací a přípravné práce"/>
    <hyperlink ref="D177:H177" location="Rekapitulace_2b" display="Živičné izolace"/>
    <hyperlink ref="D203:H203" location="Rekapitulace_2c" display="Povlakové izolace proti vodě"/>
    <hyperlink ref="D260:H260" location="Rekapitulace_2d" display="Izolace tepelné"/>
    <hyperlink ref="D278:H278" location="Rekapitulace_2e" display="Kanalizace"/>
    <hyperlink ref="D325:H325" location="Rekapitulace_2f" display="Konstrukce klempířské"/>
    <hyperlink ref="D16" location="Kapitola_2b" display="Kapitola_2b"/>
    <hyperlink ref="D17" location="Kapitola_2c" display="Kapitola_2c"/>
    <hyperlink ref="D18" location="Kapitola_2d" display="Kapitola_2d"/>
    <hyperlink ref="D19" location="Kapitola_2e" display="Kapitola_2e"/>
    <hyperlink ref="D21" location="Kapitola_2f" display="Kapitola_2f"/>
    <hyperlink ref="D22" location="Kapitola_2g" display="Kapitola_2g"/>
    <hyperlink ref="D357:H357" location="Rekapitulace_2g" display="Elektroinstalace - silnoproud"/>
    <hyperlink ref="D370:H370" location="Rekapitulace_2i" display="Vzduchotechnika"/>
    <hyperlink ref="D364:H364" location="Rekapitulace_2h" display="Elektroinstalace - slaboproud"/>
    <hyperlink ref="D396:H396" location="Rekapitulace_2j" display="Konstrukce truhlářské"/>
    <hyperlink ref="D423:H423" location="Rekapitulace_2k" display="Konstrukce zámečnické"/>
    <hyperlink ref="D446:H446" location="Rekapitulace_2l" display="Podlahy z dlaždic"/>
    <hyperlink ref="D474:H474" location="Rekapitulace_2m" display="Podlahy povlakové"/>
    <hyperlink ref="D23:D28" location="Kapitola_2g" display="Kapitola_2g"/>
    <hyperlink ref="D23" location="Kapitola_2h" display="Kapitola_2h"/>
    <hyperlink ref="D24" location="Kapitola_2i" display="Kapitola_2i"/>
    <hyperlink ref="D25" location="Kapitola_2j" display="Kapitola_2j"/>
    <hyperlink ref="D26" location="Kapitola_2k" display="Kapitola_2k"/>
    <hyperlink ref="D27" location="Kapitola_2l" display="Kapitola_2l"/>
    <hyperlink ref="D28" location="Kapitola_2m" display="Kapitola_2m"/>
    <hyperlink ref="D496:H496" location="Rekapitulace_Dokončovací_práce" display="Dokončovací práce"/>
    <hyperlink ref="D297:H297" location="Rekapitulace_2f" display="Plynovod"/>
    <hyperlink ref="D87" location="Doplňky_dodavatele" display="Doplňky dodavatele"/>
  </hyperlinks>
  <printOptions horizontalCentered="1"/>
  <pageMargins left="0.3937007874015748" right="0.3937007874015748" top="0.3937007874015748" bottom="0.4724409448818898" header="0.5118110236220472" footer="0.3937007874015748"/>
  <pageSetup fitToHeight="0" fitToWidth="1" horizontalDpi="600" verticalDpi="600" orientation="landscape" paperSize="9" scale="60" r:id="rId3"/>
  <headerFooter alignWithMargins="0">
    <oddFooter>&amp;CStránka &amp;P z &amp;N</oddFooter>
  </headerFooter>
  <rowBreaks count="6" manualBreakCount="6">
    <brk id="54" max="28" man="1"/>
    <brk id="153" max="28" man="1"/>
    <brk id="259" max="28" man="1"/>
    <brk id="369" max="28" man="1"/>
    <brk id="422" max="28" man="1"/>
    <brk id="473" max="28"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08"/>
  <sheetViews>
    <sheetView tabSelected="1" view="pageBreakPreview" zoomScale="85" zoomScaleSheetLayoutView="85" zoomScalePageLayoutView="0" workbookViewId="0" topLeftCell="A37">
      <selection activeCell="I42" sqref="I42"/>
    </sheetView>
  </sheetViews>
  <sheetFormatPr defaultColWidth="9.00390625" defaultRowHeight="12.75"/>
  <cols>
    <col min="1" max="1" width="4.75390625" style="40" customWidth="1"/>
    <col min="2" max="2" width="14.25390625" style="40" customWidth="1"/>
    <col min="3" max="3" width="43.875" style="212" customWidth="1"/>
    <col min="4" max="4" width="4.625" style="212" customWidth="1"/>
    <col min="5" max="5" width="5.375" style="212" customWidth="1"/>
    <col min="6" max="6" width="7.625" style="212" customWidth="1"/>
    <col min="7" max="7" width="9.875" style="212" customWidth="1"/>
    <col min="8" max="8" width="9.375" style="212" customWidth="1"/>
    <col min="9" max="9" width="11.125" style="0" customWidth="1"/>
    <col min="10" max="10" width="7.00390625" style="456" customWidth="1"/>
    <col min="11" max="11" width="9.25390625" style="0" customWidth="1"/>
    <col min="12" max="12" width="10.375" style="0" customWidth="1"/>
    <col min="13" max="13" width="12.25390625" style="0" customWidth="1"/>
    <col min="14" max="14" width="29.875" style="353" customWidth="1"/>
    <col min="15" max="15" width="10.00390625" style="487" customWidth="1"/>
    <col min="16" max="16" width="48.875" style="449" customWidth="1"/>
    <col min="17" max="17" width="16.375" style="0" customWidth="1"/>
    <col min="18" max="18" width="18.375" style="0" customWidth="1"/>
    <col min="19" max="19" width="14.75390625" style="0" customWidth="1"/>
  </cols>
  <sheetData>
    <row r="1" spans="1:19" s="17" customFormat="1" ht="21" customHeight="1">
      <c r="A1" s="177"/>
      <c r="B1" s="178" t="s">
        <v>528</v>
      </c>
      <c r="C1" s="179"/>
      <c r="D1" s="179"/>
      <c r="E1" s="179"/>
      <c r="F1" s="179"/>
      <c r="G1" s="179"/>
      <c r="H1" s="179"/>
      <c r="I1" s="176"/>
      <c r="J1" s="456"/>
      <c r="K1" s="176"/>
      <c r="L1" s="176"/>
      <c r="M1" s="176"/>
      <c r="N1" s="366"/>
      <c r="O1" s="485"/>
      <c r="P1" s="443"/>
      <c r="R1" s="451"/>
      <c r="S1" s="431"/>
    </row>
    <row r="2" spans="1:16" s="17" customFormat="1" ht="24" customHeight="1">
      <c r="A2" s="180"/>
      <c r="B2" s="180"/>
      <c r="C2" s="177" t="s">
        <v>403</v>
      </c>
      <c r="D2" s="181"/>
      <c r="E2" s="181"/>
      <c r="F2" s="181"/>
      <c r="G2" s="181"/>
      <c r="H2" s="181"/>
      <c r="J2" s="457"/>
      <c r="N2" s="367"/>
      <c r="O2" s="485"/>
      <c r="P2" s="443"/>
    </row>
    <row r="3" spans="1:19" s="17" customFormat="1" ht="16.5" customHeight="1">
      <c r="A3" s="180"/>
      <c r="B3" s="180"/>
      <c r="C3" s="182" t="s">
        <v>404</v>
      </c>
      <c r="D3" s="181"/>
      <c r="E3" s="181"/>
      <c r="F3" s="181"/>
      <c r="G3" s="181"/>
      <c r="H3" s="181"/>
      <c r="J3" s="455"/>
      <c r="K3" s="453"/>
      <c r="L3" s="454"/>
      <c r="M3" s="454"/>
      <c r="N3" s="367"/>
      <c r="O3" s="485"/>
      <c r="P3" s="443"/>
      <c r="Q3" s="578"/>
      <c r="R3" s="578"/>
      <c r="S3" s="451"/>
    </row>
    <row r="4" spans="1:19" s="17" customFormat="1" ht="12.75">
      <c r="A4" s="180"/>
      <c r="B4" s="180" t="s">
        <v>405</v>
      </c>
      <c r="C4" s="183" t="s">
        <v>406</v>
      </c>
      <c r="D4" s="181"/>
      <c r="E4" s="180" t="s">
        <v>333</v>
      </c>
      <c r="F4" s="180" t="s">
        <v>407</v>
      </c>
      <c r="G4" s="180" t="s">
        <v>408</v>
      </c>
      <c r="H4" s="180" t="s">
        <v>334</v>
      </c>
      <c r="I4" s="17" t="s">
        <v>409</v>
      </c>
      <c r="J4" s="459" t="s">
        <v>851</v>
      </c>
      <c r="K4" s="460" t="s">
        <v>315</v>
      </c>
      <c r="L4" s="461" t="s">
        <v>316</v>
      </c>
      <c r="M4" s="461" t="s">
        <v>317</v>
      </c>
      <c r="N4" s="368" t="s">
        <v>846</v>
      </c>
      <c r="O4" s="485"/>
      <c r="P4" s="444" t="s">
        <v>882</v>
      </c>
      <c r="Q4" s="414" t="s">
        <v>871</v>
      </c>
      <c r="R4" s="414" t="s">
        <v>881</v>
      </c>
      <c r="S4" s="415" t="s">
        <v>872</v>
      </c>
    </row>
    <row r="5" spans="1:19" s="17" customFormat="1" ht="13.5" customHeight="1">
      <c r="A5" s="180">
        <v>1</v>
      </c>
      <c r="B5" s="184" t="s">
        <v>778</v>
      </c>
      <c r="C5" s="181" t="s">
        <v>748</v>
      </c>
      <c r="D5" s="181" t="s">
        <v>330</v>
      </c>
      <c r="E5" s="181">
        <v>1</v>
      </c>
      <c r="F5" s="172">
        <v>910</v>
      </c>
      <c r="G5" s="172">
        <v>420</v>
      </c>
      <c r="H5" s="185">
        <f>(F5+G5)*E5</f>
        <v>1330</v>
      </c>
      <c r="I5" s="17">
        <f>E5*F5</f>
        <v>910</v>
      </c>
      <c r="J5" s="463"/>
      <c r="K5" s="451"/>
      <c r="L5" s="462"/>
      <c r="M5" s="462"/>
      <c r="N5" s="369"/>
      <c r="O5" s="485"/>
      <c r="P5" s="443"/>
      <c r="Q5" s="445">
        <v>0</v>
      </c>
      <c r="R5" s="445">
        <v>0</v>
      </c>
      <c r="S5" s="445">
        <v>1330</v>
      </c>
    </row>
    <row r="6" spans="1:19" s="17" customFormat="1" ht="13.5" customHeight="1">
      <c r="A6" s="180">
        <f aca="true" t="shared" si="0" ref="A6:A42">A5+1</f>
        <v>2</v>
      </c>
      <c r="B6" s="186" t="s">
        <v>779</v>
      </c>
      <c r="C6" s="181" t="s">
        <v>410</v>
      </c>
      <c r="D6" s="181" t="s">
        <v>330</v>
      </c>
      <c r="E6" s="181">
        <v>3</v>
      </c>
      <c r="F6" s="172">
        <v>530</v>
      </c>
      <c r="G6" s="172">
        <v>420</v>
      </c>
      <c r="H6" s="185">
        <f aca="true" t="shared" si="1" ref="H6:H42">(F6+G6)*E6</f>
        <v>2850</v>
      </c>
      <c r="I6" s="17">
        <f aca="true" t="shared" si="2" ref="I6:I42">E6*F6</f>
        <v>1590</v>
      </c>
      <c r="J6" s="464"/>
      <c r="K6" s="465"/>
      <c r="L6" s="466"/>
      <c r="M6" s="466"/>
      <c r="N6" s="369"/>
      <c r="O6" s="485"/>
      <c r="P6" s="443"/>
      <c r="Q6" s="445">
        <v>0</v>
      </c>
      <c r="R6" s="445">
        <v>0</v>
      </c>
      <c r="S6" s="445">
        <v>2850</v>
      </c>
    </row>
    <row r="7" spans="1:19" s="17" customFormat="1" ht="13.5" customHeight="1">
      <c r="A7" s="180">
        <f t="shared" si="0"/>
        <v>3</v>
      </c>
      <c r="B7" s="187">
        <v>210201064</v>
      </c>
      <c r="C7" s="188" t="s">
        <v>844</v>
      </c>
      <c r="D7" s="188" t="s">
        <v>330</v>
      </c>
      <c r="E7" s="188">
        <v>1</v>
      </c>
      <c r="F7" s="172">
        <v>60</v>
      </c>
      <c r="G7" s="172">
        <v>35</v>
      </c>
      <c r="H7" s="185">
        <f t="shared" si="1"/>
        <v>95</v>
      </c>
      <c r="I7" s="175">
        <f t="shared" si="2"/>
        <v>60</v>
      </c>
      <c r="J7" s="467"/>
      <c r="K7" s="468"/>
      <c r="L7" s="466"/>
      <c r="M7" s="466"/>
      <c r="N7" s="367"/>
      <c r="O7" s="485"/>
      <c r="P7" s="443"/>
      <c r="Q7" s="445">
        <v>0</v>
      </c>
      <c r="R7" s="445">
        <v>0</v>
      </c>
      <c r="S7" s="445">
        <v>95</v>
      </c>
    </row>
    <row r="8" spans="1:19" s="17" customFormat="1" ht="13.5" customHeight="1">
      <c r="A8" s="180">
        <f t="shared" si="0"/>
        <v>4</v>
      </c>
      <c r="B8" s="186" t="s">
        <v>780</v>
      </c>
      <c r="C8" s="189" t="s">
        <v>845</v>
      </c>
      <c r="D8" s="181" t="s">
        <v>330</v>
      </c>
      <c r="E8" s="181">
        <v>1</v>
      </c>
      <c r="F8" s="172">
        <v>1190</v>
      </c>
      <c r="G8" s="172">
        <v>550</v>
      </c>
      <c r="H8" s="185">
        <f t="shared" si="1"/>
        <v>1740</v>
      </c>
      <c r="I8" s="17">
        <f t="shared" si="2"/>
        <v>1190</v>
      </c>
      <c r="J8" s="464"/>
      <c r="K8" s="465"/>
      <c r="L8" s="466"/>
      <c r="M8" s="466"/>
      <c r="N8" s="369"/>
      <c r="O8" s="485"/>
      <c r="P8" s="443"/>
      <c r="Q8" s="445">
        <v>0</v>
      </c>
      <c r="R8" s="445">
        <v>0</v>
      </c>
      <c r="S8" s="445">
        <v>1740</v>
      </c>
    </row>
    <row r="9" spans="1:19" s="17" customFormat="1" ht="13.5" customHeight="1">
      <c r="A9" s="180">
        <f t="shared" si="0"/>
        <v>5</v>
      </c>
      <c r="B9" s="186" t="s">
        <v>781</v>
      </c>
      <c r="C9" s="181" t="s">
        <v>412</v>
      </c>
      <c r="D9" s="181" t="s">
        <v>330</v>
      </c>
      <c r="E9" s="181">
        <v>25</v>
      </c>
      <c r="F9" s="172">
        <v>160</v>
      </c>
      <c r="G9" s="172">
        <v>100</v>
      </c>
      <c r="H9" s="185">
        <f t="shared" si="1"/>
        <v>6500</v>
      </c>
      <c r="I9" s="17">
        <f t="shared" si="2"/>
        <v>4000</v>
      </c>
      <c r="J9" s="464"/>
      <c r="K9" s="465"/>
      <c r="L9" s="466"/>
      <c r="M9" s="466"/>
      <c r="N9" s="369"/>
      <c r="O9" s="485"/>
      <c r="P9" s="443"/>
      <c r="Q9" s="445">
        <v>0</v>
      </c>
      <c r="R9" s="445">
        <v>0</v>
      </c>
      <c r="S9" s="445">
        <v>6500</v>
      </c>
    </row>
    <row r="10" spans="1:19" s="17" customFormat="1" ht="13.5" customHeight="1">
      <c r="A10" s="180">
        <f t="shared" si="0"/>
        <v>6</v>
      </c>
      <c r="B10" s="186" t="s">
        <v>781</v>
      </c>
      <c r="C10" s="181" t="s">
        <v>413</v>
      </c>
      <c r="D10" s="181" t="s">
        <v>330</v>
      </c>
      <c r="E10" s="181">
        <v>1</v>
      </c>
      <c r="F10" s="172">
        <v>920</v>
      </c>
      <c r="G10" s="172">
        <v>100</v>
      </c>
      <c r="H10" s="185">
        <f t="shared" si="1"/>
        <v>1020</v>
      </c>
      <c r="I10" s="17">
        <f t="shared" si="2"/>
        <v>920</v>
      </c>
      <c r="J10" s="464"/>
      <c r="K10" s="465"/>
      <c r="L10" s="466"/>
      <c r="M10" s="466"/>
      <c r="N10" s="369"/>
      <c r="O10" s="485"/>
      <c r="P10" s="443"/>
      <c r="Q10" s="445">
        <v>0</v>
      </c>
      <c r="R10" s="445">
        <v>0</v>
      </c>
      <c r="S10" s="445">
        <v>1020</v>
      </c>
    </row>
    <row r="11" spans="1:19" s="17" customFormat="1" ht="13.5" customHeight="1">
      <c r="A11" s="180">
        <f t="shared" si="0"/>
        <v>7</v>
      </c>
      <c r="B11" s="186" t="s">
        <v>782</v>
      </c>
      <c r="C11" s="181" t="s">
        <v>414</v>
      </c>
      <c r="D11" s="181" t="s">
        <v>330</v>
      </c>
      <c r="E11" s="181">
        <v>6</v>
      </c>
      <c r="F11" s="172">
        <v>155</v>
      </c>
      <c r="G11" s="172">
        <v>100</v>
      </c>
      <c r="H11" s="185">
        <f t="shared" si="1"/>
        <v>1530</v>
      </c>
      <c r="I11" s="17">
        <f t="shared" si="2"/>
        <v>930</v>
      </c>
      <c r="J11" s="464"/>
      <c r="K11" s="465"/>
      <c r="L11" s="466"/>
      <c r="M11" s="466"/>
      <c r="N11" s="369"/>
      <c r="O11" s="485"/>
      <c r="P11" s="443"/>
      <c r="Q11" s="445">
        <v>0</v>
      </c>
      <c r="R11" s="445">
        <v>0</v>
      </c>
      <c r="S11" s="445">
        <v>1530</v>
      </c>
    </row>
    <row r="12" spans="1:19" s="17" customFormat="1" ht="13.5" customHeight="1">
      <c r="A12" s="180">
        <f t="shared" si="0"/>
        <v>8</v>
      </c>
      <c r="B12" s="184" t="s">
        <v>783</v>
      </c>
      <c r="C12" s="181" t="s">
        <v>415</v>
      </c>
      <c r="D12" s="181" t="s">
        <v>330</v>
      </c>
      <c r="E12" s="181">
        <v>4</v>
      </c>
      <c r="F12" s="172">
        <v>210</v>
      </c>
      <c r="G12" s="172">
        <v>100</v>
      </c>
      <c r="H12" s="185">
        <f t="shared" si="1"/>
        <v>1240</v>
      </c>
      <c r="I12" s="17">
        <f t="shared" si="2"/>
        <v>840</v>
      </c>
      <c r="J12" s="464"/>
      <c r="K12" s="465"/>
      <c r="L12" s="466"/>
      <c r="M12" s="466"/>
      <c r="N12" s="369"/>
      <c r="O12" s="485"/>
      <c r="P12" s="443"/>
      <c r="Q12" s="445">
        <v>0</v>
      </c>
      <c r="R12" s="445">
        <v>0</v>
      </c>
      <c r="S12" s="445">
        <v>1240</v>
      </c>
    </row>
    <row r="13" spans="1:19" s="17" customFormat="1" ht="13.5" customHeight="1">
      <c r="A13" s="180">
        <f t="shared" si="0"/>
        <v>9</v>
      </c>
      <c r="B13" s="190" t="s">
        <v>784</v>
      </c>
      <c r="C13" s="191" t="s">
        <v>785</v>
      </c>
      <c r="D13" s="191" t="s">
        <v>330</v>
      </c>
      <c r="E13" s="191">
        <v>1</v>
      </c>
      <c r="F13" s="172">
        <v>190</v>
      </c>
      <c r="G13" s="172">
        <v>100</v>
      </c>
      <c r="H13" s="185">
        <f t="shared" si="1"/>
        <v>290</v>
      </c>
      <c r="I13" s="173">
        <f>+E13*F13</f>
        <v>190</v>
      </c>
      <c r="J13" s="469"/>
      <c r="K13" s="470"/>
      <c r="L13" s="471"/>
      <c r="M13" s="471"/>
      <c r="N13" s="370"/>
      <c r="O13" s="486"/>
      <c r="P13" s="448"/>
      <c r="Q13" s="446">
        <v>0</v>
      </c>
      <c r="R13" s="445">
        <v>0</v>
      </c>
      <c r="S13" s="445">
        <v>290</v>
      </c>
    </row>
    <row r="14" spans="1:19" s="17" customFormat="1" ht="13.5" customHeight="1">
      <c r="A14" s="180">
        <f t="shared" si="0"/>
        <v>10</v>
      </c>
      <c r="B14" s="186" t="s">
        <v>789</v>
      </c>
      <c r="C14" s="181" t="s">
        <v>764</v>
      </c>
      <c r="D14" s="181" t="s">
        <v>330</v>
      </c>
      <c r="E14" s="181">
        <v>1</v>
      </c>
      <c r="F14" s="172">
        <v>295</v>
      </c>
      <c r="G14" s="172">
        <v>120</v>
      </c>
      <c r="H14" s="185">
        <f t="shared" si="1"/>
        <v>415</v>
      </c>
      <c r="I14" s="17">
        <f t="shared" si="2"/>
        <v>295</v>
      </c>
      <c r="J14" s="464" t="s">
        <v>852</v>
      </c>
      <c r="K14" s="465">
        <v>-1</v>
      </c>
      <c r="L14" s="466">
        <v>415</v>
      </c>
      <c r="M14" s="466">
        <v>-415</v>
      </c>
      <c r="N14" s="369" t="s">
        <v>891</v>
      </c>
      <c r="O14" s="485"/>
      <c r="P14" s="443" t="s">
        <v>883</v>
      </c>
      <c r="Q14" s="445">
        <v>0</v>
      </c>
      <c r="R14" s="445">
        <v>0</v>
      </c>
      <c r="S14" s="445">
        <v>0</v>
      </c>
    </row>
    <row r="15" spans="1:19" s="17" customFormat="1" ht="13.5" customHeight="1">
      <c r="A15" s="180">
        <f t="shared" si="0"/>
        <v>11</v>
      </c>
      <c r="B15" s="190" t="s">
        <v>786</v>
      </c>
      <c r="C15" s="181" t="s">
        <v>416</v>
      </c>
      <c r="D15" s="181" t="s">
        <v>330</v>
      </c>
      <c r="E15" s="181">
        <v>18</v>
      </c>
      <c r="F15" s="172">
        <v>26</v>
      </c>
      <c r="G15" s="172">
        <v>20</v>
      </c>
      <c r="H15" s="185">
        <f t="shared" si="1"/>
        <v>828</v>
      </c>
      <c r="I15" s="17">
        <f t="shared" si="2"/>
        <v>468</v>
      </c>
      <c r="J15" s="464"/>
      <c r="K15" s="465"/>
      <c r="L15" s="466"/>
      <c r="M15" s="466"/>
      <c r="N15" s="369"/>
      <c r="O15" s="485"/>
      <c r="P15" s="443"/>
      <c r="Q15" s="445">
        <v>0</v>
      </c>
      <c r="R15" s="445">
        <v>0</v>
      </c>
      <c r="S15" s="445">
        <v>828</v>
      </c>
    </row>
    <row r="16" spans="1:19" s="17" customFormat="1" ht="13.5" customHeight="1">
      <c r="A16" s="180">
        <f t="shared" si="0"/>
        <v>12</v>
      </c>
      <c r="B16" s="190" t="s">
        <v>787</v>
      </c>
      <c r="C16" s="181" t="s">
        <v>417</v>
      </c>
      <c r="D16" s="181" t="s">
        <v>330</v>
      </c>
      <c r="E16" s="181">
        <v>5</v>
      </c>
      <c r="F16" s="172">
        <v>50</v>
      </c>
      <c r="G16" s="172">
        <v>30</v>
      </c>
      <c r="H16" s="185">
        <f t="shared" si="1"/>
        <v>400</v>
      </c>
      <c r="I16" s="17">
        <f t="shared" si="2"/>
        <v>250</v>
      </c>
      <c r="J16" s="464"/>
      <c r="K16" s="465"/>
      <c r="L16" s="466"/>
      <c r="M16" s="466"/>
      <c r="N16" s="369"/>
      <c r="O16" s="485"/>
      <c r="P16" s="443"/>
      <c r="Q16" s="445">
        <v>0</v>
      </c>
      <c r="R16" s="445">
        <v>0</v>
      </c>
      <c r="S16" s="445">
        <v>400</v>
      </c>
    </row>
    <row r="17" spans="1:19" s="17" customFormat="1" ht="13.5" customHeight="1">
      <c r="A17" s="180">
        <f t="shared" si="0"/>
        <v>13</v>
      </c>
      <c r="B17" s="190" t="s">
        <v>788</v>
      </c>
      <c r="C17" s="192" t="s">
        <v>765</v>
      </c>
      <c r="D17" s="181" t="s">
        <v>330</v>
      </c>
      <c r="E17" s="192">
        <v>3</v>
      </c>
      <c r="F17" s="172">
        <v>76</v>
      </c>
      <c r="G17" s="172">
        <v>40</v>
      </c>
      <c r="H17" s="185">
        <f t="shared" si="1"/>
        <v>348</v>
      </c>
      <c r="I17" s="17">
        <f t="shared" si="2"/>
        <v>228</v>
      </c>
      <c r="J17" s="464"/>
      <c r="K17" s="465"/>
      <c r="L17" s="466"/>
      <c r="M17" s="466"/>
      <c r="N17" s="369"/>
      <c r="O17" s="485"/>
      <c r="P17" s="443"/>
      <c r="Q17" s="447">
        <v>0</v>
      </c>
      <c r="R17" s="445">
        <v>0</v>
      </c>
      <c r="S17" s="445">
        <v>348</v>
      </c>
    </row>
    <row r="18" spans="1:19" s="17" customFormat="1" ht="13.5" customHeight="1">
      <c r="A18" s="180">
        <f t="shared" si="0"/>
        <v>14</v>
      </c>
      <c r="B18" s="180" t="s">
        <v>777</v>
      </c>
      <c r="C18" s="192" t="s">
        <v>500</v>
      </c>
      <c r="D18" s="181" t="s">
        <v>330</v>
      </c>
      <c r="E18" s="192">
        <v>1</v>
      </c>
      <c r="F18" s="172">
        <v>290</v>
      </c>
      <c r="G18" s="172">
        <v>210</v>
      </c>
      <c r="H18" s="185">
        <f t="shared" si="1"/>
        <v>500</v>
      </c>
      <c r="I18" s="17">
        <f t="shared" si="2"/>
        <v>290</v>
      </c>
      <c r="J18" s="464"/>
      <c r="K18" s="465"/>
      <c r="L18" s="466"/>
      <c r="M18" s="466"/>
      <c r="N18" s="369"/>
      <c r="O18" s="485"/>
      <c r="P18" s="443"/>
      <c r="Q18" s="447">
        <v>0</v>
      </c>
      <c r="R18" s="445">
        <v>0</v>
      </c>
      <c r="S18" s="445">
        <v>500</v>
      </c>
    </row>
    <row r="19" spans="1:19" s="17" customFormat="1" ht="13.5" customHeight="1">
      <c r="A19" s="180">
        <f t="shared" si="0"/>
        <v>15</v>
      </c>
      <c r="B19" s="186" t="s">
        <v>790</v>
      </c>
      <c r="C19" s="181" t="s">
        <v>501</v>
      </c>
      <c r="D19" s="181" t="s">
        <v>330</v>
      </c>
      <c r="E19" s="181">
        <v>2</v>
      </c>
      <c r="F19" s="172">
        <v>69</v>
      </c>
      <c r="G19" s="172">
        <v>120</v>
      </c>
      <c r="H19" s="185">
        <f t="shared" si="1"/>
        <v>378</v>
      </c>
      <c r="I19" s="17">
        <f t="shared" si="2"/>
        <v>138</v>
      </c>
      <c r="J19" s="464"/>
      <c r="K19" s="465"/>
      <c r="L19" s="466"/>
      <c r="M19" s="466"/>
      <c r="N19" s="369"/>
      <c r="O19" s="485"/>
      <c r="P19" s="443"/>
      <c r="Q19" s="445">
        <v>0</v>
      </c>
      <c r="R19" s="445">
        <v>0</v>
      </c>
      <c r="S19" s="445">
        <v>378</v>
      </c>
    </row>
    <row r="20" spans="1:19" s="17" customFormat="1" ht="13.5" customHeight="1">
      <c r="A20" s="180">
        <f t="shared" si="0"/>
        <v>16</v>
      </c>
      <c r="B20" s="186" t="s">
        <v>791</v>
      </c>
      <c r="C20" s="181" t="s">
        <v>418</v>
      </c>
      <c r="D20" s="181" t="s">
        <v>330</v>
      </c>
      <c r="E20" s="181">
        <v>34</v>
      </c>
      <c r="F20" s="172">
        <v>8</v>
      </c>
      <c r="G20" s="172">
        <v>100</v>
      </c>
      <c r="H20" s="185">
        <f t="shared" si="1"/>
        <v>3672</v>
      </c>
      <c r="I20" s="17">
        <f t="shared" si="2"/>
        <v>272</v>
      </c>
      <c r="J20" s="464"/>
      <c r="K20" s="465"/>
      <c r="L20" s="466"/>
      <c r="M20" s="466"/>
      <c r="N20" s="369" t="s">
        <v>887</v>
      </c>
      <c r="O20" s="485" t="s">
        <v>901</v>
      </c>
      <c r="P20" s="443"/>
      <c r="Q20" s="445">
        <v>0</v>
      </c>
      <c r="R20" s="445">
        <v>0</v>
      </c>
      <c r="S20" s="445">
        <v>3672</v>
      </c>
    </row>
    <row r="21" spans="1:19" s="17" customFormat="1" ht="13.5" customHeight="1">
      <c r="A21" s="180">
        <f t="shared" si="0"/>
        <v>17</v>
      </c>
      <c r="B21" s="186" t="s">
        <v>792</v>
      </c>
      <c r="C21" s="181" t="s">
        <v>502</v>
      </c>
      <c r="D21" s="181" t="s">
        <v>330</v>
      </c>
      <c r="E21" s="181">
        <v>5</v>
      </c>
      <c r="F21" s="172">
        <v>30</v>
      </c>
      <c r="G21" s="172">
        <v>100</v>
      </c>
      <c r="H21" s="185">
        <f t="shared" si="1"/>
        <v>650</v>
      </c>
      <c r="I21" s="17">
        <f t="shared" si="2"/>
        <v>150</v>
      </c>
      <c r="J21" s="464"/>
      <c r="K21" s="465"/>
      <c r="L21" s="466"/>
      <c r="M21" s="466"/>
      <c r="N21" s="369" t="s">
        <v>887</v>
      </c>
      <c r="O21" s="485" t="s">
        <v>901</v>
      </c>
      <c r="P21" s="443"/>
      <c r="Q21" s="445">
        <v>0</v>
      </c>
      <c r="R21" s="445">
        <v>0</v>
      </c>
      <c r="S21" s="445">
        <v>650</v>
      </c>
    </row>
    <row r="22" spans="1:19" s="17" customFormat="1" ht="13.5" customHeight="1">
      <c r="A22" s="180">
        <f t="shared" si="0"/>
        <v>18</v>
      </c>
      <c r="B22" s="186" t="s">
        <v>793</v>
      </c>
      <c r="C22" s="181" t="s">
        <v>419</v>
      </c>
      <c r="D22" s="181" t="s">
        <v>330</v>
      </c>
      <c r="E22" s="181">
        <v>20</v>
      </c>
      <c r="F22" s="172">
        <v>20</v>
      </c>
      <c r="G22" s="172">
        <v>30</v>
      </c>
      <c r="H22" s="185">
        <f t="shared" si="1"/>
        <v>1000</v>
      </c>
      <c r="I22" s="17">
        <f t="shared" si="2"/>
        <v>400</v>
      </c>
      <c r="J22" s="464"/>
      <c r="K22" s="465"/>
      <c r="L22" s="466"/>
      <c r="M22" s="466"/>
      <c r="N22" s="369"/>
      <c r="O22" s="485"/>
      <c r="P22" s="443"/>
      <c r="Q22" s="445">
        <v>0</v>
      </c>
      <c r="R22" s="445">
        <v>0</v>
      </c>
      <c r="S22" s="445">
        <v>1000</v>
      </c>
    </row>
    <row r="23" spans="1:19" s="17" customFormat="1" ht="13.5" customHeight="1">
      <c r="A23" s="180">
        <f t="shared" si="0"/>
        <v>19</v>
      </c>
      <c r="B23" s="193" t="s">
        <v>809</v>
      </c>
      <c r="C23" s="181" t="s">
        <v>529</v>
      </c>
      <c r="D23" s="181" t="s">
        <v>331</v>
      </c>
      <c r="E23" s="181">
        <v>3</v>
      </c>
      <c r="F23" s="172">
        <v>111</v>
      </c>
      <c r="G23" s="172">
        <v>36</v>
      </c>
      <c r="H23" s="185">
        <f t="shared" si="1"/>
        <v>441</v>
      </c>
      <c r="I23" s="17">
        <f t="shared" si="2"/>
        <v>333</v>
      </c>
      <c r="J23" s="464"/>
      <c r="K23" s="465"/>
      <c r="L23" s="466"/>
      <c r="M23" s="466"/>
      <c r="N23" s="369" t="s">
        <v>887</v>
      </c>
      <c r="O23" s="485" t="s">
        <v>901</v>
      </c>
      <c r="P23" s="443"/>
      <c r="Q23" s="445">
        <v>441</v>
      </c>
      <c r="R23" s="445">
        <v>0</v>
      </c>
      <c r="S23" s="445">
        <v>0</v>
      </c>
    </row>
    <row r="24" spans="1:19" s="17" customFormat="1" ht="13.5" customHeight="1">
      <c r="A24" s="180">
        <f t="shared" si="0"/>
        <v>20</v>
      </c>
      <c r="B24" s="186" t="s">
        <v>794</v>
      </c>
      <c r="C24" s="181" t="s">
        <v>420</v>
      </c>
      <c r="D24" s="181" t="s">
        <v>331</v>
      </c>
      <c r="E24" s="181">
        <v>185</v>
      </c>
      <c r="F24" s="172">
        <v>28</v>
      </c>
      <c r="G24" s="172">
        <v>22</v>
      </c>
      <c r="H24" s="185">
        <f t="shared" si="1"/>
        <v>9250</v>
      </c>
      <c r="I24" s="17">
        <f t="shared" si="2"/>
        <v>5180</v>
      </c>
      <c r="J24" s="464"/>
      <c r="K24" s="465"/>
      <c r="L24" s="466"/>
      <c r="M24" s="466"/>
      <c r="N24" s="369" t="s">
        <v>887</v>
      </c>
      <c r="O24" s="485" t="s">
        <v>901</v>
      </c>
      <c r="P24" s="443"/>
      <c r="Q24" s="445">
        <v>9250</v>
      </c>
      <c r="R24" s="445">
        <v>0</v>
      </c>
      <c r="S24" s="445">
        <v>0</v>
      </c>
    </row>
    <row r="25" spans="1:19" s="17" customFormat="1" ht="13.5" customHeight="1">
      <c r="A25" s="180">
        <f t="shared" si="0"/>
        <v>21</v>
      </c>
      <c r="B25" s="186" t="s">
        <v>795</v>
      </c>
      <c r="C25" s="181" t="s">
        <v>421</v>
      </c>
      <c r="D25" s="181" t="s">
        <v>331</v>
      </c>
      <c r="E25" s="181">
        <v>90</v>
      </c>
      <c r="F25" s="172">
        <v>28</v>
      </c>
      <c r="G25" s="172">
        <v>22</v>
      </c>
      <c r="H25" s="185">
        <f t="shared" si="1"/>
        <v>4500</v>
      </c>
      <c r="I25" s="17">
        <f t="shared" si="2"/>
        <v>2520</v>
      </c>
      <c r="J25" s="464"/>
      <c r="K25" s="465"/>
      <c r="L25" s="466"/>
      <c r="M25" s="466"/>
      <c r="N25" s="369" t="s">
        <v>887</v>
      </c>
      <c r="O25" s="485" t="s">
        <v>901</v>
      </c>
      <c r="P25" s="443"/>
      <c r="Q25" s="445">
        <v>4500</v>
      </c>
      <c r="R25" s="445">
        <v>0</v>
      </c>
      <c r="S25" s="445">
        <v>0</v>
      </c>
    </row>
    <row r="26" spans="1:19" s="17" customFormat="1" ht="13.5" customHeight="1">
      <c r="A26" s="180">
        <f t="shared" si="0"/>
        <v>22</v>
      </c>
      <c r="B26" s="186" t="s">
        <v>796</v>
      </c>
      <c r="C26" s="181" t="s">
        <v>530</v>
      </c>
      <c r="D26" s="181" t="s">
        <v>331</v>
      </c>
      <c r="E26" s="181">
        <v>30</v>
      </c>
      <c r="F26" s="172">
        <v>28</v>
      </c>
      <c r="G26" s="172">
        <v>22</v>
      </c>
      <c r="H26" s="185">
        <f t="shared" si="1"/>
        <v>1500</v>
      </c>
      <c r="I26" s="17">
        <f t="shared" si="2"/>
        <v>840</v>
      </c>
      <c r="J26" s="464"/>
      <c r="K26" s="465"/>
      <c r="L26" s="466"/>
      <c r="M26" s="466"/>
      <c r="N26" s="369" t="s">
        <v>887</v>
      </c>
      <c r="O26" s="485" t="s">
        <v>901</v>
      </c>
      <c r="P26" s="443"/>
      <c r="Q26" s="445">
        <v>1500</v>
      </c>
      <c r="R26" s="445">
        <v>0</v>
      </c>
      <c r="S26" s="445">
        <v>0</v>
      </c>
    </row>
    <row r="27" spans="1:19" s="17" customFormat="1" ht="13.5" customHeight="1">
      <c r="A27" s="180">
        <f t="shared" si="0"/>
        <v>23</v>
      </c>
      <c r="B27" s="186" t="s">
        <v>797</v>
      </c>
      <c r="C27" s="181" t="s">
        <v>422</v>
      </c>
      <c r="D27" s="181" t="s">
        <v>331</v>
      </c>
      <c r="E27" s="181">
        <v>15</v>
      </c>
      <c r="F27" s="172">
        <v>16</v>
      </c>
      <c r="G27" s="172">
        <v>22</v>
      </c>
      <c r="H27" s="185">
        <f t="shared" si="1"/>
        <v>570</v>
      </c>
      <c r="I27" s="17">
        <f t="shared" si="2"/>
        <v>240</v>
      </c>
      <c r="J27" s="464"/>
      <c r="K27" s="465"/>
      <c r="L27" s="466"/>
      <c r="M27" s="466"/>
      <c r="N27" s="369" t="s">
        <v>887</v>
      </c>
      <c r="O27" s="485" t="s">
        <v>901</v>
      </c>
      <c r="P27" s="443"/>
      <c r="Q27" s="445">
        <v>570</v>
      </c>
      <c r="R27" s="445">
        <v>0</v>
      </c>
      <c r="S27" s="445">
        <v>0</v>
      </c>
    </row>
    <row r="28" spans="1:19" s="17" customFormat="1" ht="22.5">
      <c r="A28" s="180">
        <f t="shared" si="0"/>
        <v>24</v>
      </c>
      <c r="B28" s="186" t="s">
        <v>766</v>
      </c>
      <c r="C28" s="181" t="s">
        <v>767</v>
      </c>
      <c r="D28" s="181" t="s">
        <v>330</v>
      </c>
      <c r="E28" s="181">
        <v>1</v>
      </c>
      <c r="F28" s="172">
        <v>350</v>
      </c>
      <c r="G28" s="172">
        <v>150</v>
      </c>
      <c r="H28" s="185">
        <f t="shared" si="1"/>
        <v>500</v>
      </c>
      <c r="I28" s="17">
        <f t="shared" si="2"/>
        <v>350</v>
      </c>
      <c r="J28" s="464" t="s">
        <v>852</v>
      </c>
      <c r="K28" s="465">
        <v>-1</v>
      </c>
      <c r="L28" s="466">
        <v>500</v>
      </c>
      <c r="M28" s="466">
        <v>-500</v>
      </c>
      <c r="N28" s="489" t="s">
        <v>898</v>
      </c>
      <c r="O28" s="488" t="s">
        <v>901</v>
      </c>
      <c r="P28" s="493" t="s">
        <v>907</v>
      </c>
      <c r="Q28" s="445">
        <v>0</v>
      </c>
      <c r="R28" s="445">
        <v>0</v>
      </c>
      <c r="S28" s="445">
        <v>0</v>
      </c>
    </row>
    <row r="29" spans="1:19" s="17" customFormat="1" ht="13.5" customHeight="1">
      <c r="A29" s="180">
        <f t="shared" si="0"/>
        <v>25</v>
      </c>
      <c r="B29" s="180" t="s">
        <v>411</v>
      </c>
      <c r="C29" s="481" t="s">
        <v>776</v>
      </c>
      <c r="D29" s="181" t="s">
        <v>330</v>
      </c>
      <c r="E29" s="181">
        <v>1</v>
      </c>
      <c r="F29" s="172">
        <v>4950</v>
      </c>
      <c r="G29" s="172">
        <v>650</v>
      </c>
      <c r="H29" s="185">
        <f t="shared" si="1"/>
        <v>5600</v>
      </c>
      <c r="I29" s="17">
        <f t="shared" si="2"/>
        <v>4950</v>
      </c>
      <c r="J29" s="464"/>
      <c r="K29" s="465"/>
      <c r="L29" s="466"/>
      <c r="M29" s="466"/>
      <c r="N29" s="369"/>
      <c r="O29" s="485"/>
      <c r="P29" s="443"/>
      <c r="Q29" s="445">
        <v>0</v>
      </c>
      <c r="R29" s="445">
        <v>0</v>
      </c>
      <c r="S29" s="445">
        <v>5600</v>
      </c>
    </row>
    <row r="30" spans="1:19" s="17" customFormat="1" ht="12.75" customHeight="1">
      <c r="A30" s="180">
        <f t="shared" si="0"/>
        <v>26</v>
      </c>
      <c r="B30" s="186" t="s">
        <v>798</v>
      </c>
      <c r="C30" s="181" t="s">
        <v>799</v>
      </c>
      <c r="D30" s="181" t="s">
        <v>330</v>
      </c>
      <c r="E30" s="181">
        <v>1</v>
      </c>
      <c r="F30" s="185"/>
      <c r="G30" s="172">
        <v>1100</v>
      </c>
      <c r="H30" s="185">
        <f t="shared" si="1"/>
        <v>1100</v>
      </c>
      <c r="I30" s="17">
        <f t="shared" si="2"/>
        <v>0</v>
      </c>
      <c r="J30" s="464"/>
      <c r="K30" s="465"/>
      <c r="L30" s="466"/>
      <c r="M30" s="466"/>
      <c r="N30" s="369"/>
      <c r="O30" s="485"/>
      <c r="P30" s="443"/>
      <c r="Q30" s="445">
        <v>0</v>
      </c>
      <c r="R30" s="445">
        <v>0</v>
      </c>
      <c r="S30" s="445">
        <v>1100</v>
      </c>
    </row>
    <row r="31" spans="1:19" s="17" customFormat="1" ht="12.75" customHeight="1">
      <c r="A31" s="180">
        <f t="shared" si="0"/>
        <v>27</v>
      </c>
      <c r="B31" s="184" t="s">
        <v>800</v>
      </c>
      <c r="C31" s="181" t="s">
        <v>423</v>
      </c>
      <c r="D31" s="181" t="s">
        <v>330</v>
      </c>
      <c r="E31" s="181">
        <v>36</v>
      </c>
      <c r="F31" s="185"/>
      <c r="G31" s="172">
        <v>100</v>
      </c>
      <c r="H31" s="185">
        <f t="shared" si="1"/>
        <v>3600</v>
      </c>
      <c r="I31" s="17">
        <f t="shared" si="2"/>
        <v>0</v>
      </c>
      <c r="J31" s="464"/>
      <c r="K31" s="465"/>
      <c r="L31" s="466"/>
      <c r="M31" s="466"/>
      <c r="N31" s="369"/>
      <c r="O31" s="485"/>
      <c r="P31" s="443"/>
      <c r="Q31" s="445">
        <v>0</v>
      </c>
      <c r="R31" s="445">
        <v>0</v>
      </c>
      <c r="S31" s="445">
        <v>3600</v>
      </c>
    </row>
    <row r="32" spans="1:19" s="17" customFormat="1" ht="12.75" customHeight="1">
      <c r="A32" s="180">
        <f t="shared" si="0"/>
        <v>28</v>
      </c>
      <c r="B32" s="186" t="s">
        <v>801</v>
      </c>
      <c r="C32" s="181" t="s">
        <v>503</v>
      </c>
      <c r="D32" s="181" t="s">
        <v>330</v>
      </c>
      <c r="E32" s="181">
        <v>54</v>
      </c>
      <c r="F32" s="185"/>
      <c r="G32" s="172">
        <v>30</v>
      </c>
      <c r="H32" s="185">
        <f t="shared" si="1"/>
        <v>1620</v>
      </c>
      <c r="I32" s="17">
        <f t="shared" si="2"/>
        <v>0</v>
      </c>
      <c r="J32" s="464"/>
      <c r="K32" s="465"/>
      <c r="L32" s="466"/>
      <c r="M32" s="466"/>
      <c r="N32" s="369"/>
      <c r="O32" s="485"/>
      <c r="P32" s="443"/>
      <c r="Q32" s="445">
        <v>0</v>
      </c>
      <c r="R32" s="445">
        <v>0</v>
      </c>
      <c r="S32" s="445">
        <v>1620</v>
      </c>
    </row>
    <row r="33" spans="1:19" s="17" customFormat="1" ht="12.75" customHeight="1">
      <c r="A33" s="180">
        <f t="shared" si="0"/>
        <v>29</v>
      </c>
      <c r="B33" s="184" t="s">
        <v>802</v>
      </c>
      <c r="C33" s="181" t="s">
        <v>805</v>
      </c>
      <c r="D33" s="181" t="s">
        <v>331</v>
      </c>
      <c r="E33" s="181">
        <v>50</v>
      </c>
      <c r="F33" s="185"/>
      <c r="G33" s="172">
        <v>100</v>
      </c>
      <c r="H33" s="185">
        <f t="shared" si="1"/>
        <v>5000</v>
      </c>
      <c r="I33" s="17">
        <f t="shared" si="2"/>
        <v>0</v>
      </c>
      <c r="J33" s="464"/>
      <c r="K33" s="465"/>
      <c r="L33" s="466"/>
      <c r="M33" s="466"/>
      <c r="N33" s="369" t="s">
        <v>887</v>
      </c>
      <c r="O33" s="485" t="s">
        <v>901</v>
      </c>
      <c r="P33" s="443"/>
      <c r="Q33" s="445">
        <v>5000</v>
      </c>
      <c r="R33" s="445">
        <v>0</v>
      </c>
      <c r="S33" s="445">
        <v>0</v>
      </c>
    </row>
    <row r="34" spans="1:19" s="17" customFormat="1" ht="12.75" customHeight="1">
      <c r="A34" s="180">
        <f t="shared" si="0"/>
        <v>30</v>
      </c>
      <c r="B34" s="184" t="s">
        <v>803</v>
      </c>
      <c r="C34" s="181" t="s">
        <v>806</v>
      </c>
      <c r="D34" s="181" t="s">
        <v>331</v>
      </c>
      <c r="E34" s="181">
        <v>20</v>
      </c>
      <c r="F34" s="185"/>
      <c r="G34" s="172">
        <v>200</v>
      </c>
      <c r="H34" s="185">
        <f t="shared" si="1"/>
        <v>4000</v>
      </c>
      <c r="I34" s="17">
        <f t="shared" si="2"/>
        <v>0</v>
      </c>
      <c r="J34" s="464"/>
      <c r="K34" s="465"/>
      <c r="L34" s="466"/>
      <c r="M34" s="466"/>
      <c r="N34" s="369" t="s">
        <v>887</v>
      </c>
      <c r="O34" s="485" t="s">
        <v>901</v>
      </c>
      <c r="P34" s="443"/>
      <c r="Q34" s="445">
        <v>4000</v>
      </c>
      <c r="R34" s="445">
        <v>0</v>
      </c>
      <c r="S34" s="445">
        <v>0</v>
      </c>
    </row>
    <row r="35" spans="1:19" s="17" customFormat="1" ht="12.75" customHeight="1">
      <c r="A35" s="180">
        <f t="shared" si="0"/>
        <v>31</v>
      </c>
      <c r="B35" s="186" t="s">
        <v>804</v>
      </c>
      <c r="C35" s="181" t="s">
        <v>505</v>
      </c>
      <c r="D35" s="181" t="s">
        <v>330</v>
      </c>
      <c r="E35" s="181">
        <v>4</v>
      </c>
      <c r="F35" s="185"/>
      <c r="G35" s="172">
        <v>260</v>
      </c>
      <c r="H35" s="185">
        <f t="shared" si="1"/>
        <v>1040</v>
      </c>
      <c r="I35" s="17">
        <f t="shared" si="2"/>
        <v>0</v>
      </c>
      <c r="J35" s="464"/>
      <c r="K35" s="465"/>
      <c r="L35" s="466"/>
      <c r="M35" s="466"/>
      <c r="N35" s="369" t="s">
        <v>887</v>
      </c>
      <c r="O35" s="485" t="s">
        <v>901</v>
      </c>
      <c r="P35" s="443"/>
      <c r="Q35" s="445">
        <v>1040</v>
      </c>
      <c r="R35" s="445">
        <v>0</v>
      </c>
      <c r="S35" s="445">
        <v>0</v>
      </c>
    </row>
    <row r="36" spans="1:19" s="17" customFormat="1" ht="12.75" customHeight="1">
      <c r="A36" s="180">
        <f t="shared" si="0"/>
        <v>32</v>
      </c>
      <c r="B36" s="186" t="s">
        <v>807</v>
      </c>
      <c r="C36" s="181" t="s">
        <v>506</v>
      </c>
      <c r="D36" s="181" t="s">
        <v>330</v>
      </c>
      <c r="E36" s="181">
        <v>38</v>
      </c>
      <c r="F36" s="185"/>
      <c r="G36" s="172">
        <v>50</v>
      </c>
      <c r="H36" s="185">
        <f t="shared" si="1"/>
        <v>1900</v>
      </c>
      <c r="I36" s="17">
        <f t="shared" si="2"/>
        <v>0</v>
      </c>
      <c r="J36" s="464"/>
      <c r="K36" s="465"/>
      <c r="L36" s="466"/>
      <c r="M36" s="466"/>
      <c r="N36" s="369" t="s">
        <v>887</v>
      </c>
      <c r="O36" s="485" t="s">
        <v>901</v>
      </c>
      <c r="P36" s="443"/>
      <c r="Q36" s="445">
        <v>0</v>
      </c>
      <c r="R36" s="445">
        <v>0</v>
      </c>
      <c r="S36" s="445">
        <v>1900</v>
      </c>
    </row>
    <row r="37" spans="1:19" s="17" customFormat="1" ht="12.75" customHeight="1">
      <c r="A37" s="180">
        <f t="shared" si="0"/>
        <v>33</v>
      </c>
      <c r="B37" s="180" t="s">
        <v>411</v>
      </c>
      <c r="C37" s="181" t="s">
        <v>808</v>
      </c>
      <c r="D37" s="181" t="s">
        <v>330</v>
      </c>
      <c r="E37" s="181">
        <v>4</v>
      </c>
      <c r="F37" s="185"/>
      <c r="G37" s="172">
        <v>500</v>
      </c>
      <c r="H37" s="185">
        <f t="shared" si="1"/>
        <v>2000</v>
      </c>
      <c r="I37" s="17">
        <f t="shared" si="2"/>
        <v>0</v>
      </c>
      <c r="J37" s="464"/>
      <c r="K37" s="465"/>
      <c r="L37" s="466"/>
      <c r="M37" s="466"/>
      <c r="N37" s="369"/>
      <c r="O37" s="485"/>
      <c r="P37" s="443"/>
      <c r="Q37" s="445">
        <v>0</v>
      </c>
      <c r="R37" s="445">
        <v>0</v>
      </c>
      <c r="S37" s="445">
        <v>2000</v>
      </c>
    </row>
    <row r="38" spans="1:19" s="17" customFormat="1" ht="12.75" customHeight="1">
      <c r="A38" s="180">
        <f t="shared" si="0"/>
        <v>34</v>
      </c>
      <c r="B38" s="180" t="s">
        <v>411</v>
      </c>
      <c r="C38" s="181" t="s">
        <v>424</v>
      </c>
      <c r="D38" s="181" t="s">
        <v>425</v>
      </c>
      <c r="E38" s="181">
        <v>1</v>
      </c>
      <c r="F38" s="185"/>
      <c r="G38" s="172">
        <v>5000</v>
      </c>
      <c r="H38" s="185">
        <f t="shared" si="1"/>
        <v>5000</v>
      </c>
      <c r="I38" s="17">
        <f t="shared" si="2"/>
        <v>0</v>
      </c>
      <c r="J38" s="464"/>
      <c r="K38" s="465"/>
      <c r="L38" s="466"/>
      <c r="M38" s="466"/>
      <c r="N38" s="369"/>
      <c r="O38" s="485"/>
      <c r="P38" s="443"/>
      <c r="Q38" s="445">
        <v>0</v>
      </c>
      <c r="R38" s="445">
        <v>0</v>
      </c>
      <c r="S38" s="445">
        <v>5000</v>
      </c>
    </row>
    <row r="39" spans="1:19" s="17" customFormat="1" ht="12.75" customHeight="1">
      <c r="A39" s="180">
        <f t="shared" si="0"/>
        <v>35</v>
      </c>
      <c r="B39" s="180" t="s">
        <v>335</v>
      </c>
      <c r="C39" s="181" t="s">
        <v>507</v>
      </c>
      <c r="D39" s="181" t="s">
        <v>426</v>
      </c>
      <c r="E39" s="181">
        <v>12</v>
      </c>
      <c r="F39" s="185"/>
      <c r="G39" s="172">
        <v>400</v>
      </c>
      <c r="H39" s="185">
        <f t="shared" si="1"/>
        <v>4800</v>
      </c>
      <c r="I39" s="17">
        <f t="shared" si="2"/>
        <v>0</v>
      </c>
      <c r="J39" s="464"/>
      <c r="K39" s="465"/>
      <c r="L39" s="466"/>
      <c r="M39" s="466"/>
      <c r="N39" s="369"/>
      <c r="O39" s="485"/>
      <c r="P39" s="443"/>
      <c r="Q39" s="445">
        <v>0</v>
      </c>
      <c r="R39" s="445">
        <v>0</v>
      </c>
      <c r="S39" s="445">
        <v>4800</v>
      </c>
    </row>
    <row r="40" spans="1:19" s="17" customFormat="1" ht="12.75" customHeight="1">
      <c r="A40" s="180">
        <f t="shared" si="0"/>
        <v>36</v>
      </c>
      <c r="B40" s="180" t="s">
        <v>335</v>
      </c>
      <c r="C40" s="181" t="s">
        <v>427</v>
      </c>
      <c r="D40" s="181" t="s">
        <v>426</v>
      </c>
      <c r="E40" s="181">
        <v>12</v>
      </c>
      <c r="F40" s="185"/>
      <c r="G40" s="172">
        <v>400</v>
      </c>
      <c r="H40" s="185">
        <f t="shared" si="1"/>
        <v>4800</v>
      </c>
      <c r="I40" s="17">
        <f t="shared" si="2"/>
        <v>0</v>
      </c>
      <c r="J40" s="464"/>
      <c r="K40" s="465"/>
      <c r="L40" s="466"/>
      <c r="M40" s="466"/>
      <c r="N40" s="369"/>
      <c r="O40" s="485"/>
      <c r="P40" s="443"/>
      <c r="Q40" s="445">
        <v>0</v>
      </c>
      <c r="R40" s="445">
        <v>0</v>
      </c>
      <c r="S40" s="445">
        <v>4800</v>
      </c>
    </row>
    <row r="41" spans="1:19" s="17" customFormat="1" ht="22.5">
      <c r="A41" s="180">
        <f t="shared" si="0"/>
        <v>37</v>
      </c>
      <c r="B41" s="194" t="s">
        <v>751</v>
      </c>
      <c r="C41" s="195" t="s">
        <v>749</v>
      </c>
      <c r="D41" s="189" t="s">
        <v>330</v>
      </c>
      <c r="E41" s="189">
        <v>1</v>
      </c>
      <c r="F41" s="196"/>
      <c r="G41" s="172">
        <v>19000</v>
      </c>
      <c r="H41" s="185">
        <f t="shared" si="1"/>
        <v>19000</v>
      </c>
      <c r="I41" s="17">
        <f t="shared" si="2"/>
        <v>0</v>
      </c>
      <c r="J41" s="464" t="s">
        <v>852</v>
      </c>
      <c r="K41" s="465">
        <v>-1</v>
      </c>
      <c r="L41" s="466">
        <v>19000</v>
      </c>
      <c r="M41" s="466">
        <v>-19000</v>
      </c>
      <c r="N41" s="482" t="s">
        <v>895</v>
      </c>
      <c r="O41" s="485" t="s">
        <v>901</v>
      </c>
      <c r="P41" s="443"/>
      <c r="Q41" s="445">
        <v>0</v>
      </c>
      <c r="R41" s="445">
        <v>0</v>
      </c>
      <c r="S41" s="445">
        <v>19000</v>
      </c>
    </row>
    <row r="42" spans="1:19" s="17" customFormat="1" ht="22.5">
      <c r="A42" s="180">
        <f t="shared" si="0"/>
        <v>38</v>
      </c>
      <c r="B42" s="483" t="s">
        <v>751</v>
      </c>
      <c r="C42" s="195" t="s">
        <v>750</v>
      </c>
      <c r="D42" s="189" t="s">
        <v>330</v>
      </c>
      <c r="E42" s="189">
        <v>1</v>
      </c>
      <c r="F42" s="172">
        <v>500</v>
      </c>
      <c r="G42" s="172">
        <v>3200</v>
      </c>
      <c r="H42" s="185">
        <f t="shared" si="1"/>
        <v>3700</v>
      </c>
      <c r="I42" s="17">
        <f t="shared" si="2"/>
        <v>500</v>
      </c>
      <c r="J42" s="464" t="s">
        <v>852</v>
      </c>
      <c r="K42" s="465">
        <v>-1</v>
      </c>
      <c r="L42" s="466">
        <v>3700</v>
      </c>
      <c r="M42" s="466">
        <v>-3700</v>
      </c>
      <c r="N42" s="482" t="s">
        <v>890</v>
      </c>
      <c r="O42" s="485" t="s">
        <v>901</v>
      </c>
      <c r="P42" s="443"/>
      <c r="Q42" s="445">
        <v>0</v>
      </c>
      <c r="R42" s="445">
        <v>0</v>
      </c>
      <c r="S42" s="445">
        <v>0</v>
      </c>
    </row>
    <row r="43" spans="1:19" s="17" customFormat="1" ht="41.25" customHeight="1">
      <c r="A43" s="478" t="s">
        <v>884</v>
      </c>
      <c r="B43" s="479" t="s">
        <v>885</v>
      </c>
      <c r="C43" s="480" t="s">
        <v>886</v>
      </c>
      <c r="D43" s="189"/>
      <c r="E43" s="189"/>
      <c r="F43" s="172"/>
      <c r="G43" s="172"/>
      <c r="H43" s="185"/>
      <c r="J43" s="464" t="s">
        <v>857</v>
      </c>
      <c r="K43" s="465">
        <v>1</v>
      </c>
      <c r="L43" s="466">
        <v>2200</v>
      </c>
      <c r="M43" s="466">
        <v>2200</v>
      </c>
      <c r="N43" s="482" t="s">
        <v>896</v>
      </c>
      <c r="O43" s="485" t="s">
        <v>901</v>
      </c>
      <c r="P43" s="494" t="s">
        <v>905</v>
      </c>
      <c r="Q43" s="445">
        <v>0</v>
      </c>
      <c r="R43" s="445">
        <v>0</v>
      </c>
      <c r="S43" s="445">
        <v>3369</v>
      </c>
    </row>
    <row r="44" spans="1:19" s="17" customFormat="1" ht="12.75" customHeight="1">
      <c r="A44" s="180"/>
      <c r="B44" s="180"/>
      <c r="C44" s="183" t="s">
        <v>428</v>
      </c>
      <c r="D44" s="181"/>
      <c r="E44" s="181"/>
      <c r="F44" s="185"/>
      <c r="G44" s="185"/>
      <c r="H44" s="197">
        <f>SUM(H5:H42)</f>
        <v>104707</v>
      </c>
      <c r="I44" s="17">
        <f>SUM(I5:I42)</f>
        <v>28034</v>
      </c>
      <c r="J44" s="464"/>
      <c r="K44" s="465"/>
      <c r="L44" s="466"/>
      <c r="M44" s="473">
        <f>SUM(M5:M43)</f>
        <v>-21415</v>
      </c>
      <c r="N44" s="371"/>
      <c r="O44" s="485"/>
      <c r="P44" s="443"/>
      <c r="Q44" s="445"/>
      <c r="R44" s="445"/>
      <c r="S44" s="445"/>
    </row>
    <row r="45" spans="1:19" s="17" customFormat="1" ht="12.75" customHeight="1">
      <c r="A45" s="180"/>
      <c r="B45" s="180"/>
      <c r="C45" s="183"/>
      <c r="D45" s="181"/>
      <c r="E45" s="181"/>
      <c r="F45" s="185"/>
      <c r="G45" s="185"/>
      <c r="H45" s="198"/>
      <c r="J45" s="464"/>
      <c r="K45" s="465"/>
      <c r="L45" s="466"/>
      <c r="M45" s="466"/>
      <c r="N45" s="371"/>
      <c r="O45" s="485"/>
      <c r="P45" s="443"/>
      <c r="Q45" s="445"/>
      <c r="R45" s="445"/>
      <c r="S45" s="445"/>
    </row>
    <row r="46" spans="1:19" s="17" customFormat="1" ht="12.75" customHeight="1">
      <c r="A46" s="180"/>
      <c r="B46" s="180"/>
      <c r="C46" s="183"/>
      <c r="D46" s="181"/>
      <c r="E46" s="181"/>
      <c r="F46" s="185"/>
      <c r="G46" s="185"/>
      <c r="H46" s="198"/>
      <c r="J46" s="464"/>
      <c r="K46" s="465"/>
      <c r="L46" s="466"/>
      <c r="M46" s="466"/>
      <c r="N46" s="371"/>
      <c r="O46" s="485"/>
      <c r="P46" s="443"/>
      <c r="Q46" s="445"/>
      <c r="R46" s="445"/>
      <c r="S46" s="445"/>
    </row>
    <row r="47" spans="1:19" s="17" customFormat="1" ht="12.75" customHeight="1">
      <c r="A47" s="180"/>
      <c r="B47" s="180"/>
      <c r="C47" s="183" t="s">
        <v>429</v>
      </c>
      <c r="D47" s="181"/>
      <c r="E47" s="181"/>
      <c r="F47" s="185"/>
      <c r="G47" s="185"/>
      <c r="H47" s="185"/>
      <c r="J47" s="464"/>
      <c r="K47" s="465"/>
      <c r="L47" s="466"/>
      <c r="M47" s="466"/>
      <c r="N47" s="369"/>
      <c r="O47" s="485"/>
      <c r="P47" s="443"/>
      <c r="Q47" s="445"/>
      <c r="R47" s="445"/>
      <c r="S47" s="445"/>
    </row>
    <row r="48" spans="1:19" s="17" customFormat="1" ht="12.75" customHeight="1">
      <c r="A48" s="180">
        <f>+A42+1</f>
        <v>39</v>
      </c>
      <c r="B48" s="186" t="s">
        <v>810</v>
      </c>
      <c r="C48" s="181" t="s">
        <v>531</v>
      </c>
      <c r="D48" s="181" t="s">
        <v>330</v>
      </c>
      <c r="E48" s="181">
        <v>1</v>
      </c>
      <c r="F48" s="172">
        <v>1600</v>
      </c>
      <c r="G48" s="185"/>
      <c r="H48" s="185">
        <f aca="true" t="shared" si="3" ref="H48:H57">(F48+G48)*E48</f>
        <v>1600</v>
      </c>
      <c r="I48" s="17">
        <f>E48*F48</f>
        <v>1600</v>
      </c>
      <c r="J48" s="464"/>
      <c r="K48" s="465"/>
      <c r="L48" s="466"/>
      <c r="M48" s="466"/>
      <c r="N48" s="369"/>
      <c r="O48" s="485"/>
      <c r="P48" s="443"/>
      <c r="Q48" s="445">
        <v>0</v>
      </c>
      <c r="R48" s="445">
        <v>0</v>
      </c>
      <c r="S48" s="445">
        <v>1600</v>
      </c>
    </row>
    <row r="49" spans="1:19" s="17" customFormat="1" ht="12.75" customHeight="1">
      <c r="A49" s="180">
        <f>A48+1</f>
        <v>40</v>
      </c>
      <c r="B49" s="186" t="s">
        <v>811</v>
      </c>
      <c r="C49" s="181" t="s">
        <v>508</v>
      </c>
      <c r="D49" s="181" t="s">
        <v>330</v>
      </c>
      <c r="E49" s="181">
        <v>1</v>
      </c>
      <c r="F49" s="172">
        <v>1300</v>
      </c>
      <c r="G49" s="185"/>
      <c r="H49" s="185">
        <f t="shared" si="3"/>
        <v>1300</v>
      </c>
      <c r="I49" s="17">
        <f aca="true" t="shared" si="4" ref="I49:I57">E49*F49</f>
        <v>1300</v>
      </c>
      <c r="J49" s="464"/>
      <c r="K49" s="465"/>
      <c r="L49" s="466"/>
      <c r="M49" s="466"/>
      <c r="N49" s="369"/>
      <c r="O49" s="485"/>
      <c r="P49" s="443"/>
      <c r="Q49" s="445">
        <v>0</v>
      </c>
      <c r="R49" s="445">
        <v>0</v>
      </c>
      <c r="S49" s="445">
        <v>1300</v>
      </c>
    </row>
    <row r="50" spans="1:19" s="17" customFormat="1" ht="12.75" customHeight="1">
      <c r="A50" s="180">
        <f aca="true" t="shared" si="5" ref="A50:A57">A49+1</f>
        <v>41</v>
      </c>
      <c r="B50" s="186" t="s">
        <v>812</v>
      </c>
      <c r="C50" s="181" t="s">
        <v>430</v>
      </c>
      <c r="D50" s="181" t="s">
        <v>330</v>
      </c>
      <c r="E50" s="181">
        <v>1</v>
      </c>
      <c r="F50" s="172">
        <v>980</v>
      </c>
      <c r="G50" s="185"/>
      <c r="H50" s="185">
        <f>(F50+G50)*E50</f>
        <v>980</v>
      </c>
      <c r="I50" s="17">
        <f t="shared" si="4"/>
        <v>980</v>
      </c>
      <c r="J50" s="464"/>
      <c r="K50" s="465"/>
      <c r="L50" s="466"/>
      <c r="M50" s="466"/>
      <c r="N50" s="369"/>
      <c r="O50" s="485"/>
      <c r="P50" s="443"/>
      <c r="Q50" s="445">
        <v>0</v>
      </c>
      <c r="R50" s="445">
        <v>0</v>
      </c>
      <c r="S50" s="445">
        <v>980</v>
      </c>
    </row>
    <row r="51" spans="1:19" s="17" customFormat="1" ht="33.75">
      <c r="A51" s="180">
        <f t="shared" si="5"/>
        <v>42</v>
      </c>
      <c r="B51" s="180">
        <v>35822003010</v>
      </c>
      <c r="C51" s="181" t="s">
        <v>768</v>
      </c>
      <c r="D51" s="181" t="s">
        <v>330</v>
      </c>
      <c r="E51" s="181">
        <v>1</v>
      </c>
      <c r="F51" s="172">
        <v>290</v>
      </c>
      <c r="G51" s="185"/>
      <c r="H51" s="185">
        <f>(F51+G51)*E51</f>
        <v>290</v>
      </c>
      <c r="I51" s="17">
        <f t="shared" si="4"/>
        <v>290</v>
      </c>
      <c r="J51" s="464" t="s">
        <v>852</v>
      </c>
      <c r="K51" s="465">
        <v>-1</v>
      </c>
      <c r="L51" s="466">
        <v>290</v>
      </c>
      <c r="M51" s="466">
        <v>-290</v>
      </c>
      <c r="N51" s="489" t="s">
        <v>899</v>
      </c>
      <c r="O51" s="488" t="s">
        <v>901</v>
      </c>
      <c r="P51" s="493" t="s">
        <v>906</v>
      </c>
      <c r="Q51" s="445">
        <v>0</v>
      </c>
      <c r="R51" s="445">
        <v>0</v>
      </c>
      <c r="S51" s="445">
        <v>0</v>
      </c>
    </row>
    <row r="52" spans="1:19" s="17" customFormat="1" ht="12.75" customHeight="1">
      <c r="A52" s="180">
        <f t="shared" si="5"/>
        <v>43</v>
      </c>
      <c r="B52" s="180" t="s">
        <v>814</v>
      </c>
      <c r="C52" s="181" t="s">
        <v>769</v>
      </c>
      <c r="D52" s="181" t="s">
        <v>330</v>
      </c>
      <c r="E52" s="181">
        <v>1</v>
      </c>
      <c r="F52" s="172">
        <v>420</v>
      </c>
      <c r="G52" s="185"/>
      <c r="H52" s="185">
        <f>(F52+G52)*E52</f>
        <v>420</v>
      </c>
      <c r="I52" s="17">
        <f t="shared" si="4"/>
        <v>420</v>
      </c>
      <c r="J52" s="464"/>
      <c r="K52" s="465"/>
      <c r="L52" s="466"/>
      <c r="M52" s="466"/>
      <c r="N52" s="369"/>
      <c r="O52" s="485"/>
      <c r="P52" s="443"/>
      <c r="Q52" s="445">
        <v>0</v>
      </c>
      <c r="R52" s="445">
        <v>0</v>
      </c>
      <c r="S52" s="445">
        <v>420</v>
      </c>
    </row>
    <row r="53" spans="1:19" s="17" customFormat="1" ht="12.75" customHeight="1">
      <c r="A53" s="180">
        <f t="shared" si="5"/>
        <v>44</v>
      </c>
      <c r="B53" s="186">
        <v>35822003011</v>
      </c>
      <c r="C53" s="181" t="s">
        <v>509</v>
      </c>
      <c r="D53" s="181" t="s">
        <v>330</v>
      </c>
      <c r="E53" s="372">
        <v>2</v>
      </c>
      <c r="F53" s="172">
        <v>100</v>
      </c>
      <c r="G53" s="185"/>
      <c r="H53" s="185">
        <f>(F53+G53)*E53</f>
        <v>200</v>
      </c>
      <c r="I53" s="17">
        <f t="shared" si="4"/>
        <v>200</v>
      </c>
      <c r="J53" s="464" t="s">
        <v>852</v>
      </c>
      <c r="K53" s="465">
        <v>-1</v>
      </c>
      <c r="L53" s="466">
        <v>100</v>
      </c>
      <c r="M53" s="466">
        <v>-100</v>
      </c>
      <c r="N53" s="369" t="s">
        <v>888</v>
      </c>
      <c r="O53" s="485" t="s">
        <v>901</v>
      </c>
      <c r="P53" s="443" t="s">
        <v>902</v>
      </c>
      <c r="Q53" s="445">
        <v>0</v>
      </c>
      <c r="R53" s="445">
        <v>0</v>
      </c>
      <c r="S53" s="445">
        <v>100</v>
      </c>
    </row>
    <row r="54" spans="1:19" s="17" customFormat="1" ht="12.75" customHeight="1">
      <c r="A54" s="180">
        <f t="shared" si="5"/>
        <v>45</v>
      </c>
      <c r="B54" s="186">
        <v>35822003012</v>
      </c>
      <c r="C54" s="181" t="s">
        <v>510</v>
      </c>
      <c r="D54" s="181" t="s">
        <v>330</v>
      </c>
      <c r="E54" s="372">
        <v>7</v>
      </c>
      <c r="F54" s="172">
        <v>100</v>
      </c>
      <c r="G54" s="185"/>
      <c r="H54" s="185">
        <f>(F54+G54)*E54</f>
        <v>700</v>
      </c>
      <c r="I54" s="17">
        <f t="shared" si="4"/>
        <v>700</v>
      </c>
      <c r="J54" s="464" t="s">
        <v>857</v>
      </c>
      <c r="K54" s="465">
        <v>1</v>
      </c>
      <c r="L54" s="466">
        <v>100</v>
      </c>
      <c r="M54" s="466">
        <v>100</v>
      </c>
      <c r="N54" s="369" t="s">
        <v>889</v>
      </c>
      <c r="O54" s="485" t="s">
        <v>901</v>
      </c>
      <c r="P54" s="443" t="s">
        <v>903</v>
      </c>
      <c r="Q54" s="445">
        <v>0</v>
      </c>
      <c r="R54" s="445">
        <v>0</v>
      </c>
      <c r="S54" s="445">
        <v>800</v>
      </c>
    </row>
    <row r="55" spans="1:19" s="17" customFormat="1" ht="12.75" customHeight="1">
      <c r="A55" s="180">
        <f t="shared" si="5"/>
        <v>46</v>
      </c>
      <c r="B55" s="186" t="s">
        <v>813</v>
      </c>
      <c r="C55" s="181" t="s">
        <v>431</v>
      </c>
      <c r="D55" s="181" t="s">
        <v>331</v>
      </c>
      <c r="E55" s="181">
        <v>0.5</v>
      </c>
      <c r="F55" s="172">
        <v>700</v>
      </c>
      <c r="G55" s="185"/>
      <c r="H55" s="185">
        <f t="shared" si="3"/>
        <v>350</v>
      </c>
      <c r="I55" s="17">
        <f t="shared" si="4"/>
        <v>350</v>
      </c>
      <c r="J55" s="464"/>
      <c r="K55" s="465"/>
      <c r="L55" s="466"/>
      <c r="M55" s="466"/>
      <c r="N55" s="369"/>
      <c r="O55" s="485"/>
      <c r="P55" s="443"/>
      <c r="Q55" s="445">
        <v>0</v>
      </c>
      <c r="R55" s="445">
        <v>0</v>
      </c>
      <c r="S55" s="445">
        <v>350</v>
      </c>
    </row>
    <row r="56" spans="1:19" s="17" customFormat="1" ht="12.75" customHeight="1">
      <c r="A56" s="180">
        <f t="shared" si="5"/>
        <v>47</v>
      </c>
      <c r="B56" s="180" t="s">
        <v>411</v>
      </c>
      <c r="C56" s="181" t="s">
        <v>432</v>
      </c>
      <c r="D56" s="181" t="s">
        <v>327</v>
      </c>
      <c r="E56" s="181">
        <v>1</v>
      </c>
      <c r="F56" s="172">
        <v>1000</v>
      </c>
      <c r="G56" s="185"/>
      <c r="H56" s="185">
        <f t="shared" si="3"/>
        <v>1000</v>
      </c>
      <c r="I56" s="17">
        <f t="shared" si="4"/>
        <v>1000</v>
      </c>
      <c r="J56" s="464"/>
      <c r="K56" s="465"/>
      <c r="L56" s="466"/>
      <c r="M56" s="466"/>
      <c r="N56" s="369"/>
      <c r="O56" s="485"/>
      <c r="P56" s="443"/>
      <c r="Q56" s="445">
        <v>0</v>
      </c>
      <c r="R56" s="445">
        <v>0</v>
      </c>
      <c r="S56" s="445">
        <v>1000</v>
      </c>
    </row>
    <row r="57" spans="1:19" s="17" customFormat="1" ht="12.75" customHeight="1">
      <c r="A57" s="180">
        <f t="shared" si="5"/>
        <v>48</v>
      </c>
      <c r="B57" s="180" t="s">
        <v>411</v>
      </c>
      <c r="C57" s="181" t="s">
        <v>433</v>
      </c>
      <c r="D57" s="181" t="s">
        <v>327</v>
      </c>
      <c r="E57" s="181">
        <v>1</v>
      </c>
      <c r="F57" s="185"/>
      <c r="G57" s="172">
        <v>3000</v>
      </c>
      <c r="H57" s="185">
        <f t="shared" si="3"/>
        <v>3000</v>
      </c>
      <c r="I57" s="17">
        <f t="shared" si="4"/>
        <v>0</v>
      </c>
      <c r="J57" s="464"/>
      <c r="K57" s="465"/>
      <c r="L57" s="466"/>
      <c r="M57" s="466"/>
      <c r="N57" s="369"/>
      <c r="O57" s="485"/>
      <c r="P57" s="443"/>
      <c r="Q57" s="445">
        <v>0</v>
      </c>
      <c r="R57" s="445">
        <v>0</v>
      </c>
      <c r="S57" s="445">
        <v>3000</v>
      </c>
    </row>
    <row r="58" spans="1:19" s="17" customFormat="1" ht="12.75" customHeight="1">
      <c r="A58" s="180"/>
      <c r="B58" s="180"/>
      <c r="C58" s="183" t="s">
        <v>434</v>
      </c>
      <c r="D58" s="181"/>
      <c r="E58" s="181"/>
      <c r="F58" s="181"/>
      <c r="G58" s="181"/>
      <c r="H58" s="197">
        <f>SUM(H48:H57)</f>
        <v>9840</v>
      </c>
      <c r="I58" s="17">
        <f>SUM(I48:I57)</f>
        <v>6840</v>
      </c>
      <c r="J58" s="464"/>
      <c r="K58" s="465"/>
      <c r="L58" s="466"/>
      <c r="M58" s="473">
        <f>SUM(M48:M57)</f>
        <v>-290</v>
      </c>
      <c r="N58" s="371"/>
      <c r="O58" s="485"/>
      <c r="P58" s="443"/>
      <c r="Q58" s="445"/>
      <c r="R58" s="445"/>
      <c r="S58" s="445"/>
    </row>
    <row r="59" spans="1:19" s="17" customFormat="1" ht="12.75" customHeight="1">
      <c r="A59" s="180"/>
      <c r="B59" s="180"/>
      <c r="C59" s="183"/>
      <c r="D59" s="181"/>
      <c r="E59" s="181"/>
      <c r="F59" s="181"/>
      <c r="G59" s="181"/>
      <c r="H59" s="198"/>
      <c r="J59" s="464"/>
      <c r="K59" s="465"/>
      <c r="L59" s="466"/>
      <c r="M59" s="466"/>
      <c r="N59" s="371"/>
      <c r="O59" s="485"/>
      <c r="P59" s="443"/>
      <c r="Q59" s="445"/>
      <c r="R59" s="445"/>
      <c r="S59" s="445"/>
    </row>
    <row r="60" spans="1:19" s="17" customFormat="1" ht="12.75" customHeight="1">
      <c r="A60" s="180"/>
      <c r="B60" s="180"/>
      <c r="C60" s="199" t="s">
        <v>395</v>
      </c>
      <c r="D60" s="189"/>
      <c r="E60" s="189"/>
      <c r="F60" s="189"/>
      <c r="G60" s="189"/>
      <c r="H60" s="189"/>
      <c r="J60" s="464"/>
      <c r="K60" s="465"/>
      <c r="L60" s="466"/>
      <c r="M60" s="466"/>
      <c r="N60" s="371"/>
      <c r="O60" s="485"/>
      <c r="P60" s="443"/>
      <c r="Q60" s="445"/>
      <c r="R60" s="445"/>
      <c r="S60" s="445"/>
    </row>
    <row r="61" spans="1:19" s="17" customFormat="1" ht="12.75" customHeight="1">
      <c r="A61" s="180">
        <f>+A57+1</f>
        <v>49</v>
      </c>
      <c r="B61" s="180" t="s">
        <v>411</v>
      </c>
      <c r="C61" s="200" t="s">
        <v>738</v>
      </c>
      <c r="D61" s="189" t="s">
        <v>336</v>
      </c>
      <c r="E61" s="213">
        <v>0.05</v>
      </c>
      <c r="F61" s="201"/>
      <c r="G61" s="201">
        <f>+I44+I58</f>
        <v>34874</v>
      </c>
      <c r="H61" s="201">
        <f>+G61*E61</f>
        <v>1743.7</v>
      </c>
      <c r="J61" s="464"/>
      <c r="K61" s="465"/>
      <c r="L61" s="466"/>
      <c r="M61" s="466"/>
      <c r="N61" s="371"/>
      <c r="O61" s="485"/>
      <c r="P61" s="443"/>
      <c r="Q61" s="445">
        <v>0</v>
      </c>
      <c r="R61" s="445">
        <v>0</v>
      </c>
      <c r="S61" s="445">
        <v>1743.7</v>
      </c>
    </row>
    <row r="62" spans="1:19" s="17" customFormat="1" ht="12.75" customHeight="1">
      <c r="A62" s="180">
        <f>+A61+1</f>
        <v>50</v>
      </c>
      <c r="B62" s="180" t="s">
        <v>411</v>
      </c>
      <c r="C62" s="200" t="s">
        <v>737</v>
      </c>
      <c r="D62" s="189" t="s">
        <v>336</v>
      </c>
      <c r="E62" s="213">
        <v>0.05</v>
      </c>
      <c r="F62" s="201"/>
      <c r="G62" s="201">
        <f>H44-I44+H58-I58</f>
        <v>79673</v>
      </c>
      <c r="H62" s="201">
        <f>+G62*E62</f>
        <v>3983.65</v>
      </c>
      <c r="J62" s="464"/>
      <c r="K62" s="465"/>
      <c r="L62" s="466"/>
      <c r="M62" s="466"/>
      <c r="N62" s="371"/>
      <c r="O62" s="485"/>
      <c r="P62" s="443"/>
      <c r="Q62" s="445">
        <v>0</v>
      </c>
      <c r="R62" s="445">
        <v>0</v>
      </c>
      <c r="S62" s="445">
        <v>3983.65</v>
      </c>
    </row>
    <row r="63" spans="1:19" s="17" customFormat="1" ht="12.75" customHeight="1">
      <c r="A63" s="180"/>
      <c r="B63" s="180"/>
      <c r="C63" s="199" t="s">
        <v>438</v>
      </c>
      <c r="D63" s="199"/>
      <c r="E63" s="165"/>
      <c r="F63" s="199"/>
      <c r="G63" s="199"/>
      <c r="H63" s="202">
        <f>SUM(H61:H62)</f>
        <v>5727.35</v>
      </c>
      <c r="J63" s="464" t="s">
        <v>852</v>
      </c>
      <c r="K63" s="465">
        <v>-1</v>
      </c>
      <c r="L63" s="466">
        <v>4642.1</v>
      </c>
      <c r="M63" s="473">
        <v>-1085.25</v>
      </c>
      <c r="N63" s="371"/>
      <c r="O63" s="485"/>
      <c r="P63" s="443"/>
      <c r="Q63" s="445"/>
      <c r="R63" s="445"/>
      <c r="S63" s="445"/>
    </row>
    <row r="64" spans="1:19" s="17" customFormat="1" ht="12.75" customHeight="1">
      <c r="A64" s="180"/>
      <c r="B64" s="180"/>
      <c r="C64" s="183"/>
      <c r="D64" s="181"/>
      <c r="E64" s="181"/>
      <c r="F64" s="181"/>
      <c r="G64" s="181"/>
      <c r="H64" s="198"/>
      <c r="J64" s="464"/>
      <c r="K64" s="465"/>
      <c r="L64" s="466"/>
      <c r="M64" s="466"/>
      <c r="N64" s="371"/>
      <c r="O64" s="485"/>
      <c r="P64" s="443"/>
      <c r="Q64" s="445"/>
      <c r="R64" s="445"/>
      <c r="S64" s="445"/>
    </row>
    <row r="65" spans="1:19" s="17" customFormat="1" ht="12.75" customHeight="1">
      <c r="A65" s="180"/>
      <c r="B65" s="180"/>
      <c r="C65" s="183"/>
      <c r="D65" s="181"/>
      <c r="E65" s="181"/>
      <c r="F65" s="181"/>
      <c r="G65" s="181"/>
      <c r="H65" s="198"/>
      <c r="J65" s="464"/>
      <c r="K65" s="465"/>
      <c r="L65" s="466"/>
      <c r="M65" s="466"/>
      <c r="N65" s="371"/>
      <c r="O65" s="485"/>
      <c r="P65" s="443"/>
      <c r="Q65" s="445"/>
      <c r="R65" s="445"/>
      <c r="S65" s="445"/>
    </row>
    <row r="66" spans="1:19" s="17" customFormat="1" ht="18" customHeight="1">
      <c r="A66" s="180"/>
      <c r="B66" s="180"/>
      <c r="C66" s="182" t="s">
        <v>435</v>
      </c>
      <c r="D66" s="181"/>
      <c r="E66" s="181"/>
      <c r="F66" s="181"/>
      <c r="G66" s="181"/>
      <c r="H66" s="198"/>
      <c r="J66" s="464"/>
      <c r="K66" s="465"/>
      <c r="L66" s="466"/>
      <c r="M66" s="466"/>
      <c r="N66" s="492" t="s">
        <v>897</v>
      </c>
      <c r="O66" s="485"/>
      <c r="P66" s="443" t="s">
        <v>904</v>
      </c>
      <c r="Q66" s="445"/>
      <c r="R66" s="445"/>
      <c r="S66" s="445"/>
    </row>
    <row r="67" spans="1:19" s="17" customFormat="1" ht="12.75" customHeight="1">
      <c r="A67" s="180"/>
      <c r="B67" s="180"/>
      <c r="C67" s="183" t="s">
        <v>406</v>
      </c>
      <c r="D67" s="181"/>
      <c r="E67" s="180" t="s">
        <v>333</v>
      </c>
      <c r="F67" s="180" t="s">
        <v>407</v>
      </c>
      <c r="G67" s="180" t="s">
        <v>408</v>
      </c>
      <c r="H67" s="180" t="s">
        <v>334</v>
      </c>
      <c r="J67" s="464"/>
      <c r="K67" s="465"/>
      <c r="L67" s="466"/>
      <c r="M67" s="466"/>
      <c r="N67" s="371"/>
      <c r="O67" s="485"/>
      <c r="P67" s="443"/>
      <c r="Q67" s="445"/>
      <c r="R67" s="445"/>
      <c r="S67" s="445"/>
    </row>
    <row r="68" spans="1:19" s="17" customFormat="1" ht="12.75" customHeight="1">
      <c r="A68" s="180">
        <f>+A62+1</f>
        <v>51</v>
      </c>
      <c r="B68" s="186" t="s">
        <v>815</v>
      </c>
      <c r="C68" s="181" t="s">
        <v>511</v>
      </c>
      <c r="D68" s="181" t="s">
        <v>330</v>
      </c>
      <c r="E68" s="181">
        <v>1</v>
      </c>
      <c r="F68" s="172">
        <v>291</v>
      </c>
      <c r="G68" s="172">
        <v>120</v>
      </c>
      <c r="H68" s="185">
        <f aca="true" t="shared" si="6" ref="H68:H81">(F68+G68)*E68</f>
        <v>411</v>
      </c>
      <c r="I68" s="17">
        <f>+E68*F68</f>
        <v>291</v>
      </c>
      <c r="J68" s="464"/>
      <c r="K68" s="465"/>
      <c r="L68" s="466"/>
      <c r="M68" s="466"/>
      <c r="N68" s="371"/>
      <c r="O68" s="485"/>
      <c r="P68" s="443"/>
      <c r="Q68" s="445">
        <v>0</v>
      </c>
      <c r="R68" s="445">
        <v>0</v>
      </c>
      <c r="S68" s="445">
        <v>411</v>
      </c>
    </row>
    <row r="69" spans="1:19" s="17" customFormat="1" ht="12.75" customHeight="1">
      <c r="A69" s="180">
        <f>+A68+1</f>
        <v>52</v>
      </c>
      <c r="B69" s="186" t="s">
        <v>815</v>
      </c>
      <c r="C69" s="181" t="s">
        <v>770</v>
      </c>
      <c r="D69" s="181" t="s">
        <v>330</v>
      </c>
      <c r="E69" s="181">
        <v>1</v>
      </c>
      <c r="F69" s="172">
        <v>220</v>
      </c>
      <c r="G69" s="172">
        <v>120</v>
      </c>
      <c r="H69" s="185">
        <f t="shared" si="6"/>
        <v>340</v>
      </c>
      <c r="I69" s="17">
        <f aca="true" t="shared" si="7" ref="I69:I81">+E69*F69</f>
        <v>220</v>
      </c>
      <c r="J69" s="464"/>
      <c r="K69" s="465"/>
      <c r="L69" s="466"/>
      <c r="M69" s="466"/>
      <c r="N69" s="371"/>
      <c r="O69" s="485"/>
      <c r="P69" s="443"/>
      <c r="Q69" s="445">
        <v>0</v>
      </c>
      <c r="R69" s="445">
        <v>0</v>
      </c>
      <c r="S69" s="445">
        <v>380</v>
      </c>
    </row>
    <row r="70" spans="1:19" s="17" customFormat="1" ht="12.75" customHeight="1">
      <c r="A70" s="180">
        <f aca="true" t="shared" si="8" ref="A70:A81">+A69+1</f>
        <v>53</v>
      </c>
      <c r="B70" s="186" t="s">
        <v>816</v>
      </c>
      <c r="C70" s="181" t="s">
        <v>771</v>
      </c>
      <c r="D70" s="181" t="s">
        <v>330</v>
      </c>
      <c r="E70" s="181">
        <v>2</v>
      </c>
      <c r="F70" s="172">
        <v>290</v>
      </c>
      <c r="G70" s="172">
        <v>150</v>
      </c>
      <c r="H70" s="185">
        <f t="shared" si="6"/>
        <v>880</v>
      </c>
      <c r="I70" s="17">
        <f t="shared" si="7"/>
        <v>580</v>
      </c>
      <c r="J70" s="464"/>
      <c r="K70" s="465"/>
      <c r="L70" s="466"/>
      <c r="M70" s="466"/>
      <c r="N70" s="371"/>
      <c r="O70" s="485"/>
      <c r="P70" s="443"/>
      <c r="Q70" s="445">
        <v>0</v>
      </c>
      <c r="R70" s="445">
        <v>0</v>
      </c>
      <c r="S70" s="445">
        <v>880</v>
      </c>
    </row>
    <row r="71" spans="1:19" s="17" customFormat="1" ht="12.75" customHeight="1">
      <c r="A71" s="180">
        <f t="shared" si="8"/>
        <v>54</v>
      </c>
      <c r="B71" s="186" t="s">
        <v>817</v>
      </c>
      <c r="C71" s="181" t="s">
        <v>512</v>
      </c>
      <c r="D71" s="181" t="s">
        <v>330</v>
      </c>
      <c r="E71" s="181">
        <v>4</v>
      </c>
      <c r="F71" s="172">
        <v>9</v>
      </c>
      <c r="G71" s="172">
        <v>100</v>
      </c>
      <c r="H71" s="185">
        <f t="shared" si="6"/>
        <v>436</v>
      </c>
      <c r="I71" s="17">
        <f t="shared" si="7"/>
        <v>36</v>
      </c>
      <c r="J71" s="464"/>
      <c r="K71" s="465"/>
      <c r="L71" s="466"/>
      <c r="M71" s="466"/>
      <c r="N71" s="369"/>
      <c r="O71" s="485"/>
      <c r="P71" s="443"/>
      <c r="Q71" s="445">
        <v>0</v>
      </c>
      <c r="R71" s="445">
        <v>0</v>
      </c>
      <c r="S71" s="445">
        <v>436</v>
      </c>
    </row>
    <row r="72" spans="1:19" s="17" customFormat="1" ht="12.75" customHeight="1">
      <c r="A72" s="180">
        <f t="shared" si="8"/>
        <v>55</v>
      </c>
      <c r="B72" s="186" t="s">
        <v>821</v>
      </c>
      <c r="C72" s="181" t="s">
        <v>532</v>
      </c>
      <c r="D72" s="181" t="s">
        <v>330</v>
      </c>
      <c r="E72" s="181">
        <v>2</v>
      </c>
      <c r="F72" s="172">
        <v>16</v>
      </c>
      <c r="G72" s="172">
        <v>100</v>
      </c>
      <c r="H72" s="185">
        <f t="shared" si="6"/>
        <v>232</v>
      </c>
      <c r="I72" s="17">
        <f t="shared" si="7"/>
        <v>32</v>
      </c>
      <c r="J72" s="464"/>
      <c r="K72" s="465"/>
      <c r="L72" s="466"/>
      <c r="M72" s="466"/>
      <c r="N72" s="369"/>
      <c r="O72" s="485"/>
      <c r="P72" s="443"/>
      <c r="Q72" s="445">
        <v>0</v>
      </c>
      <c r="R72" s="445">
        <v>0</v>
      </c>
      <c r="S72" s="445">
        <v>232</v>
      </c>
    </row>
    <row r="73" spans="1:19" s="17" customFormat="1" ht="12.75" customHeight="1">
      <c r="A73" s="180">
        <f t="shared" si="8"/>
        <v>56</v>
      </c>
      <c r="B73" s="186" t="s">
        <v>818</v>
      </c>
      <c r="C73" s="181" t="s">
        <v>772</v>
      </c>
      <c r="D73" s="181" t="s">
        <v>331</v>
      </c>
      <c r="E73" s="181">
        <v>13</v>
      </c>
      <c r="F73" s="172">
        <v>18</v>
      </c>
      <c r="G73" s="172">
        <v>21</v>
      </c>
      <c r="H73" s="185">
        <f t="shared" si="6"/>
        <v>507</v>
      </c>
      <c r="I73" s="17">
        <f t="shared" si="7"/>
        <v>234</v>
      </c>
      <c r="J73" s="464"/>
      <c r="K73" s="465"/>
      <c r="L73" s="466"/>
      <c r="M73" s="466"/>
      <c r="N73" s="369"/>
      <c r="O73" s="485"/>
      <c r="P73" s="443"/>
      <c r="Q73" s="445">
        <v>507</v>
      </c>
      <c r="R73" s="445">
        <v>0</v>
      </c>
      <c r="S73" s="445">
        <v>0</v>
      </c>
    </row>
    <row r="74" spans="1:19" s="17" customFormat="1" ht="12.75" customHeight="1">
      <c r="A74" s="180">
        <f t="shared" si="8"/>
        <v>57</v>
      </c>
      <c r="B74" s="186" t="s">
        <v>818</v>
      </c>
      <c r="C74" s="181" t="s">
        <v>773</v>
      </c>
      <c r="D74" s="181" t="s">
        <v>331</v>
      </c>
      <c r="E74" s="181">
        <v>35</v>
      </c>
      <c r="F74" s="172">
        <v>12</v>
      </c>
      <c r="G74" s="172">
        <v>22</v>
      </c>
      <c r="H74" s="185">
        <f t="shared" si="6"/>
        <v>1190</v>
      </c>
      <c r="I74" s="17">
        <f t="shared" si="7"/>
        <v>420</v>
      </c>
      <c r="J74" s="464"/>
      <c r="K74" s="465"/>
      <c r="L74" s="466"/>
      <c r="M74" s="466"/>
      <c r="N74" s="369"/>
      <c r="O74" s="485"/>
      <c r="P74" s="443"/>
      <c r="Q74" s="445">
        <v>1190</v>
      </c>
      <c r="R74" s="445">
        <v>0</v>
      </c>
      <c r="S74" s="445">
        <v>0</v>
      </c>
    </row>
    <row r="75" spans="1:19" s="17" customFormat="1" ht="12.75" customHeight="1">
      <c r="A75" s="180">
        <f t="shared" si="8"/>
        <v>58</v>
      </c>
      <c r="B75" s="186" t="s">
        <v>819</v>
      </c>
      <c r="C75" s="181" t="s">
        <v>513</v>
      </c>
      <c r="D75" s="181" t="s">
        <v>331</v>
      </c>
      <c r="E75" s="181">
        <v>13</v>
      </c>
      <c r="F75" s="172">
        <v>16</v>
      </c>
      <c r="G75" s="172">
        <v>22</v>
      </c>
      <c r="H75" s="185">
        <f t="shared" si="6"/>
        <v>494</v>
      </c>
      <c r="I75" s="17">
        <f t="shared" si="7"/>
        <v>208</v>
      </c>
      <c r="J75" s="464"/>
      <c r="K75" s="465"/>
      <c r="L75" s="466"/>
      <c r="M75" s="466"/>
      <c r="N75" s="369"/>
      <c r="O75" s="485"/>
      <c r="P75" s="443"/>
      <c r="Q75" s="445">
        <v>494</v>
      </c>
      <c r="R75" s="445">
        <v>0</v>
      </c>
      <c r="S75" s="445">
        <v>0</v>
      </c>
    </row>
    <row r="76" spans="1:19" s="17" customFormat="1" ht="12.75" customHeight="1">
      <c r="A76" s="180">
        <f t="shared" si="8"/>
        <v>59</v>
      </c>
      <c r="B76" s="186" t="s">
        <v>822</v>
      </c>
      <c r="C76" s="181" t="s">
        <v>774</v>
      </c>
      <c r="D76" s="181" t="s">
        <v>330</v>
      </c>
      <c r="E76" s="181">
        <v>1</v>
      </c>
      <c r="F76" s="172">
        <v>250</v>
      </c>
      <c r="G76" s="172">
        <v>150</v>
      </c>
      <c r="H76" s="185">
        <f t="shared" si="6"/>
        <v>400</v>
      </c>
      <c r="I76" s="17">
        <f t="shared" si="7"/>
        <v>250</v>
      </c>
      <c r="J76" s="464"/>
      <c r="K76" s="465"/>
      <c r="L76" s="466"/>
      <c r="M76" s="466"/>
      <c r="N76" s="369"/>
      <c r="O76" s="485"/>
      <c r="P76" s="443"/>
      <c r="Q76" s="445">
        <v>400</v>
      </c>
      <c r="R76" s="445">
        <v>0</v>
      </c>
      <c r="S76" s="445">
        <v>0</v>
      </c>
    </row>
    <row r="77" spans="1:19" s="17" customFormat="1" ht="12.75" customHeight="1">
      <c r="A77" s="180">
        <f t="shared" si="8"/>
        <v>60</v>
      </c>
      <c r="B77" s="186" t="s">
        <v>820</v>
      </c>
      <c r="C77" s="181" t="s">
        <v>775</v>
      </c>
      <c r="D77" s="181" t="s">
        <v>331</v>
      </c>
      <c r="E77" s="181">
        <v>5</v>
      </c>
      <c r="F77" s="172">
        <v>13</v>
      </c>
      <c r="G77" s="172">
        <v>22</v>
      </c>
      <c r="H77" s="185">
        <f t="shared" si="6"/>
        <v>175</v>
      </c>
      <c r="I77" s="17">
        <f t="shared" si="7"/>
        <v>65</v>
      </c>
      <c r="J77" s="464"/>
      <c r="K77" s="465"/>
      <c r="L77" s="466"/>
      <c r="M77" s="466"/>
      <c r="N77" s="369"/>
      <c r="O77" s="485"/>
      <c r="P77" s="443"/>
      <c r="Q77" s="445">
        <v>175</v>
      </c>
      <c r="R77" s="445">
        <v>0</v>
      </c>
      <c r="S77" s="445">
        <v>0</v>
      </c>
    </row>
    <row r="78" spans="1:19" s="17" customFormat="1" ht="12.75" customHeight="1">
      <c r="A78" s="180">
        <f t="shared" si="8"/>
        <v>61</v>
      </c>
      <c r="B78" s="186" t="s">
        <v>807</v>
      </c>
      <c r="C78" s="181" t="s">
        <v>506</v>
      </c>
      <c r="D78" s="181" t="s">
        <v>330</v>
      </c>
      <c r="E78" s="181">
        <v>3</v>
      </c>
      <c r="F78" s="185"/>
      <c r="G78" s="172">
        <v>50</v>
      </c>
      <c r="H78" s="185">
        <f t="shared" si="6"/>
        <v>150</v>
      </c>
      <c r="I78" s="17">
        <f t="shared" si="7"/>
        <v>0</v>
      </c>
      <c r="J78" s="464"/>
      <c r="K78" s="465"/>
      <c r="L78" s="466"/>
      <c r="M78" s="466"/>
      <c r="N78" s="369"/>
      <c r="O78" s="485"/>
      <c r="P78" s="443"/>
      <c r="Q78" s="445">
        <v>150</v>
      </c>
      <c r="R78" s="445">
        <v>0</v>
      </c>
      <c r="S78" s="445">
        <v>0</v>
      </c>
    </row>
    <row r="79" spans="1:19" s="17" customFormat="1" ht="12.75" customHeight="1">
      <c r="A79" s="180">
        <f t="shared" si="8"/>
        <v>62</v>
      </c>
      <c r="B79" s="184" t="s">
        <v>802</v>
      </c>
      <c r="C79" s="181" t="s">
        <v>504</v>
      </c>
      <c r="D79" s="181" t="s">
        <v>331</v>
      </c>
      <c r="E79" s="181">
        <v>16</v>
      </c>
      <c r="F79" s="185"/>
      <c r="G79" s="172">
        <v>100</v>
      </c>
      <c r="H79" s="185">
        <f t="shared" si="6"/>
        <v>1600</v>
      </c>
      <c r="I79" s="17">
        <f t="shared" si="7"/>
        <v>0</v>
      </c>
      <c r="J79" s="464"/>
      <c r="K79" s="465"/>
      <c r="L79" s="466"/>
      <c r="M79" s="466"/>
      <c r="N79" s="369"/>
      <c r="O79" s="485"/>
      <c r="P79" s="443"/>
      <c r="Q79" s="445">
        <v>1600</v>
      </c>
      <c r="R79" s="445">
        <v>0</v>
      </c>
      <c r="S79" s="445">
        <v>0</v>
      </c>
    </row>
    <row r="80" spans="1:19" s="17" customFormat="1" ht="12.75" customHeight="1">
      <c r="A80" s="180">
        <f t="shared" si="8"/>
        <v>63</v>
      </c>
      <c r="B80" s="184" t="s">
        <v>800</v>
      </c>
      <c r="C80" s="181" t="s">
        <v>423</v>
      </c>
      <c r="D80" s="181" t="s">
        <v>330</v>
      </c>
      <c r="E80" s="181">
        <v>1</v>
      </c>
      <c r="F80" s="185"/>
      <c r="G80" s="172">
        <v>100</v>
      </c>
      <c r="H80" s="185">
        <f t="shared" si="6"/>
        <v>100</v>
      </c>
      <c r="I80" s="17">
        <f t="shared" si="7"/>
        <v>0</v>
      </c>
      <c r="J80" s="464"/>
      <c r="K80" s="465"/>
      <c r="L80" s="466"/>
      <c r="M80" s="466"/>
      <c r="N80" s="369"/>
      <c r="O80" s="485"/>
      <c r="P80" s="443"/>
      <c r="Q80" s="445">
        <v>100</v>
      </c>
      <c r="R80" s="445">
        <v>0</v>
      </c>
      <c r="S80" s="445">
        <v>0</v>
      </c>
    </row>
    <row r="81" spans="1:19" s="17" customFormat="1" ht="12.75" customHeight="1">
      <c r="A81" s="180">
        <f t="shared" si="8"/>
        <v>64</v>
      </c>
      <c r="B81" s="186" t="s">
        <v>804</v>
      </c>
      <c r="C81" s="181" t="s">
        <v>505</v>
      </c>
      <c r="D81" s="181" t="s">
        <v>330</v>
      </c>
      <c r="E81" s="181">
        <v>2</v>
      </c>
      <c r="F81" s="185"/>
      <c r="G81" s="172">
        <v>265</v>
      </c>
      <c r="H81" s="185">
        <f t="shared" si="6"/>
        <v>530</v>
      </c>
      <c r="I81" s="17">
        <f t="shared" si="7"/>
        <v>0</v>
      </c>
      <c r="J81" s="464"/>
      <c r="K81" s="465"/>
      <c r="L81" s="466"/>
      <c r="M81" s="466"/>
      <c r="N81" s="369"/>
      <c r="O81" s="485"/>
      <c r="P81" s="443"/>
      <c r="Q81" s="445">
        <v>530</v>
      </c>
      <c r="R81" s="445">
        <v>0</v>
      </c>
      <c r="S81" s="445">
        <v>0</v>
      </c>
    </row>
    <row r="82" spans="1:19" s="17" customFormat="1" ht="12.75" customHeight="1">
      <c r="A82" s="180"/>
      <c r="B82" s="180"/>
      <c r="C82" s="183" t="s">
        <v>436</v>
      </c>
      <c r="D82" s="181"/>
      <c r="E82" s="181"/>
      <c r="F82" s="185"/>
      <c r="G82" s="185"/>
      <c r="H82" s="197">
        <f>SUM(H68:H81)</f>
        <v>7445</v>
      </c>
      <c r="I82" s="17">
        <f>SUM(I68:I81)</f>
        <v>2336</v>
      </c>
      <c r="J82" s="464"/>
      <c r="K82" s="465"/>
      <c r="L82" s="466"/>
      <c r="M82" s="466"/>
      <c r="N82" s="369"/>
      <c r="O82" s="485"/>
      <c r="P82" s="443"/>
      <c r="Q82" s="445"/>
      <c r="R82" s="445"/>
      <c r="S82" s="445"/>
    </row>
    <row r="83" spans="1:19" s="17" customFormat="1" ht="12.75" customHeight="1">
      <c r="A83" s="180"/>
      <c r="B83" s="180"/>
      <c r="C83" s="183"/>
      <c r="D83" s="181"/>
      <c r="E83" s="181"/>
      <c r="F83" s="185"/>
      <c r="G83" s="185"/>
      <c r="H83" s="198"/>
      <c r="J83" s="464"/>
      <c r="K83" s="465"/>
      <c r="L83" s="466"/>
      <c r="M83" s="466"/>
      <c r="N83" s="369"/>
      <c r="O83" s="485"/>
      <c r="P83" s="443"/>
      <c r="Q83" s="445"/>
      <c r="R83" s="445"/>
      <c r="S83" s="445"/>
    </row>
    <row r="84" spans="1:19" s="17" customFormat="1" ht="12.75" customHeight="1">
      <c r="A84" s="180"/>
      <c r="B84" s="180"/>
      <c r="C84" s="199" t="s">
        <v>395</v>
      </c>
      <c r="D84" s="189"/>
      <c r="E84" s="189"/>
      <c r="F84" s="189"/>
      <c r="G84" s="189"/>
      <c r="H84" s="189"/>
      <c r="J84" s="464"/>
      <c r="K84" s="465"/>
      <c r="L84" s="466"/>
      <c r="M84" s="466"/>
      <c r="N84" s="369"/>
      <c r="O84" s="485"/>
      <c r="P84" s="443"/>
      <c r="Q84" s="445"/>
      <c r="R84" s="445"/>
      <c r="S84" s="445"/>
    </row>
    <row r="85" spans="1:19" s="17" customFormat="1" ht="12.75" customHeight="1">
      <c r="A85" s="180">
        <f>+A81+1</f>
        <v>65</v>
      </c>
      <c r="B85" s="180" t="s">
        <v>411</v>
      </c>
      <c r="C85" s="200" t="s">
        <v>738</v>
      </c>
      <c r="D85" s="189" t="s">
        <v>336</v>
      </c>
      <c r="E85" s="213">
        <v>0.05</v>
      </c>
      <c r="F85" s="201"/>
      <c r="G85" s="201">
        <f>I82</f>
        <v>2336</v>
      </c>
      <c r="H85" s="201">
        <f>+G85*E85</f>
        <v>116.80000000000001</v>
      </c>
      <c r="J85" s="464"/>
      <c r="K85" s="465"/>
      <c r="L85" s="466"/>
      <c r="M85" s="466"/>
      <c r="N85" s="369"/>
      <c r="O85" s="485"/>
      <c r="P85" s="443"/>
      <c r="Q85" s="445">
        <v>0</v>
      </c>
      <c r="R85" s="445">
        <v>0</v>
      </c>
      <c r="S85" s="445">
        <v>116.8</v>
      </c>
    </row>
    <row r="86" spans="1:19" s="17" customFormat="1" ht="12.75" customHeight="1">
      <c r="A86" s="180">
        <f>+A85+1</f>
        <v>66</v>
      </c>
      <c r="B86" s="180" t="s">
        <v>411</v>
      </c>
      <c r="C86" s="200" t="s">
        <v>737</v>
      </c>
      <c r="D86" s="189" t="s">
        <v>336</v>
      </c>
      <c r="E86" s="213">
        <v>0.05</v>
      </c>
      <c r="F86" s="201"/>
      <c r="G86" s="201">
        <f>+H82-I82</f>
        <v>5109</v>
      </c>
      <c r="H86" s="201">
        <f>+G86*E86</f>
        <v>255.45000000000002</v>
      </c>
      <c r="J86" s="464"/>
      <c r="K86" s="465"/>
      <c r="L86" s="466"/>
      <c r="M86" s="466"/>
      <c r="N86" s="369"/>
      <c r="O86" s="485"/>
      <c r="P86" s="443"/>
      <c r="Q86" s="445">
        <v>0</v>
      </c>
      <c r="R86" s="445">
        <v>0</v>
      </c>
      <c r="S86" s="445">
        <v>255.45</v>
      </c>
    </row>
    <row r="87" spans="1:19" s="17" customFormat="1" ht="12.75" customHeight="1">
      <c r="A87" s="180"/>
      <c r="B87" s="180"/>
      <c r="C87" s="199" t="s">
        <v>438</v>
      </c>
      <c r="D87" s="199"/>
      <c r="E87" s="165"/>
      <c r="F87" s="199"/>
      <c r="G87" s="199"/>
      <c r="H87" s="202">
        <f>SUM(H85:H86)</f>
        <v>372.25</v>
      </c>
      <c r="J87" s="464"/>
      <c r="K87" s="465"/>
      <c r="L87" s="466"/>
      <c r="M87" s="466"/>
      <c r="N87" s="369"/>
      <c r="O87" s="485"/>
      <c r="P87" s="443"/>
      <c r="Q87" s="450">
        <f>SUM(Q5:Q86)</f>
        <v>31447</v>
      </c>
      <c r="R87" s="450">
        <f>SUM(R5:R86)</f>
        <v>0</v>
      </c>
      <c r="S87" s="450">
        <f>SUM(S5:S86)</f>
        <v>95148.59999999999</v>
      </c>
    </row>
    <row r="88" spans="1:16" s="17" customFormat="1" ht="12.75" customHeight="1">
      <c r="A88" s="180"/>
      <c r="B88" s="180"/>
      <c r="C88" s="199"/>
      <c r="D88" s="199"/>
      <c r="E88" s="165"/>
      <c r="F88" s="199"/>
      <c r="G88" s="199"/>
      <c r="H88" s="203"/>
      <c r="J88" s="464"/>
      <c r="K88" s="465"/>
      <c r="L88" s="466"/>
      <c r="M88" s="466"/>
      <c r="N88" s="369"/>
      <c r="O88" s="485"/>
      <c r="P88" s="443"/>
    </row>
    <row r="89" spans="1:19" s="17" customFormat="1" ht="13.5" customHeight="1">
      <c r="A89" s="204"/>
      <c r="B89" s="204"/>
      <c r="C89" s="205"/>
      <c r="D89" s="205"/>
      <c r="E89" s="205"/>
      <c r="F89" s="183"/>
      <c r="G89" s="205"/>
      <c r="H89" s="206"/>
      <c r="J89" s="464"/>
      <c r="K89" s="465"/>
      <c r="L89" s="466"/>
      <c r="M89" s="466"/>
      <c r="N89" s="367"/>
      <c r="O89" s="485"/>
      <c r="P89" s="443"/>
      <c r="S89" s="452"/>
    </row>
    <row r="90" spans="1:19" s="17" customFormat="1" ht="12.75" customHeight="1">
      <c r="A90" s="180"/>
      <c r="B90" s="180"/>
      <c r="C90" s="183" t="s">
        <v>439</v>
      </c>
      <c r="D90" s="181"/>
      <c r="E90" s="181"/>
      <c r="F90" s="181"/>
      <c r="G90" s="181"/>
      <c r="H90" s="198">
        <f>+H44+H58+H63+H82+H87</f>
        <v>128091.6</v>
      </c>
      <c r="I90" s="18"/>
      <c r="J90" s="472"/>
      <c r="K90" s="473"/>
      <c r="L90" s="473"/>
      <c r="M90" s="473"/>
      <c r="N90" s="371"/>
      <c r="O90" s="485"/>
      <c r="P90" s="443"/>
      <c r="S90" s="18">
        <f>Q87+S87</f>
        <v>126595.59999999999</v>
      </c>
    </row>
    <row r="91" spans="1:16" s="17" customFormat="1" ht="12.75" customHeight="1">
      <c r="A91" s="180"/>
      <c r="B91" s="180"/>
      <c r="C91" s="183" t="s">
        <v>440</v>
      </c>
      <c r="D91" s="207">
        <v>0.15</v>
      </c>
      <c r="E91" s="181"/>
      <c r="F91" s="181"/>
      <c r="G91" s="181"/>
      <c r="H91" s="198">
        <f>H90*D91</f>
        <v>19213.74</v>
      </c>
      <c r="I91" s="18"/>
      <c r="J91" s="472"/>
      <c r="K91" s="473"/>
      <c r="L91" s="473"/>
      <c r="M91" s="473"/>
      <c r="N91" s="371"/>
      <c r="O91" s="485"/>
      <c r="P91" s="443"/>
    </row>
    <row r="92" spans="1:16" s="17" customFormat="1" ht="12.75" customHeight="1">
      <c r="A92" s="180"/>
      <c r="B92" s="180"/>
      <c r="C92" s="208" t="s">
        <v>441</v>
      </c>
      <c r="D92" s="209"/>
      <c r="E92" s="209"/>
      <c r="F92" s="209"/>
      <c r="G92" s="209"/>
      <c r="H92" s="210">
        <f>SUM(H90:H91)</f>
        <v>147305.34</v>
      </c>
      <c r="I92" s="18"/>
      <c r="J92" s="472"/>
      <c r="K92" s="473"/>
      <c r="L92" s="473"/>
      <c r="M92" s="473"/>
      <c r="N92" s="371"/>
      <c r="O92" s="485"/>
      <c r="P92" s="443"/>
    </row>
    <row r="93" spans="1:16" s="17" customFormat="1" ht="12.75" customHeight="1">
      <c r="A93" s="180"/>
      <c r="B93" s="180"/>
      <c r="C93" s="183"/>
      <c r="D93" s="181"/>
      <c r="E93" s="181"/>
      <c r="F93" s="181"/>
      <c r="G93" s="181"/>
      <c r="H93" s="198"/>
      <c r="I93" s="18"/>
      <c r="J93" s="472"/>
      <c r="K93" s="473"/>
      <c r="L93" s="473"/>
      <c r="M93" s="473"/>
      <c r="N93" s="371"/>
      <c r="O93" s="485"/>
      <c r="P93" s="443"/>
    </row>
    <row r="94" spans="1:16" s="17" customFormat="1" ht="12.75" customHeight="1">
      <c r="A94" s="180"/>
      <c r="B94" s="180"/>
      <c r="C94" s="183"/>
      <c r="D94" s="181"/>
      <c r="E94" s="181"/>
      <c r="F94" s="181"/>
      <c r="G94" s="181"/>
      <c r="H94" s="198"/>
      <c r="I94" s="18"/>
      <c r="J94" s="472"/>
      <c r="K94" s="473"/>
      <c r="L94" s="473"/>
      <c r="M94" s="473"/>
      <c r="N94" s="371"/>
      <c r="O94" s="485"/>
      <c r="P94" s="443"/>
    </row>
    <row r="95" spans="1:16" s="17" customFormat="1" ht="13.5" customHeight="1">
      <c r="A95" s="180"/>
      <c r="B95" s="180"/>
      <c r="C95" s="199" t="s">
        <v>442</v>
      </c>
      <c r="D95" s="189"/>
      <c r="E95" s="189"/>
      <c r="F95" s="189"/>
      <c r="G95" s="189"/>
      <c r="H95" s="189"/>
      <c r="J95" s="464"/>
      <c r="K95" s="465"/>
      <c r="L95" s="466"/>
      <c r="M95" s="466"/>
      <c r="N95" s="367"/>
      <c r="O95" s="485"/>
      <c r="P95" s="443"/>
    </row>
    <row r="96" spans="1:16" s="17" customFormat="1" ht="89.25" customHeight="1">
      <c r="A96" s="180"/>
      <c r="B96" s="180"/>
      <c r="C96" s="581" t="s">
        <v>443</v>
      </c>
      <c r="D96" s="581"/>
      <c r="E96" s="581"/>
      <c r="F96" s="581"/>
      <c r="G96" s="581"/>
      <c r="H96" s="581"/>
      <c r="J96" s="464"/>
      <c r="K96" s="465"/>
      <c r="L96" s="466"/>
      <c r="M96" s="466"/>
      <c r="N96" s="355"/>
      <c r="O96" s="485"/>
      <c r="P96" s="443"/>
    </row>
    <row r="97" spans="1:16" s="17" customFormat="1" ht="13.5" customHeight="1">
      <c r="A97" s="180"/>
      <c r="B97" s="180"/>
      <c r="C97" s="582" t="s">
        <v>323</v>
      </c>
      <c r="D97" s="582"/>
      <c r="E97" s="582"/>
      <c r="F97" s="582"/>
      <c r="G97" s="582"/>
      <c r="H97" s="582"/>
      <c r="J97" s="464"/>
      <c r="K97" s="465"/>
      <c r="L97" s="466"/>
      <c r="M97" s="466"/>
      <c r="N97" s="367"/>
      <c r="O97" s="485"/>
      <c r="P97" s="443"/>
    </row>
    <row r="98" spans="1:16" s="17" customFormat="1" ht="13.5" customHeight="1">
      <c r="A98" s="180"/>
      <c r="B98" s="180"/>
      <c r="C98" s="576" t="s">
        <v>444</v>
      </c>
      <c r="D98" s="576"/>
      <c r="E98" s="576"/>
      <c r="F98" s="576"/>
      <c r="G98" s="576"/>
      <c r="H98" s="576"/>
      <c r="J98" s="464"/>
      <c r="K98" s="465"/>
      <c r="L98" s="466"/>
      <c r="M98" s="466"/>
      <c r="N98" s="367"/>
      <c r="O98" s="485"/>
      <c r="P98" s="443"/>
    </row>
    <row r="99" spans="1:16" s="17" customFormat="1" ht="39" customHeight="1">
      <c r="A99" s="180"/>
      <c r="B99" s="180"/>
      <c r="C99" s="575" t="s">
        <v>445</v>
      </c>
      <c r="D99" s="575"/>
      <c r="E99" s="575"/>
      <c r="F99" s="575"/>
      <c r="G99" s="575"/>
      <c r="H99" s="575"/>
      <c r="J99" s="464"/>
      <c r="K99" s="465"/>
      <c r="L99" s="466"/>
      <c r="M99" s="466"/>
      <c r="N99" s="367"/>
      <c r="O99" s="485"/>
      <c r="P99" s="443"/>
    </row>
    <row r="100" spans="1:16" s="17" customFormat="1" ht="13.5" customHeight="1">
      <c r="A100" s="180"/>
      <c r="B100" s="180"/>
      <c r="C100" s="576" t="s">
        <v>446</v>
      </c>
      <c r="D100" s="576"/>
      <c r="E100" s="576"/>
      <c r="F100" s="576"/>
      <c r="G100" s="576"/>
      <c r="H100" s="576"/>
      <c r="J100" s="464"/>
      <c r="K100" s="465"/>
      <c r="L100" s="466"/>
      <c r="M100" s="466"/>
      <c r="N100" s="367"/>
      <c r="O100" s="485"/>
      <c r="P100" s="443"/>
    </row>
    <row r="101" spans="1:16" s="17" customFormat="1" ht="13.5" customHeight="1">
      <c r="A101" s="180"/>
      <c r="B101" s="180"/>
      <c r="C101" s="577" t="s">
        <v>447</v>
      </c>
      <c r="D101" s="577"/>
      <c r="E101" s="577"/>
      <c r="F101" s="577"/>
      <c r="G101" s="577"/>
      <c r="H101" s="577"/>
      <c r="J101" s="464"/>
      <c r="K101" s="465"/>
      <c r="L101" s="466"/>
      <c r="M101" s="466"/>
      <c r="N101" s="367"/>
      <c r="O101" s="485"/>
      <c r="P101" s="443"/>
    </row>
    <row r="102" spans="1:16" s="17" customFormat="1" ht="13.5" customHeight="1">
      <c r="A102" s="180"/>
      <c r="B102" s="180"/>
      <c r="C102" s="211" t="s">
        <v>448</v>
      </c>
      <c r="D102" s="211"/>
      <c r="E102" s="211"/>
      <c r="F102" s="211"/>
      <c r="G102" s="211"/>
      <c r="H102" s="211"/>
      <c r="J102" s="464"/>
      <c r="K102" s="465"/>
      <c r="L102" s="466"/>
      <c r="M102" s="466"/>
      <c r="N102" s="367"/>
      <c r="O102" s="485"/>
      <c r="P102" s="443"/>
    </row>
    <row r="103" spans="3:13" ht="24.75" customHeight="1">
      <c r="C103" s="575" t="s">
        <v>325</v>
      </c>
      <c r="D103" s="575"/>
      <c r="E103" s="575"/>
      <c r="F103" s="575"/>
      <c r="G103" s="575"/>
      <c r="H103" s="575"/>
      <c r="J103" s="474"/>
      <c r="K103" s="475"/>
      <c r="L103" s="476"/>
      <c r="M103" s="476"/>
    </row>
    <row r="104" spans="3:13" ht="27.75" customHeight="1">
      <c r="C104" s="575" t="s">
        <v>326</v>
      </c>
      <c r="D104" s="575"/>
      <c r="E104" s="575"/>
      <c r="F104" s="575"/>
      <c r="G104" s="575"/>
      <c r="H104" s="575"/>
      <c r="J104" s="474"/>
      <c r="K104" s="475"/>
      <c r="L104" s="476"/>
      <c r="M104" s="476"/>
    </row>
    <row r="105" spans="3:13" ht="15" customHeight="1">
      <c r="C105" s="575" t="s">
        <v>356</v>
      </c>
      <c r="D105" s="575"/>
      <c r="E105" s="575"/>
      <c r="F105" s="575"/>
      <c r="G105" s="575"/>
      <c r="H105" s="575"/>
      <c r="L105" s="458"/>
      <c r="M105" s="458"/>
    </row>
    <row r="107" spans="3:8" ht="12.75" customHeight="1">
      <c r="C107" s="579"/>
      <c r="D107" s="580"/>
      <c r="E107" s="580"/>
      <c r="F107" s="580"/>
      <c r="G107" s="580"/>
      <c r="H107" s="580"/>
    </row>
    <row r="108" spans="3:8" ht="12.75">
      <c r="C108" s="580"/>
      <c r="D108" s="580"/>
      <c r="E108" s="580"/>
      <c r="F108" s="580"/>
      <c r="G108" s="580"/>
      <c r="H108" s="580"/>
    </row>
  </sheetData>
  <sheetProtection/>
  <mergeCells count="11">
    <mergeCell ref="C104:H104"/>
    <mergeCell ref="C105:H105"/>
    <mergeCell ref="C100:H100"/>
    <mergeCell ref="C101:H101"/>
    <mergeCell ref="C103:H103"/>
    <mergeCell ref="Q3:R3"/>
    <mergeCell ref="C107:H108"/>
    <mergeCell ref="C96:H96"/>
    <mergeCell ref="C97:H97"/>
    <mergeCell ref="C98:H98"/>
    <mergeCell ref="C99:H99"/>
  </mergeCells>
  <conditionalFormatting sqref="C95">
    <cfRule type="expression" priority="1" dxfId="3" stopIfTrue="1">
      <formula>ISTEXT(C95)</formula>
    </cfRule>
  </conditionalFormatting>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44" r:id="rId1"/>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Irena Jarošová</cp:lastModifiedBy>
  <cp:lastPrinted>2024-04-25T11:51:47Z</cp:lastPrinted>
  <dcterms:created xsi:type="dcterms:W3CDTF">2015-06-09T11:12:40Z</dcterms:created>
  <dcterms:modified xsi:type="dcterms:W3CDTF">2024-04-25T11:51:50Z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