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22155" windowHeight="9390" tabRatio="965" activeTab="2"/>
  </bookViews>
  <sheets>
    <sheet name="Celk rekap" sheetId="1" r:id="rId1"/>
    <sheet name=" Rekap stav" sheetId="2" r:id="rId2"/>
    <sheet name="Stavebni" sheetId="3" r:id="rId3"/>
    <sheet name="ZTI" sheetId="4" r:id="rId4"/>
    <sheet name="Vytapeni" sheetId="5" r:id="rId5"/>
    <sheet name="Vzduchotechnika" sheetId="6" r:id="rId6"/>
    <sheet name="Elektroinstalace" sheetId="7" r:id="rId7"/>
    <sheet name="Ostatní náklady" sheetId="8" r:id="rId8"/>
    <sheet name="Legenda místností" sheetId="9" r:id="rId9"/>
    <sheet name="pozn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&#13;">#N/A</definedName>
    <definedName name="_">NA()</definedName>
    <definedName name="__MAIN__">#REF!</definedName>
    <definedName name="__MAIN2__">#REF!</definedName>
    <definedName name="__MAIN3__">#REF!</definedName>
    <definedName name="__T0__">#REF!</definedName>
    <definedName name="__T1__">#REF!</definedName>
    <definedName name="__T2__">#REF!</definedName>
    <definedName name="__T3__" localSheetId="1">#REF!</definedName>
    <definedName name="__T3__" localSheetId="0">#REF!</definedName>
    <definedName name="__T3__" localSheetId="7">#REF!</definedName>
    <definedName name="__T3__">#REF!</definedName>
    <definedName name="__T4__">#REF!</definedName>
    <definedName name="__T5__" localSheetId="1">'[9]Radotín'!#REF!</definedName>
    <definedName name="__T5__" localSheetId="0">'[9]Radotín'!#REF!</definedName>
    <definedName name="__T5__" localSheetId="7">'[9]Radotín'!#REF!</definedName>
    <definedName name="__T5__">'[9]Radotín'!#REF!</definedName>
    <definedName name="__TE0__">#REF!</definedName>
    <definedName name="__TE1__" localSheetId="1">#REF!</definedName>
    <definedName name="__TE1__" localSheetId="0">#REF!</definedName>
    <definedName name="__TE1__" localSheetId="7">#REF!</definedName>
    <definedName name="__TE1__">#REF!</definedName>
    <definedName name="__TE2__" localSheetId="1">#REF!</definedName>
    <definedName name="__TE2__" localSheetId="0">#REF!</definedName>
    <definedName name="__TE2__" localSheetId="7">#REF!</definedName>
    <definedName name="__TE2__">#REF!</definedName>
    <definedName name="__TR0__">#REF!</definedName>
    <definedName name="__TR1__">#REF!</definedName>
    <definedName name="__TR2__">#REF!</definedName>
    <definedName name="__TR3__">#REF!</definedName>
    <definedName name="_1_">#N/A</definedName>
    <definedName name="_1Excel_BuiltIn_Print_Area_2_1">"$#REF!.$#REF!$#REF!"</definedName>
    <definedName name="_2Excel_BuiltIn_Print_Area_1_1">"$#REF!.$#REF!$#REF!"</definedName>
    <definedName name="_3Excel_BuiltIn_Print_Area_1_1_1_1">"$#REF!.$#REF!$#REF!"</definedName>
    <definedName name="_4Excel_BuiltIn_Print_Area_1_1_1_1_1">"$#REF!.$#REF!$#REF!"</definedName>
    <definedName name="_5Excel_BuiltIn_Print_Area_2_1">"$#REF!.$#REF!$#REF!"</definedName>
    <definedName name="_6Excel_BuiltIn_Print_Area_3_1">"$#REF!.$#REF!$#REF!"</definedName>
    <definedName name="_7Excel_BuiltIn_Print_Area_4_1">"$#REF!.$#REF!$#REF!"</definedName>
    <definedName name="_8Excel_BuiltIn_Print_Area_5_1">"$#REF!.$#REF!$#REF!"</definedName>
    <definedName name="_T1">"$#REF!.$#REF!$#REF!"</definedName>
    <definedName name="aaaaaaaa" localSheetId="7" hidden="1">{#N/A,#N/A,TRUE,"Kryc? list"}</definedName>
    <definedName name="aaaaaaaa" hidden="1">{#N/A,#N/A,TRUE,"Kryc? list"}</definedName>
    <definedName name="ats">"$#REF!.$#REF!$#REF!"</definedName>
    <definedName name="b_10">"$#REF!.$#REF!$#REF!"</definedName>
    <definedName name="b_25">"$#REF!.$#REF!$#REF!"</definedName>
    <definedName name="b_30">"$#REF!.$#REF!$#REF!"</definedName>
    <definedName name="b_35">"$#REF!.$#REF!$#REF!"</definedName>
    <definedName name="b_40">"$#REF!.$#REF!$#REF!"</definedName>
    <definedName name="b_50">"$#REF!.$#REF!$#REF!"</definedName>
    <definedName name="b_60">"$#REF!.$#REF!$#REF!"</definedName>
    <definedName name="be_be">"$#REF!.$#REF!$#REF!"</definedName>
    <definedName name="be_pf">"$#REF!.$#REF!$#REF!"</definedName>
    <definedName name="be_sc">"$#REF!.$#REF!$#REF!"</definedName>
    <definedName name="be_sch">"$#REF!.$#REF!$#REF!"</definedName>
    <definedName name="be_so">"$#REF!.$#REF!$#REF!"</definedName>
    <definedName name="be_sp">"$#REF!.$#REF!$#REF!"</definedName>
    <definedName name="be_st">"$#REF!.$#REF!$#REF!"</definedName>
    <definedName name="bghrerr">#REF!</definedName>
    <definedName name="bhvfdgvf">#REF!</definedName>
    <definedName name="CAS1">#REF!</definedName>
    <definedName name="CAS2">#REF!</definedName>
    <definedName name="CAS3">#REF!</definedName>
    <definedName name="CAS4">#REF!</definedName>
    <definedName name="CAS5">#REF!</definedName>
    <definedName name="CC">"$#REF!.$#REF!$#REF!"</definedName>
    <definedName name="CDOK">#REF!</definedName>
    <definedName name="CDOK1">#REF!</definedName>
    <definedName name="CDOK2">#REF!</definedName>
    <definedName name="celkrozp" localSheetId="1">#REF!</definedName>
    <definedName name="celkrozp" localSheetId="0">#REF!</definedName>
    <definedName name="celkrozp" localSheetId="7">#REF!</definedName>
    <definedName name="celkrozp">#REF!</definedName>
    <definedName name="Cena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cisloobjektu">'[13]Krycí list'!$A$4</definedName>
    <definedName name="cislostavby">'[13]Krycí list'!$A$6</definedName>
    <definedName name="DAT1">#REF!</definedName>
    <definedName name="DAT2">#REF!</definedName>
    <definedName name="DAT3">#REF!</definedName>
    <definedName name="DAT4">#REF!</definedName>
    <definedName name="Datum" localSheetId="1">'[11]MaR'!#REF!</definedName>
    <definedName name="Datum" localSheetId="0">'[11]MaR'!#REF!</definedName>
    <definedName name="Datum" localSheetId="7">'[11]MaR'!#REF!</definedName>
    <definedName name="Datum">'[11]MaR'!#REF!</definedName>
    <definedName name="dem">"$#REF!.$#REF!$#REF!"</definedName>
    <definedName name="dfdaf">#REF!</definedName>
    <definedName name="Dil">#REF!</definedName>
    <definedName name="Dispečink" localSheetId="1">'[11]MaR'!#REF!</definedName>
    <definedName name="Dispečink" localSheetId="0">'[11]MaR'!#REF!</definedName>
    <definedName name="Dispečink" localSheetId="7">'[11]MaR'!#REF!</definedName>
    <definedName name="Dispečink">'[11]MaR'!#REF!</definedName>
    <definedName name="DKGJSDGS">#REF!</definedName>
    <definedName name="DO">"$#REF!.$#REF!$#REF!"</definedName>
    <definedName name="DOD">"$#REF!.$#REF!$#REF!"</definedName>
    <definedName name="Dodavka">'[13]Rekapitulace'!$G$27</definedName>
    <definedName name="Dodavka0" localSheetId="1">#REF!</definedName>
    <definedName name="Dodavka0" localSheetId="0">#REF!</definedName>
    <definedName name="Dodavka0" localSheetId="7">#REF!</definedName>
    <definedName name="Dodavka0">#REF!</definedName>
    <definedName name="DPJ">"$#REF!.$#REF!$#REF!"</definedName>
    <definedName name="dsfbhbg">#REF!</definedName>
    <definedName name="esdr" localSheetId="1">'[16]Roboty sanitarne'!#REF!</definedName>
    <definedName name="esdr" localSheetId="0">'[16]Roboty sanitarne'!#REF!</definedName>
    <definedName name="esdr" localSheetId="7">'[16]Roboty sanitarne'!#REF!</definedName>
    <definedName name="esdr">'[16]Roboty sanitarne'!#REF!</definedName>
    <definedName name="Est_copy_první">#REF!</definedName>
    <definedName name="Est_poslední">#REF!</definedName>
    <definedName name="Est_první">#REF!</definedName>
    <definedName name="eur">"$#REF!.$#REF!$#REF!"</definedName>
    <definedName name="Excel_BuiltIn_Print_Area_1" localSheetId="1">#REF!</definedName>
    <definedName name="Excel_BuiltIn_Print_Area_1" localSheetId="0">#REF!</definedName>
    <definedName name="Excel_BuiltIn_Print_Area_1" localSheetId="7">#REF!</definedName>
    <definedName name="Excel_BuiltIn_Print_Area_1">#REF!</definedName>
    <definedName name="Excel_BuiltIn_Print_Area_11">"$#REF!.$#REF!$#REF!"</definedName>
    <definedName name="Excel_BuiltIn_Print_Area_1_1" localSheetId="1">' Rekap stav'!$B$1:$G$83</definedName>
    <definedName name="Excel_BuiltIn_Print_Area_1_1" localSheetId="0">'Celk rekap'!$B$2:$G$49</definedName>
    <definedName name="Excel_BuiltIn_Print_Area_1_1" localSheetId="7">'Ostatní náklady'!$C$1:$H$33</definedName>
    <definedName name="Excel_BuiltIn_Print_Area_1_1" localSheetId="2">'Stavebni'!$C$2:$H$1088</definedName>
    <definedName name="Excel_BuiltIn_Print_Area_1_1">#REF!</definedName>
    <definedName name="Excel_BuiltIn_Print_Area_1_1_1" localSheetId="1">#REF!</definedName>
    <definedName name="Excel_BuiltIn_Print_Area_1_1_1" localSheetId="0">#REF!</definedName>
    <definedName name="Excel_BuiltIn_Print_Area_1_1_1" localSheetId="7">#REF!</definedName>
    <definedName name="Excel_BuiltIn_Print_Area_1_1_1">#REF!</definedName>
    <definedName name="Excel_BuiltIn_Print_Area_1_1_11">"$#REF!.$#REF!$#REF!"</definedName>
    <definedName name="Excel_BuiltIn_Print_Area_1_1_1_1">"$#REF!.$#REF!$#REF!"</definedName>
    <definedName name="Excel_BuiltIn_Print_Area_1_1_1_11">"$#REF!.$#REF!$#REF!"</definedName>
    <definedName name="Excel_BuiltIn_Print_Area_2" localSheetId="1">#REF!</definedName>
    <definedName name="Excel_BuiltIn_Print_Area_2" localSheetId="0">#REF!</definedName>
    <definedName name="Excel_BuiltIn_Print_Area_2" localSheetId="7">#REF!</definedName>
    <definedName name="Excel_BuiltIn_Print_Area_2">#REF!</definedName>
    <definedName name="Excel_BuiltIn_Print_Area_21">"$#REF!.$#REF!$#REF!"</definedName>
    <definedName name="Excel_BuiltIn_Print_Area_2_1">"$#REF!.$#REF!$#REF!"</definedName>
    <definedName name="Excel_BuiltIn_Print_Area_2_1_1">"$#REF!.$#REF!$#REF!"</definedName>
    <definedName name="Excel_BuiltIn_Print_Area_3" localSheetId="1">#REF!</definedName>
    <definedName name="Excel_BuiltIn_Print_Area_3" localSheetId="0">#REF!</definedName>
    <definedName name="Excel_BuiltIn_Print_Area_3" localSheetId="7">#REF!</definedName>
    <definedName name="Excel_BuiltIn_Print_Area_3">#REF!</definedName>
    <definedName name="Excel_BuiltIn_Print_Area_31">"$#REF!.$#REF!$#REF!"</definedName>
    <definedName name="Excel_BuiltIn_Print_Area_3_1">"$#REF!.$#REF!$#REF!"</definedName>
    <definedName name="Excel_BuiltIn_Print_Area_4" localSheetId="1">#REF!</definedName>
    <definedName name="Excel_BuiltIn_Print_Area_4" localSheetId="0">#REF!</definedName>
    <definedName name="Excel_BuiltIn_Print_Area_4" localSheetId="7">#REF!</definedName>
    <definedName name="Excel_BuiltIn_Print_Area_4">#REF!</definedName>
    <definedName name="Excel_BuiltIn_Print_Area_41">"$#REF!.$#REF!$#REF!"</definedName>
    <definedName name="Excel_BuiltIn_Print_Area_4_1">"$#REF!.$#REF!$#REF!"</definedName>
    <definedName name="Excel_BuiltIn_Print_Area_5" localSheetId="1">#REF!</definedName>
    <definedName name="Excel_BuiltIn_Print_Area_5" localSheetId="0">#REF!</definedName>
    <definedName name="Excel_BuiltIn_Print_Area_5" localSheetId="7">#REF!</definedName>
    <definedName name="Excel_BuiltIn_Print_Area_5">#REF!</definedName>
    <definedName name="Excel_BuiltIn_Print_Area_51">"$#REF!.$#REF!$#REF!"</definedName>
    <definedName name="Excel_BuiltIn_Print_Area_5_1">"$#REF!.$#REF!$#REF!"</definedName>
    <definedName name="Excel_BuiltIn_Print_Titles_1">#REF!</definedName>
    <definedName name="Excel_BuiltIn_Print_Titles_1_1" localSheetId="1">#REF!</definedName>
    <definedName name="Excel_BuiltIn_Print_Titles_1_1" localSheetId="0">#REF!</definedName>
    <definedName name="Excel_BuiltIn_Print_Titles_1_1" localSheetId="7">#REF!</definedName>
    <definedName name="Excel_BuiltIn_Print_Titles_1_1">#REF!</definedName>
    <definedName name="Excel_BuiltIn_Print_Titles_1_1_1">"$#REF!.$#REF!$#REF!"</definedName>
    <definedName name="Excel_BuiltIn_Print_Titles_2_1">"$#REF!.$#REF!$#REF!"</definedName>
    <definedName name="exter1" localSheetId="1">#REF!</definedName>
    <definedName name="exter1" localSheetId="0">#REF!</definedName>
    <definedName name="exter1" localSheetId="7">#REF!</definedName>
    <definedName name="exter1">#REF!</definedName>
    <definedName name="fakt">"$#REF!.$#REF!$#REF!"</definedName>
    <definedName name="FMA4">#REF!</definedName>
    <definedName name="gbp">"$#REF!.$#REF!$#REF!"</definedName>
    <definedName name="Hlavička" localSheetId="1">'[11]MaR'!#REF!</definedName>
    <definedName name="Hlavička" localSheetId="0">'[11]MaR'!#REF!</definedName>
    <definedName name="Hlavička" localSheetId="7">'[11]MaR'!#REF!</definedName>
    <definedName name="Hlavička">'[11]MaR'!#REF!</definedName>
    <definedName name="hovno" localSheetId="1">#REF!</definedName>
    <definedName name="hovno" localSheetId="0">#REF!</definedName>
    <definedName name="hovno" localSheetId="7">#REF!</definedName>
    <definedName name="hovno">#REF!</definedName>
    <definedName name="HSV">'[13]Rekapitulace'!$E$27</definedName>
    <definedName name="HSV0" localSheetId="1">#REF!</definedName>
    <definedName name="HSV0" localSheetId="0">#REF!</definedName>
    <definedName name="HSV0" localSheetId="7">#REF!</definedName>
    <definedName name="HSV0">#REF!</definedName>
    <definedName name="HZS">'[13]Rekapitulace'!$I$27</definedName>
    <definedName name="HZS0" localSheetId="1">#REF!</definedName>
    <definedName name="HZS0" localSheetId="0">#REF!</definedName>
    <definedName name="HZS0" localSheetId="7">#REF!</definedName>
    <definedName name="HZS0">#REF!</definedName>
    <definedName name="chf">"$#REF!.$#REF!$#REF!"</definedName>
    <definedName name="CHVALIL1">#REF!</definedName>
    <definedName name="Integr_poslední">#REF!</definedName>
    <definedName name="inter1" localSheetId="1">#REF!</definedName>
    <definedName name="inter1" localSheetId="0">#REF!</definedName>
    <definedName name="inter1" localSheetId="7">#REF!</definedName>
    <definedName name="inter1">#REF!</definedName>
    <definedName name="JKSO">#REF!</definedName>
    <definedName name="jzzuggt">#REF!</definedName>
    <definedName name="k_6_ko">"$#REF!.$#REF!$#REF!"</definedName>
    <definedName name="k_6_sz">"$#REF!.$#REF!$#REF!"</definedName>
    <definedName name="k_8_ko">"$#REF!.$#REF!$#REF!"</definedName>
    <definedName name="k_8_sz">"$#REF!.$#REF!$#REF!"</definedName>
    <definedName name="Kod">#REF!</definedName>
    <definedName name="KONTROL1">#REF!</definedName>
    <definedName name="KONTROL2">#REF!</definedName>
    <definedName name="KONTROL3">#REF!</definedName>
    <definedName name="KONTROL4">#REF!</definedName>
    <definedName name="kr_15">"$#REF!.$#REF!$#REF!"</definedName>
    <definedName name="kr_15_?a">"$#REF!.$#REF!$#REF!"</definedName>
    <definedName name="kr_15_ła" localSheetId="1">#REF!</definedName>
    <definedName name="kr_15_ła" localSheetId="0">#REF!</definedName>
    <definedName name="kr_15_ła" localSheetId="7">#REF!</definedName>
    <definedName name="kr_15_ła">#REF!</definedName>
    <definedName name="la">"$#REF!.$#REF!$#REF!"</definedName>
    <definedName name="mila" localSheetId="7" hidden="1">{#N/A,#N/A,TRUE,"Kryc? list"}</definedName>
    <definedName name="mila" hidden="1">{#N/A,#N/A,TRUE,"Kryc? list"}</definedName>
    <definedName name="MJ">"$#REF!.$#REF!$#REF!"</definedName>
    <definedName name="mm">"$#REF!.$#REF!$#REF!"</definedName>
    <definedName name="MO">"$#REF!.$#REF!$#REF!"</definedName>
    <definedName name="MONT">"$#REF!.$#REF!$#REF!"</definedName>
    <definedName name="Montaz0" localSheetId="1">#REF!</definedName>
    <definedName name="Montaz0" localSheetId="0">#REF!</definedName>
    <definedName name="Montaz0" localSheetId="7">#REF!</definedName>
    <definedName name="Montaz0">#REF!</definedName>
    <definedName name="mts" localSheetId="1">#REF!</definedName>
    <definedName name="mts" localSheetId="0">#REF!</definedName>
    <definedName name="mts" localSheetId="7">#REF!</definedName>
    <definedName name="mts">#REF!</definedName>
    <definedName name="NA1">#REF!</definedName>
    <definedName name="NA2">#REF!</definedName>
    <definedName name="NA3">#REF!</definedName>
    <definedName name="NA4">#REF!</definedName>
    <definedName name="NA5">#REF!</definedName>
    <definedName name="NAZEV">#REF!</definedName>
    <definedName name="NazevDilu">#REF!</definedName>
    <definedName name="nazevobjektu">'[13]Krycí list'!$C$4</definedName>
    <definedName name="nazevstavby">'[13]Krycí list'!$C$6</definedName>
    <definedName name="_xlnm.Print_Titles">"$#REF!.$A$1:$#REF!.$IV$3"</definedName>
    <definedName name="nový" localSheetId="7" hidden="1">{#N/A,#N/A,TRUE,"Kryc? list"}</definedName>
    <definedName name="nový" hidden="1">{#N/A,#N/A,TRUE,"Kryc? list"}</definedName>
    <definedName name="ob_8_30">"$#REF!.$#REF!$#REF!"</definedName>
    <definedName name="obch_sleva">#REF!</definedName>
    <definedName name="Objednatel">#REF!</definedName>
    <definedName name="obl11" localSheetId="1">#REF!</definedName>
    <definedName name="obl11" localSheetId="0">#REF!</definedName>
    <definedName name="obl11" localSheetId="7">#REF!</definedName>
    <definedName name="obl11">#REF!</definedName>
    <definedName name="obl12" localSheetId="1">#REF!</definedName>
    <definedName name="obl12" localSheetId="0">#REF!</definedName>
    <definedName name="obl12" localSheetId="7">#REF!</definedName>
    <definedName name="obl12">#REF!</definedName>
    <definedName name="obl13" localSheetId="1">#REF!</definedName>
    <definedName name="obl13" localSheetId="0">#REF!</definedName>
    <definedName name="obl13" localSheetId="7">#REF!</definedName>
    <definedName name="obl13">#REF!</definedName>
    <definedName name="obl14" localSheetId="1">#REF!</definedName>
    <definedName name="obl14" localSheetId="0">#REF!</definedName>
    <definedName name="obl14" localSheetId="7">#REF!</definedName>
    <definedName name="obl14">#REF!</definedName>
    <definedName name="obl15" localSheetId="1">#REF!</definedName>
    <definedName name="obl15" localSheetId="0">#REF!</definedName>
    <definedName name="obl15" localSheetId="7">#REF!</definedName>
    <definedName name="obl15">#REF!</definedName>
    <definedName name="obl16" localSheetId="1">#REF!</definedName>
    <definedName name="obl16" localSheetId="0">#REF!</definedName>
    <definedName name="obl16" localSheetId="7">#REF!</definedName>
    <definedName name="obl16">#REF!</definedName>
    <definedName name="obl17" localSheetId="1">#REF!</definedName>
    <definedName name="obl17" localSheetId="0">#REF!</definedName>
    <definedName name="obl17" localSheetId="7">#REF!</definedName>
    <definedName name="obl17">#REF!</definedName>
    <definedName name="obl1710" localSheetId="1">#REF!</definedName>
    <definedName name="obl1710" localSheetId="0">#REF!</definedName>
    <definedName name="obl1710" localSheetId="7">#REF!</definedName>
    <definedName name="obl1710">#REF!</definedName>
    <definedName name="obl1711" localSheetId="1">#REF!</definedName>
    <definedName name="obl1711" localSheetId="0">#REF!</definedName>
    <definedName name="obl1711" localSheetId="7">#REF!</definedName>
    <definedName name="obl1711">#REF!</definedName>
    <definedName name="obl1712" localSheetId="1">#REF!</definedName>
    <definedName name="obl1712" localSheetId="0">#REF!</definedName>
    <definedName name="obl1712" localSheetId="7">#REF!</definedName>
    <definedName name="obl1712">#REF!</definedName>
    <definedName name="obl1713" localSheetId="1">#REF!</definedName>
    <definedName name="obl1713" localSheetId="0">#REF!</definedName>
    <definedName name="obl1713" localSheetId="7">#REF!</definedName>
    <definedName name="obl1713">#REF!</definedName>
    <definedName name="obl1714" localSheetId="1">#REF!</definedName>
    <definedName name="obl1714" localSheetId="0">#REF!</definedName>
    <definedName name="obl1714" localSheetId="7">#REF!</definedName>
    <definedName name="obl1714">#REF!</definedName>
    <definedName name="obl1715" localSheetId="1">#REF!</definedName>
    <definedName name="obl1715" localSheetId="0">#REF!</definedName>
    <definedName name="obl1715" localSheetId="7">#REF!</definedName>
    <definedName name="obl1715">#REF!</definedName>
    <definedName name="obl1716" localSheetId="1">#REF!</definedName>
    <definedName name="obl1716" localSheetId="0">#REF!</definedName>
    <definedName name="obl1716" localSheetId="7">#REF!</definedName>
    <definedName name="obl1716">#REF!</definedName>
    <definedName name="obl1717" localSheetId="1">#REF!</definedName>
    <definedName name="obl1717" localSheetId="0">#REF!</definedName>
    <definedName name="obl1717" localSheetId="7">#REF!</definedName>
    <definedName name="obl1717">#REF!</definedName>
    <definedName name="obl1718" localSheetId="1">#REF!</definedName>
    <definedName name="obl1718" localSheetId="0">#REF!</definedName>
    <definedName name="obl1718" localSheetId="7">#REF!</definedName>
    <definedName name="obl1718">#REF!</definedName>
    <definedName name="obl1719" localSheetId="1">#REF!</definedName>
    <definedName name="obl1719" localSheetId="0">#REF!</definedName>
    <definedName name="obl1719" localSheetId="7">#REF!</definedName>
    <definedName name="obl1719">#REF!</definedName>
    <definedName name="obl173" localSheetId="1">#REF!</definedName>
    <definedName name="obl173" localSheetId="0">#REF!</definedName>
    <definedName name="obl173" localSheetId="7">#REF!</definedName>
    <definedName name="obl173">#REF!</definedName>
    <definedName name="obl174" localSheetId="1">#REF!</definedName>
    <definedName name="obl174" localSheetId="0">#REF!</definedName>
    <definedName name="obl174" localSheetId="7">#REF!</definedName>
    <definedName name="obl174">#REF!</definedName>
    <definedName name="obl175" localSheetId="1">#REF!</definedName>
    <definedName name="obl175" localSheetId="0">#REF!</definedName>
    <definedName name="obl175" localSheetId="7">#REF!</definedName>
    <definedName name="obl175">#REF!</definedName>
    <definedName name="obl176" localSheetId="1">#REF!</definedName>
    <definedName name="obl176" localSheetId="0">#REF!</definedName>
    <definedName name="obl176" localSheetId="7">#REF!</definedName>
    <definedName name="obl176">#REF!</definedName>
    <definedName name="obl177" localSheetId="1">#REF!</definedName>
    <definedName name="obl177" localSheetId="0">#REF!</definedName>
    <definedName name="obl177" localSheetId="7">#REF!</definedName>
    <definedName name="obl177">#REF!</definedName>
    <definedName name="obl178" localSheetId="1">#REF!</definedName>
    <definedName name="obl178" localSheetId="0">#REF!</definedName>
    <definedName name="obl178" localSheetId="7">#REF!</definedName>
    <definedName name="obl178">#REF!</definedName>
    <definedName name="obl179" localSheetId="1">#REF!</definedName>
    <definedName name="obl179" localSheetId="0">#REF!</definedName>
    <definedName name="obl179" localSheetId="7">#REF!</definedName>
    <definedName name="obl179">#REF!</definedName>
    <definedName name="obl18" localSheetId="1">#REF!</definedName>
    <definedName name="obl18" localSheetId="0">#REF!</definedName>
    <definedName name="obl18" localSheetId="7">#REF!</definedName>
    <definedName name="obl18">#REF!</definedName>
    <definedName name="obl181" localSheetId="1">#REF!</definedName>
    <definedName name="obl181" localSheetId="0">#REF!</definedName>
    <definedName name="obl181" localSheetId="7">#REF!</definedName>
    <definedName name="obl181">#REF!</definedName>
    <definedName name="obl1816" localSheetId="1">#REF!</definedName>
    <definedName name="obl1816" localSheetId="0">#REF!</definedName>
    <definedName name="obl1816" localSheetId="7">#REF!</definedName>
    <definedName name="obl1816">#REF!</definedName>
    <definedName name="obl1820" localSheetId="1">#REF!</definedName>
    <definedName name="obl1820" localSheetId="0">#REF!</definedName>
    <definedName name="obl1820" localSheetId="7">#REF!</definedName>
    <definedName name="obl1820">#REF!</definedName>
    <definedName name="obl1821" localSheetId="1">#REF!</definedName>
    <definedName name="obl1821" localSheetId="0">#REF!</definedName>
    <definedName name="obl1821" localSheetId="7">#REF!</definedName>
    <definedName name="obl1821">#REF!</definedName>
    <definedName name="obl1822" localSheetId="1">#REF!</definedName>
    <definedName name="obl1822" localSheetId="0">#REF!</definedName>
    <definedName name="obl1822" localSheetId="7">#REF!</definedName>
    <definedName name="obl1822">#REF!</definedName>
    <definedName name="obl1823" localSheetId="1">#REF!</definedName>
    <definedName name="obl1823" localSheetId="0">#REF!</definedName>
    <definedName name="obl1823" localSheetId="7">#REF!</definedName>
    <definedName name="obl1823">#REF!</definedName>
    <definedName name="obl1824" localSheetId="1">#REF!</definedName>
    <definedName name="obl1824" localSheetId="0">#REF!</definedName>
    <definedName name="obl1824" localSheetId="7">#REF!</definedName>
    <definedName name="obl1824">#REF!</definedName>
    <definedName name="obl1825" localSheetId="1">#REF!</definedName>
    <definedName name="obl1825" localSheetId="0">#REF!</definedName>
    <definedName name="obl1825" localSheetId="7">#REF!</definedName>
    <definedName name="obl1825">#REF!</definedName>
    <definedName name="obl1826" localSheetId="1">#REF!</definedName>
    <definedName name="obl1826" localSheetId="0">#REF!</definedName>
    <definedName name="obl1826" localSheetId="7">#REF!</definedName>
    <definedName name="obl1826">#REF!</definedName>
    <definedName name="obl1827" localSheetId="1">#REF!</definedName>
    <definedName name="obl1827" localSheetId="0">#REF!</definedName>
    <definedName name="obl1827" localSheetId="7">#REF!</definedName>
    <definedName name="obl1827">#REF!</definedName>
    <definedName name="obl1828" localSheetId="1">#REF!</definedName>
    <definedName name="obl1828" localSheetId="0">#REF!</definedName>
    <definedName name="obl1828" localSheetId="7">#REF!</definedName>
    <definedName name="obl1828">#REF!</definedName>
    <definedName name="obl1829" localSheetId="1">#REF!</definedName>
    <definedName name="obl1829" localSheetId="0">#REF!</definedName>
    <definedName name="obl1829" localSheetId="7">#REF!</definedName>
    <definedName name="obl1829">#REF!</definedName>
    <definedName name="obl183" localSheetId="1">#REF!</definedName>
    <definedName name="obl183" localSheetId="0">#REF!</definedName>
    <definedName name="obl183" localSheetId="7">#REF!</definedName>
    <definedName name="obl183">#REF!</definedName>
    <definedName name="obl1831" localSheetId="1">#REF!</definedName>
    <definedName name="obl1831" localSheetId="0">#REF!</definedName>
    <definedName name="obl1831" localSheetId="7">#REF!</definedName>
    <definedName name="obl1831">#REF!</definedName>
    <definedName name="obl1832" localSheetId="1">#REF!</definedName>
    <definedName name="obl1832" localSheetId="0">#REF!</definedName>
    <definedName name="obl1832" localSheetId="7">#REF!</definedName>
    <definedName name="obl1832">#REF!</definedName>
    <definedName name="obl184" localSheetId="1">#REF!</definedName>
    <definedName name="obl184" localSheetId="0">#REF!</definedName>
    <definedName name="obl184" localSheetId="7">#REF!</definedName>
    <definedName name="obl184">#REF!</definedName>
    <definedName name="obl185" localSheetId="1">#REF!</definedName>
    <definedName name="obl185" localSheetId="0">#REF!</definedName>
    <definedName name="obl185" localSheetId="7">#REF!</definedName>
    <definedName name="obl185">#REF!</definedName>
    <definedName name="obl186" localSheetId="1">#REF!</definedName>
    <definedName name="obl186" localSheetId="0">#REF!</definedName>
    <definedName name="obl186" localSheetId="7">#REF!</definedName>
    <definedName name="obl186">#REF!</definedName>
    <definedName name="obl187" localSheetId="1">#REF!</definedName>
    <definedName name="obl187" localSheetId="0">#REF!</definedName>
    <definedName name="obl187" localSheetId="7">#REF!</definedName>
    <definedName name="obl187">#REF!</definedName>
    <definedName name="_xlnm.Print_Area" localSheetId="1">' Rekap stav'!$A$1:$G$86</definedName>
    <definedName name="_xlnm.Print_Area" localSheetId="0">'Celk rekap'!$A$1:$G$55</definedName>
    <definedName name="_xlnm.Print_Area" localSheetId="6">'Elektroinstalace'!$A$1:$G$106</definedName>
    <definedName name="_xlnm.Print_Area" localSheetId="7">'Ostatní náklady'!$A$1:$H$34</definedName>
    <definedName name="_xlnm.Print_Area" localSheetId="9">'pozn'!$A$1:$B$13</definedName>
    <definedName name="_xlnm.Print_Area" localSheetId="2">'Stavebni'!$A$1:$H$1098</definedName>
    <definedName name="_xlnm.Print_Area" localSheetId="4">'Vytapeni'!$A$1:$R$203</definedName>
    <definedName name="_xlnm.Print_Area" localSheetId="5">'Vzduchotechnika'!$A$1:$R$133</definedName>
    <definedName name="_xlnm.Print_Area" localSheetId="3">'ZTI'!$A$1:$R$214</definedName>
    <definedName name="OP">"$#REF!.$#REF!$#REF!"</definedName>
    <definedName name="pia">"$#REF!.$#REF!$#REF!"</definedName>
    <definedName name="PJ">"$#REF!.$#REF!$#REF!"</definedName>
    <definedName name="pln">"$#REF!.$#REF!$#REF!"</definedName>
    <definedName name="PN">"$#REF!.$#REF!$#REF!"</definedName>
    <definedName name="PO">"$#REF!.$#REF!$#REF!"</definedName>
    <definedName name="PocetMJ">'[13]Krycí list'!$G$7</definedName>
    <definedName name="podw">"$#REF!.$#REF!$#REF!"</definedName>
    <definedName name="pokusAAAA">#REF!</definedName>
    <definedName name="pokusadres">#REF!</definedName>
    <definedName name="položka_A1" localSheetId="1">#REF!</definedName>
    <definedName name="položka_A1" localSheetId="0">#REF!</definedName>
    <definedName name="položka_A1" localSheetId="7">#REF!</definedName>
    <definedName name="položka_A1">#REF!</definedName>
    <definedName name="pom_výp_zač" localSheetId="1">#REF!</definedName>
    <definedName name="pom_výp_zač" localSheetId="0">#REF!</definedName>
    <definedName name="pom_výp_zač" localSheetId="7">#REF!</definedName>
    <definedName name="pom_výp_zač">#REF!</definedName>
    <definedName name="pom_výpočty" localSheetId="1">#REF!</definedName>
    <definedName name="pom_výpočty" localSheetId="0">#REF!</definedName>
    <definedName name="pom_výpočty" localSheetId="7">#REF!</definedName>
    <definedName name="pom_výpočty">#REF!</definedName>
    <definedName name="POP1">#REF!</definedName>
    <definedName name="POP2">#REF!</definedName>
    <definedName name="POP3">#REF!</definedName>
    <definedName name="POP4">#REF!</definedName>
    <definedName name="poslední">#REF!</definedName>
    <definedName name="Poznamka">#REF!</definedName>
    <definedName name="prep_schem">#REF!</definedName>
    <definedName name="Print_Area___0">"$bez.$#REF!$#REF!:$bez.$#REF!$#REF!"</definedName>
    <definedName name="Print_Area_1">"$#REF!.$#REF!$#REF!"</definedName>
    <definedName name="Print_Area_8_1">NA()</definedName>
    <definedName name="Print_Area_8_10">"$#REF!.$A$1:$L$145"</definedName>
    <definedName name="Print_Area_8_11">"$#REF!.$A$1:$L$358"</definedName>
    <definedName name="Print_Area_8_12">"$#REF!.$A$1:$G$15"</definedName>
    <definedName name="Print_Area_8_13">NA()</definedName>
    <definedName name="Print_Area_8_14">NA()</definedName>
    <definedName name="Print_Area_8_16">"$#REF!.$A$1:$L$30"</definedName>
    <definedName name="Print_Area_8_17">NA()</definedName>
    <definedName name="Print_Area_8_18">"$#REF!.$A$1:$L$36"</definedName>
    <definedName name="Print_Area_8_19">"$#REF!.$A$1:$L$358"</definedName>
    <definedName name="Print_Area_8_2">NA()</definedName>
    <definedName name="Print_Area_8_20">"$#REF!.$A$1:$L$145"</definedName>
    <definedName name="Print_Area_8_21">"$#REF!.$A$1:$G$48"</definedName>
    <definedName name="Print_Area_8_22">NA()</definedName>
    <definedName name="Print_Area_8_23">NA()</definedName>
    <definedName name="Print_Area_8_24">NA()</definedName>
    <definedName name="Print_Area_8_25">"$#REF!.$A$1:$L$36"</definedName>
    <definedName name="Print_Area_8_26">NA()</definedName>
    <definedName name="Print_Area_8_27">NA()</definedName>
    <definedName name="Print_Area_8_28">NA()</definedName>
    <definedName name="Print_Area_8_29">"$#REF!.$A$1:$L$36"</definedName>
    <definedName name="Print_Area_8_3">NA()</definedName>
    <definedName name="Print_Area_8_30">"$#REF!.$A$1:$L$358"</definedName>
    <definedName name="Print_Area_8_31">"$#REF!.$A$1:$L$145"</definedName>
    <definedName name="Print_Area_8_32">"$#REF!.$A$1:$L$478"</definedName>
    <definedName name="Print_Area_8_33">"$#REF!.$A$1:$L$30"</definedName>
    <definedName name="Print_Area_8_34">"$#REF!.$A$1:$G$15"</definedName>
    <definedName name="Print_Area_8_35">NA()</definedName>
    <definedName name="Print_Area_8_36">NA()</definedName>
    <definedName name="Print_Area_8_37">NA()</definedName>
    <definedName name="Print_Area_8_38">"$#REF!.$A$1:$L$36"</definedName>
    <definedName name="Print_Area_8_39">"$#REF!.$A$1:$L$358"</definedName>
    <definedName name="Print_Area_8_4">"$#REF!.$A$1:$L$36"</definedName>
    <definedName name="Print_Area_8_40">"$#REF!.$A$1:$L$145"</definedName>
    <definedName name="Print_Area_8_41">"$#REF!.$A$1:$G$48"</definedName>
    <definedName name="Print_Area_8_42">"$#REF!.$A$1:$I$8"</definedName>
    <definedName name="Print_Area_8_43">NA()</definedName>
    <definedName name="Print_Area_8_44">NA()</definedName>
    <definedName name="Print_Area_8_45">NA()</definedName>
    <definedName name="Print_Area_8_46">"$#REF!.$A$1:$L$36"</definedName>
    <definedName name="Print_Area_8_47">"$#REF!.$A$1:$L$358"</definedName>
    <definedName name="Print_Area_8_48">"$#REF!.$A$1:$L$145"</definedName>
    <definedName name="Print_Area_8_49">"$#REF!.$A$1:$I$97"</definedName>
    <definedName name="Print_Area_8_5">"$#REF!.$A$1:$L$358"</definedName>
    <definedName name="Print_Area_8_50">"$#REF!.$A$1:$L$478"</definedName>
    <definedName name="Print_Area_8_51">"$#REF!.$A$1:$I$50"</definedName>
    <definedName name="Print_Area_8_52">"$#REF!.$A$1:$I$97"</definedName>
    <definedName name="Print_Area_8_53">"$#REF!.$A$1:$L$480"</definedName>
    <definedName name="Print_Area_8_6">"$#REF!.$A$1:$L$145"</definedName>
    <definedName name="Print_Area_8_8">"$#REF!.$A$1:$I$50"</definedName>
    <definedName name="_xlnm.Print_Titles">"$#REF!.$A$1:$#REF!.$IV$3"</definedName>
    <definedName name="Print_Titles_2" localSheetId="1">#REF!</definedName>
    <definedName name="Print_Titles_2" localSheetId="0">#REF!</definedName>
    <definedName name="Print_Titles_2" localSheetId="7">#REF!</definedName>
    <definedName name="Print_Titles_2">#REF!</definedName>
    <definedName name="Print_Titles_2_1">"$#REF!.$#REF!$#REF!"</definedName>
    <definedName name="Print_Titles_8_1">"$#REF!.$A$1:$AMJ$2"</definedName>
    <definedName name="Print_Titles_8_11">"$#REF!.$A$1:$AMJ$2"</definedName>
    <definedName name="Print_Titles_8_12">"$#REF!.$A$1:$AMJ$2"</definedName>
    <definedName name="Print_Titles_8_13">"$#REF!.$A$1:$AMJ$2"</definedName>
    <definedName name="Print_Titles_8_14">"$#REF!.$A$1:$AMJ$2"</definedName>
    <definedName name="Print_Titles_8_15">"$#REF!.$A$1:$AMJ$2"</definedName>
    <definedName name="Print_Titles_8_16">"$#REF!.$A$1:$AMJ$2"</definedName>
    <definedName name="Print_Titles_8_17">"$#REF!.$A$1:$AMJ$2"</definedName>
    <definedName name="Print_Titles_8_18">"$#REF!.$A$1:$AMJ$2"</definedName>
    <definedName name="Print_Titles_8_19">"$#REF!.$A$1:$AMJ$2"</definedName>
    <definedName name="Print_Titles_8_2">"$#REF!.$A$1:$AMJ$2"</definedName>
    <definedName name="Print_Titles_8_20">"$#REF!.$A$1:$AMJ$2"</definedName>
    <definedName name="Print_Titles_8_21">"$#REF!.$A$1:$AMJ$2"</definedName>
    <definedName name="Print_Titles_8_22">"$#REF!.$A$1:$AMJ$2"</definedName>
    <definedName name="Print_Titles_8_3">"$#REF!.$A$1:$AMJ$2"</definedName>
    <definedName name="Print_Titles_8_4">"$#REF!.$A$1:$AMJ$2"</definedName>
    <definedName name="Print_Titles_8_5">"$#REF!.$A$1:$AMJ$2"</definedName>
    <definedName name="Print_Titles_8_6">"$#REF!.$A$1:$AMJ$2"</definedName>
    <definedName name="Print_Titles_8_7">"$#REF!.$A$1:$AMJ$2"</definedName>
    <definedName name="Print_Titles_8_9">"$#REF!.$A$1:$AMJ$2"</definedName>
    <definedName name="PROJEKT">#REF!</definedName>
    <definedName name="Projektant">#REF!</definedName>
    <definedName name="Přehled">#REF!</definedName>
    <definedName name="PSV">'[13]Rekapitulace'!$F$27</definedName>
    <definedName name="PSV0" localSheetId="1">#REF!</definedName>
    <definedName name="PSV0" localSheetId="0">#REF!</definedName>
    <definedName name="PSV0" localSheetId="7">#REF!</definedName>
    <definedName name="PSV0">#REF!</definedName>
    <definedName name="r_zie_dop">"$#REF!.$#REF!$#REF!"</definedName>
    <definedName name="r_zie_m">"$#REF!.$#REF!$#REF!"</definedName>
    <definedName name="r_zie_r">"$#REF!.$#REF!$#REF!"</definedName>
    <definedName name="REV">#REF!</definedName>
    <definedName name="REV1">#REF!</definedName>
    <definedName name="REV2">#REF!</definedName>
    <definedName name="REV3">#REF!</definedName>
    <definedName name="REV4">#REF!</definedName>
    <definedName name="rg">"$#REF!.$#REF!$#REF!"</definedName>
    <definedName name="Rok_nabídky">#REF!</definedName>
    <definedName name="ROZ1">#REF!</definedName>
    <definedName name="ROZ10">#REF!</definedName>
    <definedName name="ROZ11">#REF!</definedName>
    <definedName name="ROZ2">#REF!</definedName>
    <definedName name="ROZ3">#REF!</definedName>
    <definedName name="ROZ4">#REF!</definedName>
    <definedName name="ROZ5">#REF!</definedName>
    <definedName name="ROZ6">#REF!</definedName>
    <definedName name="ROZ7">#REF!</definedName>
    <definedName name="ROZ8">#REF!</definedName>
    <definedName name="ROZ9">#REF!</definedName>
    <definedName name="rozp" localSheetId="7" hidden="1">{#N/A,#N/A,TRUE,"Kryc? list"}</definedName>
    <definedName name="rozp" hidden="1">{#N/A,#N/A,TRUE,"Kryc? list"}</definedName>
    <definedName name="rozvržení_rozp">#REF!</definedName>
    <definedName name="SazbaDPH1">'[15]Krycí list'!$C$30</definedName>
    <definedName name="SazbaDPH2">'[15]Krycí list'!$C$32</definedName>
    <definedName name="SC">"$#REF!.$#REF!$#REF!"</definedName>
    <definedName name="SCHVALI1">#REF!</definedName>
    <definedName name="SCHVALIL1">#REF!</definedName>
    <definedName name="SCHVALIL2">#REF!</definedName>
    <definedName name="SCHVALIL3">#REF!</definedName>
    <definedName name="SCHVALIL4">#REF!</definedName>
    <definedName name="SCHVALIL5">#REF!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smaz" localSheetId="7" hidden="1">{#N/A,#N/A,TRUE,"Kryc? list"}</definedName>
    <definedName name="smaz" hidden="1">{#N/A,#N/A,TRUE,"Kryc? list"}</definedName>
    <definedName name="SO16" localSheetId="7" hidden="1">{#N/A,#N/A,TRUE,"Kryc? list"}</definedName>
    <definedName name="SO16" hidden="1">{#N/A,#N/A,TRUE,"Kryc? list"}</definedName>
    <definedName name="soupis" localSheetId="7" hidden="1">{#N/A,#N/A,TRUE,"Kryc? list"}</definedName>
    <definedName name="soupis" hidden="1">{#N/A,#N/A,TRUE,"Kryc? list"}</definedName>
    <definedName name="SPD">#REF!</definedName>
    <definedName name="Specifikace">#REF!</definedName>
    <definedName name="Spodek" localSheetId="1">#REF!</definedName>
    <definedName name="Spodek" localSheetId="0">#REF!</definedName>
    <definedName name="Spodek" localSheetId="7">#REF!</definedName>
    <definedName name="Spodek">#REF!</definedName>
    <definedName name="ssss">#REF!</definedName>
    <definedName name="SSSSSS" localSheetId="7" hidden="1">{#N/A,#N/A,TRUE,"Kryc? list"}</definedName>
    <definedName name="SSSSSS" hidden="1">{#N/A,#N/A,TRUE,"Kryc? list"}</definedName>
    <definedName name="subslevy">#REF!</definedName>
    <definedName name="summary" localSheetId="7" hidden="1">{#N/A,#N/A,TRUE,"Kryc? list"}</definedName>
    <definedName name="summary" hidden="1">{#N/A,#N/A,TRUE,"Kryc? list"}</definedName>
    <definedName name="sumpok" localSheetId="1">#REF!</definedName>
    <definedName name="sumpok" localSheetId="0">#REF!</definedName>
    <definedName name="sumpok" localSheetId="7">#REF!</definedName>
    <definedName name="sumpok">#REF!</definedName>
    <definedName name="SWnákup">#REF!</definedName>
    <definedName name="SWprodej">#REF!</definedName>
    <definedName name="sz_be">"$#REF!.$#REF!$#REF!"</definedName>
    <definedName name="sz_ma">"$#REF!.$#REF!$#REF!"</definedName>
    <definedName name="sz_pf">"$#REF!.$#REF!$#REF!"</definedName>
    <definedName name="sz_sc">"$#REF!.$#REF!$#REF!"</definedName>
    <definedName name="sz_sch">"$#REF!.$#REF!$#REF!"</definedName>
    <definedName name="sz_so">"$#REF!.$#REF!$#REF!"</definedName>
    <definedName name="sz_sp">"$#REF!.$#REF!$#REF!"</definedName>
    <definedName name="sz_st">"$#REF!.$#REF!$#REF!"</definedName>
    <definedName name="t?u">"$#REF!.$#REF!$#REF!"</definedName>
    <definedName name="tab">#REF!</definedName>
    <definedName name="tłu" localSheetId="1">#REF!</definedName>
    <definedName name="tłu" localSheetId="0">#REF!</definedName>
    <definedName name="tłu" localSheetId="7">#REF!</definedName>
    <definedName name="tłu">#REF!</definedName>
    <definedName name="Typ">'[11]MaR'!$C$151:$C$161,'[11]MaR'!$C$44:$C$143</definedName>
    <definedName name="u">"$#REF!.$#REF!$#REF!"</definedName>
    <definedName name="UKOL">#REF!</definedName>
    <definedName name="usd">"$#REF!.$#REF!$#REF!"</definedName>
    <definedName name="VIZA" localSheetId="7" hidden="1">{#N/A,#N/A,TRUE,"Kryc? list"}</definedName>
    <definedName name="VIZA" hidden="1">{#N/A,#N/A,TRUE,"Kryc? list"}</definedName>
    <definedName name="VIZA12" localSheetId="7" hidden="1">{#N/A,#N/A,TRUE,"Kryc? list"}</definedName>
    <definedName name="VIZA12" hidden="1">{#N/A,#N/A,TRUE,"Kryc? list"}</definedName>
    <definedName name="viza2" localSheetId="7" hidden="1">{#N/A,#N/A,TRUE,"Kryc? list"}</definedName>
    <definedName name="viza2" hidden="1">{#N/A,#N/A,TRUE,"Kryc? list"}</definedName>
    <definedName name="VN" localSheetId="7" hidden="1">{#N/A,#N/A,TRUE,"Kryc? list"}</definedName>
    <definedName name="VN" hidden="1">{#N/A,#N/A,TRUE,"Kryc? list"}</definedName>
    <definedName name="VRN">'[13]Rekapitulace'!$H$35</definedName>
    <definedName name="VRNKc" localSheetId="1">'[13]Rekapitulace'!#REF!</definedName>
    <definedName name="VRNKc" localSheetId="0">'[13]Rekapitulace'!#REF!</definedName>
    <definedName name="VRNKc" localSheetId="7">'[13]Rekapitulace'!#REF!</definedName>
    <definedName name="VRNKc">'[13]Rekapitulace'!#REF!</definedName>
    <definedName name="VRNnazev" localSheetId="1">'[13]Rekapitulace'!#REF!</definedName>
    <definedName name="VRNnazev" localSheetId="0">'[13]Rekapitulace'!#REF!</definedName>
    <definedName name="VRNnazev" localSheetId="7">'[13]Rekapitulace'!#REF!</definedName>
    <definedName name="VRNnazev">'[13]Rekapitulace'!#REF!</definedName>
    <definedName name="VRNproc" localSheetId="1">'[13]Rekapitulace'!#REF!</definedName>
    <definedName name="VRNproc" localSheetId="0">'[13]Rekapitulace'!#REF!</definedName>
    <definedName name="VRNproc" localSheetId="7">'[13]Rekapitulace'!#REF!</definedName>
    <definedName name="VRNproc">'[13]Rekapitulace'!#REF!</definedName>
    <definedName name="VRNzakl" localSheetId="1">'[13]Rekapitulace'!#REF!</definedName>
    <definedName name="VRNzakl" localSheetId="0">'[13]Rekapitulace'!#REF!</definedName>
    <definedName name="VRNzakl" localSheetId="7">'[13]Rekapitulace'!#REF!</definedName>
    <definedName name="VRNzakl">'[13]Rekapitulace'!#REF!</definedName>
    <definedName name="výpočty" localSheetId="1">#REF!</definedName>
    <definedName name="výpočty" localSheetId="0">#REF!</definedName>
    <definedName name="výpočty" localSheetId="7">#REF!</definedName>
    <definedName name="výpočty">#REF!</definedName>
    <definedName name="vystup" localSheetId="1">#REF!</definedName>
    <definedName name="vystup" localSheetId="0">#REF!</definedName>
    <definedName name="vystup" localSheetId="7">#REF!</definedName>
    <definedName name="vystup">#REF!</definedName>
    <definedName name="VZT">#REF!</definedName>
    <definedName name="wer" localSheetId="1">'[17]App_6'!#REF!</definedName>
    <definedName name="wer" localSheetId="0">'[17]App_6'!#REF!</definedName>
    <definedName name="wer" localSheetId="7">'[17]App_6'!#REF!</definedName>
    <definedName name="wer">'[17]App_6'!#REF!</definedName>
    <definedName name="wera" localSheetId="1">'[18]Rob. elektr.'!#REF!</definedName>
    <definedName name="wera" localSheetId="0">'[18]Rob. elektr.'!#REF!</definedName>
    <definedName name="wera" localSheetId="7">'[18]Rob. elektr.'!#REF!</definedName>
    <definedName name="wera">'[18]Rob. elektr.'!#REF!</definedName>
    <definedName name="wrn.Kontrolní._.rozpočet." localSheetId="7" hidden="1">{#N/A,#N/A,TRUE,"Kryc? list"}</definedName>
    <definedName name="wrn.Kontrolní._.rozpočet." hidden="1">{#N/A,#N/A,TRUE,"Kryc? list"}</definedName>
    <definedName name="wrn.Kontrolní._.rozpoeet." localSheetId="7" hidden="1">{#N/A,#N/A,TRUE,"Kryc? list"}</definedName>
    <definedName name="wrn.Kontrolní._.rozpoeet." hidden="1">{#N/A,#N/A,TRUE,"Kryc? list"}</definedName>
    <definedName name="Z_1E8618C1_1B4D_11D4_B32D_0050046A422B_.wvu.PrintTitles" localSheetId="1">#REF!</definedName>
    <definedName name="Z_1E8618C1_1B4D_11D4_B32D_0050046A422B_.wvu.PrintTitles" localSheetId="0">#REF!</definedName>
    <definedName name="Z_1E8618C1_1B4D_11D4_B32D_0050046A422B_.wvu.PrintTitles" localSheetId="7">#REF!</definedName>
    <definedName name="Z_1E8618C1_1B4D_11D4_B32D_0050046A422B_.wvu.PrintTitles">#REF!</definedName>
    <definedName name="Z_1E8618C1_1B4D_11D4_B32D_0050046A422B_.wvu.PrintTitles___0">"$bez.$#REF!$#REF!:$bez.$#REF!$#REF!"</definedName>
    <definedName name="Z_1E8618C1_1B4D_11D4_B32D_0050046A422B_.wvu.PrintTitles_1">"$#REF!.$#REF!$#REF!"</definedName>
    <definedName name="Z_1E8618C1_1B4D_11D4_B32D_0050046A422B_.wvu.PrintTitles_2" localSheetId="1">#REF!</definedName>
    <definedName name="Z_1E8618C1_1B4D_11D4_B32D_0050046A422B_.wvu.PrintTitles_2" localSheetId="0">#REF!</definedName>
    <definedName name="Z_1E8618C1_1B4D_11D4_B32D_0050046A422B_.wvu.PrintTitles_2" localSheetId="7">#REF!</definedName>
    <definedName name="Z_1E8618C1_1B4D_11D4_B32D_0050046A422B_.wvu.PrintTitles_2">#REF!</definedName>
    <definedName name="Z_1E8618C1_1B4D_11D4_B32D_0050046A422B_.wvu.PrintTitles_2_1">"$#REF!.$#REF!$#REF!"</definedName>
    <definedName name="Z_1E8618C1_1B4D_11D4_B32D_0050046A422B_.wvu.Rows" localSheetId="1">#REF!</definedName>
    <definedName name="Z_1E8618C1_1B4D_11D4_B32D_0050046A422B_.wvu.Rows" localSheetId="0">#REF!</definedName>
    <definedName name="Z_1E8618C1_1B4D_11D4_B32D_0050046A422B_.wvu.Rows" localSheetId="7">#REF!</definedName>
    <definedName name="Z_1E8618C1_1B4D_11D4_B32D_0050046A422B_.wvu.Rows">#REF!</definedName>
    <definedName name="Z_1E8618C1_1B4D_11D4_B32D_0050046A422B_.wvu.Rows___0">"$bez.$#REF!$#REF!:$bez.$#REF!$#REF!"</definedName>
    <definedName name="Z_1E8618C1_1B4D_11D4_B32D_0050046A422B_.wvu.Rows___0_2" localSheetId="1">#REF!</definedName>
    <definedName name="Z_1E8618C1_1B4D_11D4_B32D_0050046A422B_.wvu.Rows___0_2" localSheetId="0">#REF!</definedName>
    <definedName name="Z_1E8618C1_1B4D_11D4_B32D_0050046A422B_.wvu.Rows___0_2" localSheetId="7">#REF!</definedName>
    <definedName name="Z_1E8618C1_1B4D_11D4_B32D_0050046A422B_.wvu.Rows___0_2">#REF!</definedName>
    <definedName name="Z_1E8618C1_1B4D_11D4_B32D_0050046A422B_.wvu.Rows___0_2_1">"$#REF!.$#REF!$#REF!"</definedName>
    <definedName name="Z_1E8618C1_1B4D_11D4_B32D_0050046A422B_.wvu.Rows_1">"$#REF!.$#REF!$#REF!"</definedName>
    <definedName name="Z_1E8618C1_1B4D_11D4_B32D_0050046A422B_.wvu.Rows_2" localSheetId="1">#REF!</definedName>
    <definedName name="Z_1E8618C1_1B4D_11D4_B32D_0050046A422B_.wvu.Rows_2" localSheetId="0">#REF!</definedName>
    <definedName name="Z_1E8618C1_1B4D_11D4_B32D_0050046A422B_.wvu.Rows_2" localSheetId="7">#REF!</definedName>
    <definedName name="Z_1E8618C1_1B4D_11D4_B32D_0050046A422B_.wvu.Rows_2">#REF!</definedName>
    <definedName name="Z_1E8618C1_1B4D_11D4_B32D_0050046A422B_.wvu.Rows_2_1">"$#REF!.$#REF!$#REF!"</definedName>
    <definedName name="Z_65AC2F60_1B4A_11D4_81C5_0050046A4233_.wvu.PrintTitles" localSheetId="1">#REF!</definedName>
    <definedName name="Z_65AC2F60_1B4A_11D4_81C5_0050046A4233_.wvu.PrintTitles" localSheetId="0">#REF!</definedName>
    <definedName name="Z_65AC2F60_1B4A_11D4_81C5_0050046A4233_.wvu.PrintTitles" localSheetId="7">#REF!</definedName>
    <definedName name="Z_65AC2F60_1B4A_11D4_81C5_0050046A4233_.wvu.PrintTitles">#REF!</definedName>
    <definedName name="Z_65AC2F60_1B4A_11D4_81C5_0050046A4233_.wvu.PrintTitles___0">"$bez.$#REF!$#REF!:$bez.$#REF!$#REF!"</definedName>
    <definedName name="Z_65AC2F60_1B4A_11D4_81C5_0050046A4233_.wvu.PrintTitles_1">"$#REF!.$#REF!$#REF!"</definedName>
    <definedName name="Z_65AC2F60_1B4A_11D4_81C5_0050046A4233_.wvu.PrintTitles_2" localSheetId="1">#REF!</definedName>
    <definedName name="Z_65AC2F60_1B4A_11D4_81C5_0050046A4233_.wvu.PrintTitles_2" localSheetId="0">#REF!</definedName>
    <definedName name="Z_65AC2F60_1B4A_11D4_81C5_0050046A4233_.wvu.PrintTitles_2" localSheetId="7">#REF!</definedName>
    <definedName name="Z_65AC2F60_1B4A_11D4_81C5_0050046A4233_.wvu.PrintTitles_2">#REF!</definedName>
    <definedName name="Z_65AC2F60_1B4A_11D4_81C5_0050046A4233_.wvu.PrintTitles_2_1">"$#REF!.$#REF!$#REF!"</definedName>
    <definedName name="Z_65AC2F60_1B4A_11D4_81C5_0050046A4233_.wvu.Rows" localSheetId="1">#REF!</definedName>
    <definedName name="Z_65AC2F60_1B4A_11D4_81C5_0050046A4233_.wvu.Rows" localSheetId="0">#REF!</definedName>
    <definedName name="Z_65AC2F60_1B4A_11D4_81C5_0050046A4233_.wvu.Rows" localSheetId="7">#REF!</definedName>
    <definedName name="Z_65AC2F60_1B4A_11D4_81C5_0050046A4233_.wvu.Rows">#REF!</definedName>
    <definedName name="Z_65AC2F60_1B4A_11D4_81C5_0050046A4233_.wvu.Rows___0">"$bez.$#REF!$#REF!:$bez.$#REF!$#REF!"</definedName>
    <definedName name="Z_65AC2F60_1B4A_11D4_81C5_0050046A4233_.wvu.Rows___0_2" localSheetId="1">#REF!</definedName>
    <definedName name="Z_65AC2F60_1B4A_11D4_81C5_0050046A4233_.wvu.Rows___0_2" localSheetId="0">#REF!</definedName>
    <definedName name="Z_65AC2F60_1B4A_11D4_81C5_0050046A4233_.wvu.Rows___0_2" localSheetId="7">#REF!</definedName>
    <definedName name="Z_65AC2F60_1B4A_11D4_81C5_0050046A4233_.wvu.Rows___0_2">#REF!</definedName>
    <definedName name="Z_65AC2F60_1B4A_11D4_81C5_0050046A4233_.wvu.Rows___0_2_1">"$#REF!.$#REF!$#REF!"</definedName>
    <definedName name="Z_65AC2F60_1B4A_11D4_81C5_0050046A4233_.wvu.Rows_1">"$#REF!.$#REF!$#REF!"</definedName>
    <definedName name="Z_65AC2F60_1B4A_11D4_81C5_0050046A4233_.wvu.Rows_2" localSheetId="1">#REF!</definedName>
    <definedName name="Z_65AC2F60_1B4A_11D4_81C5_0050046A4233_.wvu.Rows_2" localSheetId="0">#REF!</definedName>
    <definedName name="Z_65AC2F60_1B4A_11D4_81C5_0050046A4233_.wvu.Rows_2" localSheetId="7">#REF!</definedName>
    <definedName name="Z_65AC2F60_1B4A_11D4_81C5_0050046A4233_.wvu.Rows_2">#REF!</definedName>
    <definedName name="Z_65AC2F60_1B4A_11D4_81C5_0050046A4233_.wvu.Rows_2_1">"$#REF!.$#REF!$#REF!"</definedName>
    <definedName name="zahrnsazby">#REF!</definedName>
    <definedName name="zahrnslevy">#REF!</definedName>
    <definedName name="Zakazka">#REF!</definedName>
    <definedName name="ZAKAZNIK">#REF!</definedName>
    <definedName name="Zaklad22">#REF!</definedName>
    <definedName name="Zaklad5">#REF!</definedName>
    <definedName name="zb">"$#REF!.$#REF!$#REF!"</definedName>
    <definedName name="zb_?a">"$#REF!.$#REF!$#REF!"</definedName>
    <definedName name="zb_be">"$#REF!.$#REF!$#REF!"</definedName>
    <definedName name="zb_la">"$#REF!.$#REF!$#REF!"</definedName>
    <definedName name="zb_ła" localSheetId="1">#REF!</definedName>
    <definedName name="zb_ła" localSheetId="0">#REF!</definedName>
    <definedName name="zb_ła" localSheetId="7">#REF!</definedName>
    <definedName name="zb_ła">#REF!</definedName>
    <definedName name="zb_ma">"$#REF!.$#REF!$#REF!"</definedName>
    <definedName name="zb_pf">"$#REF!.$#REF!$#REF!"</definedName>
    <definedName name="zb_rg">"$#REF!.$#REF!$#REF!"</definedName>
    <definedName name="zb_sc">"$#REF!.$#REF!$#REF!"</definedName>
    <definedName name="zb_sch">"$#REF!.$#REF!$#REF!"</definedName>
    <definedName name="zb_sp">"$#REF!.$#REF!$#REF!"</definedName>
    <definedName name="zb_st">"$#REF!.$#REF!$#REF!"</definedName>
    <definedName name="zb_stop">"$#REF!.$#REF!$#REF!"</definedName>
    <definedName name="Zhotovitel">#REF!</definedName>
    <definedName name="ZPRAC1">#REF!</definedName>
    <definedName name="ZPRAC2">#REF!</definedName>
    <definedName name="ZPRAC3">#REF!</definedName>
    <definedName name="ZPRAC4">#REF!</definedName>
  </definedNames>
  <calcPr fullCalcOnLoad="1"/>
</workbook>
</file>

<file path=xl/sharedStrings.xml><?xml version="1.0" encoding="utf-8"?>
<sst xmlns="http://schemas.openxmlformats.org/spreadsheetml/2006/main" count="5070" uniqueCount="1499">
  <si>
    <t>998764203</t>
  </si>
  <si>
    <t>998766203</t>
  </si>
  <si>
    <t>998767203</t>
  </si>
  <si>
    <t>998713203</t>
  </si>
  <si>
    <t>Demontáž stávajících technických zařízení a vnitřních rozvodů sítí (rozvaděčů,krabic,trubek,ZP a ostatních tech.zařízení vč.pomocných konstrukcí)</t>
  </si>
  <si>
    <t>Vyčištění budov bytové a občanské výstavby při výšce podlaží do 4 m</t>
  </si>
  <si>
    <t>BOUR001</t>
  </si>
  <si>
    <t>BOUR002</t>
  </si>
  <si>
    <t>BOUR003</t>
  </si>
  <si>
    <t>BOUR004</t>
  </si>
  <si>
    <t>BOUR005</t>
  </si>
  <si>
    <t>BOUR006</t>
  </si>
  <si>
    <t>BOUR007</t>
  </si>
  <si>
    <t>BOUR008</t>
  </si>
  <si>
    <t>BOUR009</t>
  </si>
  <si>
    <t>BOUR010</t>
  </si>
  <si>
    <t>BOUR013</t>
  </si>
  <si>
    <t>D+M - orientační značení</t>
  </si>
  <si>
    <t>v kompletním provedení</t>
  </si>
  <si>
    <t>978011191</t>
  </si>
  <si>
    <t>Zakázka:</t>
  </si>
  <si>
    <t>Zpracoval:</t>
  </si>
  <si>
    <t>Datum zprac. :</t>
  </si>
  <si>
    <t>Kód položky</t>
  </si>
  <si>
    <t xml:space="preserve">a) veškeré náklady na dopravu, montáž, přesuny do výšek,atd. jsou zahrnuty v jednotlivých cenách </t>
  </si>
  <si>
    <t>b) součásti prací jsou veškeré zkoušky, potřebná měření, inspekce, uvedení zařízení do provozu, zaškolení obsluhy a revize</t>
  </si>
  <si>
    <t xml:space="preserve">d) dodavatel předloží technologický postup provádění a kontrolní zkušební plán </t>
  </si>
  <si>
    <t>f) součástí ceny je koordinace při osazování trubních vedení a jiných prvků ostatních profesí</t>
  </si>
  <si>
    <t>Parcelní číslo:</t>
  </si>
  <si>
    <t>Okres:</t>
  </si>
  <si>
    <t>Katastrální území:</t>
  </si>
  <si>
    <t>Stavba:</t>
  </si>
  <si>
    <t>Popis</t>
  </si>
  <si>
    <t>Pozn.</t>
  </si>
  <si>
    <t>MJ</t>
  </si>
  <si>
    <t>Množství celkem</t>
  </si>
  <si>
    <t>Cena jednotková</t>
  </si>
  <si>
    <t>Cena celkem</t>
  </si>
  <si>
    <t>m3</t>
  </si>
  <si>
    <t>Součet</t>
  </si>
  <si>
    <t>m2</t>
  </si>
  <si>
    <t>ztratné</t>
  </si>
  <si>
    <t>2.NP</t>
  </si>
  <si>
    <t>1.NP</t>
  </si>
  <si>
    <t>mb</t>
  </si>
  <si>
    <t>kpl</t>
  </si>
  <si>
    <t xml:space="preserve">Montáž fasádního lešení </t>
  </si>
  <si>
    <t>Demontáž fasádního lešení</t>
  </si>
  <si>
    <t>Lešení lehké pracovní - pomocné</t>
  </si>
  <si>
    <t>Práce a dodávky PSV</t>
  </si>
  <si>
    <t>%</t>
  </si>
  <si>
    <t>Práce a dodávky HSV</t>
  </si>
  <si>
    <t>1.PP</t>
  </si>
  <si>
    <t>CELKEM SOUČET BEZ DPH</t>
  </si>
  <si>
    <t>Nakládání suti a vybouraných hmot</t>
  </si>
  <si>
    <t>Příplatek k odvozu suti a vybouraných hmot za každý další 1 km</t>
  </si>
  <si>
    <t>MAT</t>
  </si>
  <si>
    <t>711: Izolace proti vodě</t>
  </si>
  <si>
    <t>713.: Izolace tepelné</t>
  </si>
  <si>
    <t>998711203</t>
  </si>
  <si>
    <t xml:space="preserve">771: Podlahy z dlaždic </t>
  </si>
  <si>
    <t>998771203</t>
  </si>
  <si>
    <t>odečet otvorů</t>
  </si>
  <si>
    <t>952901111</t>
  </si>
  <si>
    <t>998763403</t>
  </si>
  <si>
    <t>ks</t>
  </si>
  <si>
    <t>775: Podlahy dřevěné</t>
  </si>
  <si>
    <t>998775203</t>
  </si>
  <si>
    <t>Pozn.:</t>
  </si>
  <si>
    <t>Praha</t>
  </si>
  <si>
    <t>781: Obklady keramické</t>
  </si>
  <si>
    <t>998781203</t>
  </si>
  <si>
    <t>762: Konstrukce tesařské</t>
  </si>
  <si>
    <t>998762203</t>
  </si>
  <si>
    <t>instalační přizdívky, zazdívky WC</t>
  </si>
  <si>
    <t>342272523</t>
  </si>
  <si>
    <t>vč.případného podkladu - rákos, případně podhledu</t>
  </si>
  <si>
    <t xml:space="preserve">D+M - hasící přístroje </t>
  </si>
  <si>
    <t>v kompletním provedení vč.typových překladů nad otvory</t>
  </si>
  <si>
    <t>dodávka + montáž</t>
  </si>
  <si>
    <t xml:space="preserve">c) součástí dodávky je zpracování veškeré výrobní a dílenské dokumentace, provozních předpisů, manuálů a předání podkladů pro projekt skutečného provedení </t>
  </si>
  <si>
    <t>e) součástí ceny je likvidace odpadu vzniklého prováděním prací a průběžný úklid a celkový úklid</t>
  </si>
  <si>
    <t>g) uvedené rozměry veškerých prvků je nutno před vlastní výrobou přeměřit a stanovit přímo na stavbě, tato specifikace prvků nenahrazuje dílenskou dokumentaci</t>
  </si>
  <si>
    <t>h) pokud se objeví obchodní názvy jedná se jen  o stanovení  standardů, výrobek může být nahrazen jiným výrobcem  při zachování technických parametrů</t>
  </si>
  <si>
    <t>Stavební přípomoce</t>
  </si>
  <si>
    <t>Náklady na zřízení, provoz a demontáž zařízení staveniště</t>
  </si>
  <si>
    <t>Ztížené výrobní podmínky</t>
  </si>
  <si>
    <t>Provoz investora</t>
  </si>
  <si>
    <t>CELKEM STAVBA bez DPH</t>
  </si>
  <si>
    <t>DPH</t>
  </si>
  <si>
    <t>CELKEM STAVBA vč. DPH</t>
  </si>
  <si>
    <t>Poznámky</t>
  </si>
  <si>
    <t>Raudnitzův dům - bydlení pro seniory</t>
  </si>
  <si>
    <t>Hlubočepy</t>
  </si>
  <si>
    <t>Stupeň projektu: DSP</t>
  </si>
  <si>
    <t>Číslo pol.</t>
  </si>
  <si>
    <t>Podklad pro W:</t>
  </si>
  <si>
    <t>Dokumentace pro vydání stavebního povolení, 01/18</t>
  </si>
  <si>
    <t>Generální projektant:</t>
  </si>
  <si>
    <t>Hlubočepská 2/33, 150 00  Praha 5</t>
  </si>
  <si>
    <t>Architekti Headhand, s.r.o., U Obecního dvora 7, 110 00  Praha 1</t>
  </si>
  <si>
    <t>Restaurátorské práce</t>
  </si>
  <si>
    <t>Zařízení staveniště</t>
  </si>
  <si>
    <t>Územní vlivy</t>
  </si>
  <si>
    <t>Legenda místností 1.PP</t>
  </si>
  <si>
    <t>číslo místnosti</t>
  </si>
  <si>
    <t>název</t>
  </si>
  <si>
    <t>plocha (m2)</t>
  </si>
  <si>
    <t>LEGENDA MÍSTNOSTÍ</t>
  </si>
  <si>
    <t>0.01</t>
  </si>
  <si>
    <t>0.02</t>
  </si>
  <si>
    <t>0.03</t>
  </si>
  <si>
    <t>0.04</t>
  </si>
  <si>
    <t>0.05</t>
  </si>
  <si>
    <t>0.06</t>
  </si>
  <si>
    <t>0.07</t>
  </si>
  <si>
    <t>0.08</t>
  </si>
  <si>
    <t>sklep</t>
  </si>
  <si>
    <t>chodba</t>
  </si>
  <si>
    <t>sklad</t>
  </si>
  <si>
    <t>celkem 1.PP</t>
  </si>
  <si>
    <t>Legenda místností 1.NP</t>
  </si>
  <si>
    <t>podlaha</t>
  </si>
  <si>
    <t>stěny</t>
  </si>
  <si>
    <t>strop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</si>
  <si>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</si>
  <si>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</si>
  <si>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</si>
  <si>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</si>
  <si>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</si>
  <si>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</si>
  <si>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</si>
  <si>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</si>
  <si>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</si>
  <si>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</si>
  <si>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</si>
  <si>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</si>
  <si>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</si>
  <si>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</si>
  <si>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</si>
  <si>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</si>
  <si>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</si>
  <si>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</si>
  <si>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</si>
  <si>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</si>
  <si>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</si>
  <si>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</si>
  <si>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</si>
  <si>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</si>
  <si>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</si>
  <si>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</si>
  <si>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</si>
  <si>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</si>
  <si>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</si>
  <si>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</si>
  <si>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</si>
  <si>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</si>
  <si>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technická místnost</t>
  </si>
  <si>
    <t>společenský sál</t>
  </si>
  <si>
    <t>čajová kuchyňka</t>
  </si>
  <si>
    <t>předsíň</t>
  </si>
  <si>
    <t>WC</t>
  </si>
  <si>
    <t>salónek</t>
  </si>
  <si>
    <t>zimní zahrada</t>
  </si>
  <si>
    <t>denní místnost</t>
  </si>
  <si>
    <t>ordinace</t>
  </si>
  <si>
    <t>čekárna</t>
  </si>
  <si>
    <t>úklid</t>
  </si>
  <si>
    <t>koupelna</t>
  </si>
  <si>
    <t>zádveří</t>
  </si>
  <si>
    <t>kadeřnictví</t>
  </si>
  <si>
    <t>rehabilitace</t>
  </si>
  <si>
    <t>sprchy + WC</t>
  </si>
  <si>
    <t>pedikůra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</si>
  <si>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</si>
  <si>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</si>
  <si>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</si>
  <si>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</si>
  <si>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</si>
  <si>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</si>
  <si>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</si>
  <si>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</si>
  <si>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</si>
  <si>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</si>
  <si>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</si>
  <si>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</si>
  <si>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</si>
  <si>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</si>
  <si>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ložnice</t>
  </si>
  <si>
    <t>obývací pokoj + KK</t>
  </si>
  <si>
    <t>pokoj</t>
  </si>
  <si>
    <t>kuchyň</t>
  </si>
  <si>
    <t>1.4.1</t>
  </si>
  <si>
    <t>1.4.2</t>
  </si>
  <si>
    <t>1.4.3</t>
  </si>
  <si>
    <t>1.4.4</t>
  </si>
  <si>
    <t>1.5.1</t>
  </si>
  <si>
    <t>1.5.2</t>
  </si>
  <si>
    <t>1.5.3</t>
  </si>
  <si>
    <t>1.5.4</t>
  </si>
  <si>
    <t>1.6.1</t>
  </si>
  <si>
    <t>1.6.2</t>
  </si>
  <si>
    <t>1.6.3</t>
  </si>
  <si>
    <t>pokoj + KK</t>
  </si>
  <si>
    <t>1.7.1</t>
  </si>
  <si>
    <t>1.7.2</t>
  </si>
  <si>
    <t>1.7.3</t>
  </si>
  <si>
    <t>celkem 1.NP</t>
  </si>
  <si>
    <t>dlažba</t>
  </si>
  <si>
    <t>teraco</t>
  </si>
  <si>
    <t>marmoleum + sokl 70 mm</t>
  </si>
  <si>
    <t>dřevěná sendvičová</t>
  </si>
  <si>
    <t>omítka</t>
  </si>
  <si>
    <t>keramický obklad</t>
  </si>
  <si>
    <t>omítka + obklad</t>
  </si>
  <si>
    <t>SDK podhled</t>
  </si>
  <si>
    <t>Legenda místností 2.NP</t>
  </si>
  <si>
    <t>2.1</t>
  </si>
  <si>
    <t>2.2</t>
  </si>
  <si>
    <t>2.3</t>
  </si>
  <si>
    <t>2.4</t>
  </si>
  <si>
    <t>2.5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</si>
  <si>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</si>
  <si>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</si>
  <si>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</si>
  <si>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</si>
  <si>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</si>
  <si>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</si>
  <si>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</si>
  <si>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</si>
  <si>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</si>
  <si>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2.4.1</t>
  </si>
  <si>
    <t>2.4.2</t>
  </si>
  <si>
    <t>2.4.3</t>
  </si>
  <si>
    <t>2.5.1</t>
  </si>
  <si>
    <t>2.5.2</t>
  </si>
  <si>
    <t>2.5.3</t>
  </si>
  <si>
    <t>2.6.1</t>
  </si>
  <si>
    <t>2.6.2</t>
  </si>
  <si>
    <t>2.6.3</t>
  </si>
  <si>
    <t>2.7.1</t>
  </si>
  <si>
    <t>2.7.2</t>
  </si>
  <si>
    <t>2.7.3</t>
  </si>
  <si>
    <t>2.7.4</t>
  </si>
  <si>
    <t>2.8.1</t>
  </si>
  <si>
    <t>2.8.2</t>
  </si>
  <si>
    <t>2.8.3</t>
  </si>
  <si>
    <t>2.9.1</t>
  </si>
  <si>
    <t>2.9.2</t>
  </si>
  <si>
    <t>2.9.3</t>
  </si>
  <si>
    <t>2.10.1</t>
  </si>
  <si>
    <t>2.10.2</t>
  </si>
  <si>
    <t>2.10.3</t>
  </si>
  <si>
    <t>2.10.4</t>
  </si>
  <si>
    <t>2.10.5</t>
  </si>
  <si>
    <t>2.10.6</t>
  </si>
  <si>
    <t>2.11.1</t>
  </si>
  <si>
    <t>2.11.2</t>
  </si>
  <si>
    <t>2.11.3</t>
  </si>
  <si>
    <t>2.12.1</t>
  </si>
  <si>
    <t>2.12.2</t>
  </si>
  <si>
    <t>2.12.3</t>
  </si>
  <si>
    <t>2.12.4</t>
  </si>
  <si>
    <t>2.13.1</t>
  </si>
  <si>
    <t>2.13.2</t>
  </si>
  <si>
    <t>2.13.3</t>
  </si>
  <si>
    <t>2.13.4</t>
  </si>
  <si>
    <t>2.14.1</t>
  </si>
  <si>
    <t>2.14.2</t>
  </si>
  <si>
    <t>2.14.3</t>
  </si>
  <si>
    <t>2.14.4</t>
  </si>
  <si>
    <t>2.15.1</t>
  </si>
  <si>
    <t>2.15.2</t>
  </si>
  <si>
    <t>2.15.3</t>
  </si>
  <si>
    <t>2.15.4</t>
  </si>
  <si>
    <t>2.16.1</t>
  </si>
  <si>
    <t>2.16.2</t>
  </si>
  <si>
    <t>2.16.3</t>
  </si>
  <si>
    <t>2.17.1</t>
  </si>
  <si>
    <t>2.17.2</t>
  </si>
  <si>
    <t>2.17.3</t>
  </si>
  <si>
    <t>2.18.1</t>
  </si>
  <si>
    <t>2.18.2</t>
  </si>
  <si>
    <t>2.18.3</t>
  </si>
  <si>
    <t>2.18.4</t>
  </si>
  <si>
    <t>2.19.1</t>
  </si>
  <si>
    <t>2.19.2</t>
  </si>
  <si>
    <t>2.19.3</t>
  </si>
  <si>
    <t>hala</t>
  </si>
  <si>
    <t>šatna</t>
  </si>
  <si>
    <t>celkem 2.NP</t>
  </si>
  <si>
    <t>podlahy</t>
  </si>
  <si>
    <t>viz Legenda místností</t>
  </si>
  <si>
    <t>půdorysný rozměr</t>
  </si>
  <si>
    <t>279200001-R</t>
  </si>
  <si>
    <t>Zdivo základové z cihel - podezdění ze zdiva z betonových cihel třídy C25/30-XC3 na rozpínavou maltu M10</t>
  </si>
  <si>
    <t>(0,78*0,7*0,8)*3</t>
  </si>
  <si>
    <t>(0,78*0,7*0,975)*1</t>
  </si>
  <si>
    <t>(0,7*0,7*1)*3</t>
  </si>
  <si>
    <t>(0,7*0,7*0,686)*1</t>
  </si>
  <si>
    <t>(0,745*0,95*1,4)*1</t>
  </si>
  <si>
    <t>(0,275*0,95*0,6)*1</t>
  </si>
  <si>
    <t>(0,275*0,95*1)*2</t>
  </si>
  <si>
    <t>(0,55*0,95*0,706)*1</t>
  </si>
  <si>
    <t>(0,55*0,95*1)*1</t>
  </si>
  <si>
    <t>(0,55*0,95*0,7)*1</t>
  </si>
  <si>
    <t>(0,65*0,95*0,3)*1</t>
  </si>
  <si>
    <t>(0,65*0,95*1)*1</t>
  </si>
  <si>
    <t>1.PP-vestavba výtahu</t>
  </si>
  <si>
    <t>130000001-R</t>
  </si>
  <si>
    <t>(0,78*0,8*0,8)*3</t>
  </si>
  <si>
    <t>(0,78*0,8*0,975)*1</t>
  </si>
  <si>
    <t>(0,7*0,8*1)*3</t>
  </si>
  <si>
    <t>(0,7*0,8*0,686)*1</t>
  </si>
  <si>
    <t>(0,745*1,05*1,4)*1</t>
  </si>
  <si>
    <t>(0,275*1,05*0,6)*1</t>
  </si>
  <si>
    <t>(0,275*1,05*1)*2</t>
  </si>
  <si>
    <t>(0,55*1,05*0,706)*1</t>
  </si>
  <si>
    <t>(0,55*1,05*1)*1</t>
  </si>
  <si>
    <t>(0,55*1,05*0,7)*1</t>
  </si>
  <si>
    <t>(0,65*1,05*0,3)*1</t>
  </si>
  <si>
    <t>(0,65*1,05*1)*1</t>
  </si>
  <si>
    <t>v kompletním provedení, vč.úpravy zákl.spáry - podkladního betonu C16/20-X0 tl.50 mm</t>
  </si>
  <si>
    <t>400000001-R</t>
  </si>
  <si>
    <t>Vodorovná ocelová výměna, ocel třídy S235</t>
  </si>
  <si>
    <t>400000002-R</t>
  </si>
  <si>
    <t>vložení ocelového nosníku v úrovni paty klenby, v kompletním provedení, dl.cca.4150 mm</t>
  </si>
  <si>
    <t>400000003-R</t>
  </si>
  <si>
    <t>ŽB deska tl.100 mm do trapézového plechu</t>
  </si>
  <si>
    <t>4 x ocelový nosník , dl. cca.1400 mm, v kompletním provedení</t>
  </si>
  <si>
    <t>1,15*2,3</t>
  </si>
  <si>
    <t>400000004-R</t>
  </si>
  <si>
    <t>sklep 2</t>
  </si>
  <si>
    <t>630000001-R</t>
  </si>
  <si>
    <t>Oprava stávajících podlah v 1.PP</t>
  </si>
  <si>
    <t>v kompletním provedení, vč.finální nášlapné vrstvy</t>
  </si>
  <si>
    <t>630000002-R</t>
  </si>
  <si>
    <t>v kompletním provedení, vč.finální nášlapné vrstvy, vč.podest a mezipodest</t>
  </si>
  <si>
    <t>610000001-R</t>
  </si>
  <si>
    <t>610000002-R</t>
  </si>
  <si>
    <t>původní</t>
  </si>
  <si>
    <t>schodiště</t>
  </si>
  <si>
    <t>v kompletním provedení vč.začištění po vybourání</t>
  </si>
  <si>
    <t>Vybourání stáv.podlahy vč.podkladních vrstev, tl.cca.400 mm</t>
  </si>
  <si>
    <t>(2,42*2,65)</t>
  </si>
  <si>
    <t>dojez výtahu</t>
  </si>
  <si>
    <t>(2,42*2,65)*1,1</t>
  </si>
  <si>
    <t>273320001-R</t>
  </si>
  <si>
    <t>Základové desky z ŽB vodostavebného C30/37-XC3, tl.300 mm</t>
  </si>
  <si>
    <t>(2,32*2,65)*0,3</t>
  </si>
  <si>
    <t>311320001-R</t>
  </si>
  <si>
    <t>v kompletním provedení vč. bednění - zřízení a odstranění, výztuže a systémových těsnících prvků a přísad</t>
  </si>
  <si>
    <t>Nosná zeď ze ŽB vodostavebního třídy C30/37 - XC3 (dojezd výtahu)</t>
  </si>
  <si>
    <t>(0,2+1,69+0,43)*0,41*1,1</t>
  </si>
  <si>
    <t>(0,2+1,69+0,43)*0,3*1,1</t>
  </si>
  <si>
    <t>(1,84*0,2)*1,1</t>
  </si>
  <si>
    <t>(1,84*0,43)*1,1</t>
  </si>
  <si>
    <t>7111000001-R</t>
  </si>
  <si>
    <t>Provedení izolace proti zemní vlhkosti pásy přitavením vodorovné NAIP, vč.dodávky asf.pásů (2 x asf.pás)</t>
  </si>
  <si>
    <t>1.PP-vestavba výtahu - výt.šachta</t>
  </si>
  <si>
    <t>(2,32*2,65)+(2,65+2,65+2,32+2,32)*1,5</t>
  </si>
  <si>
    <t>v kompletním provedení (2 x modifikovaný asf.pás), vč.penetrace a ochranné vrstvy</t>
  </si>
  <si>
    <t>768000001-R</t>
  </si>
  <si>
    <t>Ocelová konstrukce výtahové šachty</t>
  </si>
  <si>
    <t>vestavba výtahu</t>
  </si>
  <si>
    <t>Přesun hmot procentní pro zámečnické konstrukce v objektech v do 24 m</t>
  </si>
  <si>
    <t>755: Technologická zařízení - výtahy</t>
  </si>
  <si>
    <t>755000001-R</t>
  </si>
  <si>
    <t>v kompletním provedení vč.vybavení, dodávky a montáže montážních prvků apod.</t>
  </si>
  <si>
    <t>D+M - osobní výtah (pro 9 osob)</t>
  </si>
  <si>
    <t>755000002-R</t>
  </si>
  <si>
    <t>D+M - osobní výtah (pro 13 osob)</t>
  </si>
  <si>
    <t>(2,05+0,25+2,16+1,65)*4</t>
  </si>
  <si>
    <t>(1,2*2,1)</t>
  </si>
  <si>
    <t>(1,48*0,6)*3</t>
  </si>
  <si>
    <t>342244301</t>
  </si>
  <si>
    <t>(1*3-0,7*2,1)</t>
  </si>
  <si>
    <t>v kompletním provedení, vč.provázání se stáv.zdivem, vč.případných ker.překladů</t>
  </si>
  <si>
    <t>v kompletním provedení, vč.výztuže, bednění a podpěrné kce - zřízení a odstranění</t>
  </si>
  <si>
    <t>ŽB věnec z betonu tř. C30/37 - XC1, krytí 30 mm</t>
  </si>
  <si>
    <t>v kompletním provedení, vč.výztuže, bednění a podpěrné kce - zřízení a odstranění, vč.provázání se stáv.zdivem</t>
  </si>
  <si>
    <t>(2,05+0,25+2,16+1,65)*0,25*0,25</t>
  </si>
  <si>
    <t>v kompletním provedení, ocel třídy S235, včetně akusticky oddělujícího kotvení, zavětrování a povrchové úpravy</t>
  </si>
  <si>
    <t>1.NP-vestavba výtahu</t>
  </si>
  <si>
    <t>Vybourání zrcadlové klenby</t>
  </si>
  <si>
    <t>(3,713*3,413)</t>
  </si>
  <si>
    <t>400000005-R</t>
  </si>
  <si>
    <t>Vodorovná ocelová výměna, ocel třídy S235 (2 x HEB 220)</t>
  </si>
  <si>
    <t>vložení ocelového nosníku v úrovni paty klenby, v kompletním provedení, 1 x dl.cca.3850 mm a 1 x dl. cca.4150 mm</t>
  </si>
  <si>
    <t>400000006-R</t>
  </si>
  <si>
    <t>Ocelové překlady - nosník 4 x IPE 270 dl.cca.3000 mm, rozšíření otvoru v 1.PP</t>
  </si>
  <si>
    <t>Ocelové překlady - nosník 4 x IPE 200 dl.cca.2600 mm, otvor v 1.NP</t>
  </si>
  <si>
    <t>762000001-R</t>
  </si>
  <si>
    <t xml:space="preserve">1.NP-vestavba výtahu </t>
  </si>
  <si>
    <t>Dřevěné nosníky se záklopem z fošen tl.35 mm a OSB/4 tl.25 mm s propojením vruty</t>
  </si>
  <si>
    <t>(1,5*3,4+2,35*1,1)</t>
  </si>
  <si>
    <t>Přesun hmot procentní pro kce tesařské v objektech v do 24 m</t>
  </si>
  <si>
    <t>(2,16+0,25+2,089+0,57+0,18+1,2+0,815)*3,79</t>
  </si>
  <si>
    <t>(2,16+0,25+2,089+0,57+0,18+1,2+0,815)*0,25*0,25</t>
  </si>
  <si>
    <t>Odstranění podhledu ze stropních trámů</t>
  </si>
  <si>
    <t>2.NP-vestavba výtahu</t>
  </si>
  <si>
    <t>(2,7*2,8)</t>
  </si>
  <si>
    <t>400000007-R</t>
  </si>
  <si>
    <t>Ocelové překlady - nosník 3 x IPE 160 dl.cca.2100 mm, otvor ve 2.NP</t>
  </si>
  <si>
    <t>(2,55+2,55+2,16+2,16)*0,25*0,25</t>
  </si>
  <si>
    <t>273320002-R</t>
  </si>
  <si>
    <t>v kompletním provedení vč.pdkladních vrstev a úpravy zákl.spáry, bednění - zřízení a odstranění, výztuže a systémových těsnících prvků a přísad, vč.bednění otvorů, apod.</t>
  </si>
  <si>
    <t>v kompletním provedení vč.pdkladních vrstev a úpravy zákl.spáry, bednění - zřízení a odstranění, výztuže a systémových těsnících prvků a přísad, vč.zazubení do stáv.základů,vč.bednění otvorů, apod.</t>
  </si>
  <si>
    <t>274313001-R</t>
  </si>
  <si>
    <t>Základové pásy z betonu tř. C 25/30 - XC3</t>
  </si>
  <si>
    <t>(4,779)*0,859*0,6</t>
  </si>
  <si>
    <t>(4,761-1,298+0,65+0,85+1,4+2,5+0,85+2,95)*0,85*0,77</t>
  </si>
  <si>
    <t>(3,921+8,155+4,779+3,488+4,004+0,85+0,75+2,403+5,644)*0,85*0,6</t>
  </si>
  <si>
    <t>(0,85)*0,85*0,5</t>
  </si>
  <si>
    <t>(0,5)*0,85*1,1</t>
  </si>
  <si>
    <t>(0,5)*0,85*0,6</t>
  </si>
  <si>
    <t>(0,5)*0,85*1,2</t>
  </si>
  <si>
    <t>(5,25)*0,85*0,7</t>
  </si>
  <si>
    <t>(1,157)*0,85*1,27</t>
  </si>
  <si>
    <t>(0,85)*0,85*1,2</t>
  </si>
  <si>
    <t>(0,5)*0,85*0,7</t>
  </si>
  <si>
    <t>(0,35)*0,85*0,7</t>
  </si>
  <si>
    <t>(0,3)*0,85*0,95</t>
  </si>
  <si>
    <t>279113155</t>
  </si>
  <si>
    <t>Základová zeď tl do 400 mm z tvárnic ztraceného bednění včetně výplně z betonu tř. C 25/30</t>
  </si>
  <si>
    <t>v kompletním provedení vč.výztuže a systémových těsnících prvků a přísad, vč.zazubení do stáv.základů,vč.bednění otvorů, apod.</t>
  </si>
  <si>
    <t>(0,5)*0,85*1,25</t>
  </si>
  <si>
    <t>(0,85)*0,75</t>
  </si>
  <si>
    <t>(0,5)*0,75</t>
  </si>
  <si>
    <t>(0,5)*1,25</t>
  </si>
  <si>
    <t>(5,25)*1,75</t>
  </si>
  <si>
    <t>(0,85)*1,25</t>
  </si>
  <si>
    <t>(1,157)*2,25</t>
  </si>
  <si>
    <t>(0,5)*0,25</t>
  </si>
  <si>
    <t>(0,35)*0,25</t>
  </si>
  <si>
    <t>1.NP-vestavba patra jižního křídla</t>
  </si>
  <si>
    <t>(3,55*2,5)*0,3</t>
  </si>
  <si>
    <t>Základové desky z ŽB C25/30-XC3</t>
  </si>
  <si>
    <t>pro výtah, tl.300 mm</t>
  </si>
  <si>
    <t>tl.170 mm</t>
  </si>
  <si>
    <t>(10,211*23,585-1,6*2,65)*0,17</t>
  </si>
  <si>
    <t>Odstranění stávajících základů zasahujících do prostoru nových základů</t>
  </si>
  <si>
    <t>130000002-R</t>
  </si>
  <si>
    <t>v kompletním provedení vč.pdkladních vrstev (podkladní beton tl.150 mm C16/20-XC0) a úpravy zákl.spáry, bednění - zřízení a odstranění, výztuže vč.bednění otvorů, apod.</t>
  </si>
  <si>
    <t>(3,921+8,155+4,779+3,488+4,004+0,85+0,75+2,403+5,644)*0,85*0,5</t>
  </si>
  <si>
    <t>(4,779)*0,859*0,5</t>
  </si>
  <si>
    <t>(4,761-1,298+0,65+0,85+1,4+2,5+0,85+2,95)*0,85*0,65</t>
  </si>
  <si>
    <t>(0,85)*0,85*1,1</t>
  </si>
  <si>
    <t>(0,5)*0,85*1,7</t>
  </si>
  <si>
    <t>(0,5)*0,85*2,3</t>
  </si>
  <si>
    <t>(5,25)*0,85*2,3</t>
  </si>
  <si>
    <t>(1,157)*0,85*2,87</t>
  </si>
  <si>
    <t>(0,85)*0,85*2,3</t>
  </si>
  <si>
    <t>(0,5)*0,85*1,8</t>
  </si>
  <si>
    <t>(0,5)*0,85*1,3</t>
  </si>
  <si>
    <t>(0,35)*0,85*0,8</t>
  </si>
  <si>
    <t>(0,3)*0,85*0,8</t>
  </si>
  <si>
    <t>(10,655*23,91)</t>
  </si>
  <si>
    <t>Odstranění všech vnitřních konstrukcí (vodorovných, svislých) - jižní křídlo</t>
  </si>
  <si>
    <t>hromosvod, uzemnění</t>
  </si>
  <si>
    <t>D+M elekroinstalace Raudnicův dům Hlubočepská 2/33 150 00 Praha 5 - Bydlení pro seniory</t>
  </si>
  <si>
    <t>Investor:</t>
  </si>
  <si>
    <t xml:space="preserve"> </t>
  </si>
  <si>
    <t>Elektromontážní materiál</t>
  </si>
  <si>
    <t>ks/m/kpl/hod</t>
  </si>
  <si>
    <t>jed cena</t>
  </si>
  <si>
    <t>montáž</t>
  </si>
  <si>
    <t>celkem jednotka</t>
  </si>
  <si>
    <t>D+M celkem</t>
  </si>
  <si>
    <r>
      <t xml:space="preserve">Kabel Cyky- J   </t>
    </r>
    <r>
      <rPr>
        <sz val="8"/>
        <rFont val="Arial"/>
        <family val="2"/>
      </rPr>
      <t xml:space="preserve">3 </t>
    </r>
    <r>
      <rPr>
        <sz val="8"/>
        <rFont val="Arial"/>
        <family val="2"/>
      </rPr>
      <t xml:space="preserve">x </t>
    </r>
    <r>
      <rPr>
        <sz val="8"/>
        <rFont val="Arial"/>
        <family val="2"/>
      </rPr>
      <t>9</t>
    </r>
    <r>
      <rPr>
        <sz val="8"/>
        <rFont val="Arial"/>
        <family val="2"/>
      </rPr>
      <t>5</t>
    </r>
    <r>
      <rPr>
        <sz val="8"/>
        <rFont val="Arial"/>
        <family val="2"/>
      </rPr>
      <t xml:space="preserve"> + 50</t>
    </r>
  </si>
  <si>
    <t>Kabel Cyky- J   4 x 10</t>
  </si>
  <si>
    <t>Kabel Cyky -J   3 x 2,5</t>
  </si>
  <si>
    <t>Kabel Cyky- J   5 x 2,5</t>
  </si>
  <si>
    <t>Kabel Cyky- 0   3 x 1,5</t>
  </si>
  <si>
    <t>Kabel Cyky- J   3 x 1,5</t>
  </si>
  <si>
    <t>Vodič CY 16</t>
  </si>
  <si>
    <t>Vodič CY 6</t>
  </si>
  <si>
    <t>Kabel JYTY  7x1</t>
  </si>
  <si>
    <t>Topná rohož 6m2 (160W/m2)</t>
  </si>
  <si>
    <t>Odtahový ventilátor 100m3/h  s doběhem</t>
  </si>
  <si>
    <t>Detektor požáru</t>
  </si>
  <si>
    <t>Svítidla dle typu přisazené/vestavné do pr.30</t>
  </si>
  <si>
    <t>Svítidla dle typu přisazené / vestavné do pr.60</t>
  </si>
  <si>
    <t>Svítidla dle typu přisazené do pr.1000</t>
  </si>
  <si>
    <t xml:space="preserve">Svítidla Nouzové 1H </t>
  </si>
  <si>
    <t>krabice pod omítku KU</t>
  </si>
  <si>
    <t>krabice rozbočná</t>
  </si>
  <si>
    <t>trubka ohebná 20</t>
  </si>
  <si>
    <t xml:space="preserve">Zednické přípomoce </t>
  </si>
  <si>
    <t>Doprava a přesun hmot</t>
  </si>
  <si>
    <t>Drobný a pomocný materiál</t>
  </si>
  <si>
    <t xml:space="preserve">Rozvadeče Elektroměrové </t>
  </si>
  <si>
    <r>
      <t xml:space="preserve">Rozvaděč </t>
    </r>
    <r>
      <rPr>
        <sz val="8"/>
        <rFont val="Arial"/>
        <family val="2"/>
      </rPr>
      <t xml:space="preserve">Elektroměrový 12 el. Včetně jištění </t>
    </r>
  </si>
  <si>
    <t>Svorkovnice ekvipotencionální</t>
  </si>
  <si>
    <t>Central stop kompletní</t>
  </si>
  <si>
    <t>Koordinace s PRE a.s.</t>
  </si>
  <si>
    <t xml:space="preserve">Rozvadeče RB.xx </t>
  </si>
  <si>
    <t>Rozvaděč 48m pod omítku</t>
  </si>
  <si>
    <t>HL. vypínač 3F 20A</t>
  </si>
  <si>
    <t>Jistič 3F 16A</t>
  </si>
  <si>
    <t xml:space="preserve">Jistič 1F 16A/B </t>
  </si>
  <si>
    <t xml:space="preserve">Jistič 1F 10A/B </t>
  </si>
  <si>
    <t xml:space="preserve">Jistič 1F 6A/B </t>
  </si>
  <si>
    <t>Chranic 25A 30mA  3 FÁZ</t>
  </si>
  <si>
    <t>zvonkový modul   230V</t>
  </si>
  <si>
    <t>Svodič přepětí  B+C 4pól</t>
  </si>
  <si>
    <t>Datové rozvody</t>
  </si>
  <si>
    <t>Kabel Utp cat 6</t>
  </si>
  <si>
    <r>
      <t xml:space="preserve">trubka ohebná </t>
    </r>
    <r>
      <rPr>
        <sz val="8"/>
        <rFont val="Arial"/>
        <family val="2"/>
      </rPr>
      <t>pr.</t>
    </r>
    <r>
      <rPr>
        <sz val="8"/>
        <rFont val="Arial"/>
        <family val="2"/>
      </rPr>
      <t>2</t>
    </r>
    <r>
      <rPr>
        <sz val="8"/>
        <rFont val="Arial"/>
        <family val="2"/>
      </rPr>
      <t>5</t>
    </r>
  </si>
  <si>
    <t xml:space="preserve">WIFi roater </t>
  </si>
  <si>
    <t>Rack skříň</t>
  </si>
  <si>
    <t xml:space="preserve"> rozvody STA</t>
  </si>
  <si>
    <t xml:space="preserve">Rozvaděč STA kompletní </t>
  </si>
  <si>
    <t>Kabel Coaxiální</t>
  </si>
  <si>
    <t xml:space="preserve"> rozvody EZS</t>
  </si>
  <si>
    <t>Ústředna</t>
  </si>
  <si>
    <t>Aktivní prvky</t>
  </si>
  <si>
    <t>Kabel Sykfy 2x2x0,5</t>
  </si>
  <si>
    <t>sirena</t>
  </si>
  <si>
    <t>Oživení ESZ</t>
  </si>
  <si>
    <t>Domácí telefon včetně čteček</t>
  </si>
  <si>
    <t>Tablo + čtečka</t>
  </si>
  <si>
    <t xml:space="preserve">domácí telefon </t>
  </si>
  <si>
    <t>Oživení DT</t>
  </si>
  <si>
    <t>Ostatní položky</t>
  </si>
  <si>
    <t>Protokol o fukční zkoušce</t>
  </si>
  <si>
    <t>Úklid a přepravní náklady</t>
  </si>
  <si>
    <t>Příprava, zajištění a řízení  instalace</t>
  </si>
  <si>
    <t xml:space="preserve">Revize elektroinstalace </t>
  </si>
  <si>
    <t xml:space="preserve">Dokumentace skut. Provedení </t>
  </si>
  <si>
    <t>Koordinace s ostatními profesemi</t>
  </si>
  <si>
    <t>Montáž nespecifikovaných položek</t>
  </si>
  <si>
    <t>Požární ucpávky</t>
  </si>
  <si>
    <t>Cena celkem - bez DPH</t>
  </si>
  <si>
    <t>Poznámka:</t>
  </si>
  <si>
    <t>List obsahuje:</t>
  </si>
  <si>
    <t>1) Krycí list rozpočtu</t>
  </si>
  <si>
    <t>2) Rekapitulace rozpočtu</t>
  </si>
  <si>
    <t>3) Rozpočet</t>
  </si>
  <si>
    <t>Zpět na list:</t>
  </si>
  <si>
    <t>Rekapitulace stavby</t>
  </si>
  <si>
    <t>optimalizováno pro tisk sestav ve formátu A4 - na výšku</t>
  </si>
  <si>
    <t>&gt;&gt;  skryté sloupce  &lt;&lt;</t>
  </si>
  <si>
    <t>{501774ea-9850-478e-8465-77b0ff19fd6d}</t>
  </si>
  <si>
    <t>1</t>
  </si>
  <si>
    <t>KRYCÍ LIST ROZPOČTU</t>
  </si>
  <si>
    <t>v ---  níže se nacházejí doplnkové a pomocné údaje k sestavám  --- v</t>
  </si>
  <si>
    <t>True</t>
  </si>
  <si>
    <t>Raudnitzův dům - Bydlení pro seniory</t>
  </si>
  <si>
    <t>Objekt:</t>
  </si>
  <si>
    <t>D.1.4.3 - Vytápění</t>
  </si>
  <si>
    <t>JKSO:</t>
  </si>
  <si>
    <t/>
  </si>
  <si>
    <t>CC-CZ:</t>
  </si>
  <si>
    <t>Místo:</t>
  </si>
  <si>
    <t>Hlubočepská 2/33, 15000 Praha 5 - Hlubočepy</t>
  </si>
  <si>
    <t>Datum:</t>
  </si>
  <si>
    <t>Objednatel:</t>
  </si>
  <si>
    <t>IČ:</t>
  </si>
  <si>
    <t>Městská část Praha 5, náměstí 14.října 1381/4, Smíchov, 15000 Praha 5</t>
  </si>
  <si>
    <t>DIČ:</t>
  </si>
  <si>
    <t>Zhotovitel:</t>
  </si>
  <si>
    <t>Projektant:</t>
  </si>
  <si>
    <t>Zpracovatel:</t>
  </si>
  <si>
    <t>Náklady z rozpočtu</t>
  </si>
  <si>
    <t>Ostatní náklady</t>
  </si>
  <si>
    <t>Cena bez 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</si>
  <si>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</si>
  <si>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</si>
  <si>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</si>
  <si>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</si>
  <si>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</si>
  <si>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</si>
  <si>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</si>
  <si>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</si>
  <si>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</si>
  <si>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</si>
  <si>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</si>
  <si>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</si>
  <si>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</si>
  <si>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</si>
  <si>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</si>
  <si>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</si>
  <si>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</si>
  <si>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</si>
  <si>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</si>
  <si>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-1</t>
  </si>
  <si>
    <t>D1 - VYTÁPĚNÍ</t>
  </si>
  <si>
    <t xml:space="preserve">    D2 - ZDROJ, ZÁSOBNÍK, REGULACE</t>
  </si>
  <si>
    <t xml:space="preserve">    D3 - ARMATURY, PŘÍSLUŠENSTVÍ</t>
  </si>
  <si>
    <t xml:space="preserve">    D4 - OTOPNÁ TĚLESA</t>
  </si>
  <si>
    <t xml:space="preserve">    D5 - POTRUBNÍ MATERIÁL</t>
  </si>
  <si>
    <t xml:space="preserve">    D6 - PODLAHOVÉ VYTÁPĚNÍ</t>
  </si>
  <si>
    <t>2) Ostatní náklady</t>
  </si>
  <si>
    <t>VRN</t>
  </si>
  <si>
    <t>5</t>
  </si>
  <si>
    <t>Projektové práce</t>
  </si>
  <si>
    <t>Provozní vlivy</t>
  </si>
  <si>
    <t>Jiné VRN</t>
  </si>
  <si>
    <t>Kompletační činnost</t>
  </si>
  <si>
    <t>KOMPLETACNA</t>
  </si>
  <si>
    <t>Celkové náklady za stavbu 1) + 2)</t>
  </si>
  <si>
    <t>ROZPOČET</t>
  </si>
  <si>
    <t>PČ</t>
  </si>
  <si>
    <t>Typ</t>
  </si>
  <si>
    <t>Kód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</si>
  <si>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</si>
  <si>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</si>
  <si>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</si>
  <si>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</si>
  <si>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</si>
  <si>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</si>
  <si>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</si>
  <si>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</si>
  <si>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</si>
  <si>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</si>
  <si>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0</t>
  </si>
  <si>
    <t>ROZPOCET</t>
  </si>
  <si>
    <t>K</t>
  </si>
  <si>
    <t>4</t>
  </si>
  <si>
    <t>2</t>
  </si>
  <si>
    <t>Tlaková expanzní nádoba o objemu 8 ltr.</t>
  </si>
  <si>
    <t>Hydraulický vyrovnávač dyn.tlaků HVDT 8m3/h, DN 160</t>
  </si>
  <si>
    <t>Sdružený R+S modul M 150</t>
  </si>
  <si>
    <t>Odkouření plyn.kotlů DN 200</t>
  </si>
  <si>
    <t>Tlaková expanzní nádoba teplé vody o objemu 33 ltr., vč.pojistného ventilu</t>
  </si>
  <si>
    <t>Zásobníkový ohřívač teplé vody 500ltr.</t>
  </si>
  <si>
    <t>Úpravna vody - demineralizační kolona, průtok 350l/h, vč.změkčovače a doplňovacího zařízení</t>
  </si>
  <si>
    <t>Cirkulační čerpadlo DN 25</t>
  </si>
  <si>
    <t xml:space="preserve">uvedení do provozu </t>
  </si>
  <si>
    <t>24</t>
  </si>
  <si>
    <t>zkoušky zařízení</t>
  </si>
  <si>
    <t>26</t>
  </si>
  <si>
    <t>přesun hmot</t>
  </si>
  <si>
    <t>kulový kohout R250,  DN 20-40</t>
  </si>
  <si>
    <t>soub</t>
  </si>
  <si>
    <t>38</t>
  </si>
  <si>
    <t>Zpětný ventil DN 20-40</t>
  </si>
  <si>
    <t>Filtr DN 20-40</t>
  </si>
  <si>
    <t>Automatický odvzdušňovací ventil DN 15</t>
  </si>
  <si>
    <t>Vypouštěcí kouhout DN 15</t>
  </si>
  <si>
    <t>Pojišťovací ventil DN 20-25</t>
  </si>
  <si>
    <t>Tedploměr 0-120 C, s jímkou, PN 10</t>
  </si>
  <si>
    <t>Tlakoměr s třícestným kohoutem a návarkem 0-300kPa</t>
  </si>
  <si>
    <t>Trojcestný ventil Mix3 DN 32 se servopohonem</t>
  </si>
  <si>
    <t>Trojcestný ventil Mix3 DN 25 se servopohonem</t>
  </si>
  <si>
    <t>Termostatický ventil pro koupel.OT, DN 15</t>
  </si>
  <si>
    <t>44</t>
  </si>
  <si>
    <t>Šroubení uzavíratelné rohové pro OT</t>
  </si>
  <si>
    <t>El.topná patrona s termostatem pro koup.OT</t>
  </si>
  <si>
    <t>sada</t>
  </si>
  <si>
    <t>Nespecifikovaný drobný materiál</t>
  </si>
  <si>
    <t>86</t>
  </si>
  <si>
    <t>88</t>
  </si>
  <si>
    <t>Patrový R+S vč.armatur, kalorimetrů a skříně, 4 oktuhy</t>
  </si>
  <si>
    <t>Patrový R+S vč.armatur, kalorimetrů a skříně, 5 oktuhů</t>
  </si>
  <si>
    <t>Patrový R+S vč.armatur, kalorimetrů a skříně, 7 oktuhů</t>
  </si>
  <si>
    <t>m</t>
  </si>
  <si>
    <t>94</t>
  </si>
  <si>
    <t>106</t>
  </si>
  <si>
    <t>stavební přípomoce</t>
  </si>
  <si>
    <t>118</t>
  </si>
  <si>
    <t>nespecifikovaný drobný materiál</t>
  </si>
  <si>
    <t>120</t>
  </si>
  <si>
    <t>propláchnutí potrubí</t>
  </si>
  <si>
    <t>124</t>
  </si>
  <si>
    <t>tlaková zkouška potrubí</t>
  </si>
  <si>
    <t>126</t>
  </si>
  <si>
    <t>topná zkouška</t>
  </si>
  <si>
    <t xml:space="preserve">    D6 - PODLAHOVÉ VYTÁPĚNÍ </t>
  </si>
  <si>
    <t>Trubka vícevrstvá 17x2</t>
  </si>
  <si>
    <t>128</t>
  </si>
  <si>
    <t>Trubka ochranná 15-20mm</t>
  </si>
  <si>
    <t>130</t>
  </si>
  <si>
    <t>Spojka 16/16</t>
  </si>
  <si>
    <t>132</t>
  </si>
  <si>
    <t>Oblouk vodící 14-18</t>
  </si>
  <si>
    <t>140</t>
  </si>
  <si>
    <t>142</t>
  </si>
  <si>
    <t>150</t>
  </si>
  <si>
    <t>PN</t>
  </si>
  <si>
    <t>{2f4799f3-3d8c-4f76-9ddb-d50783979689}</t>
  </si>
  <si>
    <t>D.1.4.2 - Vzduchotechnika</t>
  </si>
  <si>
    <t>Zař.č.1 – Větrání s rekuperací střediska osobní hygieny</t>
  </si>
  <si>
    <t>Zař.č.2 – Podtlakové větrání bytů</t>
  </si>
  <si>
    <t>Zař.č.3 – Větrání kotelny</t>
  </si>
  <si>
    <t>Vzduchotechnická rekuperační jednotka v podstropním provedení, objemový průtok 300m3/hod., vč.protiproudého rekuperačního výměníku a elektrického ohřevu vzduchu</t>
  </si>
  <si>
    <t>Kruhový tlumič hluku D200</t>
  </si>
  <si>
    <t>Čtyřhranný tlumič hluku</t>
  </si>
  <si>
    <t>6</t>
  </si>
  <si>
    <t>bm</t>
  </si>
  <si>
    <t>8</t>
  </si>
  <si>
    <t>Čtyřhraná výfuková mřížka</t>
  </si>
  <si>
    <t>10</t>
  </si>
  <si>
    <t>Kruhový talířový ventil</t>
  </si>
  <si>
    <t>Čtyřhranné pozink.potrubí vč.střešních hlavic</t>
  </si>
  <si>
    <t>Tepelná izolace z minerální vaty s Al polepem, tl. = 20mm</t>
  </si>
  <si>
    <t>22</t>
  </si>
  <si>
    <t>Odtahový ventilátor, třístupňový 30/60/90m3/hod, max.příkon 40W</t>
  </si>
  <si>
    <t>Přívodní fasádní prvek, průměr přestupujícího potrubí přes stěnu D 160, fasádní element 980x505x60mm</t>
  </si>
  <si>
    <t>Kruhové flexibilní potrubí D 80mm</t>
  </si>
  <si>
    <t>Svislé kruhové potrubí vč.střešních hlavic</t>
  </si>
  <si>
    <t>28</t>
  </si>
  <si>
    <t>Kruhové spiro potrubí D 100-140</t>
  </si>
  <si>
    <t>30</t>
  </si>
  <si>
    <t>3.1</t>
  </si>
  <si>
    <t>Fasádní mřížka 300x200mm</t>
  </si>
  <si>
    <t>3.2</t>
  </si>
  <si>
    <t>Interiérová krycí mřížka 300x200mm</t>
  </si>
  <si>
    <t>46</t>
  </si>
  <si>
    <t>Drobný montážní materiál</t>
  </si>
  <si>
    <t>400000008-R</t>
  </si>
  <si>
    <t>rozšíření otvoru v 1.PP,v kompletním provedení, vč.vysekání drážek, kapes, postupného osazování, úpravy uložení, podepření, dozdění uložení, plentování, úpravy ostění a nadpraží, klínování, atd.</t>
  </si>
  <si>
    <t>otvor v 1.NP,v kompletním provedení, vč.vysekání drážek, kapes, postupného osazování, úpravy uložení, podepření, dozdění uložení, plentování, úpravy ostění a nadpraží, klínování, atd.</t>
  </si>
  <si>
    <t>v kompletním provedení, vč.vysekání drážek, kapes, postupného osazování, úpravy uložení, podepření, dozdění uložení, plentování, úpravy ostění a nadpraží, klínování, atd.</t>
  </si>
  <si>
    <t>1.NP-pův.m.č.1.65</t>
  </si>
  <si>
    <t>otvor ve 2.NP, v kompletním provedení, vč.vysekání drážek, kapes, postupného osazování, úpravy uložení, podepření, dozdění uložení, plentování, úpravy ostění a nadpraží, klínování, atd.</t>
  </si>
  <si>
    <t>Ocelové překlady - nosník 4 x IPE 120 dl.cca.1600 mm</t>
  </si>
  <si>
    <t>400000009-R</t>
  </si>
  <si>
    <t>1.NP-pův.m.č.1.46</t>
  </si>
  <si>
    <t>Ocelové překlady - nosník 2 x IPE 140 dl.cca.1500 mm</t>
  </si>
  <si>
    <t>400000010-R</t>
  </si>
  <si>
    <t>1.NP-pův.m.č.1.48</t>
  </si>
  <si>
    <t>Ocelové překlady - nosník 4 x IPE 140 dl.cca.1500 mm</t>
  </si>
  <si>
    <t>400000011-R</t>
  </si>
  <si>
    <t>1.NP-pův.m.č.1.38</t>
  </si>
  <si>
    <t>400000012-R</t>
  </si>
  <si>
    <t>Ocelové překlady - nosník 4 x IPE 140 dl.cca.1600 mm</t>
  </si>
  <si>
    <t>1.NP-pův.m.č.1.37</t>
  </si>
  <si>
    <t>400000013-R</t>
  </si>
  <si>
    <t>1.NP-pův.m.č.1.57</t>
  </si>
  <si>
    <t>400000014-R</t>
  </si>
  <si>
    <t>1.NP-pův.m.č.1.56</t>
  </si>
  <si>
    <t>400000015-R</t>
  </si>
  <si>
    <t>Ocelové překlady - nosník 3 x IPE 120 dl.cca.1600 mm</t>
  </si>
  <si>
    <t>400000016-R</t>
  </si>
  <si>
    <t>Ocelové překlady - nosník 6 x IPE 140 dl.cca.1650 mm</t>
  </si>
  <si>
    <t>1.NP-pův.m.č.1.28</t>
  </si>
  <si>
    <t>400000017-R</t>
  </si>
  <si>
    <t>Ocelové překlady - nosník 3 x IPE 140 dl.cca.1500 mm</t>
  </si>
  <si>
    <t>1.NP-pův.m.č.1.24</t>
  </si>
  <si>
    <t>400000018-R</t>
  </si>
  <si>
    <t>Ocelové překlady - nosník 6 x IPE 140 dl.cca.1500 mm</t>
  </si>
  <si>
    <t>1.NP-pův.m.č.1.30</t>
  </si>
  <si>
    <t>400000019-R</t>
  </si>
  <si>
    <t>1.NP-pův.m.č.1.27</t>
  </si>
  <si>
    <t>Ocelové překlady - nosník 4 x IPE 300 dl.cca.4350 mm, vč. zděného klenebného pásu tl.300 mm z plných cihel P25 na M10 pod nosníky</t>
  </si>
  <si>
    <t>400000020-R</t>
  </si>
  <si>
    <t>Ocelové překlady - nosník 2 x  dl.cca.2800 mm - podchycení v původní místnosti číslo 1.06</t>
  </si>
  <si>
    <t>1.NP-pův.m.č.1.06</t>
  </si>
  <si>
    <t>400000021-R</t>
  </si>
  <si>
    <t>Ocelové překlady - nosník 2 x  dl.cca.2000 mm - podchycení v původní místnosti číslo 1.06</t>
  </si>
  <si>
    <t>400000022-R</t>
  </si>
  <si>
    <t>2.NP-pův.m.č.2.54</t>
  </si>
  <si>
    <t>400000023-R</t>
  </si>
  <si>
    <t>Ocelové překlady - nosník 4 x IPE 140 dl.cca.2000 mm</t>
  </si>
  <si>
    <t>400000024-R</t>
  </si>
  <si>
    <t>Ocelové překlady - nosník 1 x IPE 300 dl.cca.4200 mm</t>
  </si>
  <si>
    <t>2.NP-pův.m.č.2.52</t>
  </si>
  <si>
    <t>400000025-R</t>
  </si>
  <si>
    <t>Ocelové překlady - nosník 1 x IPE 330 dl.cca.4900 mm</t>
  </si>
  <si>
    <t>2.NP-pův.m.č.2.51</t>
  </si>
  <si>
    <t>400000026-R</t>
  </si>
  <si>
    <t>Ocelové překlady - nosník 1 x IPE 270 dl.cca.4600 mm</t>
  </si>
  <si>
    <t>2.NP-pův.m.č.2.46</t>
  </si>
  <si>
    <t>400000027-R</t>
  </si>
  <si>
    <t>Ocelové překlady - nosník 1 x dl.cca.1500 mm</t>
  </si>
  <si>
    <t>2.NP-pův.m.č.2.41</t>
  </si>
  <si>
    <t>400000028-R</t>
  </si>
  <si>
    <t>Ocelové překlady - nosník 1 x IPE 300 dl.cca.5200 mm</t>
  </si>
  <si>
    <t>2.NP-pův.m.č.2.22</t>
  </si>
  <si>
    <t>400000029-R</t>
  </si>
  <si>
    <t>Ocelové překlady - nosník 4 x IPE 140 dl.cca.1700 mm</t>
  </si>
  <si>
    <t>400000030-R</t>
  </si>
  <si>
    <t>Ocelové překlady - nosník 3 x dl.cca.1700 mm</t>
  </si>
  <si>
    <t>2.NP-pův.m.č.2.16</t>
  </si>
  <si>
    <t>400000031-R</t>
  </si>
  <si>
    <t>Ocelové překlady - nosník 2 x IPE 120 dl.cca.3600 mm</t>
  </si>
  <si>
    <t>2.NP-pův.m.č.2.12</t>
  </si>
  <si>
    <t>400000032-R</t>
  </si>
  <si>
    <t>Ocelové překlady - nosník 4 x IPE 120 dl.cca.1700 mm</t>
  </si>
  <si>
    <t>2.NP-pův.m.č.2.11</t>
  </si>
  <si>
    <t>400000033-R</t>
  </si>
  <si>
    <t>Ocelové překlady - nosník 3 x IPE 160 dl.cca.2100 mm</t>
  </si>
  <si>
    <t>400000034-R</t>
  </si>
  <si>
    <t>Ocelové překlady - nosník 2 x IPE 330 dl.cca.4600 mm</t>
  </si>
  <si>
    <t>400000035-R</t>
  </si>
  <si>
    <t>Ocelové překlady - nosník 1 x IPE 330 dl.cca.5900 mm</t>
  </si>
  <si>
    <t>400000036-R</t>
  </si>
  <si>
    <t>2.NP-pův.m.č.2.06</t>
  </si>
  <si>
    <t>768000002-R</t>
  </si>
  <si>
    <t>Stropní konstrukce z ocelových válcovaných profilů, ocel třídy S235</t>
  </si>
  <si>
    <t>v kompletním provedení, ocel třídy S235, včetně osazení do kapes, vč.začištění po montáži a povrchové úpravy</t>
  </si>
  <si>
    <t>768000003-R</t>
  </si>
  <si>
    <t>strop nad 1.NP - vestavba jižního křídla</t>
  </si>
  <si>
    <t>strop nad 2.NP - vestavba jižního křídla</t>
  </si>
  <si>
    <t>768000004-R</t>
  </si>
  <si>
    <t>Zední kleště - stažení objektu pomocí zedních klešní</t>
  </si>
  <si>
    <t>v kompletním provedení, ocel třídy S235, včetně osazení, vč.začištění po montáži a povrchové úpravy</t>
  </si>
  <si>
    <t>strop nad 1. a 2.NP - vestavba jižního křídla</t>
  </si>
  <si>
    <t>762000002-R</t>
  </si>
  <si>
    <t>762000003-R</t>
  </si>
  <si>
    <t>762000004-R</t>
  </si>
  <si>
    <t>nový strop, v kompletním provedení vč.ošetření  dřev.prvků, spojovacích prvků a kotvících , apod.</t>
  </si>
  <si>
    <t>doplnění stropu, v kompletním provedení vč.ošetření  dřev.prvků, spojovacích a kotvících  prvků, apod.</t>
  </si>
  <si>
    <t>nový strop, v kompletním provedení vč.ošetření  dřev.prvků, spojovacích a kotvících prvků, apod.</t>
  </si>
  <si>
    <t>nový strop, v kompletním provedení vč.ošetření  dřev.prvků, spojovacích prvků a kotvících, apod.</t>
  </si>
  <si>
    <t>Záklop - strop nad 1.NP (jižní vestavba) - fošny 150/35 (P+D) a OSB deska (OSB/4 tl.25 mm), prošroubování vrstev</t>
  </si>
  <si>
    <t>762000005-R</t>
  </si>
  <si>
    <t>Záklop - strop nad 2.NP (jižní vestavba) - fošny 150/35 (P+D) a OSB deska (OSB/4 tl.22 mm), prošroubování vrstev</t>
  </si>
  <si>
    <t>Dřevěné stropnice 120/180 mm ze dřeva C24 - strop nad 1.NP (vestavba jižního křídla)</t>
  </si>
  <si>
    <t>Dřevěné stropnice 80/160 mm ze dřeva C24 - strop nad 2.NP (vestavba jižního křídla)</t>
  </si>
  <si>
    <t>1.NP-vestavba patra jižního křídla, D5</t>
  </si>
  <si>
    <t>411321001-R</t>
  </si>
  <si>
    <t>Stropy deskové ze ŽB tř. C 30/37 XC1</t>
  </si>
  <si>
    <t>2.NP-vestavba jižního křídla, D1</t>
  </si>
  <si>
    <t>(2*3,05)*0,2</t>
  </si>
  <si>
    <t>430321616</t>
  </si>
  <si>
    <t>Schodišťová konstrukce a rampa ze ŽB tř. C 30/37</t>
  </si>
  <si>
    <t>D2-mezipodesta</t>
  </si>
  <si>
    <t>2.NP-vestavba jižního křídla D3, D4</t>
  </si>
  <si>
    <t>(3,5*1,25)*0,16+(0,1725*0,285/2*1,25)*20</t>
  </si>
  <si>
    <t>311320002-R</t>
  </si>
  <si>
    <t>výtah.šachta-jižní křídlo</t>
  </si>
  <si>
    <t xml:space="preserve">Nosná zeď ze ŽB  C30/37 - XC1 </t>
  </si>
  <si>
    <t xml:space="preserve">v kompletním provedení vč. bednění - zřízení a odstranění a výztuže </t>
  </si>
  <si>
    <t>(3,05+3,05+1,6+1,6)*0,2*8,39 -(1,2*2*2)*0,2</t>
  </si>
  <si>
    <t>Příčka zvukově izolační z cihel děrovaných  PD, na maltu M10 tloušťky 115 mm</t>
  </si>
  <si>
    <t>1.NP - jižní křídlo</t>
  </si>
  <si>
    <t>v kompletním provedení, vč.provázání se stáv.zdivem, vč. ker.překladů</t>
  </si>
  <si>
    <t>Příčka z cihel děrovaných do P10 na maltu M10 tloušťky 140 mm</t>
  </si>
  <si>
    <t>342244001-R</t>
  </si>
  <si>
    <t>(5,11)*3,5</t>
  </si>
  <si>
    <t>(0,9*2,1)</t>
  </si>
  <si>
    <t>(2,5+2,5+1,2+4,395+3,75+2,8+1,75+0,125+3,25+0,9+1,55+1,55+1+1+4+1,25)*3,5</t>
  </si>
  <si>
    <t>(0,9*2,1*3+0,8*2,1*7)</t>
  </si>
  <si>
    <t>311234211</t>
  </si>
  <si>
    <t>Zdivo jednovrstvé z cihel děrovaných přes P10 do P15 na maltu M10 tl 175 mm</t>
  </si>
  <si>
    <t>(5,23)*3,25</t>
  </si>
  <si>
    <t>(0,8*2,1)</t>
  </si>
  <si>
    <t>(5,23+0,25+3,25++0,25+3,09+0,25+1,63+3,09+7,4+4,25+2,5+2,265+0,125+2,75+0,25+3,5+2,5+0,15+5,975+5,25+5,25)*3,25</t>
  </si>
  <si>
    <t>(0,8*2,1*1+0,9*2,1*3)</t>
  </si>
  <si>
    <t>(5,23+0,25+3,25++0,25+3,09+0,25+1,63+3,09+7,4+4,25+2,5+2,265+0,125+2,75+0,25+3,5+2,5+0,15+5,975+5,25+5,25)*0,25*0,25</t>
  </si>
  <si>
    <t>(5,23)*0,175*0,25</t>
  </si>
  <si>
    <t>319230001-R</t>
  </si>
  <si>
    <t>Dodatečná izolace zdiva cihelného tl do 600 mm podřezáním a vložením vodotěsné izolace</t>
  </si>
  <si>
    <t>(4,26+0,34+1,72)*0,535</t>
  </si>
  <si>
    <t>v kompletním provedení, vč.napojení na související vodorovnou a svislou hydroizolaci</t>
  </si>
  <si>
    <t>Dodatečná izolace zdiva cihelného tl do 800 mm podřezáním a vložením vodotěsné izolace</t>
  </si>
  <si>
    <t>319230002-R</t>
  </si>
  <si>
    <t>(1*0,65+11,25*0,7+24,595*0,75+11,19*0,685+18,15*0,65)</t>
  </si>
  <si>
    <t>389000001-R</t>
  </si>
  <si>
    <t>Dvousložkové komínové těleso se dvěma průduchy, prům.180 mm</t>
  </si>
  <si>
    <t>389000002-R</t>
  </si>
  <si>
    <t>Vyvložkování stávajících komínových průduchů a oprava stáv.kom.těles</t>
  </si>
  <si>
    <t>v kompletním provedení, vč. nástavců</t>
  </si>
  <si>
    <t>stáv.kom.tělesa</t>
  </si>
  <si>
    <t>(0,8*2,1)*1</t>
  </si>
  <si>
    <t>(0,8*2,1)*3</t>
  </si>
  <si>
    <t>(0,8*2,1)*5</t>
  </si>
  <si>
    <t>(2,225+2,225)*3,3+(1,875+1,1+1,87+1,1)*3,3+(1,375+1,375+1,66+0,125+1,845+0,125)*3,65</t>
  </si>
  <si>
    <t>(0,8*2,1)*7</t>
  </si>
  <si>
    <t>(1,615+0,125+2,025+4,16)*3,3</t>
  </si>
  <si>
    <t>(0,8*2,1)*2</t>
  </si>
  <si>
    <t>763000001-R</t>
  </si>
  <si>
    <t>Sádrovláknitá předstěna s dvouvrstvým opláštěním s tepelnou izolací - min.R´w = 55 dB</t>
  </si>
  <si>
    <t>(1,875+1,875)*3</t>
  </si>
  <si>
    <t>v kompletním provedení vč.provázání do stáv.zdiva, malta M15</t>
  </si>
  <si>
    <t>310239001-R</t>
  </si>
  <si>
    <t>(0,87*2)*0,33</t>
  </si>
  <si>
    <t>(0,4*3)*0,15</t>
  </si>
  <si>
    <t>(1,04*3,5)*0,45</t>
  </si>
  <si>
    <t>(0,55*0,55)*0,25</t>
  </si>
  <si>
    <t>(0,4*3)*0,25*2</t>
  </si>
  <si>
    <t>(4,82+4,82+1,75)*3,5</t>
  </si>
  <si>
    <t>(2,605*2,1*2+0,8*2,1)</t>
  </si>
  <si>
    <t>(0,95*1,99)*0,89</t>
  </si>
  <si>
    <t>(1,51+3,84+2,305)*3,5</t>
  </si>
  <si>
    <t>(0,8*2,1*3)</t>
  </si>
  <si>
    <t>(0,99*3,3)</t>
  </si>
  <si>
    <t>(0,35*3)*0,15</t>
  </si>
  <si>
    <t>(3,21+2,44)*3,6</t>
  </si>
  <si>
    <t>(0,88*2,2)</t>
  </si>
  <si>
    <t>763000002-R</t>
  </si>
  <si>
    <t>Sádrovláknitá příčka s dvouvrstvým opláštěním s tepelnou izolací - min.R´w = 47 dB</t>
  </si>
  <si>
    <t>(3,34+2,315)*3,65</t>
  </si>
  <si>
    <t>(6,1+1,93+1,93)*3,65</t>
  </si>
  <si>
    <t>(1,625+1,625+3,815)*3,65</t>
  </si>
  <si>
    <t>(0,7*2,1)*3</t>
  </si>
  <si>
    <t>(3,61+0,15+1,93)*3</t>
  </si>
  <si>
    <t>(1,79*2,3)</t>
  </si>
  <si>
    <t>(0,625*2,65)*0,27</t>
  </si>
  <si>
    <t>(1,2*3,3)*0,16</t>
  </si>
  <si>
    <t>(0,745*3)*0,6</t>
  </si>
  <si>
    <t>(0,7*2,5)*0,3</t>
  </si>
  <si>
    <t>(0,3*3,3)*0,3</t>
  </si>
  <si>
    <t>(1,33*2,5)*0,15</t>
  </si>
  <si>
    <t>(1,2*3,5)*0,54</t>
  </si>
  <si>
    <t>(2,34+1,46+1,24)*3,6</t>
  </si>
  <si>
    <t>(1,4*3,3)*0,67</t>
  </si>
  <si>
    <t>(1,05*3,3)*0,34</t>
  </si>
  <si>
    <t>(0,8*3,3)*0,2</t>
  </si>
  <si>
    <t>(0,87*3,5)*0,55</t>
  </si>
  <si>
    <t>(0,505*3,4)*0,49</t>
  </si>
  <si>
    <t>2.NP - jižní křídlo</t>
  </si>
  <si>
    <t>Zdivo jednovrstvé zvukově izolační na cementovou maltu M10 z cihel děrovaných P20 tloušťky 250 mm (vč.zazdívek otvorů)</t>
  </si>
  <si>
    <t>(1,45*5)*0,16</t>
  </si>
  <si>
    <t>(8,175+0,15+2,385+4,125+6,545+0,15+2,25+0,25+1,865+0,25+4,125+0,125+1,45+1,45+1,6+6,275+0,15+2,25+0,25+4,275+6,275+0,15+2,25+0,25+1,765)*3,1</t>
  </si>
  <si>
    <t>(1,93+0,15+6,405+0,15+3)*3</t>
  </si>
  <si>
    <t>(1,36+1,34+2,165+0,175+4,76+1,5)*3,5</t>
  </si>
  <si>
    <t>(8,175+0,15+2,385+4,125+6,545+0,15+2,25+0,25+1,865+0,25+4,125+0,125+1,45+1,45+1,6+6,275+0,15+2,25+0,25+4,275+6,275+0,15+2,25+0,25+1,765)*0,25*0,25</t>
  </si>
  <si>
    <t>(1,93+0,15+6,405+0,15+3)*0,25*0,25</t>
  </si>
  <si>
    <t>(2,165+0,175+4,76)*0,25*0,25</t>
  </si>
  <si>
    <t>(4,535)*3,1</t>
  </si>
  <si>
    <t>(4,535)*0,175*0,25</t>
  </si>
  <si>
    <t>(0,8*2,1)*10</t>
  </si>
  <si>
    <t>(4,04+2,29+4,125+2,25+1,865+1,8+4,275+2,25+2,125+2,125+2,25+0,15+1,87+0,185+1,8)*3</t>
  </si>
  <si>
    <t>(4,08*3,2)*0,25</t>
  </si>
  <si>
    <t>(1,695+0,15+1,75+1,9+0,15+2,11+2+0,15+1,9)*3,75</t>
  </si>
  <si>
    <t>(1,05*3,75)*0,69</t>
  </si>
  <si>
    <t>(1,695+0,15+1,75+2,8+2,65+2,11+2,65+1,15)*3,75</t>
  </si>
  <si>
    <t>(0,8*2,1)*6</t>
  </si>
  <si>
    <t>763000003-R</t>
  </si>
  <si>
    <t>Sádrovláknitá stěna s dvouvrstvým opláštěním s tepelnou izolací - min.R´w = 55 dB</t>
  </si>
  <si>
    <t>(4,29+2,05+2,1+4,22)*3,75</t>
  </si>
  <si>
    <t>(5,25+2,425+0,125+5,195+2,425+0,125)*3,75</t>
  </si>
  <si>
    <t>(0,8*2,1)*4</t>
  </si>
  <si>
    <t>(3+0,15+1,94+1,895+0,15+2,92+ 0,06)*3,75</t>
  </si>
  <si>
    <t>(4,5+1,8)*3,7</t>
  </si>
  <si>
    <t>(5,57+5,31+1,93+1,955+5,34+5,41)*3,3</t>
  </si>
  <si>
    <t>(1,1*2,75)*0,25</t>
  </si>
  <si>
    <t>(0,3*1,5)*0,2</t>
  </si>
  <si>
    <t>(1,03*3)*0,25</t>
  </si>
  <si>
    <t>(0,6*3)*0,57</t>
  </si>
  <si>
    <t>(1,3*3)*0,15</t>
  </si>
  <si>
    <t>(0,8*3)*0,525</t>
  </si>
  <si>
    <t>(0,895*1,1)*0,4</t>
  </si>
  <si>
    <t>(0,75*3)*0,2</t>
  </si>
  <si>
    <t>(0,4*3)*0,2</t>
  </si>
  <si>
    <t>(5,815+0,575+3,765)*3,75</t>
  </si>
  <si>
    <t>(4,05+4,05+3,93+2,365)*3,75</t>
  </si>
  <si>
    <t>(5,86+2,125+2,125+2,28+1,755+0,15+1,875+5,96+1,665)*3,75</t>
  </si>
  <si>
    <t>(5,685+1,75+1,75+5,65+1,945+0,6+2,08+1,75+1,75+0,15+1,25+0,1+3,08+1,9+1,9+1,4+2,65+5,445)*3,75</t>
  </si>
  <si>
    <t>(0,8*2,1)*8</t>
  </si>
  <si>
    <t>(0,91*2,53)*0,28</t>
  </si>
  <si>
    <t>(0,7*3,75)*0,2</t>
  </si>
  <si>
    <t>(1,2*3,75)</t>
  </si>
  <si>
    <t>(1,19+0,59+1,1)*3,75</t>
  </si>
  <si>
    <t>Zdivo nosné z cihel dl 290 mm  P7 až 15 na MC 15 - zazdívka otvorů ve zdivu nadzákladovém cihlami pálenými na M15 (vč.nik, dozdívek ostění, přizdívek, apod.)</t>
  </si>
  <si>
    <t>(1,1*3,75)*0,71</t>
  </si>
  <si>
    <t>(0,25*3,5)*0,67</t>
  </si>
  <si>
    <t>100000001-R</t>
  </si>
  <si>
    <t>001:Zemní práce</t>
  </si>
  <si>
    <t>100000002-R</t>
  </si>
  <si>
    <t>Sondy a průzkumy</t>
  </si>
  <si>
    <t>zpřístupnění všech prostor, obnažení všech nosných kontrukcí, zjištění vedení inženýrských sítí,…</t>
  </si>
  <si>
    <t>Ochrana stávajících konstrukcí</t>
  </si>
  <si>
    <t>765000001-R</t>
  </si>
  <si>
    <t>Nahrazení stávající střešní krytiny (betonové bobrovky) novou pálenou krytinou z keramických bobrovek, kladených korunově na řídké laťování</t>
  </si>
  <si>
    <t>998765203</t>
  </si>
  <si>
    <t>Přesun hmot procentní pro krytiny skládané v objektech v do 24 m</t>
  </si>
  <si>
    <t>1.</t>
  </si>
  <si>
    <t>2.</t>
  </si>
  <si>
    <t>3.</t>
  </si>
  <si>
    <t>4.</t>
  </si>
  <si>
    <t>5.</t>
  </si>
  <si>
    <t>6.</t>
  </si>
  <si>
    <t>7.</t>
  </si>
  <si>
    <t>8.</t>
  </si>
  <si>
    <t>762000006-R</t>
  </si>
  <si>
    <t>Oprava konstrukce krovu (odstranění biologicky napadeného dřeva vč.mycelií dřevokazných hub, nahrazení novým dřevěným prvkem a ošetření celých konstrukcí okolí vhodnými ochrannými prostředky vč.okolního zdiva a klenbových stropních konstrukcí)</t>
  </si>
  <si>
    <t>1.NP-viz Legenda místností</t>
  </si>
  <si>
    <t>odečet 1.PP-viz Legenda místností</t>
  </si>
  <si>
    <t>odečet 1.NP jižní křídlo viz Legenda místností</t>
  </si>
  <si>
    <t>z toho jižní křídlo</t>
  </si>
  <si>
    <t>celkový součet</t>
  </si>
  <si>
    <t>1.PP-viz Legenda místností</t>
  </si>
  <si>
    <t>2.NP-viz Legenda místností</t>
  </si>
  <si>
    <t>odečet 2.NP jižní křídlo viz Legenda místností</t>
  </si>
  <si>
    <t>130000003-R</t>
  </si>
  <si>
    <t>Zemní práce - hloubení rýh a jam ručním nebo pneum nářadím - postupné, pod stáv.základy, dojezd výtahu v 1.PP</t>
  </si>
  <si>
    <t>Zemní práce - hloubení rýh a jam ručním nebo pneum nářadím - výkopy uvnitř jižního křídla</t>
  </si>
  <si>
    <t>1.NP-podél původní sýpky a jihozápadní fasády</t>
  </si>
  <si>
    <t>Zemní práce - hloubení rýh a jam strojně s  ručním dočištěním - výkopy pro vodotěsnou izolaci a drenáže</t>
  </si>
  <si>
    <t>7111000002-R</t>
  </si>
  <si>
    <t>Provedení svislé hydroizolace podél původní sýpky a jihozápadní fasády</t>
  </si>
  <si>
    <t>v kompletním provedení, vč.přípravy podkladu, penetrace a ochranné vrstvy</t>
  </si>
  <si>
    <t>(25,2+70,1+12,5+15)</t>
  </si>
  <si>
    <t>(27+72+23+15)</t>
  </si>
  <si>
    <t>800000001-R</t>
  </si>
  <si>
    <t>Drenáže</t>
  </si>
  <si>
    <t>(48+26+16+4)</t>
  </si>
  <si>
    <t>v kompletní provedení vč.podkladu pro drenáž, drenážních trubek, obsypů, geotextilií, apod.</t>
  </si>
  <si>
    <t>podél původní sýpky a jihozápadní fasády</t>
  </si>
  <si>
    <t>130000004-R</t>
  </si>
  <si>
    <t>Zemní práce - hloubení rýh a jam strojně s  ručním dočištěním - výkopy pro vsakovací objekt a akumulační nádrž</t>
  </si>
  <si>
    <t>130000005-R</t>
  </si>
  <si>
    <t>130000006-R</t>
  </si>
  <si>
    <t>Zemní práce - hloubení rýh a jam strojně s  ručním dočištěním - výkopy pro terénní úpravy</t>
  </si>
  <si>
    <t>vč. stáv.stromů</t>
  </si>
  <si>
    <t>(6*8*3)+(8*7,5*2,8)</t>
  </si>
  <si>
    <t>7111000003-R</t>
  </si>
  <si>
    <t>Provedení chemické clony v obvodovém zdivu</t>
  </si>
  <si>
    <t>7111000004-R</t>
  </si>
  <si>
    <t>Provedení provětrávané podlahy z tvarovek IGLU</t>
  </si>
  <si>
    <t>v kompletním provedení vč.přívodu vzduchu, ventilačních šachet, propojení větraných podlah, atd.</t>
  </si>
  <si>
    <t>762000007-R</t>
  </si>
  <si>
    <t>Sanace stávajícího dřevěného trámového stropu nad 2.NP ( v případě zjištění poškození)</t>
  </si>
  <si>
    <t>strop nad 2.NP</t>
  </si>
  <si>
    <t>střecha - krov</t>
  </si>
  <si>
    <t>v kompletním provedení, vč.výztuže, bednění a podpěrné kce - zřízení a odstranění, vč. izolačních prvků proti přenosu hluku</t>
  </si>
  <si>
    <t>430000001-R</t>
  </si>
  <si>
    <t>Oprava stávajících vnitřních schodišť - očištění, výměna poškozených stupňů za repliky</t>
  </si>
  <si>
    <t>v kompletním provedení, vč.final úpravy nášlapné vrstvy</t>
  </si>
  <si>
    <t>430000002-R</t>
  </si>
  <si>
    <t>Oprava stávajících venkovních schodišť - očištění, výměna poškozených stupňů za repliky</t>
  </si>
  <si>
    <t>Přesun hmot procentní pro konstrukce truhlářské v objektech v do 24 m</t>
  </si>
  <si>
    <t>766000001-R</t>
  </si>
  <si>
    <t>nové schodiště v jižním křídle</t>
  </si>
  <si>
    <t>714.: Izolace akustická</t>
  </si>
  <si>
    <t>714000001-R</t>
  </si>
  <si>
    <t>Akustické oddilatování výtahových šachet akustickými deskami z minerální vlny</t>
  </si>
  <si>
    <t>výtah.šachty</t>
  </si>
  <si>
    <t>998714203</t>
  </si>
  <si>
    <t>Přesun hmot procentní pro akustická a protiotřesová opatření v objektech v do 24 m</t>
  </si>
  <si>
    <t>Přesun hmot procentní pro izolace tepelné v objektech v do 24 m</t>
  </si>
  <si>
    <t>v kompletním provedení, dvojité opláštění s ocelovou konstrukcí</t>
  </si>
  <si>
    <t>v kompletním provedení, tl.100 až 185 mm, dvojité opláštění s ocelovou konstrukcí</t>
  </si>
  <si>
    <t>v kompletním provedení, tl.250 mm, dvojité opláštění s ocelovou konstrukcí</t>
  </si>
  <si>
    <t>v kompletním provedení, vč.všech systémových prvků, vč.nastřešní části a odvodu kondenzátu</t>
  </si>
  <si>
    <t>náhrada novými prvky stejného průřezu a povrchového opracování, plátováním se zajištěním dřevěnými kolíky, ošetření zdiva např.termizováním na min.80 stupňů Celsia po dobu min.48 hodin</t>
  </si>
  <si>
    <t>762000008-R</t>
  </si>
  <si>
    <t>Ochrana krovu proti dřevokaznému hmyzu a houbám transparentním prostředkem</t>
  </si>
  <si>
    <t>773: Podlahy z litého teraca</t>
  </si>
  <si>
    <t>773500001-R</t>
  </si>
  <si>
    <t>Podlahy  litého teraca - dvoubarevné provedení, výtvarně pojednané, dilatace celků mosaznými pásky, případně kombinace s mramorovou mozaikou, sokl z dřevěné lišty v. 70 mm opatřené omyvatelným nátěrem v barvě malby stěn</t>
  </si>
  <si>
    <t>998773203</t>
  </si>
  <si>
    <t>Přesun hmot procentní pro podlahy teracové lité v objektech v do 24 m</t>
  </si>
  <si>
    <t>635200001-R</t>
  </si>
  <si>
    <t>Násyp pod podlahy - nové násypy na klenbách z lehkého pórovitého kameniva z expandovaného jílu</t>
  </si>
  <si>
    <t>Vybourání stávající konstrukce podlahy vč.podkladních a a nášlapných vrstev</t>
  </si>
  <si>
    <t>Vybourání stávajících konstrukcí podlah vč.podkladních a nášlapných vrstev - přízemí na terénu tl.cca.520 mm</t>
  </si>
  <si>
    <t>Vybourání stávajících konstrukcí podlah vč.podkladních a nášlapných vrstev - nad suterénem a nad 1.NP až na konstrukce kleneb</t>
  </si>
  <si>
    <t>Přesun hmot procentní pro podlahy dřevěné v objektech v do 24 m</t>
  </si>
  <si>
    <t>775000001-R</t>
  </si>
  <si>
    <t>771000001-R</t>
  </si>
  <si>
    <t>Přesun hmot procentní pro podlahy z dlaždic v objektech v do 24 m</t>
  </si>
  <si>
    <t>v kompletním provedení - dodávka vč.materiálu vč.přípravy podkladu</t>
  </si>
  <si>
    <t>776: Podlahy povlakové</t>
  </si>
  <si>
    <t>776000001-R</t>
  </si>
  <si>
    <t>998776203</t>
  </si>
  <si>
    <t>Přesun hmot procentní pro podlahy povlakové v objektech v do 24 m</t>
  </si>
  <si>
    <t>omítka na původní</t>
  </si>
  <si>
    <t>omítka na nové</t>
  </si>
  <si>
    <t>om. pod obklad na nové</t>
  </si>
  <si>
    <t>om. pod obklad na původní</t>
  </si>
  <si>
    <t>Není zahrnuto: dodávka a montáž koupelnových doplňků a zrcadel.</t>
  </si>
  <si>
    <r>
      <t xml:space="preserve">úklid </t>
    </r>
    <r>
      <rPr>
        <sz val="10"/>
        <color indexed="10"/>
        <rFont val="Arial CE"/>
        <family val="0"/>
      </rPr>
      <t>(sklad)</t>
    </r>
  </si>
  <si>
    <t>hodrost. svislá</t>
  </si>
  <si>
    <t>hydrost. svislá</t>
  </si>
  <si>
    <t>hydrost. vodor</t>
  </si>
  <si>
    <t>711000001-R</t>
  </si>
  <si>
    <t>v kompletním provedení vč.těsnícíh pásků a systémových profilů, vč.přetažení na stěny</t>
  </si>
  <si>
    <t>711000002-R</t>
  </si>
  <si>
    <t>Vodotěsná izoace svislá stěn - disperzní hydroizolační hmota</t>
  </si>
  <si>
    <t>v kompletním provedení vč.těsnícíh pásků a systémových profilů</t>
  </si>
  <si>
    <t>Vodotěsná izolace vodorovná podlah  - disperzní hydroizolační hmota</t>
  </si>
  <si>
    <t>Přesun hmot procentní pro izolace proti vodě, vlhkosti a plynům v objektech v do 60 m</t>
  </si>
  <si>
    <t>Přesun hmot procentní pro obklady keramické v objektech v do 24 m</t>
  </si>
  <si>
    <t xml:space="preserve">768: Ocelové konstrukce </t>
  </si>
  <si>
    <t xml:space="preserve">767: Konstrukce zámečnické </t>
  </si>
  <si>
    <t>767000002-R</t>
  </si>
  <si>
    <t>Dvířka instalačních otvorů</t>
  </si>
  <si>
    <t>v kompletním provedení, dodávka vč.montáže</t>
  </si>
  <si>
    <t>Oprava vnitřní vápenné omítky stropů - omítka vápenná z hašeného vzdušného vápna</t>
  </si>
  <si>
    <t>v kompletním provedení, oprava stávajících omítek stropů vč.případných oprav spár konstrukcí kleneb,přípravy podkladu a final povrchové úpravy</t>
  </si>
  <si>
    <t>v kompletním provedení, vč.případných oprav spár zdiva, přípravy podkladu a final povrchové úpravy</t>
  </si>
  <si>
    <t>Oprava vnitřní vápenné omítky stěn - omítka vápenná z hašeného vzdušného vápna</t>
  </si>
  <si>
    <t>610000003-R</t>
  </si>
  <si>
    <t>610000004-R</t>
  </si>
  <si>
    <t>Vápenná omítka vnitřních stropů - omítka vápenná z hašeného vzdušného vápna</t>
  </si>
  <si>
    <t>Vápenná omítka vnitřní stěn - omítka vápenná z hašeného vzdušného vápna</t>
  </si>
  <si>
    <t>v kompletním provedení, vč. přípravy podkladu a final povrchové úpravy</t>
  </si>
  <si>
    <t>610000005-R</t>
  </si>
  <si>
    <t>Vnitřní omítka pod obklady keramické</t>
  </si>
  <si>
    <t xml:space="preserve">v kompletním provedení, vč. přípravy podkladu </t>
  </si>
  <si>
    <t>nové</t>
  </si>
  <si>
    <t>vč.výt.šachty</t>
  </si>
  <si>
    <t>620000001-R</t>
  </si>
  <si>
    <t>v kompletním provedení,  vč. prvků fasády - říms, šambrán, atd., vč. přípravy podkladu a final povrchové úpravy a nátěru</t>
  </si>
  <si>
    <t xml:space="preserve">784: Malby </t>
  </si>
  <si>
    <t>784000001-R</t>
  </si>
  <si>
    <t>Mlaby vnitřních omítek stěn a stropů - vápenná malba</t>
  </si>
  <si>
    <t xml:space="preserve">Oprava vnější omítky  - stávající poškozené omítky budou v nezbytném rozsahu vyspraveny, omítky v dotčených částech stavebních úprav budou provedeny jako vápenné připravené z hašeného vzdušného vápna </t>
  </si>
  <si>
    <t>Oprava stávajících podlah schodištˇ (očištění, výměna poškozených částí za repliky)</t>
  </si>
  <si>
    <t>500000001-R</t>
  </si>
  <si>
    <t>Oprava kamenného dláždění</t>
  </si>
  <si>
    <t>v kompletním provedení, původní kamenné dláždění průjezdu do dvora bude zachováno, očištěno, případně lokálně vyspraveno</t>
  </si>
  <si>
    <t>(10*3,8)</t>
  </si>
  <si>
    <t>500000002-R</t>
  </si>
  <si>
    <t>Venkovní žulová dlažba - štípané kostky velikosti 8-11 vějířově skládané, dlažba kladena do pískového lože s propustnými spárami</t>
  </si>
  <si>
    <t>v kompletním provedení, vč. vybourání původních povrchů, vč.přípravy podkladu a podkladních vrstev</t>
  </si>
  <si>
    <t>dvůr1</t>
  </si>
  <si>
    <t>dvůr2</t>
  </si>
  <si>
    <t>loubí</t>
  </si>
  <si>
    <t>(15,5*17)</t>
  </si>
  <si>
    <t>(4,215*0,87+4,23*0,85+4,28*0,87+4,89*6,425+4,87*6,45)*1,05</t>
  </si>
  <si>
    <t>(16,5*15)</t>
  </si>
  <si>
    <t>500000003-R</t>
  </si>
  <si>
    <t>Okapový chodník ze žulových kostek kladených na sucho do pískového lože</t>
  </si>
  <si>
    <t>v kompletním provedení, okapový chodník kolem domu směrem do parku  vč. přípravy podkladu a podkladních vrstev</t>
  </si>
  <si>
    <t>430000003-R</t>
  </si>
  <si>
    <t>v kompletním provedení, vč.výztuže, bednění - zřízení a odstranění, vč. dilatací, apod.</t>
  </si>
  <si>
    <t>Schodišťová konstrukce a rampa ze ŽB  - nová rampa a předsazené schodiště ze dvora do bývalé sýpky</t>
  </si>
  <si>
    <t>{49c862b1-7512-4251-8623-66aea94764da}</t>
  </si>
  <si>
    <t>D.1.4.1 - Zdravotně technické instalace</t>
  </si>
  <si>
    <t>D1 - KANALIZACE</t>
  </si>
  <si>
    <t xml:space="preserve">    D2 - kanalizace</t>
  </si>
  <si>
    <t>D3 - VODOVOD</t>
  </si>
  <si>
    <t xml:space="preserve">    D4 - vodovod</t>
  </si>
  <si>
    <t>D5 - ZAŘIZOVACÍ PŘEDMĚTY</t>
  </si>
  <si>
    <t xml:space="preserve">    D6 - zařizovací předměty</t>
  </si>
  <si>
    <t>D7 - PLYN</t>
  </si>
  <si>
    <t xml:space="preserve">    D8 - plyn</t>
  </si>
  <si>
    <t>Větrací hlavice DN110 s průchodkou pro střechu</t>
  </si>
  <si>
    <t>Větrací hlavice DN75 s průchodkou pro střechu</t>
  </si>
  <si>
    <t>Podlahová vpust DN50/75/110, svislý odtok se zápachovým uzávěrem PRIMUS, 145x145mm systém Klick-Klack/ 138x138mm, typ HL3100Pr. (NUTNO OVĚŘIT NA STAVBĚ MOŽNOST OSAZENÍ DO PODLAHY).</t>
  </si>
  <si>
    <t>12</t>
  </si>
  <si>
    <t>R141 Odváděcí trychtýř vody pro pojišťovací ventily</t>
  </si>
  <si>
    <t>14</t>
  </si>
  <si>
    <t>Odpadní potrubí HT D110 vč.tvarovek a originálního uchycení potrubí</t>
  </si>
  <si>
    <t>m'</t>
  </si>
  <si>
    <t>32</t>
  </si>
  <si>
    <t>Odpadní potrubí HT D75 vč.tvarovek a originálního uchycení potrubí</t>
  </si>
  <si>
    <t>34</t>
  </si>
  <si>
    <t>Odpadní potrubí HT D50 vč.tvarovek a originálního uchycení potrubí</t>
  </si>
  <si>
    <t>36</t>
  </si>
  <si>
    <t>Odpadní potrubí HT D40 vč.tvarovek a originálního uchycení potrubí</t>
  </si>
  <si>
    <t>tep.a zvuková izolace Mirelon Akustik, pro potrubí D110</t>
  </si>
  <si>
    <t>42</t>
  </si>
  <si>
    <t>tep.a zvuková izolace Mirelon Akustik, pro potrubí D75</t>
  </si>
  <si>
    <t>Odpadní potrubí z PVC KG DN200 vč.tvarovek, uložení, zajištění všech hrdel proti vysunutí</t>
  </si>
  <si>
    <t>48</t>
  </si>
  <si>
    <t>Odpadní potrubí z PVC KG DN160 vč.tvarovek, uložení, zajištění všech hrdel proti vysunutí</t>
  </si>
  <si>
    <t>Odpadní potrubí z PVC KG DN125 vč.tvarovek, uložení, zajištění všech hrdel proti vysunutí</t>
  </si>
  <si>
    <t>Odpadní potrubí z PVC KG DN110 vč.tvarovek, uložení, zajištění všech hrdel proti vysunutí</t>
  </si>
  <si>
    <t>52</t>
  </si>
  <si>
    <t>Čistící kus do svislého potubí KG DN 110</t>
  </si>
  <si>
    <t>54</t>
  </si>
  <si>
    <t>Čistící kus do svislého potubí KG DN 75</t>
  </si>
  <si>
    <t>Dešťové odpadní potrubí z kameniny DN200 vč.tvarovek, uložení, zajištění všech hrdel proti vysunutí</t>
  </si>
  <si>
    <t>Dešťové odpadní potrubí z PVC KG DN160 vč.tvarovek, uložení, zajištění všech hrdel proti vysunutí</t>
  </si>
  <si>
    <t>Dešťové odpadní potrubí z PVC KG DN125 vč.tvarovek, uložení, zajištění všech hrdel proti vysunutí</t>
  </si>
  <si>
    <t>Lapač nečistot a písku Gaiger DN 125</t>
  </si>
  <si>
    <t>Dvorní vpust</t>
  </si>
  <si>
    <t>92</t>
  </si>
  <si>
    <t>Revizní šachta betonová DN 1000 s  litinovým poklopem</t>
  </si>
  <si>
    <t>Vstupní šachta betonová DN 1000 s  litinovým poklopem</t>
  </si>
  <si>
    <t>Filtrační šachta betonová DN 600 s  litinovým poklopem</t>
  </si>
  <si>
    <t>Spádová šachta betonová DN 1000 s  litinovým poklopem</t>
  </si>
  <si>
    <t>Čerpací šachta dešťové vody, betonová DN 1150 s  litinovým poklopem, čerpadlem s výtlakem 12m</t>
  </si>
  <si>
    <t>proplach nového potrubí</t>
  </si>
  <si>
    <t>108</t>
  </si>
  <si>
    <t>zkoušky zařízení a potrubí</t>
  </si>
  <si>
    <t>110</t>
  </si>
  <si>
    <t>114</t>
  </si>
  <si>
    <t>kulový uzávěr DN25 plnoprůtokový typ GIA R250D</t>
  </si>
  <si>
    <t>122</t>
  </si>
  <si>
    <t>kulový uzávěr DN20 plnoprůtokový typ GIA R250D</t>
  </si>
  <si>
    <t>pojišťovací ventil DN20</t>
  </si>
  <si>
    <t>156</t>
  </si>
  <si>
    <t>166</t>
  </si>
  <si>
    <t>Bytová stanice na měření studené pitné vody, studené užitkové vody, teplé vody</t>
  </si>
  <si>
    <t>174</t>
  </si>
  <si>
    <t xml:space="preserve">Objektový vodoměr na studenou vodu DN32 Qn=10m3/h, </t>
  </si>
  <si>
    <t>178</t>
  </si>
  <si>
    <t>180</t>
  </si>
  <si>
    <t>Mirelon PET, vnitřní průměr 20mm, tl.13mm</t>
  </si>
  <si>
    <t>204</t>
  </si>
  <si>
    <t>Mirelon PET, vnitřní průměr 25mm, tl.13mm</t>
  </si>
  <si>
    <t>206</t>
  </si>
  <si>
    <t>pozinkované potrubí DN 32 vč.tvarovek a uložení potrubí</t>
  </si>
  <si>
    <t>210</t>
  </si>
  <si>
    <t>pozinkované potrubí DN25 vč.tvarovek a uložení potrubí</t>
  </si>
  <si>
    <t>214</t>
  </si>
  <si>
    <t>Požární hydrant D 25/30 s tvarovně stálou hadicí dl.30m, v zapuštěném provedení s lemovacím plechem, barva bílá</t>
  </si>
  <si>
    <t>232</t>
  </si>
  <si>
    <t>Domovní vodárna na čerpání uzitkové vody</t>
  </si>
  <si>
    <t>234</t>
  </si>
  <si>
    <t>238</t>
  </si>
  <si>
    <t>propláchnutí, desinfekce a zkoušky potrubí</t>
  </si>
  <si>
    <t>244</t>
  </si>
  <si>
    <t>246</t>
  </si>
  <si>
    <t>250</t>
  </si>
  <si>
    <t>252</t>
  </si>
  <si>
    <t>Souprava na upevnění umyvadel</t>
  </si>
  <si>
    <t>254</t>
  </si>
  <si>
    <t>256</t>
  </si>
  <si>
    <t>258</t>
  </si>
  <si>
    <t>dřez - pouze připojení na kanalizaci</t>
  </si>
  <si>
    <t>270</t>
  </si>
  <si>
    <t>272</t>
  </si>
  <si>
    <t>286</t>
  </si>
  <si>
    <t>288</t>
  </si>
  <si>
    <t>350</t>
  </si>
  <si>
    <t>352</t>
  </si>
  <si>
    <t>354</t>
  </si>
  <si>
    <t>356</t>
  </si>
  <si>
    <t>358</t>
  </si>
  <si>
    <t>Podomítková zápach.uz.s přívodem vody - nerez. Pro pračku</t>
  </si>
  <si>
    <t>316</t>
  </si>
  <si>
    <t>320</t>
  </si>
  <si>
    <t>Potrubí plastové HDPE 63x5</t>
  </si>
  <si>
    <t>Akumulační potrubí DN 300</t>
  </si>
  <si>
    <t>Potrubí ocelové černé DN 25</t>
  </si>
  <si>
    <t>Kulový kohout uzavírací DN 25</t>
  </si>
  <si>
    <t>Manometr D 100</t>
  </si>
  <si>
    <t>998011003</t>
  </si>
  <si>
    <t>Přesun hmot pro budovy zděné v do 24 m</t>
  </si>
  <si>
    <t>(dodávka a montáž vč.povrchové úpravy)</t>
  </si>
  <si>
    <t>(dodávka a montáž)</t>
  </si>
  <si>
    <t>767000001-R</t>
  </si>
  <si>
    <t>Zasklení loubí - velkoformátové zasklení v ocelových profilech s díly fixními a otvíravými, systémové ocelové izolované profily</t>
  </si>
  <si>
    <t>766: Konstrukce truhlářské</t>
  </si>
  <si>
    <t xml:space="preserve">76666: Výplně otvorů - dveře </t>
  </si>
  <si>
    <t>76662: Výplně otvorů - okna</t>
  </si>
  <si>
    <t>766620001-R</t>
  </si>
  <si>
    <t>766660001-R</t>
  </si>
  <si>
    <t>Nová dřevěná dvoukřídlá okna</t>
  </si>
  <si>
    <t>Stávající dřevěná okna - nahrazení replikami původních oken</t>
  </si>
  <si>
    <t>766000002-R</t>
  </si>
  <si>
    <t>Okenní parapety - dřevěné, masiv</t>
  </si>
  <si>
    <t>v kompletním provedení - dřevěný masiv v barvě oken, vč.final povrchové úpravy</t>
  </si>
  <si>
    <t>v kompletním provedení - stupeň, podstupeň, vč.final povrchové úpravy</t>
  </si>
  <si>
    <t>v kompletním provedení, nová okna budou dřevěná dvoukřídlá otvíravá, zasklení izolačním dvojsklem. Uw, min = 1,2 W/m2K, povrchový nátěr oken bude ve vybrané barvě RAL shodné se stávajícími okny, kličky u oken – provedení mosaz</t>
  </si>
  <si>
    <t>v kompletním provedení, oknům bude navrácena původní profilace a členění, okna budou špaletová s vnějším izolačním dvojsklem a vnitřním jednoduchým zasklením. Uw, min = 1,4 W/m2K, kličky u oken – provedení mosaz</t>
  </si>
  <si>
    <t>Dveře vstupní - bezpečnostní, protipožární</t>
  </si>
  <si>
    <t xml:space="preserve">v kompletním provedení, křídlo, zárubeň, kování vč.doplňků, EI 30 DP3+Sm, dřevo masiv, plné kazetové, dřevěná obložková zárubeň, povrchová úprava nátěrem ve vybrané barvě RAL </t>
  </si>
  <si>
    <t>Dveře vnitřní - dřevěné, plné, kazetové</t>
  </si>
  <si>
    <t>v kompletním provedení, křídlo, zárubeň, kování vč.doplňků, dřevěná obložková zárubeň, bezprahové řešení, povrchová úprava nátěrem ve vybrané barvě RAL, klika/klika se štítkem, provedení mosaz</t>
  </si>
  <si>
    <t>767000003-R</t>
  </si>
  <si>
    <t>Zasklení obnoveného klenutého vstupu do bývalé sýpky - velkoformátové zasklení v ocelových profilech s díly fixními a otvíravými, systémové ocelové izolované profily</t>
  </si>
  <si>
    <t>v kompletním provedení, izolované profily pro dveře, okna a stěny s přerušovaným tepelným mostem, zasklení izolačním dvojsklem,Uf = 1,5 W/m2K</t>
  </si>
  <si>
    <t>Svislá tepelná izolace podél původní sýpky a jihozápadní fasády - extrudovaný polystyren tl.100 mm</t>
  </si>
  <si>
    <t>713000002-R</t>
  </si>
  <si>
    <t>713000001-R</t>
  </si>
  <si>
    <t>půda</t>
  </si>
  <si>
    <t xml:space="preserve">Tepelná izolace stropu nad 2.NP - minerální izolace </t>
  </si>
  <si>
    <t>(11,94*25,21+16,56*10,45+12,345*25,3+16,395*10+12,98*24,095)</t>
  </si>
  <si>
    <t>713000003-R</t>
  </si>
  <si>
    <t>Tepelná izolace podlah - extrudovaný polystyren</t>
  </si>
  <si>
    <t>764000001-R</t>
  </si>
  <si>
    <t>Konstrukce klempířské - okenní parapety</t>
  </si>
  <si>
    <t xml:space="preserve">764: Konstrukce klempířské </t>
  </si>
  <si>
    <t>765: Krytina skládaná</t>
  </si>
  <si>
    <t>v kompletním provedení, titanzinek předzvětralý do břidlicově šedého odstínu</t>
  </si>
  <si>
    <t>764000002-R</t>
  </si>
  <si>
    <t>Konstrukce klempířské - střešní okapové lišty, žlaby, svody, oplechování úžlabí a ostatní prvky střechy</t>
  </si>
  <si>
    <t>v kompletním provedení, titanzinek předzvětralý do břidlicově šedého odstínu, na sřeše budou prvky natřeny v odstínu střešní krytiny</t>
  </si>
  <si>
    <t>Přesun hmot procentní pro konstrukce klempířské v objektech v do 24 m</t>
  </si>
  <si>
    <t>767000005-R</t>
  </si>
  <si>
    <t>767000004-R</t>
  </si>
  <si>
    <t>v kompletním provedení, bude vypracován podrobný návrh na restaurování hodnotných umělecko-řemeslných prvků, v exteriéru se jedná o oplocení východní strany obou nádvoří, kované mříže, dvoukřídlé branky, litinové zábradlí balkon, v interiéru se jedná o dvoukřídlou neobarokní mříž, kovové sloupkové klasicistní zábradlí v arkádách schodiště, tyče a úchyty na prapory, mříže, komínové lávky, atd. ; repasovány budou stávající ozdobné stříšky nad vstupy, stávající drátosklo bude nahrazeno bezpečnostním sklem</t>
  </si>
  <si>
    <t>Zámečnické výrobky nové  - tenkostěnné svařované ocelové prvky, svary přebroušeny, tmavě antracitový nátěr ve vybrané barvě RAL</t>
  </si>
  <si>
    <t>v kompletním provedení, zábradlí u schodiště a rampy, kruhovou mříž u stromu, okenní zábradlí nových oken, brány vjezdu, atd.</t>
  </si>
  <si>
    <t>Zámečnické výrobky stávající - repase; prvky budou opraveny, repasovány a reprodukovány, jejich detaily restaurovány</t>
  </si>
  <si>
    <t>záložní zdroj</t>
  </si>
  <si>
    <t>Příčky tl 150 mm z pórobetonových přesných příčkovek objemové hmotnosti 500 kg/m3</t>
  </si>
  <si>
    <t>311230001-R</t>
  </si>
  <si>
    <t>630000003-R</t>
  </si>
  <si>
    <t>Konstrukce podlah v 1.NP</t>
  </si>
  <si>
    <t>Konstrukce podlah ve 2.NP</t>
  </si>
  <si>
    <t>v kompletním provedení, skladba pod nášlapnou vrstvou</t>
  </si>
  <si>
    <t xml:space="preserve">Pronájem fasádního lešení </t>
  </si>
  <si>
    <t>v kompletním provedení, vč.ochranných sítí, apod.</t>
  </si>
  <si>
    <t>v kompletním provedení, vč.lešení schodišť, apod.</t>
  </si>
  <si>
    <t>940000001-R</t>
  </si>
  <si>
    <t>940000002-R</t>
  </si>
  <si>
    <t>v kompletním provedení, mezi vaznými trámy, vč. ochranné vrstvy a separační vrstvy</t>
  </si>
  <si>
    <t>v kompletním provedení, vč. ochranné vrstvy a separační vrstvy</t>
  </si>
  <si>
    <t>V Rozkladu ceny - je uvažováno následující:</t>
  </si>
  <si>
    <t>Přesun hmot procentní pro sádrokartonové konstrukce v objektech v do 24 m</t>
  </si>
  <si>
    <t>Dubová třívrstvá prkenná podlaha tl. 15 mm vč.dřevěné podlahové lišty po obvodu podlahy  - montáž</t>
  </si>
  <si>
    <t>v kompletním provedení - montáž vč. podladních vrstev a úpravy podkladu, vč.přechodových lišt - mosaz</t>
  </si>
  <si>
    <t>Dubová třívrstvá prkenná podlaha tl. 15 mm - dodávka</t>
  </si>
  <si>
    <t>prořez</t>
  </si>
  <si>
    <t>Dřevěná podlahová lišta obvodová - dodávka</t>
  </si>
  <si>
    <t>Přechodová lišta - mosaz</t>
  </si>
  <si>
    <t>v kompletním provedení - montáž vč. podladních vrstev a úpravy podkladu</t>
  </si>
  <si>
    <t>Marmoleum vč. lemování soklovými lištami v. 70 mm se shodným vzorem marmolea jako podlaha - dodávka</t>
  </si>
  <si>
    <t>v kompletním provedení - montáž vč. lepení flexibilním lepidlem, spárování, očištění a přípravy podkladu</t>
  </si>
  <si>
    <t>Marmoleum vč. lemování soklovými lištami v. 70 mm se shodným vzorem marmolea jako podlaha - montáž</t>
  </si>
  <si>
    <t>Obklady vnitřních stěn z dlaždic keramických vč.rohových nerezových lišt - montáž</t>
  </si>
  <si>
    <t>Obklad keramický - dodávka</t>
  </si>
  <si>
    <t>781470001-R</t>
  </si>
  <si>
    <t>Nerezová lišta - dodávka</t>
  </si>
  <si>
    <t>Keramická rektifikovaná dlažba - dodávka</t>
  </si>
  <si>
    <t>Podlahy z keramických dlaždic - celoplošně lepená rektifikovaná dlažba - montáž</t>
  </si>
  <si>
    <t>v kompletním provedení -montáž vč. lepení flexibilním lepidlem, spárování, očištění a přípravy podkladu</t>
  </si>
  <si>
    <t xml:space="preserve">Rozklad ceny </t>
  </si>
  <si>
    <t>Rozklad ceny - rekapitulace</t>
  </si>
  <si>
    <t>002: Základy</t>
  </si>
  <si>
    <t>003: Svislé konstrukce</t>
  </si>
  <si>
    <t>004.: Vodorovné konstrukce</t>
  </si>
  <si>
    <t>005: Komunikace pozemní</t>
  </si>
  <si>
    <t>061: Úprava povrchů vnitřních</t>
  </si>
  <si>
    <t>062: Omítky vnější</t>
  </si>
  <si>
    <t>063: Podlahy a podlahové konstrukce</t>
  </si>
  <si>
    <t>008: Vedení dálková a přípojná</t>
  </si>
  <si>
    <t>099: Přesun hmot HSV</t>
  </si>
  <si>
    <t>763: Konstrukce montované</t>
  </si>
  <si>
    <t>Číslo</t>
  </si>
  <si>
    <t>Vytýčení polohy stávajících inženýrských sítí při zahájení stavby</t>
  </si>
  <si>
    <t>Ochrana stávajích sítí a splnění podmínek jejich majitelů a správců</t>
  </si>
  <si>
    <t>Ochrana určených zařízení a věcí a určených částí budov v areálu zadavatele před poškozením vlivem provádění stavebních věcí</t>
  </si>
  <si>
    <t>Dopravní značení a zvláštní užívání pozemních a účelových komunikací</t>
  </si>
  <si>
    <t>Kontrolní a zkušební plán výstavby</t>
  </si>
  <si>
    <t>Zajištění požadavků pro bezpečnost a ochranu zdraví při práci na staveništi včetně ochranných opatření, zařízení a značení pro cizí osoby</t>
  </si>
  <si>
    <t>Zpracování dílenské a výrobní dokumentace</t>
  </si>
  <si>
    <t>Stavební výtah - v členění montáž, revize, pronájem, demontáž</t>
  </si>
  <si>
    <t>Pronájem a provoz jeřábu</t>
  </si>
  <si>
    <t>Pronájem a provoz jiných stavebních strojů a zařízení</t>
  </si>
  <si>
    <t>Stavební buňky pro šatny - doprava, pronájem, provoz</t>
  </si>
  <si>
    <t>Stravování pracovníků stavby - objednatel ve svých stravovacích zařízeních toto neumožňuje</t>
  </si>
  <si>
    <t>Doprava, pronájem a provoz vlastního sociálního zařízení</t>
  </si>
  <si>
    <t>Oplocení zařízení staveniště</t>
  </si>
  <si>
    <t>Kabeláž a stavební rozvaděče pro přívod el. proudu na stavbu</t>
  </si>
  <si>
    <t>Hadice pro přívod vody na stavbu</t>
  </si>
  <si>
    <t>Shoz stavebního odpadu - v členění montáž, pronájem, demontáž</t>
  </si>
  <si>
    <t>Další požadavky nutné pro vybudování a demontáž zařízení staveniště, dopravu materiálu a odpadu z a do staveniště ze zařízení staveniště</t>
  </si>
  <si>
    <t>Důkladné utěsnění otvorů mezi staveništěm a sousedními vnitřními prostory objednavatele - opatření proti prachu</t>
  </si>
  <si>
    <t>Náklady na osvětlení pracovišť</t>
  </si>
  <si>
    <t>Pojištění staveniště a stav. materiálu proti krádeži, poškození, apod</t>
  </si>
  <si>
    <t>Pojištění zhotovitele proti způsobení škody svou činností objednavateli či jiným osobám</t>
  </si>
  <si>
    <t>Projektová dokumentace skutečného provedení</t>
  </si>
  <si>
    <t>Revize elektro, hromosvodů a dalších zařízení v rámci dokončení stavby</t>
  </si>
  <si>
    <t>Měření nutná pro vydání kolaudačního rozhodnutí na zajištění atestů výrobků a zařízení</t>
  </si>
  <si>
    <t>Zaškolení pracovníků zadavatele pro obsluhu nově dodaných strojů a zařízení</t>
  </si>
  <si>
    <t>Čištění komunikací a zpevněných ploch během a po dokončení stavby a na jejich uvedení do původního stavu</t>
  </si>
  <si>
    <t>Odstranění kamenů, zarovnání mechanizací narušené zeminy, nanesení nové zeminy a zatravnění postižených ploch</t>
  </si>
  <si>
    <t>Celkem bez DPH</t>
  </si>
  <si>
    <t>Technická zařízení budov</t>
  </si>
  <si>
    <t xml:space="preserve"> - elektroinstalace</t>
  </si>
  <si>
    <t>Tlaková zkouška potrubí</t>
  </si>
  <si>
    <t xml:space="preserve">Umyvadlo </t>
  </si>
  <si>
    <t>Sifon umyvadlový</t>
  </si>
  <si>
    <t xml:space="preserve">Ventil uzavírací rohový </t>
  </si>
  <si>
    <t>Baterie umyvadlová</t>
  </si>
  <si>
    <t xml:space="preserve">Baterie dřezová </t>
  </si>
  <si>
    <t>WC kombi s nádržkou</t>
  </si>
  <si>
    <t xml:space="preserve">Sedátko WC </t>
  </si>
  <si>
    <t>Zástěna sprchová</t>
  </si>
  <si>
    <t>Vanička sprchová</t>
  </si>
  <si>
    <t xml:space="preserve">Sifon vaničkový </t>
  </si>
  <si>
    <t>Baterie sprchová</t>
  </si>
  <si>
    <t>Sprcha sprchový se</t>
  </si>
  <si>
    <t xml:space="preserve">Vana </t>
  </si>
  <si>
    <t>Sifon vanový</t>
  </si>
  <si>
    <t>Baterie vanová</t>
  </si>
  <si>
    <t xml:space="preserve">Výlevka </t>
  </si>
  <si>
    <t>Baterie  nástěnná páková s plochým ramínkem 200mm</t>
  </si>
  <si>
    <t>Potrubní oddělovač  DN25 RV280</t>
  </si>
  <si>
    <t>Plastová trubka  z PP-RCT D20 vč.tvarovek</t>
  </si>
  <si>
    <t>Plastová trubka z PP-RCT D25 vč.tvarovek</t>
  </si>
  <si>
    <t>tepelné izolace  vnitřní průměr 34mm, tl.30mm s ochranou fólií, vč.montáže, uložení potrubí a pásky typu ALS</t>
  </si>
  <si>
    <t>tepelné izolace  vnitřní průměr 25mm, tl.30mm s ochranou fólií, vč.montáže, uložení potrubí a pásky typu ALS</t>
  </si>
  <si>
    <t>Revizní šachta plastová  DN 425 s  litinovým poklopem, dešťová kanalizace</t>
  </si>
  <si>
    <t>Akumulační a retenční nádrž, objem retence 26,5m3, objem akumulace 13,5m3, betonový prefabrikát , rozměry 5500x5700x2000mm</t>
  </si>
  <si>
    <t>Akumulační a retenční nádrž, objem retence 15,5m3, objem akumulace 14,5m3, betonový prefabrikát , rozměry 6000x3600x2200mm</t>
  </si>
  <si>
    <t>Revizní šachta plastová  DN 600 s  litinovým poklopem, splašková kanalizace</t>
  </si>
  <si>
    <t xml:space="preserve"> - zdravotně technické instalace</t>
  </si>
  <si>
    <t xml:space="preserve"> - vytápění</t>
  </si>
  <si>
    <t>Závěsný plynový kondenzační kotel , výkon 80kW</t>
  </si>
  <si>
    <t>Tlaková expanzní nádoba  o objemu 200 ltr., vč.pojistného ventilu</t>
  </si>
  <si>
    <t>Oběhové čerpadlo , 32-100</t>
  </si>
  <si>
    <t>Oběhové čerpadlo , 25-60</t>
  </si>
  <si>
    <t xml:space="preserve">Termostatická hlavice </t>
  </si>
  <si>
    <t>Šroubení uzavíratelné  1/2"</t>
  </si>
  <si>
    <t>Koupelnové otopné těleso  150/60</t>
  </si>
  <si>
    <t>Koupelnové otopné těleso  150/45</t>
  </si>
  <si>
    <t xml:space="preserve">Podlahový konvektor s ventilátorem </t>
  </si>
  <si>
    <t>Otopné těleso  20VKM 120 51</t>
  </si>
  <si>
    <t>Otopné těleso  20VKM 120 86</t>
  </si>
  <si>
    <t>Otopné těleso  20VKM 120 56</t>
  </si>
  <si>
    <t>Otopné těleso  20VKM 160 86</t>
  </si>
  <si>
    <t>Otopné těleso ocelové desko -100/60</t>
  </si>
  <si>
    <t>Otopné těleso ocelové desko -90/50</t>
  </si>
  <si>
    <t>Otopné těleso ocelové desko   -90/60</t>
  </si>
  <si>
    <t>Otopné těleso ocelové desko -90/60</t>
  </si>
  <si>
    <t>Otopné těleso ocelové desko -120/60</t>
  </si>
  <si>
    <t>Otopné těleso ocelové desko -120/20</t>
  </si>
  <si>
    <t>Otopné těleso ocelové desko -140/20</t>
  </si>
  <si>
    <t>Potrubí  d 15x1,2 vč.izolace</t>
  </si>
  <si>
    <t>Potrubí  d 18x1,2 vč.izolace</t>
  </si>
  <si>
    <t>Potrubí X d 22x1,5 vč.izolace</t>
  </si>
  <si>
    <t>Potrubí  d 28x1,5 vč.izolace</t>
  </si>
  <si>
    <t>Potrubí  d 35x1,5 vč.izolace</t>
  </si>
  <si>
    <t>Potrubí d 42x1,5 vč.izolace</t>
  </si>
  <si>
    <t xml:space="preserve">Rozdělovač 5 okruhů s automatickým odvzdušněním, průtokoměry a uzávěry vč.vestavné skříně UP </t>
  </si>
  <si>
    <t xml:space="preserve">Rozdělovač  7 okruhů s automatickým odvzdušněním, průtokoměry, kalorimetry a uzávěry vč.vestavné skříně UP </t>
  </si>
  <si>
    <t xml:space="preserve">Rozdělovač  8 okruhů s automatickým odvzdušněním, průtokoměry, kalotimetry a uzávěry vč.vestavné skříně UP </t>
  </si>
  <si>
    <t xml:space="preserve"> - vzduchotechnika</t>
  </si>
  <si>
    <t xml:space="preserve">Ohebná Al hadice </t>
  </si>
  <si>
    <t xml:space="preserve">jednonásobná zásuvka </t>
  </si>
  <si>
    <t xml:space="preserve">dvojnásobnánásobná zásuvka </t>
  </si>
  <si>
    <t>Temostat včetně čidla  Digitální</t>
  </si>
  <si>
    <t>spínač č. 1/0  bílá</t>
  </si>
  <si>
    <t xml:space="preserve">spínač č. 1 </t>
  </si>
  <si>
    <t xml:space="preserve">spínač č. 5 </t>
  </si>
  <si>
    <t xml:space="preserve">spínač č. 6 </t>
  </si>
  <si>
    <t xml:space="preserve">spínač č. 7 </t>
  </si>
  <si>
    <t xml:space="preserve">TV zásuvka </t>
  </si>
  <si>
    <t>000:Obecné náklady</t>
  </si>
  <si>
    <t>162200001-R</t>
  </si>
  <si>
    <t>167000001-R</t>
  </si>
  <si>
    <t>Zásyp jam, šachet rýh nebo kolem objektů sypaninou se zhutněním</t>
  </si>
  <si>
    <t>174000001-R</t>
  </si>
  <si>
    <t>162000001-R</t>
  </si>
  <si>
    <t>Příplatek k vodorovnému přemístění výkopku z horniny tř. 1 až 4 ZKD 1000 m přes 10000 m</t>
  </si>
  <si>
    <t>162000002-R</t>
  </si>
  <si>
    <t>Uložení sypaniny na skládky</t>
  </si>
  <si>
    <t>171000001-R</t>
  </si>
  <si>
    <t xml:space="preserve">Poplatek za skládku </t>
  </si>
  <si>
    <t>180000001-R</t>
  </si>
  <si>
    <t>v kompletním provedení, vč.svahování,zajištění výkopu, vč.příplatků za lepivost</t>
  </si>
  <si>
    <t xml:space="preserve">Vodorovné přemístění do 10000 m výkopku z horniny </t>
  </si>
  <si>
    <t>Vodorovné přemístění do 50 m výkopku z horniny</t>
  </si>
  <si>
    <t>Nakládání výkopku z hornin</t>
  </si>
  <si>
    <t>009: Ostatní konstrukce a práce, bourání</t>
  </si>
  <si>
    <t>Vodorovná doprava suti z kusových materiálů nošením do 50 m</t>
  </si>
  <si>
    <t>Vodorovná doprava suti z kusových materiálů do 1 km</t>
  </si>
  <si>
    <t xml:space="preserve">Složení na skládce + poplatky za skládku </t>
  </si>
  <si>
    <t>Odvoz suti na skládku do 1 km</t>
  </si>
  <si>
    <t>Příplatek ZKD 1000 m dopr.suti na povrchu</t>
  </si>
  <si>
    <t>Skládkovné - netříděný stavební odpad</t>
  </si>
  <si>
    <t xml:space="preserve">odvoz suti a vybouraných hmot do 1 km </t>
  </si>
  <si>
    <t>997013114</t>
  </si>
  <si>
    <t>Vnitrostaveništní doprava suti a vybouraných hmot pro budovy v do 15 m s použitím mechanizace</t>
  </si>
  <si>
    <t>Ostatní výrobky - čistící zóny, poklopy, mřížky,…</t>
  </si>
  <si>
    <t>OV0000001-R</t>
  </si>
  <si>
    <t>D+M - bezpečnostní značení</t>
  </si>
  <si>
    <t>OV0000002-R</t>
  </si>
  <si>
    <t xml:space="preserve">OV:Ostatní výrobky </t>
  </si>
  <si>
    <t>Sadové úpravy a výsadba rostlin vč. konečných terénních úprav a doplnění vyvýšenými květníky/zahrádkami</t>
  </si>
  <si>
    <t>11200001-R</t>
  </si>
  <si>
    <t>Kácení dřevin vč.likvidace pařezů</t>
  </si>
  <si>
    <t>767000006-R</t>
  </si>
  <si>
    <t>Schodiště v místnosti 2.3</t>
  </si>
  <si>
    <t>v kompletním provedení vč. zábradlí ; provedeno z lehkých materiálů - plošná hmotnost do 60kg/m2</t>
  </si>
  <si>
    <t>Dřevěný obklad stupňů nového ŽB schodiště  - obklad stupňů a podstupnic dubovým masivem, spasováno bez přesahu, sokl z dřevěné lišty v. 70 mm opatřené omyvatelným nátěrem v barvě malby stěn</t>
  </si>
  <si>
    <t>Vybourání stáv.vnitřních výplní otvorů - dveří (vysazení křídla, vybourání zárubně) v celém objektu</t>
  </si>
  <si>
    <t>Vybourání vnitřních konstrukcí - nepůvodních příček, otvorů ve vnitřních nosných stěnách, nadzákladového zdiva a otvorů ve stropních konstrukcích v celém objektu</t>
  </si>
  <si>
    <t>v kompletním provedení, hodnotné původní nášlapné vrstvy vybraných podlah budou opatrně odstraněny tak, aby se mohly opětovně použít a repasovat</t>
  </si>
  <si>
    <t>BOUR011</t>
  </si>
  <si>
    <t>978010001-R</t>
  </si>
  <si>
    <t xml:space="preserve">vč.případných obkladů </t>
  </si>
  <si>
    <t>v kompletním provedení vč.začištění po vybourání, vč.statického zajištění, provizorního podepření, atd.</t>
  </si>
  <si>
    <t>v kompletním provedení vč.statického zajištění, provizorního podepření, atd.</t>
  </si>
  <si>
    <t>Odstranění venkových výplní otvorů</t>
  </si>
  <si>
    <t xml:space="preserve">Otlučení vnitřních omítek stěn </t>
  </si>
  <si>
    <t xml:space="preserve">Otlučení vnitřních omítek MV nebo MVC stropů </t>
  </si>
  <si>
    <t>BOUR012</t>
  </si>
  <si>
    <t>Demontáž stáv.střešního pláště (tašková krytina - betonové bobrovky, vč.laťování a ostatních krvků střešního pláště)</t>
  </si>
  <si>
    <t>BOUR014</t>
  </si>
  <si>
    <t xml:space="preserve">Vyklizení objektu </t>
  </si>
  <si>
    <t>BOUR015</t>
  </si>
  <si>
    <t>Demolice zděných kolniček a  venkovních přístavků</t>
  </si>
  <si>
    <t>v kompletním provedení vč.celkové skladby střešního pláště a laťování, vč.hřebenáčů - na maltu a  střešních doplňků</t>
  </si>
  <si>
    <t>Doplňky pro osoby se sníženou možností pohybu</t>
  </si>
  <si>
    <t>Venkovní objekty (oprava oplocení, parkovací stání, oprava stávajích povrchů)</t>
  </si>
  <si>
    <t>Bezpečnostní uzávěr pro kotelnu DN 50</t>
  </si>
  <si>
    <t>Pozn:</t>
  </si>
  <si>
    <t xml:space="preserve">Ostatní vedlejší rozpočtové náklady potřebné k dokončení díla </t>
  </si>
  <si>
    <t>Celková cena obsahuje mimo jiné i náklady uvedené v příloze Ostatní náklady</t>
  </si>
  <si>
    <t>OV0000003-R</t>
  </si>
  <si>
    <t>OV0000004-R</t>
  </si>
  <si>
    <t>Zemní práce - hloubení rýh a jam strojně s  ručním dočištěním - výkopy pro ležaté rozvody instalací vč.přípojek</t>
  </si>
  <si>
    <t xml:space="preserve">v kompletním provedení, vč.svahování,zajištění výkopu, vč.příplatků za lepivost </t>
  </si>
  <si>
    <t>610000006-R</t>
  </si>
  <si>
    <t>Sanační systém poškozených vlhkých omítek - sanační omítky</t>
  </si>
  <si>
    <t>Datová dvojnásobná zásuvka  CAT 6</t>
  </si>
  <si>
    <t>Rozklad ceny - celková rekapitulace</t>
  </si>
  <si>
    <t>Příprava k vypracování prováděcí dokumentace - průzkumy a měření (viz poznámka)</t>
  </si>
  <si>
    <t>Prováděcí dokumentace vč.související inženýrské činnosti</t>
  </si>
  <si>
    <t>Stratigrafický průzkum fasády a štukového stropu v místnosti č.2.6.1. je součástí přípravy k vypracování dokumentace k provedení stavby a je zahrnut v celkové rekapitulaci.</t>
  </si>
  <si>
    <t>Vlhkostní průzkum zdiva včetně návrhu opatření k sanaci a odstranění vlhkosti odborou firmou  je součástí přípravy k vypracování dokumentace k provedení stavby a je zahrnut v celkové rekapitulaci.</t>
  </si>
  <si>
    <t>Provedení zaměření a pasportizaci průduchů po patrech a jejich posouzení s ohledem na jejich využití pro ventilaci  je součástí přípravy k vypracování dokumentace k provedení stavby a je zahrnut v celkové rekapitulaci.</t>
  </si>
  <si>
    <t>Provedení sond určených statikem a osazení sádrových terčů na vybrané trhliny je součástí přípravy k vypracování dokumentace k provedení stavby a je zahrnut v celkové rekapitulaci.</t>
  </si>
  <si>
    <t>Vypracování restaurátorských záměrů na obnovu hodnotných umělecko-řemeslných prvků je součástí přípravy k vypracování dokumentace k provedení stavby a je zahrnut v celkové rekapitulaci.</t>
  </si>
  <si>
    <t>766000003-R</t>
  </si>
  <si>
    <t>Kuchyňské linky - kuchyňky na pokojích</t>
  </si>
  <si>
    <t>766000004-R</t>
  </si>
  <si>
    <t>Kuchyňské linky - společná čajová kuchyňka</t>
  </si>
  <si>
    <t>v kompletním provedení - sestava horních a spodních kuchyňských skříněk. LED podsvícení spodních skříněk; včetně dřezu s odkládací plochou a dřezovou baterií; včetně následujících spotřebičů: 1x vestavěná lednice s mrazničkou, 1x mikrovlnná trouba, 1x myčka na nádobí – vestavěná, 1x rychlovarná konvice, 1x varné pracoviště: indukční deska (4 varné zóny) + horkovzdušná trouba, 1x digestoř (cirkulační); keramický obklad stěny nad pracovní deskou, celková délka kuchyně 3,0 m</t>
  </si>
  <si>
    <t>Doplnění zaměření nepřístupných prostorů  je součástí přípravy k vypracování dokumentace k provedení stavby a je zahrnut v celkové rekapitulaci.</t>
  </si>
  <si>
    <t>763000004-R</t>
  </si>
  <si>
    <t>v kompletním provedení, vč.podmínek PBŘ</t>
  </si>
  <si>
    <t>Není zahrnuto: dodávka a montáž  veškerého vnitřního vybavení a nábyteku - skříně, stoly, postele, židle, apod. krom kuchyněk dle Zadání investora</t>
  </si>
  <si>
    <t>v kompletním provedení - sestava horních a spodních kuchyňských skříněk. LED podsvícení spodních skříněk; včetně dřezu s odkládací plochou a dřezovou baterií; včetně následujících spotřebičů:   1x varné pracoviště: indukční deska (2 varné zóny), 1x digestoř (cirkulační); keramický obklad stěny nad pracovní deskou, dostatek zásuvek na pracovní desce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</si>
</sst>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00"/>
    <numFmt numFmtId="173" formatCode="_-* #,##0\ _K_č_-;\-* #,##0\ _K_č_-;_-* &quot;-&quot;??\ _K_č_-;_-@_-"/>
    <numFmt numFmtId="174" formatCode="#,##0.00;\-#,##0.00"/>
    <numFmt numFmtId="175" formatCode="#,##0.000;\-#,##0.000"/>
    <numFmt numFmtId="176" formatCode="_-* #,##0.000\ _K_č_-;\-* #,##0.000\ _K_č_-;_-* &quot;-&quot;??\ _K_č_-;_-@_-"/>
    <numFmt numFmtId="177" formatCode="#,##0.00000;\-#,##0.00000"/>
    <numFmt numFmtId="178" formatCode="#,##0.0;\-#,##0.0"/>
    <numFmt numFmtId="179" formatCode="_-* #,##0\ _K_č_-;\-* #,##0\ _K_č_-;_-* &quot;- &quot;_K_č_-;_-@_-"/>
    <numFmt numFmtId="180" formatCode="#,##0.0"/>
    <numFmt numFmtId="181" formatCode="_-* #,##0.00&quot; Kč&quot;_-;\-* #,##0.00&quot; Kč&quot;_-;_-* \-??&quot; Kč&quot;_-;_-@_-"/>
    <numFmt numFmtId="182" formatCode="#,##0.000"/>
    <numFmt numFmtId="183" formatCode="\$#,##0\ ;\(\$#,##0\)"/>
    <numFmt numFmtId="184" formatCode="\ #,##0&quot;      &quot;;\-#,##0&quot;      &quot;;&quot; -      &quot;;@\ "/>
    <numFmt numFmtId="185" formatCode="\$#,##0\ ;&quot;($&quot;#,##0\)"/>
    <numFmt numFmtId="186" formatCode="\ #,##0&quot; z? &quot;;\-#,##0&quot; z? &quot;;&quot; - z? &quot;;@\ "/>
    <numFmt numFmtId="187" formatCode="\ #,##0.00&quot;      &quot;;\-#,##0.00&quot;      &quot;;&quot; -&quot;#&quot;      &quot;;@\ "/>
    <numFmt numFmtId="188" formatCode="\ #,##0.00&quot; z? &quot;;\-#,##0.00&quot; z? &quot;;&quot; -&quot;#&quot; z? &quot;;@\ "/>
    <numFmt numFmtId="189" formatCode="&quot; $&quot;#,##0\ ;&quot; $(&quot;#,##0\);&quot; $- &quot;;@\ "/>
    <numFmt numFmtId="190" formatCode="&quot; $&quot;#,##0.00\ ;&quot; $(&quot;#,##0.00\);&quot; $-&quot;#\ ;@\ "/>
    <numFmt numFmtId="191" formatCode="\$#.00"/>
    <numFmt numFmtId="192" formatCode="#.00"/>
    <numFmt numFmtId="193" formatCode="%#.00"/>
    <numFmt numFmtId="194" formatCode="\Ł#,##0.00;&quot;-Ł&quot;#,##0.00"/>
    <numFmt numFmtId="195" formatCode="\ #,##0&quot; zł &quot;;\-#,##0&quot; zł &quot;;&quot; - zł &quot;;@\ "/>
    <numFmt numFmtId="196" formatCode="\ #,##0.00&quot; zł &quot;;\-#,##0.00&quot; zł &quot;;&quot; -&quot;#&quot; zł &quot;;@\ "/>
    <numFmt numFmtId="197" formatCode="_-* #,##0\ &quot;Sk&quot;_-;\-* #,##0\ &quot;Sk&quot;_-;_-* &quot;-&quot;\ &quot;Sk&quot;_-;_-@_-"/>
    <numFmt numFmtId="198" formatCode="* _-#,##0.00\ &quot;Kč&quot;;* \-#,##0.00\ &quot;Kč&quot;;* _-&quot;-&quot;??\ &quot;Kč&quot;;@"/>
    <numFmt numFmtId="199" formatCode="_-* #,##0_-;\-* #,##0_-;_-* &quot;-&quot;_-;_-@_-"/>
    <numFmt numFmtId="200" formatCode="_-* #,##0.00_-;\-* #,##0.00_-;_-* &quot;-&quot;??_-;_-@_-"/>
    <numFmt numFmtId="201" formatCode="_-&quot;Ł&quot;* #,##0_-;\-&quot;Ł&quot;* #,##0_-;_-&quot;Ł&quot;* &quot;-&quot;_-;_-@_-"/>
    <numFmt numFmtId="202" formatCode="_-&quot;Ł&quot;* #,##0.00_-;\-&quot;Ł&quot;* #,##0.00_-;_-&quot;Ł&quot;* &quot;-&quot;??_-;_-@_-"/>
    <numFmt numFmtId="203" formatCode="_-* #,##0.00\ _z_ł_-;\-* #,##0.00\ _z_ł_-;_-* &quot;-&quot;??\ _z_ł_-;_-@_-"/>
    <numFmt numFmtId="204" formatCode="_-* #,##0.00\ &quot;zł&quot;_-;\-* #,##0.00\ &quot;zł&quot;_-;_-* &quot;-&quot;??\ &quot;zł&quot;_-;_-@_-"/>
    <numFmt numFmtId="205" formatCode="_-* #,##0\ _z_ł_-;\-* #,##0\ _z_ł_-;_-* &quot;-&quot;\ _z_ł_-;_-@_-"/>
    <numFmt numFmtId="206" formatCode="_-* #,##0\ &quot;zł&quot;_-;\-* #,##0\ &quot;zł&quot;_-;_-* &quot;-&quot;\ &quot;zł&quot;_-;_-@_-"/>
    <numFmt numFmtId="207" formatCode="_-* #,##0\ &quot;z³&quot;_-;\-* #,##0\ &quot;z³&quot;_-;_-* &quot;-&quot;\ &quot;z³&quot;_-;_-@_-"/>
    <numFmt numFmtId="208" formatCode="_-* #,##0.00\ &quot;z³&quot;_-;\-* #,##0.00\ &quot;z³&quot;_-;_-* &quot;-&quot;??\ &quot;z³&quot;_-;_-@_-"/>
    <numFmt numFmtId="209" formatCode="0.00000"/>
    <numFmt numFmtId="210" formatCode="0.0000"/>
    <numFmt numFmtId="211" formatCode="0.0"/>
    <numFmt numFmtId="212" formatCode="0.000000"/>
    <numFmt numFmtId="213" formatCode="0.0000000"/>
    <numFmt numFmtId="214" formatCode="_-* #,##0.000\ &quot;Kč&quot;_-;\-* #,##0.000\ &quot;Kč&quot;_-;_-* &quot;-&quot;???\ &quot;Kč&quot;_-;_-@_-"/>
    <numFmt numFmtId="215" formatCode="dd\.mm\.yyyy"/>
    <numFmt numFmtId="216" formatCode="#,##0.00%"/>
    <numFmt numFmtId="217" formatCode="#,##0.00000"/>
  </numFmts>
  <fonts count="150">
    <font>
      <sz val="10"/>
      <name val="Arial CE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Arial"/>
      <family val="2"/>
    </font>
    <font>
      <sz val="12"/>
      <name val="formata"/>
      <family val="0"/>
    </font>
    <font>
      <sz val="10"/>
      <name val="Helv"/>
      <family val="2"/>
    </font>
    <font>
      <b/>
      <sz val="12"/>
      <name val="Arial CE"/>
      <family val="2"/>
    </font>
    <font>
      <b/>
      <sz val="24"/>
      <name val="Tahoma"/>
      <family val="2"/>
    </font>
    <font>
      <u val="single"/>
      <sz val="11"/>
      <color indexed="12"/>
      <name val="Calibri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u val="single"/>
      <sz val="7.5"/>
      <color indexed="12"/>
      <name val="Arial CE"/>
      <family val="2"/>
    </font>
    <font>
      <u val="single"/>
      <sz val="7.5"/>
      <color indexed="36"/>
      <name val="Arial CE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"/>
      <color indexed="8"/>
      <name val="Courier New"/>
      <family val="3"/>
    </font>
    <font>
      <sz val="11"/>
      <color indexed="47"/>
      <name val="Calibri"/>
      <family val="2"/>
    </font>
    <font>
      <sz val="12"/>
      <color indexed="24"/>
      <name val="System"/>
      <family val="2"/>
    </font>
    <font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8"/>
      <color indexed="24"/>
      <name val="System"/>
      <family val="2"/>
    </font>
    <font>
      <b/>
      <sz val="12"/>
      <color indexed="24"/>
      <name val="System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b/>
      <sz val="9"/>
      <name val="Arial CE"/>
      <family val="2"/>
    </font>
    <font>
      <b/>
      <sz val="11"/>
      <color indexed="47"/>
      <name val="Calibri"/>
      <family val="2"/>
    </font>
    <font>
      <b/>
      <sz val="12"/>
      <name val="Times CE"/>
      <family val="1"/>
    </font>
    <font>
      <b/>
      <sz val="1"/>
      <color indexed="8"/>
      <name val="Courier New"/>
      <family val="3"/>
    </font>
    <font>
      <b/>
      <sz val="16"/>
      <color indexed="47"/>
      <name val="Arial"/>
      <family val="2"/>
    </font>
    <font>
      <b/>
      <sz val="12"/>
      <color indexed="8"/>
      <name val="Arial"/>
      <family val="2"/>
    </font>
    <font>
      <sz val="12"/>
      <name val="Times New Roman CE"/>
      <family val="1"/>
    </font>
    <font>
      <sz val="12"/>
      <name val="Times CE"/>
      <family val="1"/>
    </font>
    <font>
      <sz val="9"/>
      <color indexed="8"/>
      <name val="Arial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0"/>
      <name val="Arial Narrow"/>
      <family val="2"/>
    </font>
    <font>
      <sz val="10"/>
      <name val="MS Sans Serif"/>
      <family val="0"/>
    </font>
    <font>
      <b/>
      <i/>
      <sz val="10"/>
      <name val="Times New Roman"/>
      <family val="1"/>
    </font>
    <font>
      <sz val="8"/>
      <color indexed="8"/>
      <name val="Arial CE"/>
      <family val="2"/>
    </font>
    <font>
      <sz val="8"/>
      <name val="Times New Roman CE"/>
      <family val="1"/>
    </font>
    <font>
      <b/>
      <sz val="9"/>
      <color indexed="39"/>
      <name val="Arial CE"/>
      <family val="2"/>
    </font>
    <font>
      <sz val="11"/>
      <name val="Arial"/>
      <family val="2"/>
    </font>
    <font>
      <sz val="14"/>
      <name val="Arial CE"/>
      <family val="0"/>
    </font>
    <font>
      <sz val="6"/>
      <name val="Arial"/>
      <family val="2"/>
    </font>
    <font>
      <b/>
      <sz val="10"/>
      <color indexed="10"/>
      <name val="Arial CE"/>
      <family val="2"/>
    </font>
    <font>
      <b/>
      <sz val="9"/>
      <color indexed="9"/>
      <name val="Arial CE"/>
      <family val="2"/>
    </font>
    <font>
      <b/>
      <i/>
      <u val="single"/>
      <sz val="24"/>
      <name val="Times New Roman CE"/>
      <family val="1"/>
    </font>
    <font>
      <sz val="10"/>
      <color indexed="25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 CE"/>
      <family val="0"/>
    </font>
    <font>
      <b/>
      <u val="single"/>
      <sz val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9"/>
      <name val="Arial CE"/>
      <family val="2"/>
    </font>
    <font>
      <i/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u val="single"/>
      <sz val="10"/>
      <name val="Arial CE"/>
      <family val="0"/>
    </font>
    <font>
      <sz val="10"/>
      <color indexed="10"/>
      <name val="Arial CE"/>
      <family val="0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sz val="8"/>
      <color indexed="56"/>
      <name val="Trebuchet MS"/>
      <family val="2"/>
    </font>
    <font>
      <i/>
      <sz val="9"/>
      <color indexed="10"/>
      <name val="Arial"/>
      <family val="2"/>
    </font>
    <font>
      <b/>
      <sz val="8"/>
      <color indexed="16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b/>
      <sz val="12"/>
      <color rgb="FF960000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color rgb="FF000000"/>
      <name val="Trebuchet MS"/>
      <family val="2"/>
    </font>
    <font>
      <b/>
      <sz val="8"/>
      <color rgb="FF800000"/>
      <name val="Trebuchet MS"/>
      <family val="2"/>
    </font>
    <font>
      <sz val="8"/>
      <color theme="1"/>
      <name val="Arial"/>
      <family val="2"/>
    </font>
  </fonts>
  <fills count="7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9" fontId="4" fillId="0" borderId="0" applyFill="0" applyBorder="0" applyAlignment="0" applyProtection="0"/>
    <xf numFmtId="184" fontId="4" fillId="0" borderId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0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5" fontId="0" fillId="0" borderId="0" applyFill="0" applyBorder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0" fillId="0" borderId="2" applyNumberFormat="0" applyFill="0" applyAlignment="0" applyProtection="0"/>
    <xf numFmtId="0" fontId="0" fillId="0" borderId="2" applyNumberFormat="0" applyFill="0" applyAlignment="0" applyProtection="0"/>
    <xf numFmtId="0" fontId="0" fillId="0" borderId="2" applyNumberFormat="0" applyFill="0" applyAlignment="0" applyProtection="0"/>
    <xf numFmtId="0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9" fontId="4" fillId="0" borderId="0" applyFill="0" applyBorder="0" applyAlignment="0" applyProtection="0"/>
    <xf numFmtId="0" fontId="3" fillId="0" borderId="0">
      <alignment/>
      <protection/>
    </xf>
    <xf numFmtId="184" fontId="4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9" fontId="4" fillId="0" borderId="0" applyFill="0" applyBorder="0" applyAlignment="0" applyProtection="0"/>
    <xf numFmtId="184" fontId="4" fillId="0" borderId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2" borderId="0" applyProtection="0">
      <alignment/>
    </xf>
    <xf numFmtId="6" fontId="6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8" fontId="6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3" fillId="0" borderId="0">
      <alignment/>
      <protection/>
    </xf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3" fillId="0" borderId="0">
      <alignment/>
      <protection/>
    </xf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9" fontId="4" fillId="0" borderId="0" applyFill="0" applyBorder="0" applyAlignment="0" applyProtection="0"/>
    <xf numFmtId="184" fontId="4" fillId="0" borderId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0" fillId="0" borderId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0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0" fillId="0" borderId="2" applyNumberFormat="0" applyFill="0" applyAlignment="0" applyProtection="0"/>
    <xf numFmtId="0" fontId="0" fillId="0" borderId="2" applyNumberFormat="0" applyFill="0" applyAlignment="0" applyProtection="0"/>
    <xf numFmtId="0" fontId="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5" fontId="0" fillId="0" borderId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9" fontId="4" fillId="0" borderId="0" applyFill="0" applyBorder="0" applyAlignment="0" applyProtection="0"/>
    <xf numFmtId="184" fontId="4" fillId="0" borderId="0" applyFill="0" applyBorder="0" applyAlignment="0" applyProtection="0"/>
    <xf numFmtId="4" fontId="34" fillId="0" borderId="0">
      <alignment/>
      <protection locked="0"/>
    </xf>
    <xf numFmtId="4" fontId="34" fillId="0" borderId="0">
      <alignment/>
      <protection locked="0"/>
    </xf>
    <xf numFmtId="4" fontId="34" fillId="0" borderId="0">
      <alignment/>
      <protection locked="0"/>
    </xf>
    <xf numFmtId="4" fontId="34" fillId="0" borderId="0">
      <alignment/>
      <protection locked="0"/>
    </xf>
    <xf numFmtId="4" fontId="34" fillId="0" borderId="0">
      <alignment/>
      <protection locked="0"/>
    </xf>
    <xf numFmtId="4" fontId="34" fillId="0" borderId="0">
      <alignment/>
      <protection locked="0"/>
    </xf>
    <xf numFmtId="4" fontId="34" fillId="0" borderId="0">
      <alignment/>
      <protection locked="0"/>
    </xf>
    <xf numFmtId="4" fontId="34" fillId="0" borderId="0">
      <alignment/>
      <protection locked="0"/>
    </xf>
    <xf numFmtId="4" fontId="34" fillId="0" borderId="0">
      <alignment/>
      <protection locked="0"/>
    </xf>
    <xf numFmtId="4" fontId="3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4" fontId="3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4" fillId="0" borderId="0">
      <alignment/>
      <protection locked="0"/>
    </xf>
    <xf numFmtId="4" fontId="34" fillId="0" borderId="0">
      <alignment/>
      <protection locked="0"/>
    </xf>
    <xf numFmtId="4" fontId="34" fillId="0" borderId="0">
      <alignment/>
      <protection locked="0"/>
    </xf>
    <xf numFmtId="4" fontId="34" fillId="0" borderId="0">
      <alignment/>
      <protection locked="0"/>
    </xf>
    <xf numFmtId="4" fontId="34" fillId="0" borderId="0">
      <alignment/>
      <protection locked="0"/>
    </xf>
    <xf numFmtId="4" fontId="34" fillId="0" borderId="0">
      <alignment/>
      <protection locked="0"/>
    </xf>
    <xf numFmtId="4" fontId="34" fillId="0" borderId="0">
      <alignment/>
      <protection locked="0"/>
    </xf>
    <xf numFmtId="49" fontId="0" fillId="0" borderId="3">
      <alignment/>
      <protection/>
    </xf>
    <xf numFmtId="189" fontId="0" fillId="0" borderId="0" applyFill="0" applyBorder="0" applyAlignment="0" applyProtection="0"/>
    <xf numFmtId="197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3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18" borderId="0" applyNumberFormat="0" applyBorder="0" applyAlignment="0" applyProtection="0"/>
    <xf numFmtId="0" fontId="1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6" borderId="0" applyNumberFormat="0" applyBorder="0" applyAlignment="0" applyProtection="0"/>
    <xf numFmtId="0" fontId="114" fillId="3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42" borderId="0" applyNumberFormat="0" applyBorder="0" applyAlignment="0" applyProtection="0"/>
    <xf numFmtId="3" fontId="61" fillId="0" borderId="0">
      <alignment/>
      <protection/>
    </xf>
    <xf numFmtId="0" fontId="22" fillId="4" borderId="0" applyNumberFormat="0" applyBorder="0" applyAlignment="0" applyProtection="0"/>
    <xf numFmtId="0" fontId="62" fillId="0" borderId="0" applyNumberFormat="0" applyFill="0" applyBorder="0" applyAlignment="0">
      <protection/>
    </xf>
    <xf numFmtId="0" fontId="58" fillId="43" borderId="4" applyNumberFormat="0" applyAlignment="0" applyProtection="0"/>
    <xf numFmtId="0" fontId="115" fillId="0" borderId="5" applyNumberFormat="0" applyFill="0" applyAlignment="0" applyProtection="0"/>
    <xf numFmtId="0" fontId="34" fillId="0" borderId="6">
      <alignment/>
      <protection locked="0"/>
    </xf>
    <xf numFmtId="0" fontId="34" fillId="0" borderId="6">
      <alignment/>
      <protection locked="0"/>
    </xf>
    <xf numFmtId="0" fontId="34" fillId="0" borderId="6">
      <alignment/>
      <protection locked="0"/>
    </xf>
    <xf numFmtId="0" fontId="34" fillId="0" borderId="6">
      <alignment/>
      <protection locked="0"/>
    </xf>
    <xf numFmtId="0" fontId="34" fillId="0" borderId="6">
      <alignment/>
      <protection locked="0"/>
    </xf>
    <xf numFmtId="0" fontId="34" fillId="0" borderId="6">
      <alignment/>
      <protection locked="0"/>
    </xf>
    <xf numFmtId="0" fontId="34" fillId="0" borderId="6">
      <alignment/>
      <protection locked="0"/>
    </xf>
    <xf numFmtId="0" fontId="34" fillId="0" borderId="6">
      <alignment/>
      <protection locked="0"/>
    </xf>
    <xf numFmtId="0" fontId="34" fillId="0" borderId="6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4" fillId="0" borderId="6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6">
      <alignment/>
      <protection locked="0"/>
    </xf>
    <xf numFmtId="0" fontId="34" fillId="0" borderId="6">
      <alignment/>
      <protection locked="0"/>
    </xf>
    <xf numFmtId="0" fontId="34" fillId="0" borderId="6">
      <alignment/>
      <protection locked="0"/>
    </xf>
    <xf numFmtId="0" fontId="34" fillId="0" borderId="6">
      <alignment/>
      <protection locked="0"/>
    </xf>
    <xf numFmtId="0" fontId="34" fillId="0" borderId="6">
      <alignment/>
      <protection locked="0"/>
    </xf>
    <xf numFmtId="0" fontId="34" fillId="0" borderId="6">
      <alignment/>
      <protection locked="0"/>
    </xf>
    <xf numFmtId="0" fontId="34" fillId="0" borderId="6">
      <alignment/>
      <protection locked="0"/>
    </xf>
    <xf numFmtId="3" fontId="13" fillId="0" borderId="0">
      <alignment/>
      <protection/>
    </xf>
    <xf numFmtId="4" fontId="0" fillId="0" borderId="0" applyBorder="0" applyProtection="0">
      <alignment/>
    </xf>
    <xf numFmtId="4" fontId="0" fillId="0" borderId="0" applyBorder="0" applyProtection="0">
      <alignment/>
    </xf>
    <xf numFmtId="4" fontId="0" fillId="0" borderId="0" applyBorder="0" applyProtection="0">
      <alignment/>
    </xf>
    <xf numFmtId="4" fontId="0" fillId="0" borderId="0" applyBorder="0" applyProtection="0">
      <alignment/>
    </xf>
    <xf numFmtId="4" fontId="0" fillId="0" borderId="0" applyBorder="0" applyProtection="0">
      <alignment/>
    </xf>
    <xf numFmtId="4" fontId="0" fillId="0" borderId="0" applyBorder="0" applyProtection="0">
      <alignment/>
    </xf>
    <xf numFmtId="4" fontId="0" fillId="0" borderId="0" applyBorder="0" applyProtection="0">
      <alignment/>
    </xf>
    <xf numFmtId="4" fontId="0" fillId="0" borderId="0" applyBorder="0" applyProtection="0">
      <alignment/>
    </xf>
    <xf numFmtId="4" fontId="0" fillId="0" borderId="0" applyBorder="0" applyProtection="0">
      <alignment/>
    </xf>
    <xf numFmtId="4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 applyBorder="0" applyProtection="0">
      <alignment/>
    </xf>
    <xf numFmtId="4" fontId="0" fillId="0" borderId="0" applyBorder="0" applyProtection="0">
      <alignment/>
    </xf>
    <xf numFmtId="4" fontId="0" fillId="0" borderId="0" applyBorder="0" applyProtection="0">
      <alignment/>
    </xf>
    <xf numFmtId="4" fontId="0" fillId="0" borderId="0" applyBorder="0" applyProtection="0">
      <alignment/>
    </xf>
    <xf numFmtId="4" fontId="0" fillId="0" borderId="0" applyBorder="0" applyProtection="0">
      <alignment/>
    </xf>
    <xf numFmtId="4" fontId="0" fillId="0" borderId="0" applyBorder="0" applyProtection="0">
      <alignment/>
    </xf>
    <xf numFmtId="4" fontId="0" fillId="0" borderId="0" applyBorder="0" applyProtection="0">
      <alignment/>
    </xf>
    <xf numFmtId="0" fontId="0" fillId="0" borderId="7" applyNumberFormat="0" applyAlignment="0" applyProtection="0"/>
    <xf numFmtId="0" fontId="0" fillId="0" borderId="7" applyNumberFormat="0" applyAlignment="0" applyProtection="0"/>
    <xf numFmtId="0" fontId="0" fillId="0" borderId="7" applyNumberFormat="0" applyAlignment="0" applyProtection="0"/>
    <xf numFmtId="0" fontId="0" fillId="0" borderId="7" applyNumberFormat="0" applyAlignment="0" applyProtection="0"/>
    <xf numFmtId="0" fontId="0" fillId="0" borderId="7" applyNumberFormat="0" applyAlignment="0" applyProtection="0"/>
    <xf numFmtId="0" fontId="0" fillId="0" borderId="7" applyNumberFormat="0" applyAlignment="0" applyProtection="0"/>
    <xf numFmtId="0" fontId="0" fillId="0" borderId="7" applyNumberFormat="0" applyAlignment="0" applyProtection="0"/>
    <xf numFmtId="0" fontId="0" fillId="0" borderId="7" applyNumberFormat="0" applyAlignment="0" applyProtection="0"/>
    <xf numFmtId="0" fontId="0" fillId="0" borderId="7" applyNumberFormat="0" applyAlignment="0" applyProtection="0"/>
    <xf numFmtId="0" fontId="0" fillId="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7" applyNumberFormat="0" applyAlignment="0" applyProtection="0"/>
    <xf numFmtId="0" fontId="0" fillId="0" borderId="7" applyNumberFormat="0" applyAlignment="0" applyProtection="0"/>
    <xf numFmtId="0" fontId="0" fillId="0" borderId="7" applyNumberFormat="0" applyAlignment="0" applyProtection="0"/>
    <xf numFmtId="0" fontId="0" fillId="0" borderId="7" applyNumberFormat="0" applyAlignment="0" applyProtection="0"/>
    <xf numFmtId="0" fontId="0" fillId="0" borderId="7" applyNumberFormat="0" applyAlignment="0" applyProtection="0"/>
    <xf numFmtId="0" fontId="0" fillId="0" borderId="7" applyNumberFormat="0" applyAlignment="0" applyProtection="0"/>
    <xf numFmtId="0" fontId="0" fillId="0" borderId="7" applyNumberFormat="0" applyAlignment="0" applyProtection="0"/>
    <xf numFmtId="184" fontId="0" fillId="0" borderId="0" applyFill="0" applyBorder="0" applyAlignment="0" applyProtection="0"/>
    <xf numFmtId="187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43" fontId="3" fillId="0" borderId="0" applyFill="0" applyBorder="0" applyAlignment="0" applyProtection="0"/>
    <xf numFmtId="179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184" fontId="0" fillId="0" borderId="0" applyFill="0" applyBorder="0" applyAlignment="0" applyProtection="0"/>
    <xf numFmtId="187" fontId="0" fillId="0" borderId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3" fillId="0" borderId="0">
      <alignment horizontal="right" vertical="top"/>
      <protection/>
    </xf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>
      <alignment/>
      <protection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2" fontId="36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0" fontId="0" fillId="0" borderId="0" applyProtection="0">
      <alignment/>
    </xf>
    <xf numFmtId="0" fontId="20" fillId="0" borderId="0">
      <alignment/>
      <protection/>
    </xf>
    <xf numFmtId="0" fontId="19" fillId="0" borderId="0">
      <alignment/>
      <protection/>
    </xf>
    <xf numFmtId="0" fontId="28" fillId="15" borderId="0" applyNumberFormat="0" applyBorder="0" applyAlignment="0" applyProtection="0"/>
    <xf numFmtId="0" fontId="38" fillId="0" borderId="0">
      <alignment horizontal="left" vertical="top"/>
      <protection/>
    </xf>
    <xf numFmtId="0" fontId="38" fillId="0" borderId="0">
      <alignment horizontal="left" vertical="top"/>
      <protection/>
    </xf>
    <xf numFmtId="0" fontId="38" fillId="0" borderId="0">
      <alignment horizontal="left" vertical="top"/>
      <protection/>
    </xf>
    <xf numFmtId="0" fontId="38" fillId="0" borderId="0">
      <alignment horizontal="left" vertical="top"/>
      <protection/>
    </xf>
    <xf numFmtId="0" fontId="38" fillId="0" borderId="0">
      <alignment horizontal="left" vertical="top"/>
      <protection/>
    </xf>
    <xf numFmtId="0" fontId="38" fillId="0" borderId="0">
      <alignment horizontal="left" vertical="top"/>
      <protection/>
    </xf>
    <xf numFmtId="0" fontId="38" fillId="0" borderId="0">
      <alignment horizontal="left" vertical="top"/>
      <protection/>
    </xf>
    <xf numFmtId="0" fontId="38" fillId="0" borderId="0">
      <alignment horizontal="left" vertical="top"/>
      <protection/>
    </xf>
    <xf numFmtId="0" fontId="38" fillId="0" borderId="0">
      <alignment horizontal="left" vertical="top"/>
      <protection/>
    </xf>
    <xf numFmtId="0" fontId="38" fillId="0" borderId="0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horizontal="left" vertical="top"/>
      <protection/>
    </xf>
    <xf numFmtId="0" fontId="38" fillId="0" borderId="0">
      <alignment horizontal="left" vertical="top"/>
      <protection/>
    </xf>
    <xf numFmtId="0" fontId="38" fillId="0" borderId="0">
      <alignment horizontal="left" vertical="top"/>
      <protection/>
    </xf>
    <xf numFmtId="0" fontId="38" fillId="0" borderId="0">
      <alignment horizontal="left" vertical="top"/>
      <protection/>
    </xf>
    <xf numFmtId="0" fontId="38" fillId="0" borderId="0">
      <alignment horizontal="left" vertical="top"/>
      <protection/>
    </xf>
    <xf numFmtId="0" fontId="38" fillId="0" borderId="0">
      <alignment horizontal="left" vertical="top"/>
      <protection/>
    </xf>
    <xf numFmtId="0" fontId="38" fillId="0" borderId="0">
      <alignment horizontal="left" vertical="top"/>
      <protection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4" borderId="0">
      <alignment/>
      <protection/>
    </xf>
    <xf numFmtId="0" fontId="41" fillId="44" borderId="0">
      <alignment/>
      <protection/>
    </xf>
    <xf numFmtId="0" fontId="41" fillId="44" borderId="0">
      <alignment/>
      <protection/>
    </xf>
    <xf numFmtId="0" fontId="41" fillId="44" borderId="0">
      <alignment/>
      <protection/>
    </xf>
    <xf numFmtId="0" fontId="41" fillId="44" borderId="0">
      <alignment/>
      <protection/>
    </xf>
    <xf numFmtId="0" fontId="41" fillId="44" borderId="0">
      <alignment/>
      <protection/>
    </xf>
    <xf numFmtId="0" fontId="41" fillId="44" borderId="0">
      <alignment/>
      <protection/>
    </xf>
    <xf numFmtId="0" fontId="41" fillId="44" borderId="0">
      <alignment/>
      <protection/>
    </xf>
    <xf numFmtId="0" fontId="41" fillId="44" borderId="0">
      <alignment/>
      <protection/>
    </xf>
    <xf numFmtId="0" fontId="41" fillId="4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4" borderId="0">
      <alignment/>
      <protection/>
    </xf>
    <xf numFmtId="0" fontId="41" fillId="44" borderId="0">
      <alignment/>
      <protection/>
    </xf>
    <xf numFmtId="0" fontId="41" fillId="44" borderId="0">
      <alignment/>
      <protection/>
    </xf>
    <xf numFmtId="0" fontId="41" fillId="44" borderId="0">
      <alignment/>
      <protection/>
    </xf>
    <xf numFmtId="0" fontId="41" fillId="44" borderId="0">
      <alignment/>
      <protection/>
    </xf>
    <xf numFmtId="0" fontId="41" fillId="44" borderId="0">
      <alignment/>
      <protection/>
    </xf>
    <xf numFmtId="0" fontId="41" fillId="44" borderId="0">
      <alignment/>
      <protection/>
    </xf>
    <xf numFmtId="0" fontId="42" fillId="45" borderId="0">
      <alignment/>
      <protection/>
    </xf>
    <xf numFmtId="0" fontId="42" fillId="45" borderId="0">
      <alignment/>
      <protection/>
    </xf>
    <xf numFmtId="0" fontId="42" fillId="45" borderId="0">
      <alignment/>
      <protection/>
    </xf>
    <xf numFmtId="0" fontId="42" fillId="45" borderId="0">
      <alignment/>
      <protection/>
    </xf>
    <xf numFmtId="0" fontId="42" fillId="45" borderId="0">
      <alignment/>
      <protection/>
    </xf>
    <xf numFmtId="0" fontId="42" fillId="45" borderId="0">
      <alignment/>
      <protection/>
    </xf>
    <xf numFmtId="0" fontId="42" fillId="45" borderId="0">
      <alignment/>
      <protection/>
    </xf>
    <xf numFmtId="0" fontId="42" fillId="45" borderId="0">
      <alignment/>
      <protection/>
    </xf>
    <xf numFmtId="0" fontId="42" fillId="45" borderId="0">
      <alignment/>
      <protection/>
    </xf>
    <xf numFmtId="0" fontId="42" fillId="45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45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45" borderId="0">
      <alignment/>
      <protection/>
    </xf>
    <xf numFmtId="0" fontId="42" fillId="45" borderId="0">
      <alignment/>
      <protection/>
    </xf>
    <xf numFmtId="0" fontId="42" fillId="45" borderId="0">
      <alignment/>
      <protection/>
    </xf>
    <xf numFmtId="0" fontId="42" fillId="45" borderId="0">
      <alignment/>
      <protection/>
    </xf>
    <xf numFmtId="0" fontId="42" fillId="45" borderId="0">
      <alignment/>
      <protection/>
    </xf>
    <xf numFmtId="0" fontId="42" fillId="45" borderId="0">
      <alignment/>
      <protection/>
    </xf>
    <xf numFmtId="0" fontId="42" fillId="45" borderId="0">
      <alignment/>
      <protection/>
    </xf>
    <xf numFmtId="0" fontId="43" fillId="46" borderId="0" applyNumberFormat="0" applyBorder="0" applyProtection="0">
      <alignment horizontal="center" vertical="center"/>
    </xf>
    <xf numFmtId="0" fontId="43" fillId="46" borderId="0" applyNumberFormat="0" applyBorder="0" applyProtection="0">
      <alignment horizontal="center" vertical="center"/>
    </xf>
    <xf numFmtId="0" fontId="43" fillId="46" borderId="0" applyNumberFormat="0" applyBorder="0" applyProtection="0">
      <alignment horizontal="center" vertical="center"/>
    </xf>
    <xf numFmtId="0" fontId="43" fillId="46" borderId="0" applyNumberFormat="0" applyBorder="0" applyProtection="0">
      <alignment horizontal="center" vertical="center"/>
    </xf>
    <xf numFmtId="0" fontId="43" fillId="46" borderId="0" applyNumberFormat="0" applyBorder="0" applyProtection="0">
      <alignment horizontal="center" vertical="center"/>
    </xf>
    <xf numFmtId="0" fontId="43" fillId="46" borderId="0" applyNumberFormat="0" applyBorder="0" applyProtection="0">
      <alignment horizontal="center" vertical="center"/>
    </xf>
    <xf numFmtId="0" fontId="43" fillId="46" borderId="0" applyNumberFormat="0" applyBorder="0" applyProtection="0">
      <alignment horizontal="center" vertical="center"/>
    </xf>
    <xf numFmtId="0" fontId="43" fillId="46" borderId="0" applyNumberFormat="0" applyBorder="0" applyProtection="0">
      <alignment horizontal="center" vertical="center"/>
    </xf>
    <xf numFmtId="0" fontId="43" fillId="46" borderId="0" applyNumberFormat="0" applyBorder="0" applyProtection="0">
      <alignment horizontal="center" vertical="center"/>
    </xf>
    <xf numFmtId="0" fontId="43" fillId="46" borderId="0" applyNumberFormat="0" applyBorder="0" applyProtection="0">
      <alignment horizontal="center" vertical="center"/>
    </xf>
    <xf numFmtId="0" fontId="0" fillId="0" borderId="0">
      <alignment/>
      <protection/>
    </xf>
    <xf numFmtId="0" fontId="0" fillId="0" borderId="0">
      <alignment/>
      <protection/>
    </xf>
    <xf numFmtId="0" fontId="43" fillId="46" borderId="0" applyNumberFormat="0" applyBorder="0" applyProtection="0">
      <alignment horizontal="center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46" borderId="0" applyNumberFormat="0" applyBorder="0" applyProtection="0">
      <alignment horizontal="center" vertical="center"/>
    </xf>
    <xf numFmtId="0" fontId="43" fillId="46" borderId="0" applyNumberFormat="0" applyBorder="0" applyProtection="0">
      <alignment horizontal="center" vertical="center"/>
    </xf>
    <xf numFmtId="0" fontId="43" fillId="46" borderId="0" applyNumberFormat="0" applyBorder="0" applyProtection="0">
      <alignment horizontal="center" vertical="center"/>
    </xf>
    <xf numFmtId="0" fontId="43" fillId="46" borderId="0" applyNumberFormat="0" applyBorder="0" applyProtection="0">
      <alignment horizontal="center" vertical="center"/>
    </xf>
    <xf numFmtId="0" fontId="43" fillId="46" borderId="0" applyNumberFormat="0" applyBorder="0" applyProtection="0">
      <alignment horizontal="center" vertical="center"/>
    </xf>
    <xf numFmtId="0" fontId="43" fillId="46" borderId="0" applyNumberFormat="0" applyBorder="0" applyProtection="0">
      <alignment horizontal="center" vertical="center"/>
    </xf>
    <xf numFmtId="0" fontId="43" fillId="46" borderId="0" applyNumberFormat="0" applyBorder="0" applyProtection="0">
      <alignment horizontal="center" vertical="center"/>
    </xf>
    <xf numFmtId="0" fontId="7" fillId="0" borderId="0">
      <alignment/>
      <protection/>
    </xf>
    <xf numFmtId="0" fontId="44" fillId="0" borderId="11">
      <alignment/>
      <protection/>
    </xf>
    <xf numFmtId="0" fontId="44" fillId="0" borderId="11">
      <alignment/>
      <protection/>
    </xf>
    <xf numFmtId="0" fontId="44" fillId="0" borderId="11">
      <alignment/>
      <protection/>
    </xf>
    <xf numFmtId="0" fontId="44" fillId="0" borderId="11">
      <alignment/>
      <protection/>
    </xf>
    <xf numFmtId="0" fontId="44" fillId="0" borderId="11">
      <alignment/>
      <protection/>
    </xf>
    <xf numFmtId="0" fontId="44" fillId="0" borderId="11">
      <alignment/>
      <protection/>
    </xf>
    <xf numFmtId="0" fontId="44" fillId="0" borderId="11">
      <alignment/>
      <protection/>
    </xf>
    <xf numFmtId="0" fontId="44" fillId="0" borderId="11">
      <alignment/>
      <protection/>
    </xf>
    <xf numFmtId="0" fontId="44" fillId="0" borderId="11">
      <alignment/>
      <protection/>
    </xf>
    <xf numFmtId="0" fontId="44" fillId="0" borderId="1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1">
      <alignment/>
      <protection/>
    </xf>
    <xf numFmtId="0" fontId="44" fillId="0" borderId="11">
      <alignment/>
      <protection/>
    </xf>
    <xf numFmtId="0" fontId="44" fillId="0" borderId="11">
      <alignment/>
      <protection/>
    </xf>
    <xf numFmtId="0" fontId="44" fillId="0" borderId="11">
      <alignment/>
      <protection/>
    </xf>
    <xf numFmtId="0" fontId="44" fillId="0" borderId="11">
      <alignment/>
      <protection/>
    </xf>
    <xf numFmtId="0" fontId="44" fillId="0" borderId="11">
      <alignment/>
      <protection/>
    </xf>
    <xf numFmtId="0" fontId="44" fillId="0" borderId="11">
      <alignment/>
      <protection/>
    </xf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47" borderId="12" applyNumberFormat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48" borderId="0" applyNumberFormat="0" applyBorder="0" applyAlignment="0" applyProtection="0"/>
    <xf numFmtId="0" fontId="30" fillId="17" borderId="4" applyNumberFormat="0" applyAlignment="0" applyProtection="0"/>
    <xf numFmtId="0" fontId="45" fillId="47" borderId="12" applyNumberFormat="0" applyAlignment="0" applyProtection="0"/>
    <xf numFmtId="0" fontId="45" fillId="47" borderId="12" applyNumberFormat="0" applyAlignment="0" applyProtection="0"/>
    <xf numFmtId="0" fontId="45" fillId="47" borderId="12" applyNumberFormat="0" applyAlignment="0" applyProtection="0"/>
    <xf numFmtId="0" fontId="45" fillId="47" borderId="12" applyNumberFormat="0" applyAlignment="0" applyProtection="0"/>
    <xf numFmtId="0" fontId="4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47" borderId="12" applyNumberFormat="0" applyAlignment="0" applyProtection="0"/>
    <xf numFmtId="0" fontId="45" fillId="47" borderId="12" applyNumberFormat="0" applyAlignment="0" applyProtection="0"/>
    <xf numFmtId="0" fontId="45" fillId="47" borderId="12" applyNumberFormat="0" applyAlignment="0" applyProtection="0"/>
    <xf numFmtId="0" fontId="45" fillId="47" borderId="12" applyNumberFormat="0" applyAlignment="0" applyProtection="0"/>
    <xf numFmtId="0" fontId="4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49" borderId="13" applyNumberFormat="0" applyAlignment="0" applyProtection="0"/>
    <xf numFmtId="0" fontId="57" fillId="0" borderId="14" applyNumberFormat="0" applyFill="0" applyAlignment="0" applyProtection="0"/>
    <xf numFmtId="0" fontId="0" fillId="0" borderId="15" applyNumberFormat="0">
      <alignment vertical="center" wrapText="1"/>
      <protection/>
    </xf>
    <xf numFmtId="0" fontId="0" fillId="0" borderId="15" applyNumberFormat="0">
      <alignment vertical="center" wrapText="1"/>
      <protection/>
    </xf>
    <xf numFmtId="0" fontId="0" fillId="0" borderId="15" applyNumberFormat="0">
      <alignment vertical="center" wrapText="1"/>
      <protection/>
    </xf>
    <xf numFmtId="0" fontId="0" fillId="0" borderId="15" applyNumberFormat="0">
      <alignment vertical="center" wrapText="1"/>
      <protection/>
    </xf>
    <xf numFmtId="0" fontId="0" fillId="0" borderId="15" applyNumberFormat="0">
      <alignment vertical="center" wrapText="1"/>
      <protection/>
    </xf>
    <xf numFmtId="0" fontId="0" fillId="0" borderId="15" applyNumberFormat="0">
      <alignment vertical="center" wrapText="1"/>
      <protection/>
    </xf>
    <xf numFmtId="0" fontId="0" fillId="0" borderId="15" applyNumberFormat="0">
      <alignment vertical="center" wrapText="1"/>
      <protection/>
    </xf>
    <xf numFmtId="0" fontId="0" fillId="0" borderId="15" applyNumberFormat="0">
      <alignment vertical="center" wrapText="1"/>
      <protection/>
    </xf>
    <xf numFmtId="0" fontId="0" fillId="0" borderId="15" applyNumberFormat="0">
      <alignment vertical="center" wrapText="1"/>
      <protection/>
    </xf>
    <xf numFmtId="0" fontId="0" fillId="0" borderId="15" applyNumberFormat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15" applyNumberFormat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15" applyNumberFormat="0">
      <alignment vertical="center" wrapText="1"/>
      <protection/>
    </xf>
    <xf numFmtId="0" fontId="0" fillId="0" borderId="15" applyNumberFormat="0">
      <alignment vertical="center" wrapText="1"/>
      <protection/>
    </xf>
    <xf numFmtId="0" fontId="0" fillId="0" borderId="15" applyNumberFormat="0">
      <alignment vertical="center" wrapText="1"/>
      <protection/>
    </xf>
    <xf numFmtId="0" fontId="0" fillId="0" borderId="15" applyNumberFormat="0">
      <alignment vertical="center" wrapText="1"/>
      <protection/>
    </xf>
    <xf numFmtId="0" fontId="0" fillId="0" borderId="15" applyNumberFormat="0">
      <alignment vertical="center" wrapText="1"/>
      <protection/>
    </xf>
    <xf numFmtId="0" fontId="0" fillId="0" borderId="15" applyNumberFormat="0">
      <alignment vertical="center" wrapText="1"/>
      <protection/>
    </xf>
    <xf numFmtId="0" fontId="0" fillId="0" borderId="15" applyNumberFormat="0">
      <alignment vertical="center" wrapText="1"/>
      <protection/>
    </xf>
    <xf numFmtId="191" fontId="34" fillId="0" borderId="0">
      <alignment/>
      <protection locked="0"/>
    </xf>
    <xf numFmtId="191" fontId="34" fillId="0" borderId="0">
      <alignment/>
      <protection locked="0"/>
    </xf>
    <xf numFmtId="191" fontId="34" fillId="0" borderId="0">
      <alignment/>
      <protection locked="0"/>
    </xf>
    <xf numFmtId="191" fontId="34" fillId="0" borderId="0">
      <alignment/>
      <protection locked="0"/>
    </xf>
    <xf numFmtId="191" fontId="34" fillId="0" borderId="0">
      <alignment/>
      <protection locked="0"/>
    </xf>
    <xf numFmtId="191" fontId="34" fillId="0" borderId="0">
      <alignment/>
      <protection locked="0"/>
    </xf>
    <xf numFmtId="191" fontId="34" fillId="0" borderId="0">
      <alignment/>
      <protection locked="0"/>
    </xf>
    <xf numFmtId="191" fontId="34" fillId="0" borderId="0">
      <alignment/>
      <protection locked="0"/>
    </xf>
    <xf numFmtId="191" fontId="34" fillId="0" borderId="0">
      <alignment/>
      <protection locked="0"/>
    </xf>
    <xf numFmtId="191" fontId="3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191" fontId="3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34" fillId="0" borderId="0">
      <alignment/>
      <protection locked="0"/>
    </xf>
    <xf numFmtId="191" fontId="34" fillId="0" borderId="0">
      <alignment/>
      <protection locked="0"/>
    </xf>
    <xf numFmtId="191" fontId="34" fillId="0" borderId="0">
      <alignment/>
      <protection locked="0"/>
    </xf>
    <xf numFmtId="191" fontId="34" fillId="0" borderId="0">
      <alignment/>
      <protection locked="0"/>
    </xf>
    <xf numFmtId="191" fontId="34" fillId="0" borderId="0">
      <alignment/>
      <protection locked="0"/>
    </xf>
    <xf numFmtId="191" fontId="34" fillId="0" borderId="0">
      <alignment/>
      <protection locked="0"/>
    </xf>
    <xf numFmtId="191" fontId="34" fillId="0" borderId="0">
      <alignment/>
      <protection locked="0"/>
    </xf>
    <xf numFmtId="44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181" fontId="3" fillId="0" borderId="0" applyFill="0" applyBorder="0" applyAlignment="0" applyProtection="0"/>
    <xf numFmtId="44" fontId="1" fillId="0" borderId="0" applyFont="0" applyFill="0" applyBorder="0" applyAlignment="0" applyProtection="0"/>
    <xf numFmtId="198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ill="0" applyBorder="0" applyAlignment="0" applyProtection="0"/>
    <xf numFmtId="0" fontId="46" fillId="0" borderId="0">
      <alignment/>
      <protection/>
    </xf>
    <xf numFmtId="0" fontId="118" fillId="0" borderId="1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17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18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0" fillId="50" borderId="0">
      <alignment/>
      <protection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0" fillId="0" borderId="0">
      <alignment/>
      <protection/>
    </xf>
    <xf numFmtId="0" fontId="4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8" fillId="51" borderId="19">
      <alignment horizontal="left" vertical="center" wrapText="1"/>
      <protection locked="0"/>
    </xf>
    <xf numFmtId="0" fontId="48" fillId="51" borderId="19">
      <alignment horizontal="left" vertical="center" wrapText="1"/>
      <protection locked="0"/>
    </xf>
    <xf numFmtId="0" fontId="48" fillId="51" borderId="19">
      <alignment horizontal="left" vertical="center" wrapText="1"/>
      <protection locked="0"/>
    </xf>
    <xf numFmtId="0" fontId="48" fillId="51" borderId="19">
      <alignment horizontal="left" vertical="center" wrapText="1"/>
      <protection locked="0"/>
    </xf>
    <xf numFmtId="0" fontId="48" fillId="51" borderId="19">
      <alignment horizontal="left" vertical="center" wrapText="1"/>
      <protection locked="0"/>
    </xf>
    <xf numFmtId="0" fontId="48" fillId="51" borderId="19">
      <alignment horizontal="left" vertical="center" wrapText="1"/>
      <protection locked="0"/>
    </xf>
    <xf numFmtId="0" fontId="48" fillId="51" borderId="19">
      <alignment horizontal="left" vertical="center" wrapText="1"/>
      <protection locked="0"/>
    </xf>
    <xf numFmtId="0" fontId="48" fillId="51" borderId="19">
      <alignment horizontal="left" vertical="center" wrapText="1"/>
      <protection locked="0"/>
    </xf>
    <xf numFmtId="0" fontId="48" fillId="51" borderId="19">
      <alignment horizontal="left" vertical="center" wrapText="1"/>
      <protection locked="0"/>
    </xf>
    <xf numFmtId="0" fontId="48" fillId="51" borderId="19">
      <alignment horizontal="left" vertical="center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48" fillId="51" borderId="19">
      <alignment horizontal="left" vertical="center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51" borderId="19">
      <alignment horizontal="left" vertical="center" wrapText="1"/>
      <protection locked="0"/>
    </xf>
    <xf numFmtId="0" fontId="48" fillId="51" borderId="19">
      <alignment horizontal="left" vertical="center" wrapText="1"/>
      <protection locked="0"/>
    </xf>
    <xf numFmtId="0" fontId="48" fillId="51" borderId="19">
      <alignment horizontal="left" vertical="center" wrapText="1"/>
      <protection locked="0"/>
    </xf>
    <xf numFmtId="0" fontId="48" fillId="51" borderId="19">
      <alignment horizontal="left" vertical="center" wrapText="1"/>
      <protection locked="0"/>
    </xf>
    <xf numFmtId="0" fontId="48" fillId="51" borderId="19">
      <alignment horizontal="left" vertical="center" wrapText="1"/>
      <protection locked="0"/>
    </xf>
    <xf numFmtId="0" fontId="48" fillId="51" borderId="19">
      <alignment horizontal="left" vertical="center" wrapText="1"/>
      <protection locked="0"/>
    </xf>
    <xf numFmtId="0" fontId="48" fillId="51" borderId="19">
      <alignment horizontal="left" vertical="center" wrapText="1"/>
      <protection locked="0"/>
    </xf>
    <xf numFmtId="0" fontId="0" fillId="52" borderId="19">
      <alignment horizontal="left" vertical="center" wrapText="1"/>
      <protection locked="0"/>
    </xf>
    <xf numFmtId="0" fontId="0" fillId="52" borderId="19">
      <alignment horizontal="left" vertical="center" wrapText="1"/>
      <protection locked="0"/>
    </xf>
    <xf numFmtId="0" fontId="0" fillId="52" borderId="19">
      <alignment horizontal="left" vertical="center" wrapText="1"/>
      <protection locked="0"/>
    </xf>
    <xf numFmtId="0" fontId="0" fillId="52" borderId="19">
      <alignment horizontal="left" vertical="center" wrapText="1"/>
      <protection locked="0"/>
    </xf>
    <xf numFmtId="0" fontId="0" fillId="52" borderId="19">
      <alignment horizontal="left" vertical="center" wrapText="1"/>
      <protection locked="0"/>
    </xf>
    <xf numFmtId="0" fontId="0" fillId="52" borderId="19">
      <alignment horizontal="left" vertical="center" wrapText="1"/>
      <protection locked="0"/>
    </xf>
    <xf numFmtId="0" fontId="0" fillId="52" borderId="19">
      <alignment horizontal="left" vertical="center" wrapText="1"/>
      <protection locked="0"/>
    </xf>
    <xf numFmtId="0" fontId="0" fillId="52" borderId="19">
      <alignment horizontal="left" vertical="center" wrapText="1"/>
      <protection locked="0"/>
    </xf>
    <xf numFmtId="0" fontId="0" fillId="52" borderId="19">
      <alignment horizontal="left" vertical="center" wrapText="1"/>
      <protection locked="0"/>
    </xf>
    <xf numFmtId="0" fontId="0" fillId="52" borderId="19">
      <alignment horizontal="left" vertical="center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9">
      <alignment horizontal="left" vertical="center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9">
      <alignment horizontal="left" vertical="center" wrapText="1"/>
      <protection locked="0"/>
    </xf>
    <xf numFmtId="0" fontId="0" fillId="52" borderId="19">
      <alignment horizontal="left" vertical="center" wrapText="1"/>
      <protection locked="0"/>
    </xf>
    <xf numFmtId="0" fontId="0" fillId="52" borderId="19">
      <alignment horizontal="left" vertical="center" wrapText="1"/>
      <protection locked="0"/>
    </xf>
    <xf numFmtId="0" fontId="0" fillId="52" borderId="19">
      <alignment horizontal="left" vertical="center" wrapText="1"/>
      <protection locked="0"/>
    </xf>
    <xf numFmtId="0" fontId="0" fillId="52" borderId="19">
      <alignment horizontal="left" vertical="center" wrapText="1"/>
      <protection locked="0"/>
    </xf>
    <xf numFmtId="0" fontId="0" fillId="52" borderId="19">
      <alignment horizontal="left" vertical="center" wrapText="1"/>
      <protection locked="0"/>
    </xf>
    <xf numFmtId="0" fontId="0" fillId="52" borderId="19">
      <alignment horizontal="left" vertical="center" wrapText="1"/>
      <protection locked="0"/>
    </xf>
    <xf numFmtId="0" fontId="49" fillId="18" borderId="19" applyNumberFormat="0" applyProtection="0">
      <alignment horizontal="left" vertical="center"/>
    </xf>
    <xf numFmtId="0" fontId="49" fillId="18" borderId="19" applyNumberFormat="0" applyProtection="0">
      <alignment horizontal="left" vertical="center"/>
    </xf>
    <xf numFmtId="0" fontId="49" fillId="18" borderId="19" applyNumberFormat="0" applyProtection="0">
      <alignment horizontal="left" vertical="center"/>
    </xf>
    <xf numFmtId="0" fontId="49" fillId="18" borderId="19" applyNumberFormat="0" applyProtection="0">
      <alignment horizontal="left" vertical="center"/>
    </xf>
    <xf numFmtId="0" fontId="49" fillId="18" borderId="19" applyNumberFormat="0" applyProtection="0">
      <alignment horizontal="left" vertical="center"/>
    </xf>
    <xf numFmtId="0" fontId="49" fillId="18" borderId="19" applyNumberFormat="0" applyProtection="0">
      <alignment horizontal="left" vertical="center"/>
    </xf>
    <xf numFmtId="0" fontId="49" fillId="18" borderId="19" applyNumberFormat="0" applyProtection="0">
      <alignment horizontal="left" vertical="center"/>
    </xf>
    <xf numFmtId="0" fontId="49" fillId="18" borderId="19" applyNumberFormat="0" applyProtection="0">
      <alignment horizontal="left" vertical="center"/>
    </xf>
    <xf numFmtId="0" fontId="49" fillId="18" borderId="19" applyNumberFormat="0" applyProtection="0">
      <alignment horizontal="left" vertical="center"/>
    </xf>
    <xf numFmtId="0" fontId="49" fillId="18" borderId="19" applyNumberFormat="0" applyProtection="0">
      <alignment horizontal="left" vertical="center"/>
    </xf>
    <xf numFmtId="0" fontId="0" fillId="0" borderId="0">
      <alignment/>
      <protection/>
    </xf>
    <xf numFmtId="0" fontId="0" fillId="0" borderId="0">
      <alignment/>
      <protection/>
    </xf>
    <xf numFmtId="0" fontId="49" fillId="18" borderId="19" applyNumberFormat="0" applyProtection="0">
      <alignment horizontal="lef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18" borderId="19" applyNumberFormat="0" applyProtection="0">
      <alignment horizontal="left" vertical="center"/>
    </xf>
    <xf numFmtId="0" fontId="49" fillId="18" borderId="19" applyNumberFormat="0" applyProtection="0">
      <alignment horizontal="left" vertical="center"/>
    </xf>
    <xf numFmtId="0" fontId="49" fillId="18" borderId="19" applyNumberFormat="0" applyProtection="0">
      <alignment horizontal="left" vertical="center"/>
    </xf>
    <xf numFmtId="0" fontId="49" fillId="18" borderId="19" applyNumberFormat="0" applyProtection="0">
      <alignment horizontal="left" vertical="center"/>
    </xf>
    <xf numFmtId="0" fontId="49" fillId="18" borderId="19" applyNumberFormat="0" applyProtection="0">
      <alignment horizontal="left" vertical="center"/>
    </xf>
    <xf numFmtId="0" fontId="49" fillId="18" borderId="19" applyNumberFormat="0" applyProtection="0">
      <alignment horizontal="left" vertical="center"/>
    </xf>
    <xf numFmtId="0" fontId="49" fillId="18" borderId="19" applyNumberFormat="0" applyProtection="0">
      <alignment horizontal="left" vertical="center"/>
    </xf>
    <xf numFmtId="0" fontId="1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>
      <alignment/>
      <protection/>
    </xf>
    <xf numFmtId="2" fontId="6" fillId="0" borderId="0">
      <alignment/>
      <protection/>
    </xf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55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65" fillId="0" borderId="0" applyFill="0" applyBorder="0" applyProtection="0">
      <alignment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 applyProtection="0">
      <alignment/>
    </xf>
    <xf numFmtId="0" fontId="50" fillId="0" borderId="0" applyProtection="0">
      <alignment/>
    </xf>
    <xf numFmtId="0" fontId="50" fillId="0" borderId="0" applyProtection="0">
      <alignment/>
    </xf>
    <xf numFmtId="0" fontId="5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0" fillId="0" borderId="0">
      <alignment/>
      <protection/>
    </xf>
    <xf numFmtId="0" fontId="3" fillId="0" borderId="0" applyAlignment="0">
      <protection locked="0"/>
    </xf>
    <xf numFmtId="0" fontId="3" fillId="0" borderId="0" applyAlignment="0">
      <protection locked="0"/>
    </xf>
    <xf numFmtId="0" fontId="3" fillId="0" borderId="0" applyAlignment="0">
      <protection locked="0"/>
    </xf>
    <xf numFmtId="0" fontId="0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" fillId="54" borderId="20" applyNumberFormat="0" applyAlignment="0" applyProtection="0"/>
    <xf numFmtId="0" fontId="31" fillId="43" borderId="21" applyNumberFormat="0" applyAlignment="0" applyProtection="0"/>
    <xf numFmtId="192" fontId="34" fillId="0" borderId="0">
      <alignment/>
      <protection locked="0"/>
    </xf>
    <xf numFmtId="192" fontId="34" fillId="0" borderId="0">
      <alignment/>
      <protection locked="0"/>
    </xf>
    <xf numFmtId="192" fontId="34" fillId="0" borderId="0">
      <alignment/>
      <protection locked="0"/>
    </xf>
    <xf numFmtId="192" fontId="34" fillId="0" borderId="0">
      <alignment/>
      <protection locked="0"/>
    </xf>
    <xf numFmtId="192" fontId="34" fillId="0" borderId="0">
      <alignment/>
      <protection locked="0"/>
    </xf>
    <xf numFmtId="192" fontId="34" fillId="0" borderId="0">
      <alignment/>
      <protection locked="0"/>
    </xf>
    <xf numFmtId="192" fontId="34" fillId="0" borderId="0">
      <alignment/>
      <protection locked="0"/>
    </xf>
    <xf numFmtId="192" fontId="34" fillId="0" borderId="0">
      <alignment/>
      <protection locked="0"/>
    </xf>
    <xf numFmtId="192" fontId="34" fillId="0" borderId="0">
      <alignment/>
      <protection locked="0"/>
    </xf>
    <xf numFmtId="192" fontId="3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192" fontId="3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34" fillId="0" borderId="0">
      <alignment/>
      <protection locked="0"/>
    </xf>
    <xf numFmtId="192" fontId="34" fillId="0" borderId="0">
      <alignment/>
      <protection locked="0"/>
    </xf>
    <xf numFmtId="192" fontId="34" fillId="0" borderId="0">
      <alignment/>
      <protection locked="0"/>
    </xf>
    <xf numFmtId="192" fontId="34" fillId="0" borderId="0">
      <alignment/>
      <protection locked="0"/>
    </xf>
    <xf numFmtId="192" fontId="34" fillId="0" borderId="0">
      <alignment/>
      <protection locked="0"/>
    </xf>
    <xf numFmtId="192" fontId="34" fillId="0" borderId="0">
      <alignment/>
      <protection locked="0"/>
    </xf>
    <xf numFmtId="192" fontId="34" fillId="0" borderId="0">
      <alignment/>
      <protection locked="0"/>
    </xf>
    <xf numFmtId="0" fontId="9" fillId="0" borderId="0">
      <alignment/>
      <protection/>
    </xf>
    <xf numFmtId="0" fontId="51" fillId="0" borderId="0">
      <alignment wrapText="1"/>
      <protection/>
    </xf>
    <xf numFmtId="0" fontId="51" fillId="0" borderId="0">
      <alignment wrapText="1"/>
      <protection/>
    </xf>
    <xf numFmtId="0" fontId="51" fillId="0" borderId="0">
      <alignment wrapText="1"/>
      <protection/>
    </xf>
    <xf numFmtId="0" fontId="51" fillId="0" borderId="0">
      <alignment wrapText="1"/>
      <protection/>
    </xf>
    <xf numFmtId="0" fontId="51" fillId="0" borderId="0">
      <alignment wrapText="1"/>
      <protection/>
    </xf>
    <xf numFmtId="0" fontId="51" fillId="0" borderId="0">
      <alignment wrapText="1"/>
      <protection/>
    </xf>
    <xf numFmtId="0" fontId="51" fillId="0" borderId="0">
      <alignment wrapText="1"/>
      <protection/>
    </xf>
    <xf numFmtId="0" fontId="51" fillId="0" borderId="0">
      <alignment wrapText="1"/>
      <protection/>
    </xf>
    <xf numFmtId="0" fontId="51" fillId="0" borderId="0">
      <alignment wrapText="1"/>
      <protection/>
    </xf>
    <xf numFmtId="0" fontId="5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wrapText="1"/>
      <protection/>
    </xf>
    <xf numFmtId="0" fontId="51" fillId="0" borderId="0">
      <alignment wrapText="1"/>
      <protection/>
    </xf>
    <xf numFmtId="0" fontId="51" fillId="0" borderId="0">
      <alignment wrapText="1"/>
      <protection/>
    </xf>
    <xf numFmtId="0" fontId="51" fillId="0" borderId="0">
      <alignment wrapText="1"/>
      <protection/>
    </xf>
    <xf numFmtId="0" fontId="51" fillId="0" borderId="0">
      <alignment wrapText="1"/>
      <protection/>
    </xf>
    <xf numFmtId="0" fontId="51" fillId="0" borderId="0">
      <alignment wrapText="1"/>
      <protection/>
    </xf>
    <xf numFmtId="0" fontId="51" fillId="0" borderId="0">
      <alignment wrapText="1"/>
      <protection/>
    </xf>
    <xf numFmtId="0" fontId="63" fillId="0" borderId="0">
      <alignment horizontal="left" vertical="top" wrapText="1"/>
      <protection/>
    </xf>
    <xf numFmtId="0" fontId="15" fillId="0" borderId="0" applyNumberFormat="0" applyFill="0" applyBorder="0" applyAlignment="0" applyProtection="0"/>
    <xf numFmtId="0" fontId="0" fillId="56" borderId="22" applyNumberFormat="0" applyFont="0" applyAlignment="0" applyProtection="0"/>
    <xf numFmtId="0" fontId="0" fillId="54" borderId="20" applyNumberFormat="0" applyAlignment="0" applyProtection="0"/>
    <xf numFmtId="0" fontId="0" fillId="54" borderId="20" applyNumberFormat="0" applyAlignment="0" applyProtection="0"/>
    <xf numFmtId="0" fontId="0" fillId="54" borderId="20" applyNumberFormat="0" applyAlignment="0" applyProtection="0"/>
    <xf numFmtId="0" fontId="0" fillId="54" borderId="2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horizontal="left" vertical="center"/>
      <protection locked="0"/>
    </xf>
    <xf numFmtId="0" fontId="52" fillId="0" borderId="0">
      <alignment horizontal="left" vertical="center"/>
      <protection locked="0"/>
    </xf>
    <xf numFmtId="0" fontId="52" fillId="0" borderId="0">
      <alignment horizontal="left" vertical="center"/>
      <protection locked="0"/>
    </xf>
    <xf numFmtId="0" fontId="52" fillId="0" borderId="0">
      <alignment horizontal="left" vertical="center"/>
      <protection locked="0"/>
    </xf>
    <xf numFmtId="0" fontId="52" fillId="0" borderId="0">
      <alignment horizontal="left" vertical="center"/>
      <protection locked="0"/>
    </xf>
    <xf numFmtId="0" fontId="52" fillId="0" borderId="0">
      <alignment horizontal="left" vertical="center"/>
      <protection locked="0"/>
    </xf>
    <xf numFmtId="0" fontId="52" fillId="0" borderId="0">
      <alignment horizontal="left" vertical="center"/>
      <protection locked="0"/>
    </xf>
    <xf numFmtId="0" fontId="52" fillId="0" borderId="0">
      <alignment horizontal="left" vertical="center"/>
      <protection locked="0"/>
    </xf>
    <xf numFmtId="0" fontId="52" fillId="0" borderId="0">
      <alignment horizontal="left" vertical="center"/>
      <protection locked="0"/>
    </xf>
    <xf numFmtId="0" fontId="52" fillId="0" borderId="0">
      <alignment horizontal="left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horizontal="left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horizontal="left" vertical="center"/>
      <protection locked="0"/>
    </xf>
    <xf numFmtId="0" fontId="52" fillId="0" borderId="0">
      <alignment horizontal="left" vertical="center"/>
      <protection locked="0"/>
    </xf>
    <xf numFmtId="0" fontId="52" fillId="0" borderId="0">
      <alignment horizontal="left" vertical="center"/>
      <protection locked="0"/>
    </xf>
    <xf numFmtId="0" fontId="52" fillId="0" borderId="0">
      <alignment horizontal="left" vertical="center"/>
      <protection locked="0"/>
    </xf>
    <xf numFmtId="0" fontId="52" fillId="0" borderId="0">
      <alignment horizontal="left" vertical="center"/>
      <protection locked="0"/>
    </xf>
    <xf numFmtId="0" fontId="52" fillId="0" borderId="0">
      <alignment horizontal="left" vertical="center"/>
      <protection locked="0"/>
    </xf>
    <xf numFmtId="0" fontId="52" fillId="0" borderId="0">
      <alignment horizontal="left" vertical="center"/>
      <protection locked="0"/>
    </xf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193" fontId="34" fillId="0" borderId="0">
      <alignment/>
      <protection locked="0"/>
    </xf>
    <xf numFmtId="193" fontId="34" fillId="0" borderId="0">
      <alignment/>
      <protection locked="0"/>
    </xf>
    <xf numFmtId="193" fontId="34" fillId="0" borderId="0">
      <alignment/>
      <protection locked="0"/>
    </xf>
    <xf numFmtId="193" fontId="34" fillId="0" borderId="0">
      <alignment/>
      <protection locked="0"/>
    </xf>
    <xf numFmtId="193" fontId="34" fillId="0" borderId="0">
      <alignment/>
      <protection locked="0"/>
    </xf>
    <xf numFmtId="193" fontId="34" fillId="0" borderId="0">
      <alignment/>
      <protection locked="0"/>
    </xf>
    <xf numFmtId="193" fontId="34" fillId="0" borderId="0">
      <alignment/>
      <protection locked="0"/>
    </xf>
    <xf numFmtId="193" fontId="34" fillId="0" borderId="0">
      <alignment/>
      <protection locked="0"/>
    </xf>
    <xf numFmtId="193" fontId="3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3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34" fillId="0" borderId="0">
      <alignment/>
      <protection locked="0"/>
    </xf>
    <xf numFmtId="193" fontId="34" fillId="0" borderId="0">
      <alignment/>
      <protection locked="0"/>
    </xf>
    <xf numFmtId="193" fontId="34" fillId="0" borderId="0">
      <alignment/>
      <protection locked="0"/>
    </xf>
    <xf numFmtId="193" fontId="34" fillId="0" borderId="0">
      <alignment/>
      <protection locked="0"/>
    </xf>
    <xf numFmtId="193" fontId="34" fillId="0" borderId="0">
      <alignment/>
      <protection locked="0"/>
    </xf>
    <xf numFmtId="193" fontId="34" fillId="0" borderId="0">
      <alignment/>
      <protection locked="0"/>
    </xf>
    <xf numFmtId="193" fontId="34" fillId="0" borderId="0">
      <alignment/>
      <protection locked="0"/>
    </xf>
    <xf numFmtId="49" fontId="67" fillId="0" borderId="0">
      <alignment/>
      <protection/>
    </xf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0" borderId="24" applyNumberFormat="0" applyFill="0" applyAlignment="0" applyProtection="0"/>
    <xf numFmtId="0" fontId="33" fillId="52" borderId="25" applyNumberFormat="0" applyProtection="0">
      <alignment horizontal="left" vertical="center"/>
    </xf>
    <xf numFmtId="0" fontId="33" fillId="52" borderId="25" applyNumberFormat="0" applyProtection="0">
      <alignment horizontal="left" vertical="center"/>
    </xf>
    <xf numFmtId="0" fontId="33" fillId="52" borderId="25" applyNumberFormat="0" applyProtection="0">
      <alignment horizontal="left" vertical="center"/>
    </xf>
    <xf numFmtId="0" fontId="33" fillId="52" borderId="25" applyNumberFormat="0" applyProtection="0">
      <alignment horizontal="left" vertical="center"/>
    </xf>
    <xf numFmtId="0" fontId="33" fillId="52" borderId="25" applyNumberFormat="0" applyProtection="0">
      <alignment horizontal="left" vertical="center"/>
    </xf>
    <xf numFmtId="0" fontId="33" fillId="52" borderId="25" applyNumberFormat="0" applyProtection="0">
      <alignment horizontal="left" vertical="center"/>
    </xf>
    <xf numFmtId="0" fontId="33" fillId="52" borderId="25" applyNumberFormat="0" applyProtection="0">
      <alignment horizontal="left" vertical="center"/>
    </xf>
    <xf numFmtId="0" fontId="33" fillId="52" borderId="25" applyNumberFormat="0" applyProtection="0">
      <alignment horizontal="left" vertical="center"/>
    </xf>
    <xf numFmtId="0" fontId="33" fillId="52" borderId="25" applyNumberFormat="0" applyProtection="0">
      <alignment horizontal="lef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52" borderId="25" applyNumberFormat="0" applyProtection="0">
      <alignment horizontal="lef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52" borderId="25" applyNumberFormat="0" applyProtection="0">
      <alignment horizontal="left" vertical="center"/>
    </xf>
    <xf numFmtId="0" fontId="33" fillId="52" borderId="25" applyNumberFormat="0" applyProtection="0">
      <alignment horizontal="left" vertical="center"/>
    </xf>
    <xf numFmtId="0" fontId="33" fillId="52" borderId="25" applyNumberFormat="0" applyProtection="0">
      <alignment horizontal="left" vertical="center"/>
    </xf>
    <xf numFmtId="0" fontId="33" fillId="52" borderId="25" applyNumberFormat="0" applyProtection="0">
      <alignment horizontal="left" vertical="center"/>
    </xf>
    <xf numFmtId="0" fontId="33" fillId="52" borderId="25" applyNumberFormat="0" applyProtection="0">
      <alignment horizontal="left" vertical="center"/>
    </xf>
    <xf numFmtId="0" fontId="33" fillId="52" borderId="25" applyNumberFormat="0" applyProtection="0">
      <alignment horizontal="left" vertical="center"/>
    </xf>
    <xf numFmtId="0" fontId="33" fillId="52" borderId="25" applyNumberFormat="0" applyProtection="0">
      <alignment horizontal="left" vertical="center"/>
    </xf>
    <xf numFmtId="0" fontId="68" fillId="0" borderId="0" applyNumberFormat="0">
      <alignment/>
      <protection/>
    </xf>
    <xf numFmtId="1" fontId="0" fillId="0" borderId="0">
      <alignment horizontal="center" vertical="center"/>
      <protection locked="0"/>
    </xf>
    <xf numFmtId="0" fontId="21" fillId="0" borderId="26" applyNumberFormat="0" applyFill="0" applyAlignment="0" applyProtection="0"/>
    <xf numFmtId="0" fontId="21" fillId="0" borderId="26" applyNumberFormat="0" applyFill="0" applyAlignment="0" applyProtection="0"/>
    <xf numFmtId="0" fontId="21" fillId="0" borderId="26" applyNumberFormat="0" applyFill="0" applyAlignment="0" applyProtection="0"/>
    <xf numFmtId="0" fontId="21" fillId="0" borderId="2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57" borderId="0" applyNumberFormat="0" applyBorder="0" applyAlignment="0" applyProtection="0"/>
    <xf numFmtId="0" fontId="0" fillId="0" borderId="0">
      <alignment/>
      <protection/>
    </xf>
    <xf numFmtId="0" fontId="10" fillId="58" borderId="0">
      <alignment horizontal="left"/>
      <protection/>
    </xf>
    <xf numFmtId="0" fontId="11" fillId="58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1" applyNumberFormat="0" applyFont="0" applyFill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21" fillId="0" borderId="26" applyNumberFormat="0" applyFill="0" applyAlignment="0" applyProtection="0"/>
    <xf numFmtId="0" fontId="10" fillId="0" borderId="0">
      <alignment/>
      <protection/>
    </xf>
    <xf numFmtId="180" fontId="12" fillId="0" borderId="15">
      <alignment horizontal="right" vertical="center"/>
      <protection/>
    </xf>
    <xf numFmtId="49" fontId="69" fillId="59" borderId="0">
      <alignment horizontal="left" vertical="center"/>
      <protection/>
    </xf>
    <xf numFmtId="194" fontId="37" fillId="0" borderId="0">
      <alignment horizontal="right"/>
      <protection/>
    </xf>
    <xf numFmtId="194" fontId="37" fillId="0" borderId="0">
      <alignment horizontal="right"/>
      <protection/>
    </xf>
    <xf numFmtId="194" fontId="37" fillId="0" borderId="0">
      <alignment horizontal="right"/>
      <protection/>
    </xf>
    <xf numFmtId="194" fontId="37" fillId="0" borderId="0">
      <alignment horizontal="right"/>
      <protection/>
    </xf>
    <xf numFmtId="194" fontId="37" fillId="0" borderId="0">
      <alignment horizontal="right"/>
      <protection/>
    </xf>
    <xf numFmtId="194" fontId="37" fillId="0" borderId="0">
      <alignment horizontal="right"/>
      <protection/>
    </xf>
    <xf numFmtId="194" fontId="37" fillId="0" borderId="0">
      <alignment horizontal="right"/>
      <protection/>
    </xf>
    <xf numFmtId="194" fontId="37" fillId="0" borderId="0">
      <alignment horizontal="right"/>
      <protection/>
    </xf>
    <xf numFmtId="194" fontId="37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37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37" fillId="0" borderId="0">
      <alignment horizontal="right"/>
      <protection/>
    </xf>
    <xf numFmtId="194" fontId="37" fillId="0" borderId="0">
      <alignment horizontal="right"/>
      <protection/>
    </xf>
    <xf numFmtId="194" fontId="37" fillId="0" borderId="0">
      <alignment horizontal="right"/>
      <protection/>
    </xf>
    <xf numFmtId="194" fontId="37" fillId="0" borderId="0">
      <alignment horizontal="right"/>
      <protection/>
    </xf>
    <xf numFmtId="194" fontId="37" fillId="0" borderId="0">
      <alignment horizontal="right"/>
      <protection/>
    </xf>
    <xf numFmtId="194" fontId="37" fillId="0" borderId="0">
      <alignment horizontal="right"/>
      <protection/>
    </xf>
    <xf numFmtId="194" fontId="37" fillId="0" borderId="0">
      <alignment horizontal="right"/>
      <protection/>
    </xf>
    <xf numFmtId="0" fontId="70" fillId="0" borderId="0">
      <alignment/>
      <protection/>
    </xf>
    <xf numFmtId="0" fontId="126" fillId="60" borderId="27" applyNumberFormat="0" applyAlignment="0" applyProtection="0"/>
    <xf numFmtId="0" fontId="30" fillId="8" borderId="4" applyNumberFormat="0" applyAlignment="0" applyProtection="0"/>
    <xf numFmtId="0" fontId="30" fillId="8" borderId="4" applyNumberFormat="0" applyAlignment="0" applyProtection="0"/>
    <xf numFmtId="0" fontId="30" fillId="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46" borderId="4" applyNumberFormat="0" applyAlignment="0" applyProtection="0"/>
    <xf numFmtId="0" fontId="54" fillId="46" borderId="4" applyNumberFormat="0" applyAlignment="0" applyProtection="0"/>
    <xf numFmtId="0" fontId="54" fillId="46" borderId="4" applyNumberFormat="0" applyAlignment="0" applyProtection="0"/>
    <xf numFmtId="0" fontId="54" fillId="46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7" fillId="61" borderId="27" applyNumberFormat="0" applyAlignment="0" applyProtection="0"/>
    <xf numFmtId="0" fontId="128" fillId="61" borderId="28" applyNumberFormat="0" applyAlignment="0" applyProtection="0"/>
    <xf numFmtId="0" fontId="31" fillId="46" borderId="21" applyNumberFormat="0" applyAlignment="0" applyProtection="0"/>
    <xf numFmtId="0" fontId="31" fillId="46" borderId="21" applyNumberFormat="0" applyAlignment="0" applyProtection="0"/>
    <xf numFmtId="0" fontId="31" fillId="46" borderId="2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9" fillId="0" borderId="0" applyNumberFormat="0" applyFill="0" applyBorder="0" applyAlignment="0" applyProtection="0"/>
    <xf numFmtId="195" fontId="0" fillId="0" borderId="0" applyFill="0" applyBorder="0" applyAlignment="0" applyProtection="0"/>
    <xf numFmtId="196" fontId="0" fillId="0" borderId="0" applyFill="0" applyBorder="0" applyAlignment="0" applyProtection="0"/>
    <xf numFmtId="186" fontId="0" fillId="0" borderId="0" applyFill="0" applyBorder="0" applyAlignment="0" applyProtection="0"/>
    <xf numFmtId="188" fontId="0" fillId="0" borderId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0" fillId="0" borderId="0">
      <alignment/>
      <protection/>
    </xf>
    <xf numFmtId="1" fontId="63" fillId="0" borderId="0">
      <alignment horizontal="center" vertical="top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64" borderId="0" applyNumberFormat="0" applyBorder="0" applyAlignment="0" applyProtection="0"/>
    <xf numFmtId="0" fontId="114" fillId="65" borderId="0" applyNumberFormat="0" applyBorder="0" applyAlignment="0" applyProtection="0"/>
    <xf numFmtId="0" fontId="114" fillId="66" borderId="0" applyNumberFormat="0" applyBorder="0" applyAlignment="0" applyProtection="0"/>
    <xf numFmtId="0" fontId="114" fillId="67" borderId="0" applyNumberFormat="0" applyBorder="0" applyAlignment="0" applyProtection="0"/>
    <xf numFmtId="0" fontId="114" fillId="68" borderId="0" applyNumberFormat="0" applyBorder="0" applyAlignment="0" applyProtection="0"/>
    <xf numFmtId="0" fontId="114" fillId="6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Protection="0">
      <alignment/>
    </xf>
  </cellStyleXfs>
  <cellXfs count="861">
    <xf numFmtId="0" fontId="0" fillId="0" borderId="0" xfId="0" applyAlignment="1">
      <alignment/>
    </xf>
    <xf numFmtId="0" fontId="10" fillId="0" borderId="0" xfId="0" applyFont="1" applyAlignment="1">
      <alignment/>
    </xf>
    <xf numFmtId="49" fontId="3" fillId="70" borderId="3" xfId="1676" applyNumberFormat="1" applyFont="1" applyFill="1" applyBorder="1" applyAlignment="1">
      <alignment horizontal="left" vertical="top" wrapText="1"/>
      <protection/>
    </xf>
    <xf numFmtId="0" fontId="3" fillId="70" borderId="3" xfId="1739" applyFont="1" applyFill="1" applyBorder="1" applyAlignment="1" applyProtection="1">
      <alignment horizontal="center" vertical="top" wrapText="1"/>
      <protection/>
    </xf>
    <xf numFmtId="0" fontId="3" fillId="70" borderId="3" xfId="0" applyFont="1" applyFill="1" applyBorder="1" applyAlignment="1">
      <alignment horizontal="center" vertical="top" wrapText="1"/>
    </xf>
    <xf numFmtId="0" fontId="3" fillId="70" borderId="3" xfId="1749" applyFont="1" applyFill="1" applyBorder="1" applyAlignment="1">
      <alignment horizontal="center" wrapText="1"/>
      <protection/>
    </xf>
    <xf numFmtId="0" fontId="3" fillId="70" borderId="3" xfId="0" applyFont="1" applyFill="1" applyBorder="1" applyAlignment="1">
      <alignment horizontal="center" wrapText="1"/>
    </xf>
    <xf numFmtId="176" fontId="3" fillId="70" borderId="3" xfId="1071" applyNumberFormat="1" applyFont="1" applyFill="1" applyBorder="1" applyAlignment="1">
      <alignment horizontal="center" vertical="center" wrapText="1"/>
    </xf>
    <xf numFmtId="172" fontId="3" fillId="70" borderId="3" xfId="0" applyNumberFormat="1" applyFont="1" applyFill="1" applyBorder="1" applyAlignment="1">
      <alignment horizontal="center"/>
    </xf>
    <xf numFmtId="172" fontId="12" fillId="70" borderId="3" xfId="0" applyNumberFormat="1" applyFont="1" applyFill="1" applyBorder="1" applyAlignment="1">
      <alignment/>
    </xf>
    <xf numFmtId="44" fontId="12" fillId="70" borderId="29" xfId="1448" applyFont="1" applyFill="1" applyBorder="1" applyAlignment="1">
      <alignment/>
    </xf>
    <xf numFmtId="0" fontId="3" fillId="70" borderId="3" xfId="1749" applyFont="1" applyFill="1" applyBorder="1" applyAlignment="1">
      <alignment horizontal="center"/>
      <protection/>
    </xf>
    <xf numFmtId="172" fontId="12" fillId="70" borderId="3" xfId="1749" applyNumberFormat="1" applyFont="1" applyFill="1" applyBorder="1" applyAlignment="1">
      <alignment horizontal="center" vertical="center"/>
      <protection/>
    </xf>
    <xf numFmtId="2" fontId="3" fillId="70" borderId="3" xfId="1071" applyNumberFormat="1" applyFont="1" applyFill="1" applyBorder="1" applyAlignment="1">
      <alignment horizontal="center" vertical="center"/>
    </xf>
    <xf numFmtId="0" fontId="12" fillId="70" borderId="3" xfId="1749" applyFont="1" applyFill="1" applyBorder="1" applyAlignment="1">
      <alignment horizontal="center" vertical="center"/>
      <protection/>
    </xf>
    <xf numFmtId="172" fontId="73" fillId="70" borderId="3" xfId="0" applyNumberFormat="1" applyFont="1" applyFill="1" applyBorder="1" applyAlignment="1">
      <alignment horizontal="center" wrapText="1"/>
    </xf>
    <xf numFmtId="172" fontId="12" fillId="70" borderId="3" xfId="0" applyNumberFormat="1" applyFont="1" applyFill="1" applyBorder="1" applyAlignment="1">
      <alignment horizontal="center"/>
    </xf>
    <xf numFmtId="2" fontId="3" fillId="70" borderId="3" xfId="1071" applyNumberFormat="1" applyFont="1" applyFill="1" applyBorder="1" applyAlignment="1">
      <alignment horizontal="center"/>
    </xf>
    <xf numFmtId="2" fontId="3" fillId="70" borderId="3" xfId="1071" applyNumberFormat="1" applyFont="1" applyFill="1" applyBorder="1" applyAlignment="1" applyProtection="1">
      <alignment horizontal="center" vertical="center" wrapText="1"/>
      <protection/>
    </xf>
    <xf numFmtId="2" fontId="3" fillId="70" borderId="3" xfId="1739" applyNumberFormat="1" applyFont="1" applyFill="1" applyBorder="1" applyAlignment="1" applyProtection="1">
      <alignment horizontal="center" vertical="center" wrapText="1"/>
      <protection/>
    </xf>
    <xf numFmtId="0" fontId="12" fillId="70" borderId="3" xfId="1749" applyFont="1" applyFill="1" applyBorder="1" applyAlignment="1">
      <alignment horizontal="center"/>
      <protection/>
    </xf>
    <xf numFmtId="0" fontId="3" fillId="70" borderId="3" xfId="1755" applyFont="1" applyFill="1" applyBorder="1" applyAlignment="1">
      <alignment horizontal="center"/>
      <protection/>
    </xf>
    <xf numFmtId="172" fontId="12" fillId="70" borderId="3" xfId="1749" applyNumberFormat="1" applyFont="1" applyFill="1" applyBorder="1" applyAlignment="1">
      <alignment horizontal="center"/>
      <protection/>
    </xf>
    <xf numFmtId="2" fontId="3" fillId="70" borderId="3" xfId="1071" applyNumberFormat="1" applyFont="1" applyFill="1" applyBorder="1" applyAlignment="1">
      <alignment horizontal="center" vertical="top"/>
    </xf>
    <xf numFmtId="172" fontId="12" fillId="70" borderId="3" xfId="0" applyNumberFormat="1" applyFont="1" applyFill="1" applyBorder="1" applyAlignment="1">
      <alignment horizontal="center" vertical="center"/>
    </xf>
    <xf numFmtId="0" fontId="3" fillId="70" borderId="3" xfId="1751" applyFont="1" applyFill="1" applyBorder="1" applyAlignment="1">
      <alignment horizontal="center"/>
      <protection/>
    </xf>
    <xf numFmtId="0" fontId="12" fillId="70" borderId="3" xfId="0" applyFont="1" applyFill="1" applyBorder="1" applyAlignment="1">
      <alignment horizontal="center" wrapText="1"/>
    </xf>
    <xf numFmtId="0" fontId="12" fillId="70" borderId="30" xfId="0" applyFont="1" applyFill="1" applyBorder="1" applyAlignment="1">
      <alignment horizontal="left" wrapText="1"/>
    </xf>
    <xf numFmtId="1" fontId="3" fillId="70" borderId="30" xfId="1749" applyNumberFormat="1" applyFont="1" applyFill="1" applyBorder="1" applyAlignment="1">
      <alignment horizontal="left"/>
      <protection/>
    </xf>
    <xf numFmtId="1" fontId="3" fillId="70" borderId="30" xfId="1755" applyNumberFormat="1" applyFont="1" applyFill="1" applyBorder="1" applyAlignment="1">
      <alignment horizontal="left"/>
      <protection/>
    </xf>
    <xf numFmtId="1" fontId="3" fillId="70" borderId="30" xfId="1749" applyNumberFormat="1" applyFont="1" applyFill="1" applyBorder="1" applyAlignment="1">
      <alignment horizontal="left" vertical="center" wrapText="1"/>
      <protection/>
    </xf>
    <xf numFmtId="1" fontId="3" fillId="70" borderId="30" xfId="1752" applyNumberFormat="1" applyFont="1" applyFill="1" applyBorder="1" applyAlignment="1">
      <alignment horizontal="left" vertical="center" wrapText="1"/>
      <protection/>
    </xf>
    <xf numFmtId="0" fontId="12" fillId="70" borderId="30" xfId="0" applyFont="1" applyFill="1" applyBorder="1" applyAlignment="1">
      <alignment horizontal="left" vertical="center" wrapText="1"/>
    </xf>
    <xf numFmtId="0" fontId="12" fillId="70" borderId="3" xfId="0" applyFont="1" applyFill="1" applyBorder="1" applyAlignment="1">
      <alignment horizontal="left" wrapText="1"/>
    </xf>
    <xf numFmtId="49" fontId="3" fillId="70" borderId="30" xfId="1676" applyNumberFormat="1" applyFont="1" applyFill="1" applyBorder="1" applyAlignment="1">
      <alignment horizontal="left" vertical="top"/>
      <protection/>
    </xf>
    <xf numFmtId="0" fontId="12" fillId="70" borderId="3" xfId="1751" applyFont="1" applyFill="1" applyBorder="1" applyAlignment="1">
      <alignment horizontal="center"/>
      <protection/>
    </xf>
    <xf numFmtId="0" fontId="12" fillId="70" borderId="3" xfId="0" applyFont="1" applyFill="1" applyBorder="1" applyAlignment="1">
      <alignment horizontal="center"/>
    </xf>
    <xf numFmtId="0" fontId="3" fillId="70" borderId="0" xfId="0" applyFont="1" applyFill="1" applyBorder="1" applyAlignment="1">
      <alignment horizontal="center" wrapText="1"/>
    </xf>
    <xf numFmtId="0" fontId="76" fillId="0" borderId="0" xfId="0" applyFont="1" applyAlignment="1">
      <alignment/>
    </xf>
    <xf numFmtId="0" fontId="3" fillId="70" borderId="31" xfId="0" applyFont="1" applyFill="1" applyBorder="1" applyAlignment="1">
      <alignment horizontal="left" wrapText="1"/>
    </xf>
    <xf numFmtId="0" fontId="12" fillId="70" borderId="32" xfId="0" applyFont="1" applyFill="1" applyBorder="1" applyAlignment="1">
      <alignment horizontal="center" wrapText="1"/>
    </xf>
    <xf numFmtId="172" fontId="12" fillId="70" borderId="32" xfId="0" applyNumberFormat="1" applyFont="1" applyFill="1" applyBorder="1" applyAlignment="1">
      <alignment horizontal="center"/>
    </xf>
    <xf numFmtId="2" fontId="3" fillId="70" borderId="32" xfId="1071" applyNumberFormat="1" applyFont="1" applyFill="1" applyBorder="1" applyAlignment="1">
      <alignment horizontal="center"/>
    </xf>
    <xf numFmtId="44" fontId="3" fillId="70" borderId="33" xfId="1448" applyFont="1" applyFill="1" applyBorder="1" applyAlignment="1">
      <alignment horizontal="center"/>
    </xf>
    <xf numFmtId="0" fontId="3" fillId="70" borderId="0" xfId="0" applyFont="1" applyFill="1" applyBorder="1" applyAlignment="1">
      <alignment horizontal="left"/>
    </xf>
    <xf numFmtId="0" fontId="3" fillId="70" borderId="0" xfId="0" applyFont="1" applyFill="1" applyBorder="1" applyAlignment="1">
      <alignment wrapText="1"/>
    </xf>
    <xf numFmtId="172" fontId="3" fillId="70" borderId="0" xfId="0" applyNumberFormat="1" applyFont="1" applyFill="1" applyBorder="1" applyAlignment="1">
      <alignment horizontal="center"/>
    </xf>
    <xf numFmtId="172" fontId="12" fillId="70" borderId="0" xfId="0" applyNumberFormat="1" applyFont="1" applyFill="1" applyBorder="1" applyAlignment="1">
      <alignment horizontal="center"/>
    </xf>
    <xf numFmtId="2" fontId="3" fillId="70" borderId="0" xfId="1071" applyNumberFormat="1" applyFont="1" applyFill="1" applyBorder="1" applyAlignment="1">
      <alignment horizontal="center"/>
    </xf>
    <xf numFmtId="0" fontId="71" fillId="70" borderId="0" xfId="0" applyFont="1" applyFill="1" applyBorder="1" applyAlignment="1">
      <alignment horizontal="left"/>
    </xf>
    <xf numFmtId="0" fontId="16" fillId="70" borderId="0" xfId="0" applyFont="1" applyFill="1" applyBorder="1" applyAlignment="1">
      <alignment horizontal="center" wrapText="1"/>
    </xf>
    <xf numFmtId="172" fontId="16" fillId="70" borderId="0" xfId="0" applyNumberFormat="1" applyFont="1" applyFill="1" applyBorder="1" applyAlignment="1">
      <alignment horizontal="center"/>
    </xf>
    <xf numFmtId="2" fontId="16" fillId="70" borderId="0" xfId="1071" applyNumberFormat="1" applyFont="1" applyFill="1" applyBorder="1" applyAlignment="1">
      <alignment horizontal="center"/>
    </xf>
    <xf numFmtId="2" fontId="12" fillId="70" borderId="3" xfId="1071" applyNumberFormat="1" applyFont="1" applyFill="1" applyBorder="1" applyAlignment="1">
      <alignment horizontal="right"/>
    </xf>
    <xf numFmtId="0" fontId="12" fillId="70" borderId="30" xfId="0" applyNumberFormat="1" applyFont="1" applyFill="1" applyBorder="1" applyAlignment="1" applyProtection="1">
      <alignment horizontal="center" wrapText="1"/>
      <protection/>
    </xf>
    <xf numFmtId="0" fontId="0" fillId="0" borderId="3" xfId="0" applyBorder="1" applyAlignment="1">
      <alignment/>
    </xf>
    <xf numFmtId="2" fontId="0" fillId="0" borderId="0" xfId="0" applyNumberForma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71" borderId="0" xfId="0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0" fillId="72" borderId="36" xfId="0" applyFill="1" applyBorder="1" applyAlignment="1">
      <alignment/>
    </xf>
    <xf numFmtId="0" fontId="0" fillId="72" borderId="3" xfId="0" applyFill="1" applyBorder="1" applyAlignment="1">
      <alignment/>
    </xf>
    <xf numFmtId="0" fontId="0" fillId="0" borderId="38" xfId="0" applyBorder="1" applyAlignment="1">
      <alignment/>
    </xf>
    <xf numFmtId="0" fontId="0" fillId="72" borderId="38" xfId="0" applyFill="1" applyBorder="1" applyAlignment="1">
      <alignment/>
    </xf>
    <xf numFmtId="0" fontId="10" fillId="0" borderId="35" xfId="0" applyFont="1" applyBorder="1" applyAlignment="1">
      <alignment/>
    </xf>
    <xf numFmtId="2" fontId="10" fillId="0" borderId="35" xfId="0" applyNumberFormat="1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2" fontId="0" fillId="0" borderId="3" xfId="0" applyNumberFormat="1" applyBorder="1" applyAlignment="1">
      <alignment/>
    </xf>
    <xf numFmtId="2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10" fillId="72" borderId="3" xfId="0" applyFont="1" applyFill="1" applyBorder="1" applyAlignment="1">
      <alignment/>
    </xf>
    <xf numFmtId="0" fontId="83" fillId="0" borderId="0" xfId="0" applyFont="1" applyAlignment="1">
      <alignment/>
    </xf>
    <xf numFmtId="2" fontId="83" fillId="0" borderId="0" xfId="0" applyNumberFormat="1" applyFont="1" applyAlignment="1">
      <alignment/>
    </xf>
    <xf numFmtId="0" fontId="0" fillId="73" borderId="0" xfId="0" applyFill="1" applyAlignment="1" applyProtection="1">
      <alignment/>
      <protection/>
    </xf>
    <xf numFmtId="0" fontId="87" fillId="73" borderId="0" xfId="0" applyFont="1" applyFill="1" applyAlignment="1" applyProtection="1">
      <alignment vertical="center"/>
      <protection/>
    </xf>
    <xf numFmtId="0" fontId="130" fillId="73" borderId="0" xfId="0" applyFont="1" applyFill="1" applyAlignment="1" applyProtection="1">
      <alignment horizontal="left" vertical="center"/>
      <protection/>
    </xf>
    <xf numFmtId="0" fontId="131" fillId="73" borderId="0" xfId="1365" applyFont="1" applyFill="1" applyAlignment="1" applyProtection="1">
      <alignment vertical="center"/>
      <protection/>
    </xf>
    <xf numFmtId="0" fontId="0" fillId="73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132" fillId="0" borderId="0" xfId="0" applyFont="1" applyAlignment="1">
      <alignment horizontal="left" vertical="center"/>
    </xf>
    <xf numFmtId="0" fontId="0" fillId="0" borderId="0" xfId="0" applyBorder="1" applyAlignment="1" applyProtection="1">
      <alignment/>
      <protection/>
    </xf>
    <xf numFmtId="0" fontId="133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4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89" fillId="0" borderId="0" xfId="0" applyFont="1" applyBorder="1" applyAlignment="1" applyProtection="1">
      <alignment horizontal="left" vertical="top"/>
      <protection/>
    </xf>
    <xf numFmtId="0" fontId="0" fillId="0" borderId="44" xfId="0" applyFont="1" applyBorder="1" applyAlignment="1" applyProtection="1">
      <alignment vertical="center"/>
      <protection/>
    </xf>
    <xf numFmtId="0" fontId="90" fillId="0" borderId="0" xfId="0" applyFont="1" applyBorder="1" applyAlignment="1" applyProtection="1">
      <alignment horizontal="left"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87" fillId="0" borderId="0" xfId="0" applyFont="1" applyBorder="1" applyAlignment="1" applyProtection="1">
      <alignment horizontal="left" vertical="center"/>
      <protection/>
    </xf>
    <xf numFmtId="0" fontId="134" fillId="0" borderId="0" xfId="0" applyFont="1" applyBorder="1" applyAlignment="1" applyProtection="1">
      <alignment horizontal="left" vertical="center"/>
      <protection/>
    </xf>
    <xf numFmtId="0" fontId="91" fillId="0" borderId="0" xfId="0" applyFont="1" applyBorder="1" applyAlignment="1" applyProtection="1">
      <alignment horizontal="left" vertical="center"/>
      <protection/>
    </xf>
    <xf numFmtId="0" fontId="135" fillId="0" borderId="0" xfId="0" applyFont="1" applyBorder="1" applyAlignment="1" applyProtection="1">
      <alignment horizontal="left" vertical="center"/>
      <protection/>
    </xf>
    <xf numFmtId="216" fontId="135" fillId="0" borderId="0" xfId="0" applyNumberFormat="1" applyFont="1" applyBorder="1" applyAlignment="1" applyProtection="1">
      <alignment vertical="center"/>
      <protection/>
    </xf>
    <xf numFmtId="0" fontId="135" fillId="0" borderId="0" xfId="0" applyFont="1" applyBorder="1" applyAlignment="1" applyProtection="1">
      <alignment horizontal="right" vertical="center"/>
      <protection/>
    </xf>
    <xf numFmtId="0" fontId="0" fillId="74" borderId="0" xfId="0" applyFont="1" applyFill="1" applyBorder="1" applyAlignment="1" applyProtection="1">
      <alignment vertical="center"/>
      <protection/>
    </xf>
    <xf numFmtId="0" fontId="89" fillId="74" borderId="46" xfId="0" applyFont="1" applyFill="1" applyBorder="1" applyAlignment="1" applyProtection="1">
      <alignment horizontal="left" vertical="center"/>
      <protection/>
    </xf>
    <xf numFmtId="0" fontId="0" fillId="74" borderId="47" xfId="0" applyFont="1" applyFill="1" applyBorder="1" applyAlignment="1" applyProtection="1">
      <alignment vertical="center"/>
      <protection/>
    </xf>
    <xf numFmtId="0" fontId="89" fillId="74" borderId="47" xfId="0" applyFont="1" applyFill="1" applyBorder="1" applyAlignment="1" applyProtection="1">
      <alignment horizontal="right" vertical="center"/>
      <protection/>
    </xf>
    <xf numFmtId="0" fontId="89" fillId="74" borderId="47" xfId="0" applyFont="1" applyFill="1" applyBorder="1" applyAlignment="1" applyProtection="1">
      <alignment horizontal="center" vertical="center"/>
      <protection/>
    </xf>
    <xf numFmtId="0" fontId="136" fillId="0" borderId="48" xfId="0" applyFont="1" applyBorder="1" applyAlignment="1" applyProtection="1">
      <alignment horizontal="left"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137" fillId="0" borderId="52" xfId="0" applyFont="1" applyBorder="1" applyAlignment="1" applyProtection="1">
      <alignment horizontal="left"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137" fillId="0" borderId="53" xfId="0" applyFont="1" applyBorder="1" applyAlignment="1" applyProtection="1">
      <alignment horizontal="left" vertical="center"/>
      <protection/>
    </xf>
    <xf numFmtId="0" fontId="0" fillId="0" borderId="54" xfId="0" applyFont="1" applyBorder="1" applyAlignment="1" applyProtection="1">
      <alignment vertical="center"/>
      <protection/>
    </xf>
    <xf numFmtId="0" fontId="0" fillId="0" borderId="55" xfId="0" applyFont="1" applyBorder="1" applyAlignment="1" applyProtection="1">
      <alignment vertical="center"/>
      <protection/>
    </xf>
    <xf numFmtId="0" fontId="0" fillId="0" borderId="56" xfId="0" applyFont="1" applyBorder="1" applyAlignment="1" applyProtection="1">
      <alignment vertical="center"/>
      <protection/>
    </xf>
    <xf numFmtId="0" fontId="0" fillId="0" borderId="57" xfId="0" applyFont="1" applyBorder="1" applyAlignment="1" applyProtection="1">
      <alignment vertical="center"/>
      <protection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89" fillId="0" borderId="0" xfId="0" applyFont="1" applyBorder="1" applyAlignment="1" applyProtection="1">
      <alignment horizontal="left" vertical="center"/>
      <protection/>
    </xf>
    <xf numFmtId="0" fontId="138" fillId="0" borderId="0" xfId="0" applyFont="1" applyBorder="1" applyAlignment="1" applyProtection="1">
      <alignment horizontal="left" vertical="center"/>
      <protection/>
    </xf>
    <xf numFmtId="0" fontId="139" fillId="0" borderId="0" xfId="0" applyFont="1" applyAlignment="1">
      <alignment vertical="center"/>
    </xf>
    <xf numFmtId="0" fontId="139" fillId="0" borderId="43" xfId="0" applyFont="1" applyBorder="1" applyAlignment="1" applyProtection="1">
      <alignment vertical="center"/>
      <protection/>
    </xf>
    <xf numFmtId="0" fontId="139" fillId="0" borderId="0" xfId="0" applyFont="1" applyBorder="1" applyAlignment="1" applyProtection="1">
      <alignment vertical="center"/>
      <protection/>
    </xf>
    <xf numFmtId="0" fontId="139" fillId="0" borderId="0" xfId="0" applyFont="1" applyBorder="1" applyAlignment="1" applyProtection="1">
      <alignment horizontal="left" vertical="center"/>
      <protection/>
    </xf>
    <xf numFmtId="0" fontId="139" fillId="0" borderId="44" xfId="0" applyFont="1" applyBorder="1" applyAlignment="1" applyProtection="1">
      <alignment vertical="center"/>
      <protection/>
    </xf>
    <xf numFmtId="0" fontId="139" fillId="0" borderId="0" xfId="0" applyFont="1" applyAlignment="1" applyProtection="1">
      <alignment vertical="center"/>
      <protection/>
    </xf>
    <xf numFmtId="0" fontId="140" fillId="0" borderId="0" xfId="0" applyFont="1" applyAlignment="1">
      <alignment vertical="center"/>
    </xf>
    <xf numFmtId="0" fontId="140" fillId="0" borderId="43" xfId="0" applyFont="1" applyBorder="1" applyAlignment="1" applyProtection="1">
      <alignment vertical="center"/>
      <protection/>
    </xf>
    <xf numFmtId="0" fontId="140" fillId="0" borderId="0" xfId="0" applyFont="1" applyBorder="1" applyAlignment="1" applyProtection="1">
      <alignment vertical="center"/>
      <protection/>
    </xf>
    <xf numFmtId="0" fontId="140" fillId="0" borderId="0" xfId="0" applyFont="1" applyBorder="1" applyAlignment="1" applyProtection="1">
      <alignment horizontal="left" vertical="center"/>
      <protection/>
    </xf>
    <xf numFmtId="0" fontId="140" fillId="0" borderId="44" xfId="0" applyFont="1" applyBorder="1" applyAlignment="1" applyProtection="1">
      <alignment vertical="center"/>
      <protection/>
    </xf>
    <xf numFmtId="0" fontId="140" fillId="0" borderId="0" xfId="0" applyFont="1" applyAlignment="1" applyProtection="1">
      <alignment vertical="center"/>
      <protection/>
    </xf>
    <xf numFmtId="0" fontId="0" fillId="0" borderId="58" xfId="0" applyFont="1" applyBorder="1" applyAlignment="1" applyProtection="1">
      <alignment vertical="center"/>
      <protection/>
    </xf>
    <xf numFmtId="0" fontId="133" fillId="0" borderId="5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0" xfId="0" applyFont="1" applyBorder="1" applyAlignment="1" applyProtection="1">
      <alignment vertical="center"/>
      <protection/>
    </xf>
    <xf numFmtId="0" fontId="137" fillId="0" borderId="5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52" xfId="0" applyFont="1" applyBorder="1" applyAlignment="1" applyProtection="1">
      <alignment vertical="center"/>
      <protection/>
    </xf>
    <xf numFmtId="0" fontId="137" fillId="0" borderId="54" xfId="0" applyFont="1" applyBorder="1" applyAlignment="1" applyProtection="1">
      <alignment horizontal="center" vertical="center"/>
      <protection/>
    </xf>
    <xf numFmtId="0" fontId="141" fillId="74" borderId="0" xfId="0" applyFont="1" applyFill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43" xfId="0" applyFont="1" applyBorder="1" applyAlignment="1" applyProtection="1">
      <alignment horizontal="center" vertical="center" wrapText="1"/>
      <protection/>
    </xf>
    <xf numFmtId="0" fontId="90" fillId="74" borderId="59" xfId="0" applyFont="1" applyFill="1" applyBorder="1" applyAlignment="1" applyProtection="1">
      <alignment horizontal="center" vertical="center" wrapText="1"/>
      <protection/>
    </xf>
    <xf numFmtId="0" fontId="90" fillId="74" borderId="60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133" fillId="0" borderId="59" xfId="0" applyFont="1" applyBorder="1" applyAlignment="1" applyProtection="1">
      <alignment horizontal="center" vertical="center" wrapText="1"/>
      <protection/>
    </xf>
    <xf numFmtId="0" fontId="133" fillId="0" borderId="60" xfId="0" applyFont="1" applyBorder="1" applyAlignment="1" applyProtection="1">
      <alignment horizontal="center" vertical="center" wrapText="1"/>
      <protection/>
    </xf>
    <xf numFmtId="0" fontId="133" fillId="0" borderId="61" xfId="0" applyFont="1" applyBorder="1" applyAlignment="1" applyProtection="1">
      <alignment horizontal="center" vertical="center" wrapText="1"/>
      <protection/>
    </xf>
    <xf numFmtId="0" fontId="141" fillId="0" borderId="0" xfId="0" applyFont="1" applyBorder="1" applyAlignment="1" applyProtection="1">
      <alignment horizontal="left" vertical="center"/>
      <protection/>
    </xf>
    <xf numFmtId="0" fontId="0" fillId="0" borderId="48" xfId="0" applyFont="1" applyBorder="1" applyAlignment="1" applyProtection="1">
      <alignment vertical="center"/>
      <protection/>
    </xf>
    <xf numFmtId="217" fontId="142" fillId="0" borderId="45" xfId="0" applyNumberFormat="1" applyFont="1" applyBorder="1" applyAlignment="1" applyProtection="1">
      <alignment/>
      <protection/>
    </xf>
    <xf numFmtId="217" fontId="142" fillId="0" borderId="49" xfId="0" applyNumberFormat="1" applyFont="1" applyBorder="1" applyAlignment="1" applyProtection="1">
      <alignment/>
      <protection/>
    </xf>
    <xf numFmtId="4" fontId="92" fillId="0" borderId="0" xfId="0" applyNumberFormat="1" applyFont="1" applyAlignment="1">
      <alignment vertical="center"/>
    </xf>
    <xf numFmtId="0" fontId="143" fillId="0" borderId="0" xfId="0" applyFont="1" applyAlignment="1">
      <alignment/>
    </xf>
    <xf numFmtId="0" fontId="143" fillId="0" borderId="43" xfId="0" applyFont="1" applyBorder="1" applyAlignment="1" applyProtection="1">
      <alignment/>
      <protection/>
    </xf>
    <xf numFmtId="0" fontId="143" fillId="0" borderId="0" xfId="0" applyFont="1" applyBorder="1" applyAlignment="1" applyProtection="1">
      <alignment/>
      <protection/>
    </xf>
    <xf numFmtId="0" fontId="139" fillId="0" borderId="0" xfId="0" applyFont="1" applyBorder="1" applyAlignment="1" applyProtection="1">
      <alignment horizontal="left"/>
      <protection/>
    </xf>
    <xf numFmtId="0" fontId="143" fillId="0" borderId="44" xfId="0" applyFont="1" applyBorder="1" applyAlignment="1" applyProtection="1">
      <alignment/>
      <protection/>
    </xf>
    <xf numFmtId="0" fontId="143" fillId="0" borderId="50" xfId="0" applyFont="1" applyBorder="1" applyAlignment="1" applyProtection="1">
      <alignment/>
      <protection/>
    </xf>
    <xf numFmtId="217" fontId="143" fillId="0" borderId="0" xfId="0" applyNumberFormat="1" applyFont="1" applyBorder="1" applyAlignment="1" applyProtection="1">
      <alignment/>
      <protection/>
    </xf>
    <xf numFmtId="217" fontId="143" fillId="0" borderId="51" xfId="0" applyNumberFormat="1" applyFont="1" applyBorder="1" applyAlignment="1" applyProtection="1">
      <alignment/>
      <protection/>
    </xf>
    <xf numFmtId="0" fontId="143" fillId="0" borderId="0" xfId="0" applyFont="1" applyAlignment="1">
      <alignment horizontal="left"/>
    </xf>
    <xf numFmtId="0" fontId="143" fillId="0" borderId="0" xfId="0" applyFont="1" applyAlignment="1">
      <alignment horizontal="center"/>
    </xf>
    <xf numFmtId="4" fontId="143" fillId="0" borderId="0" xfId="0" applyNumberFormat="1" applyFont="1" applyAlignment="1">
      <alignment vertical="center"/>
    </xf>
    <xf numFmtId="0" fontId="140" fillId="0" borderId="0" xfId="0" applyFont="1" applyBorder="1" applyAlignment="1" applyProtection="1">
      <alignment horizontal="left"/>
      <protection/>
    </xf>
    <xf numFmtId="0" fontId="0" fillId="0" borderId="58" xfId="0" applyFont="1" applyBorder="1" applyAlignment="1" applyProtection="1">
      <alignment horizontal="center" vertical="center"/>
      <protection/>
    </xf>
    <xf numFmtId="49" fontId="0" fillId="0" borderId="58" xfId="0" applyNumberFormat="1" applyFont="1" applyBorder="1" applyAlignment="1" applyProtection="1">
      <alignment horizontal="left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182" fontId="0" fillId="0" borderId="58" xfId="0" applyNumberFormat="1" applyFont="1" applyBorder="1" applyAlignment="1" applyProtection="1">
      <alignment vertical="center"/>
      <protection/>
    </xf>
    <xf numFmtId="0" fontId="135" fillId="56" borderId="58" xfId="0" applyFont="1" applyFill="1" applyBorder="1" applyAlignment="1" applyProtection="1">
      <alignment horizontal="left" vertical="center"/>
      <protection locked="0"/>
    </xf>
    <xf numFmtId="0" fontId="135" fillId="0" borderId="0" xfId="0" applyFont="1" applyBorder="1" applyAlignment="1" applyProtection="1">
      <alignment horizontal="center" vertical="center"/>
      <protection/>
    </xf>
    <xf numFmtId="217" fontId="135" fillId="0" borderId="0" xfId="0" applyNumberFormat="1" applyFont="1" applyBorder="1" applyAlignment="1" applyProtection="1">
      <alignment vertical="center"/>
      <protection/>
    </xf>
    <xf numFmtId="217" fontId="135" fillId="0" borderId="51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51" xfId="0" applyFont="1" applyBorder="1" applyAlignment="1" applyProtection="1">
      <alignment vertical="center"/>
      <protection/>
    </xf>
    <xf numFmtId="0" fontId="135" fillId="56" borderId="58" xfId="0" applyFont="1" applyFill="1" applyBorder="1" applyAlignment="1" applyProtection="1">
      <alignment horizontal="center" vertical="center"/>
      <protection locked="0"/>
    </xf>
    <xf numFmtId="0" fontId="133" fillId="0" borderId="0" xfId="0" applyFont="1" applyBorder="1" applyAlignment="1" applyProtection="1">
      <alignment horizontal="left" vertical="center"/>
      <protection/>
    </xf>
    <xf numFmtId="0" fontId="0" fillId="74" borderId="0" xfId="0" applyFont="1" applyFill="1" applyBorder="1" applyAlignment="1" applyProtection="1">
      <alignment vertical="center"/>
      <protection/>
    </xf>
    <xf numFmtId="0" fontId="139" fillId="0" borderId="0" xfId="0" applyFont="1" applyBorder="1" applyAlignment="1" applyProtection="1">
      <alignment vertical="center"/>
      <protection/>
    </xf>
    <xf numFmtId="0" fontId="140" fillId="0" borderId="0" xfId="0" applyFont="1" applyBorder="1" applyAlignment="1" applyProtection="1">
      <alignment vertical="center"/>
      <protection/>
    </xf>
    <xf numFmtId="0" fontId="140" fillId="0" borderId="0" xfId="0" applyFont="1" applyBorder="1" applyAlignment="1" applyProtection="1">
      <alignment horizontal="left" vertical="center"/>
      <protection/>
    </xf>
    <xf numFmtId="0" fontId="90" fillId="74" borderId="6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2" fontId="78" fillId="70" borderId="3" xfId="1071" applyNumberFormat="1" applyFont="1" applyFill="1" applyBorder="1" applyAlignment="1">
      <alignment horizontal="center" vertical="top"/>
    </xf>
    <xf numFmtId="44" fontId="78" fillId="70" borderId="29" xfId="1448" applyFont="1" applyFill="1" applyBorder="1" applyAlignment="1">
      <alignment horizontal="center" vertical="top"/>
    </xf>
    <xf numFmtId="0" fontId="78" fillId="70" borderId="0" xfId="0" applyFont="1" applyFill="1" applyAlignment="1">
      <alignment vertical="top"/>
    </xf>
    <xf numFmtId="44" fontId="3" fillId="70" borderId="29" xfId="1448" applyFont="1" applyFill="1" applyBorder="1" applyAlignment="1">
      <alignment horizontal="center" vertical="top"/>
    </xf>
    <xf numFmtId="0" fontId="3" fillId="70" borderId="0" xfId="0" applyFont="1" applyFill="1" applyAlignment="1">
      <alignment vertical="top"/>
    </xf>
    <xf numFmtId="0" fontId="12" fillId="70" borderId="3" xfId="1749" applyFont="1" applyFill="1" applyBorder="1" applyAlignment="1">
      <alignment horizontal="center" vertical="top"/>
      <protection/>
    </xf>
    <xf numFmtId="0" fontId="43" fillId="70" borderId="3" xfId="1749" applyFont="1" applyFill="1" applyBorder="1" applyAlignment="1">
      <alignment horizontal="center" vertical="top"/>
      <protection/>
    </xf>
    <xf numFmtId="172" fontId="12" fillId="70" borderId="3" xfId="0" applyNumberFormat="1" applyFont="1" applyFill="1" applyBorder="1" applyAlignment="1">
      <alignment horizontal="center" vertical="top"/>
    </xf>
    <xf numFmtId="172" fontId="12" fillId="70" borderId="3" xfId="1750" applyNumberFormat="1" applyFont="1" applyFill="1" applyBorder="1" applyAlignment="1">
      <alignment horizontal="center" vertical="top"/>
      <protection/>
    </xf>
    <xf numFmtId="172" fontId="12" fillId="70" borderId="3" xfId="1746" applyNumberFormat="1" applyFont="1" applyFill="1" applyBorder="1" applyAlignment="1">
      <alignment horizontal="center" vertical="top"/>
      <protection/>
    </xf>
    <xf numFmtId="2" fontId="3" fillId="70" borderId="3" xfId="1746" applyNumberFormat="1" applyFont="1" applyFill="1" applyBorder="1" applyAlignment="1">
      <alignment horizontal="center" vertical="top"/>
      <protection/>
    </xf>
    <xf numFmtId="44" fontId="3" fillId="70" borderId="29" xfId="1459" applyFont="1" applyFill="1" applyBorder="1" applyAlignment="1" applyProtection="1">
      <alignment horizontal="center" vertical="top" wrapText="1"/>
      <protection/>
    </xf>
    <xf numFmtId="172" fontId="12" fillId="70" borderId="3" xfId="1753" applyNumberFormat="1" applyFont="1" applyFill="1" applyBorder="1" applyAlignment="1">
      <alignment horizontal="center" vertical="top"/>
      <protection/>
    </xf>
    <xf numFmtId="44" fontId="3" fillId="70" borderId="29" xfId="1459" applyFont="1" applyFill="1" applyBorder="1" applyAlignment="1">
      <alignment horizontal="center" vertical="top"/>
    </xf>
    <xf numFmtId="172" fontId="12" fillId="70" borderId="3" xfId="1739" applyNumberFormat="1" applyFont="1" applyFill="1" applyBorder="1" applyAlignment="1" applyProtection="1">
      <alignment horizontal="center" vertical="top" wrapText="1"/>
      <protection/>
    </xf>
    <xf numFmtId="2" fontId="3" fillId="70" borderId="3" xfId="1071" applyNumberFormat="1" applyFont="1" applyFill="1" applyBorder="1" applyAlignment="1" applyProtection="1">
      <alignment horizontal="center" vertical="top" wrapText="1"/>
      <protection/>
    </xf>
    <xf numFmtId="0" fontId="3" fillId="70" borderId="0" xfId="0" applyFont="1" applyFill="1" applyBorder="1" applyAlignment="1">
      <alignment vertical="top"/>
    </xf>
    <xf numFmtId="0" fontId="10" fillId="75" borderId="37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49" fontId="0" fillId="71" borderId="0" xfId="0" applyNumberFormat="1" applyFill="1" applyAlignment="1">
      <alignment/>
    </xf>
    <xf numFmtId="0" fontId="10" fillId="71" borderId="0" xfId="0" applyFont="1" applyFill="1" applyAlignment="1">
      <alignment/>
    </xf>
    <xf numFmtId="0" fontId="0" fillId="71" borderId="0" xfId="0" applyFont="1" applyFill="1" applyAlignment="1">
      <alignment/>
    </xf>
    <xf numFmtId="0" fontId="10" fillId="70" borderId="0" xfId="0" applyFont="1" applyFill="1" applyAlignment="1">
      <alignment/>
    </xf>
    <xf numFmtId="172" fontId="10" fillId="75" borderId="37" xfId="0" applyNumberFormat="1" applyFont="1" applyFill="1" applyBorder="1" applyAlignment="1">
      <alignment/>
    </xf>
    <xf numFmtId="2" fontId="10" fillId="75" borderId="0" xfId="0" applyNumberFormat="1" applyFont="1" applyFill="1" applyAlignment="1">
      <alignment/>
    </xf>
    <xf numFmtId="0" fontId="10" fillId="75" borderId="3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70" borderId="58" xfId="0" applyFont="1" applyFill="1" applyBorder="1" applyAlignment="1" applyProtection="1">
      <alignment horizontal="center" vertical="center"/>
      <protection locked="0"/>
    </xf>
    <xf numFmtId="49" fontId="0" fillId="70" borderId="58" xfId="0" applyNumberFormat="1" applyFont="1" applyFill="1" applyBorder="1" applyAlignment="1" applyProtection="1">
      <alignment horizontal="left" vertical="center" wrapText="1"/>
      <protection locked="0"/>
    </xf>
    <xf numFmtId="0" fontId="0" fillId="70" borderId="58" xfId="0" applyFont="1" applyFill="1" applyBorder="1" applyAlignment="1" applyProtection="1">
      <alignment horizontal="center" vertical="center" wrapText="1"/>
      <protection locked="0"/>
    </xf>
    <xf numFmtId="182" fontId="0" fillId="70" borderId="58" xfId="0" applyNumberFormat="1" applyFont="1" applyFill="1" applyBorder="1" applyAlignment="1" applyProtection="1">
      <alignment vertical="center"/>
      <protection locked="0"/>
    </xf>
    <xf numFmtId="0" fontId="3" fillId="70" borderId="3" xfId="1676" applyNumberFormat="1" applyFont="1" applyFill="1" applyBorder="1" applyAlignment="1">
      <alignment horizontal="left" vertical="top" wrapText="1"/>
      <protection/>
    </xf>
    <xf numFmtId="0" fontId="12" fillId="70" borderId="32" xfId="0" applyNumberFormat="1" applyFont="1" applyFill="1" applyBorder="1" applyAlignment="1">
      <alignment horizontal="right" wrapText="1"/>
    </xf>
    <xf numFmtId="49" fontId="3" fillId="70" borderId="3" xfId="0" applyNumberFormat="1" applyFont="1" applyFill="1" applyBorder="1" applyAlignment="1">
      <alignment horizontal="left" wrapText="1"/>
    </xf>
    <xf numFmtId="0" fontId="3" fillId="70" borderId="3" xfId="1676" applyNumberFormat="1" applyFont="1" applyFill="1" applyBorder="1" applyAlignment="1">
      <alignment wrapText="1"/>
      <protection/>
    </xf>
    <xf numFmtId="49" fontId="3" fillId="70" borderId="3" xfId="1676" applyNumberFormat="1" applyFont="1" applyFill="1" applyBorder="1" applyAlignment="1">
      <alignment wrapText="1"/>
      <protection/>
    </xf>
    <xf numFmtId="44" fontId="3" fillId="70" borderId="29" xfId="1448" applyFill="1" applyBorder="1" applyAlignment="1">
      <alignment horizontal="center"/>
    </xf>
    <xf numFmtId="44" fontId="3" fillId="70" borderId="29" xfId="1448" applyFill="1" applyBorder="1" applyAlignment="1">
      <alignment horizontal="center" vertical="center"/>
    </xf>
    <xf numFmtId="44" fontId="3" fillId="70" borderId="33" xfId="1448" applyFill="1" applyBorder="1" applyAlignment="1">
      <alignment horizontal="center"/>
    </xf>
    <xf numFmtId="44" fontId="3" fillId="70" borderId="0" xfId="1448" applyFill="1" applyBorder="1" applyAlignment="1">
      <alignment horizontal="center"/>
    </xf>
    <xf numFmtId="0" fontId="3" fillId="70" borderId="0" xfId="0" applyFont="1" applyFill="1" applyAlignment="1">
      <alignment horizontal="center"/>
    </xf>
    <xf numFmtId="0" fontId="3" fillId="70" borderId="0" xfId="0" applyFont="1" applyFill="1" applyAlignment="1">
      <alignment horizontal="left" wrapText="1"/>
    </xf>
    <xf numFmtId="172" fontId="3" fillId="70" borderId="0" xfId="0" applyNumberFormat="1" applyFont="1" applyFill="1" applyAlignment="1">
      <alignment/>
    </xf>
    <xf numFmtId="2" fontId="3" fillId="70" borderId="0" xfId="1071" applyNumberFormat="1" applyFont="1" applyFill="1" applyAlignment="1">
      <alignment horizontal="right" vertical="center"/>
    </xf>
    <xf numFmtId="0" fontId="3" fillId="70" borderId="0" xfId="0" applyFont="1" applyFill="1" applyAlignment="1">
      <alignment/>
    </xf>
    <xf numFmtId="0" fontId="3" fillId="70" borderId="0" xfId="0" applyFont="1" applyFill="1" applyBorder="1" applyAlignment="1">
      <alignment/>
    </xf>
    <xf numFmtId="0" fontId="3" fillId="70" borderId="30" xfId="0" applyFont="1" applyFill="1" applyBorder="1" applyAlignment="1">
      <alignment horizontal="center"/>
    </xf>
    <xf numFmtId="0" fontId="12" fillId="70" borderId="3" xfId="0" applyFont="1" applyFill="1" applyBorder="1" applyAlignment="1">
      <alignment horizontal="left" vertical="center" wrapText="1"/>
    </xf>
    <xf numFmtId="0" fontId="3" fillId="70" borderId="3" xfId="0" applyFont="1" applyFill="1" applyBorder="1" applyAlignment="1">
      <alignment horizontal="left" wrapText="1"/>
    </xf>
    <xf numFmtId="172" fontId="3" fillId="70" borderId="3" xfId="0" applyNumberFormat="1" applyFont="1" applyFill="1" applyBorder="1" applyAlignment="1">
      <alignment/>
    </xf>
    <xf numFmtId="2" fontId="3" fillId="70" borderId="3" xfId="1071" applyNumberFormat="1" applyFont="1" applyFill="1" applyBorder="1" applyAlignment="1">
      <alignment horizontal="right" vertical="center"/>
    </xf>
    <xf numFmtId="1" fontId="3" fillId="70" borderId="3" xfId="1754" applyNumberFormat="1" applyFont="1" applyFill="1" applyBorder="1" applyAlignment="1">
      <alignment horizontal="left" vertical="center"/>
      <protection/>
    </xf>
    <xf numFmtId="0" fontId="3" fillId="70" borderId="3" xfId="1749" applyFont="1" applyFill="1" applyBorder="1" applyAlignment="1">
      <alignment wrapText="1"/>
      <protection/>
    </xf>
    <xf numFmtId="0" fontId="3" fillId="70" borderId="3" xfId="1749" applyFont="1" applyFill="1" applyBorder="1" applyAlignment="1">
      <alignment horizontal="left" wrapText="1"/>
      <protection/>
    </xf>
    <xf numFmtId="0" fontId="3" fillId="70" borderId="3" xfId="1750" applyFont="1" applyFill="1" applyBorder="1" applyAlignment="1">
      <alignment horizontal="left"/>
      <protection/>
    </xf>
    <xf numFmtId="44" fontId="3" fillId="70" borderId="29" xfId="1448" applyFont="1" applyFill="1" applyBorder="1" applyAlignment="1">
      <alignment vertical="center"/>
    </xf>
    <xf numFmtId="0" fontId="73" fillId="70" borderId="3" xfId="0" applyFont="1" applyFill="1" applyBorder="1" applyAlignment="1">
      <alignment horizontal="left" vertical="center" wrapText="1"/>
    </xf>
    <xf numFmtId="0" fontId="3" fillId="70" borderId="3" xfId="0" applyFont="1" applyFill="1" applyBorder="1" applyAlignment="1">
      <alignment horizontal="left" vertical="center"/>
    </xf>
    <xf numFmtId="0" fontId="3" fillId="70" borderId="31" xfId="0" applyFont="1" applyFill="1" applyBorder="1" applyAlignment="1">
      <alignment horizontal="center"/>
    </xf>
    <xf numFmtId="0" fontId="3" fillId="70" borderId="32" xfId="0" applyFont="1" applyFill="1" applyBorder="1" applyAlignment="1">
      <alignment horizontal="left" vertical="center" wrapText="1"/>
    </xf>
    <xf numFmtId="2" fontId="3" fillId="70" borderId="32" xfId="1071" applyNumberFormat="1" applyFont="1" applyFill="1" applyBorder="1" applyAlignment="1">
      <alignment horizontal="right" vertical="center"/>
    </xf>
    <xf numFmtId="44" fontId="3" fillId="70" borderId="33" xfId="1448" applyFont="1" applyFill="1" applyBorder="1" applyAlignment="1">
      <alignment vertical="center"/>
    </xf>
    <xf numFmtId="0" fontId="3" fillId="70" borderId="0" xfId="0" applyFont="1" applyFill="1" applyBorder="1" applyAlignment="1">
      <alignment horizontal="center"/>
    </xf>
    <xf numFmtId="0" fontId="3" fillId="70" borderId="0" xfId="0" applyFont="1" applyFill="1" applyBorder="1" applyAlignment="1">
      <alignment horizontal="left" wrapText="1"/>
    </xf>
    <xf numFmtId="172" fontId="3" fillId="70" borderId="0" xfId="0" applyNumberFormat="1" applyFont="1" applyFill="1" applyBorder="1" applyAlignment="1">
      <alignment/>
    </xf>
    <xf numFmtId="2" fontId="3" fillId="70" borderId="0" xfId="1071" applyNumberFormat="1" applyFont="1" applyFill="1" applyBorder="1" applyAlignment="1">
      <alignment horizontal="right" vertical="center"/>
    </xf>
    <xf numFmtId="44" fontId="3" fillId="70" borderId="0" xfId="1448" applyFont="1" applyFill="1" applyBorder="1" applyAlignment="1">
      <alignment vertical="center"/>
    </xf>
    <xf numFmtId="0" fontId="71" fillId="70" borderId="0" xfId="0" applyFont="1" applyFill="1" applyBorder="1" applyAlignment="1">
      <alignment horizontal="center"/>
    </xf>
    <xf numFmtId="0" fontId="16" fillId="70" borderId="0" xfId="0" applyFont="1" applyFill="1" applyBorder="1" applyAlignment="1">
      <alignment horizontal="left" wrapText="1"/>
    </xf>
    <xf numFmtId="0" fontId="71" fillId="70" borderId="0" xfId="0" applyFont="1" applyFill="1" applyAlignment="1">
      <alignment horizontal="center"/>
    </xf>
    <xf numFmtId="0" fontId="3" fillId="70" borderId="0" xfId="0" applyFont="1" applyFill="1" applyAlignment="1">
      <alignment wrapText="1"/>
    </xf>
    <xf numFmtId="44" fontId="3" fillId="70" borderId="0" xfId="1448" applyFont="1" applyFill="1" applyAlignment="1">
      <alignment vertical="center"/>
    </xf>
    <xf numFmtId="0" fontId="3" fillId="70" borderId="3" xfId="0" applyFont="1" applyFill="1" applyBorder="1" applyAlignment="1">
      <alignment wrapText="1"/>
    </xf>
    <xf numFmtId="0" fontId="3" fillId="70" borderId="32" xfId="0" applyFont="1" applyFill="1" applyBorder="1" applyAlignment="1">
      <alignment horizontal="right" wrapText="1"/>
    </xf>
    <xf numFmtId="0" fontId="3" fillId="70" borderId="0" xfId="1675" applyFont="1" applyFill="1">
      <alignment/>
      <protection/>
    </xf>
    <xf numFmtId="0" fontId="3" fillId="70" borderId="0" xfId="1675" applyFont="1" applyFill="1" applyAlignment="1">
      <alignment horizontal="center"/>
      <protection/>
    </xf>
    <xf numFmtId="44" fontId="3" fillId="70" borderId="0" xfId="1449" applyFont="1" applyFill="1" applyAlignment="1">
      <alignment/>
    </xf>
    <xf numFmtId="0" fontId="3" fillId="70" borderId="0" xfId="1675" applyFont="1" applyFill="1" applyBorder="1">
      <alignment/>
      <protection/>
    </xf>
    <xf numFmtId="1" fontId="84" fillId="70" borderId="0" xfId="1675" applyNumberFormat="1" applyFont="1" applyFill="1" applyBorder="1" applyAlignment="1" applyProtection="1">
      <alignment horizontal="left" vertical="center"/>
      <protection/>
    </xf>
    <xf numFmtId="0" fontId="84" fillId="70" borderId="0" xfId="1675" applyFont="1" applyFill="1">
      <alignment/>
      <protection/>
    </xf>
    <xf numFmtId="0" fontId="84" fillId="70" borderId="0" xfId="1675" applyFont="1" applyFill="1" applyAlignment="1">
      <alignment horizontal="justify" vertical="top"/>
      <protection/>
    </xf>
    <xf numFmtId="0" fontId="85" fillId="70" borderId="35" xfId="1675" applyFont="1" applyFill="1" applyBorder="1" applyAlignment="1">
      <alignment horizontal="center"/>
      <protection/>
    </xf>
    <xf numFmtId="44" fontId="85" fillId="70" borderId="35" xfId="1449" applyFont="1" applyFill="1" applyBorder="1" applyAlignment="1">
      <alignment/>
    </xf>
    <xf numFmtId="44" fontId="85" fillId="70" borderId="62" xfId="1449" applyFont="1" applyFill="1" applyBorder="1" applyAlignment="1">
      <alignment/>
    </xf>
    <xf numFmtId="0" fontId="84" fillId="70" borderId="0" xfId="1675" applyFont="1" applyFill="1" applyAlignment="1">
      <alignment horizontal="center"/>
      <protection/>
    </xf>
    <xf numFmtId="44" fontId="84" fillId="70" borderId="0" xfId="1449" applyFont="1" applyFill="1" applyAlignment="1">
      <alignment/>
    </xf>
    <xf numFmtId="44" fontId="84" fillId="70" borderId="0" xfId="1449" applyFont="1" applyFill="1" applyAlignment="1">
      <alignment/>
    </xf>
    <xf numFmtId="44" fontId="84" fillId="70" borderId="0" xfId="1449" applyFont="1" applyFill="1" applyBorder="1" applyAlignment="1">
      <alignment/>
    </xf>
    <xf numFmtId="44" fontId="3" fillId="70" borderId="0" xfId="1675" applyNumberFormat="1" applyFont="1" applyFill="1" applyBorder="1">
      <alignment/>
      <protection/>
    </xf>
    <xf numFmtId="0" fontId="78" fillId="70" borderId="0" xfId="1747" applyFont="1" applyFill="1" applyBorder="1" applyAlignment="1">
      <alignment horizontal="center"/>
      <protection/>
    </xf>
    <xf numFmtId="180" fontId="78" fillId="70" borderId="0" xfId="1747" applyNumberFormat="1" applyFont="1" applyFill="1" applyBorder="1" applyAlignment="1">
      <alignment horizontal="right"/>
      <protection/>
    </xf>
    <xf numFmtId="0" fontId="84" fillId="70" borderId="0" xfId="1675" applyFont="1" applyFill="1" applyBorder="1" applyAlignment="1">
      <alignment horizontal="center"/>
      <protection/>
    </xf>
    <xf numFmtId="180" fontId="78" fillId="70" borderId="0" xfId="1675" applyNumberFormat="1" applyFont="1" applyFill="1" applyBorder="1" applyAlignment="1">
      <alignment horizontal="right"/>
      <protection/>
    </xf>
    <xf numFmtId="44" fontId="84" fillId="70" borderId="0" xfId="1449" applyFont="1" applyFill="1" applyBorder="1" applyAlignment="1">
      <alignment/>
    </xf>
    <xf numFmtId="0" fontId="84" fillId="70" borderId="35" xfId="1675" applyFont="1" applyFill="1" applyBorder="1" applyAlignment="1">
      <alignment horizontal="center"/>
      <protection/>
    </xf>
    <xf numFmtId="44" fontId="84" fillId="70" borderId="35" xfId="1449" applyFont="1" applyFill="1" applyBorder="1" applyAlignment="1">
      <alignment/>
    </xf>
    <xf numFmtId="44" fontId="84" fillId="70" borderId="62" xfId="1449" applyFont="1" applyFill="1" applyBorder="1" applyAlignment="1">
      <alignment/>
    </xf>
    <xf numFmtId="0" fontId="78" fillId="70" borderId="0" xfId="1675" applyFont="1" applyFill="1" applyBorder="1" applyAlignment="1">
      <alignment horizontal="center"/>
      <protection/>
    </xf>
    <xf numFmtId="1" fontId="84" fillId="70" borderId="0" xfId="1675" applyNumberFormat="1" applyFont="1" applyFill="1" applyBorder="1" applyAlignment="1" applyProtection="1">
      <alignment horizontal="left" vertical="center" indent="2"/>
      <protection locked="0"/>
    </xf>
    <xf numFmtId="0" fontId="78" fillId="70" borderId="0" xfId="1675" applyFont="1" applyFill="1" applyBorder="1" applyAlignment="1">
      <alignment horizontal="left"/>
      <protection/>
    </xf>
    <xf numFmtId="0" fontId="78" fillId="70" borderId="0" xfId="1747" applyFont="1" applyFill="1" applyBorder="1">
      <alignment/>
      <protection/>
    </xf>
    <xf numFmtId="1" fontId="85" fillId="70" borderId="35" xfId="1675" applyNumberFormat="1" applyFont="1" applyFill="1" applyBorder="1" applyAlignment="1" applyProtection="1">
      <alignment horizontal="center" vertical="center"/>
      <protection/>
    </xf>
    <xf numFmtId="44" fontId="85" fillId="70" borderId="35" xfId="1449" applyFont="1" applyFill="1" applyBorder="1" applyAlignment="1" applyProtection="1">
      <alignment vertical="center"/>
      <protection/>
    </xf>
    <xf numFmtId="44" fontId="85" fillId="70" borderId="62" xfId="1449" applyFont="1" applyFill="1" applyBorder="1" applyAlignment="1" applyProtection="1">
      <alignment vertical="center"/>
      <protection/>
    </xf>
    <xf numFmtId="1" fontId="84" fillId="70" borderId="0" xfId="1675" applyNumberFormat="1" applyFont="1" applyFill="1" applyBorder="1" applyAlignment="1" applyProtection="1">
      <alignment horizontal="center" vertical="center"/>
      <protection/>
    </xf>
    <xf numFmtId="44" fontId="84" fillId="70" borderId="0" xfId="1449" applyFont="1" applyFill="1" applyBorder="1" applyAlignment="1" applyProtection="1">
      <alignment vertical="center"/>
      <protection/>
    </xf>
    <xf numFmtId="49" fontId="85" fillId="70" borderId="0" xfId="1675" applyNumberFormat="1" applyFont="1" applyFill="1" applyBorder="1" applyAlignment="1">
      <alignment horizontal="left" wrapText="1"/>
      <protection/>
    </xf>
    <xf numFmtId="0" fontId="78" fillId="70" borderId="0" xfId="1675" applyFont="1" applyFill="1" applyBorder="1">
      <alignment/>
      <protection/>
    </xf>
    <xf numFmtId="0" fontId="84" fillId="70" borderId="0" xfId="1675" applyFont="1" applyFill="1" applyBorder="1" applyAlignment="1">
      <alignment horizontal="left" indent="2"/>
      <protection/>
    </xf>
    <xf numFmtId="49" fontId="78" fillId="70" borderId="0" xfId="1675" applyNumberFormat="1" applyFont="1" applyFill="1" applyBorder="1" applyAlignment="1">
      <alignment horizontal="left" wrapText="1"/>
      <protection/>
    </xf>
    <xf numFmtId="0" fontId="3" fillId="70" borderId="0" xfId="1675" applyFont="1" applyFill="1" applyAlignment="1">
      <alignment/>
      <protection/>
    </xf>
    <xf numFmtId="180" fontId="43" fillId="70" borderId="0" xfId="1675" applyNumberFormat="1" applyFont="1" applyFill="1" applyBorder="1" applyAlignment="1">
      <alignment horizontal="right"/>
      <protection/>
    </xf>
    <xf numFmtId="0" fontId="140" fillId="70" borderId="0" xfId="0" applyFont="1" applyFill="1" applyBorder="1" applyAlignment="1" applyProtection="1">
      <alignment horizontal="left"/>
      <protection/>
    </xf>
    <xf numFmtId="0" fontId="0" fillId="70" borderId="43" xfId="0" applyFont="1" applyFill="1" applyBorder="1" applyAlignment="1" applyProtection="1">
      <alignment vertical="center"/>
      <protection/>
    </xf>
    <xf numFmtId="0" fontId="0" fillId="70" borderId="0" xfId="0" applyFont="1" applyFill="1" applyBorder="1" applyAlignment="1" applyProtection="1">
      <alignment vertical="center"/>
      <protection/>
    </xf>
    <xf numFmtId="0" fontId="139" fillId="70" borderId="0" xfId="0" applyFont="1" applyFill="1" applyBorder="1" applyAlignment="1" applyProtection="1">
      <alignment horizontal="left"/>
      <protection/>
    </xf>
    <xf numFmtId="0" fontId="0" fillId="70" borderId="0" xfId="0" applyFont="1" applyFill="1" applyAlignment="1">
      <alignment vertical="center"/>
    </xf>
    <xf numFmtId="0" fontId="0" fillId="70" borderId="55" xfId="0" applyFont="1" applyFill="1" applyBorder="1" applyAlignment="1" applyProtection="1">
      <alignment vertical="center"/>
      <protection/>
    </xf>
    <xf numFmtId="0" fontId="0" fillId="70" borderId="56" xfId="0" applyFont="1" applyFill="1" applyBorder="1" applyAlignment="1" applyProtection="1">
      <alignment vertical="center"/>
      <protection/>
    </xf>
    <xf numFmtId="0" fontId="0" fillId="70" borderId="57" xfId="0" applyFont="1" applyFill="1" applyBorder="1" applyAlignment="1" applyProtection="1">
      <alignment vertical="center"/>
      <protection/>
    </xf>
    <xf numFmtId="0" fontId="0" fillId="70" borderId="0" xfId="0" applyFont="1" applyFill="1" applyBorder="1" applyAlignment="1" applyProtection="1">
      <alignment vertical="center"/>
      <protection/>
    </xf>
    <xf numFmtId="0" fontId="90" fillId="70" borderId="0" xfId="0" applyFont="1" applyFill="1" applyBorder="1" applyAlignment="1" applyProtection="1">
      <alignment horizontal="left" vertical="center"/>
      <protection/>
    </xf>
    <xf numFmtId="0" fontId="133" fillId="70" borderId="0" xfId="0" applyFont="1" applyFill="1" applyBorder="1" applyAlignment="1" applyProtection="1">
      <alignment horizontal="left" vertical="center"/>
      <protection/>
    </xf>
    <xf numFmtId="0" fontId="140" fillId="70" borderId="0" xfId="0" applyFont="1" applyFill="1" applyBorder="1" applyAlignment="1" applyProtection="1">
      <alignment horizontal="left" vertical="center"/>
      <protection/>
    </xf>
    <xf numFmtId="0" fontId="0" fillId="70" borderId="0" xfId="0" applyFill="1" applyBorder="1" applyAlignment="1" applyProtection="1">
      <alignment/>
      <protection/>
    </xf>
    <xf numFmtId="44" fontId="12" fillId="70" borderId="0" xfId="1448" applyFont="1" applyFill="1" applyBorder="1" applyAlignment="1">
      <alignment horizontal="center"/>
    </xf>
    <xf numFmtId="172" fontId="3" fillId="70" borderId="0" xfId="0" applyNumberFormat="1" applyFont="1" applyFill="1" applyAlignment="1">
      <alignment vertical="center"/>
    </xf>
    <xf numFmtId="173" fontId="3" fillId="70" borderId="63" xfId="1071" applyNumberFormat="1" applyFont="1" applyFill="1" applyBorder="1" applyAlignment="1" applyProtection="1">
      <alignment horizontal="center" vertical="center" wrapText="1"/>
      <protection/>
    </xf>
    <xf numFmtId="173" fontId="3" fillId="70" borderId="64" xfId="1071" applyNumberFormat="1" applyFont="1" applyFill="1" applyBorder="1" applyAlignment="1" applyProtection="1">
      <alignment horizontal="center" vertical="center" wrapText="1"/>
      <protection/>
    </xf>
    <xf numFmtId="173" fontId="3" fillId="70" borderId="63" xfId="1071" applyNumberFormat="1" applyFont="1" applyFill="1" applyBorder="1" applyAlignment="1">
      <alignment horizontal="center" vertical="center" wrapText="1"/>
    </xf>
    <xf numFmtId="1" fontId="3" fillId="70" borderId="65" xfId="1071" applyNumberFormat="1" applyFont="1" applyFill="1" applyBorder="1" applyAlignment="1" applyProtection="1">
      <alignment horizontal="center" vertical="center"/>
      <protection/>
    </xf>
    <xf numFmtId="1" fontId="3" fillId="70" borderId="66" xfId="1071" applyNumberFormat="1" applyFont="1" applyFill="1" applyBorder="1" applyAlignment="1" applyProtection="1">
      <alignment horizontal="center" vertical="center" wrapText="1"/>
      <protection/>
    </xf>
    <xf numFmtId="1" fontId="3" fillId="70" borderId="65" xfId="1071" applyNumberFormat="1" applyFont="1" applyFill="1" applyBorder="1" applyAlignment="1" applyProtection="1">
      <alignment horizontal="center" vertical="center" wrapText="1"/>
      <protection/>
    </xf>
    <xf numFmtId="1" fontId="3" fillId="70" borderId="66" xfId="1071" applyNumberFormat="1" applyFont="1" applyFill="1" applyBorder="1" applyAlignment="1" applyProtection="1">
      <alignment horizontal="center" vertical="center"/>
      <protection/>
    </xf>
    <xf numFmtId="0" fontId="3" fillId="70" borderId="3" xfId="0" applyFont="1" applyFill="1" applyBorder="1" applyAlignment="1">
      <alignment horizontal="left" vertical="center" wrapText="1"/>
    </xf>
    <xf numFmtId="172" fontId="3" fillId="70" borderId="3" xfId="0" applyNumberFormat="1" applyFont="1" applyFill="1" applyBorder="1" applyAlignment="1">
      <alignment vertical="center"/>
    </xf>
    <xf numFmtId="172" fontId="3" fillId="70" borderId="3" xfId="1750" applyNumberFormat="1" applyFont="1" applyFill="1" applyBorder="1" applyAlignment="1">
      <alignment vertical="center"/>
      <protection/>
    </xf>
    <xf numFmtId="0" fontId="3" fillId="70" borderId="32" xfId="0" applyFont="1" applyFill="1" applyBorder="1" applyAlignment="1">
      <alignment horizontal="left" wrapText="1"/>
    </xf>
    <xf numFmtId="172" fontId="3" fillId="70" borderId="32" xfId="0" applyNumberFormat="1" applyFont="1" applyFill="1" applyBorder="1" applyAlignment="1">
      <alignment/>
    </xf>
    <xf numFmtId="172" fontId="3" fillId="70" borderId="32" xfId="0" applyNumberFormat="1" applyFont="1" applyFill="1" applyBorder="1" applyAlignment="1">
      <alignment vertical="center"/>
    </xf>
    <xf numFmtId="172" fontId="3" fillId="70" borderId="0" xfId="0" applyNumberFormat="1" applyFont="1" applyFill="1" applyBorder="1" applyAlignment="1">
      <alignment vertical="center"/>
    </xf>
    <xf numFmtId="0" fontId="65" fillId="70" borderId="0" xfId="0" applyFont="1" applyFill="1" applyBorder="1" applyAlignment="1">
      <alignment wrapText="1"/>
    </xf>
    <xf numFmtId="0" fontId="65" fillId="70" borderId="0" xfId="0" applyFont="1" applyFill="1" applyBorder="1" applyAlignment="1">
      <alignment horizontal="left" wrapText="1"/>
    </xf>
    <xf numFmtId="172" fontId="65" fillId="70" borderId="0" xfId="0" applyNumberFormat="1" applyFont="1" applyFill="1" applyBorder="1" applyAlignment="1">
      <alignment/>
    </xf>
    <xf numFmtId="172" fontId="65" fillId="70" borderId="0" xfId="0" applyNumberFormat="1" applyFont="1" applyFill="1" applyBorder="1" applyAlignment="1">
      <alignment vertical="center"/>
    </xf>
    <xf numFmtId="2" fontId="65" fillId="70" borderId="0" xfId="1071" applyNumberFormat="1" applyFont="1" applyFill="1" applyBorder="1" applyAlignment="1">
      <alignment horizontal="right" vertical="center"/>
    </xf>
    <xf numFmtId="44" fontId="65" fillId="70" borderId="0" xfId="1448" applyFont="1" applyFill="1" applyBorder="1" applyAlignment="1">
      <alignment vertical="center"/>
    </xf>
    <xf numFmtId="0" fontId="3" fillId="70" borderId="3" xfId="1749" applyFont="1" applyFill="1" applyBorder="1" applyAlignment="1">
      <alignment horizontal="center" vertical="top"/>
      <protection/>
    </xf>
    <xf numFmtId="172" fontId="74" fillId="70" borderId="3" xfId="0" applyNumberFormat="1" applyFont="1" applyFill="1" applyBorder="1" applyAlignment="1">
      <alignment horizontal="center" vertical="top"/>
    </xf>
    <xf numFmtId="0" fontId="3" fillId="70" borderId="3" xfId="0" applyFont="1" applyFill="1" applyBorder="1" applyAlignment="1">
      <alignment vertical="center"/>
    </xf>
    <xf numFmtId="0" fontId="3" fillId="70" borderId="3" xfId="0" applyNumberFormat="1" applyFont="1" applyFill="1" applyBorder="1" applyAlignment="1" applyProtection="1">
      <alignment vertical="center" wrapText="1"/>
      <protection/>
    </xf>
    <xf numFmtId="0" fontId="3" fillId="70" borderId="3" xfId="1749" applyFont="1" applyFill="1" applyBorder="1" applyAlignment="1">
      <alignment vertical="center" wrapText="1"/>
      <protection/>
    </xf>
    <xf numFmtId="0" fontId="3" fillId="70" borderId="3" xfId="1749" applyFont="1" applyFill="1" applyBorder="1" applyAlignment="1">
      <alignment horizontal="center" vertical="center" wrapText="1"/>
      <protection/>
    </xf>
    <xf numFmtId="0" fontId="74" fillId="70" borderId="3" xfId="0" applyFont="1" applyFill="1" applyBorder="1" applyAlignment="1">
      <alignment horizontal="right" vertical="center" wrapText="1"/>
    </xf>
    <xf numFmtId="0" fontId="3" fillId="70" borderId="3" xfId="0" applyFont="1" applyFill="1" applyBorder="1" applyAlignment="1">
      <alignment horizontal="center" vertical="center" wrapText="1"/>
    </xf>
    <xf numFmtId="0" fontId="3" fillId="70" borderId="3" xfId="0" applyNumberFormat="1" applyFont="1" applyFill="1" applyBorder="1" applyAlignment="1" applyProtection="1">
      <alignment horizontal="left" vertical="center" wrapText="1"/>
      <protection/>
    </xf>
    <xf numFmtId="0" fontId="3" fillId="70" borderId="3" xfId="1739" applyFont="1" applyFill="1" applyBorder="1" applyAlignment="1" applyProtection="1">
      <alignment horizontal="center" vertical="center" wrapText="1"/>
      <protection/>
    </xf>
    <xf numFmtId="0" fontId="71" fillId="70" borderId="0" xfId="0" applyFont="1" applyFill="1" applyAlignment="1">
      <alignment horizontal="left" vertical="top" wrapText="1"/>
    </xf>
    <xf numFmtId="0" fontId="77" fillId="70" borderId="0" xfId="0" applyFont="1" applyFill="1" applyAlignment="1">
      <alignment vertical="top" wrapText="1"/>
    </xf>
    <xf numFmtId="0" fontId="3" fillId="70" borderId="0" xfId="0" applyFont="1" applyFill="1" applyAlignment="1">
      <alignment horizontal="center" vertical="top" wrapText="1"/>
    </xf>
    <xf numFmtId="172" fontId="3" fillId="70" borderId="0" xfId="0" applyNumberFormat="1" applyFont="1" applyFill="1" applyAlignment="1">
      <alignment horizontal="right" vertical="top"/>
    </xf>
    <xf numFmtId="172" fontId="12" fillId="70" borderId="0" xfId="0" applyNumberFormat="1" applyFont="1" applyFill="1" applyAlignment="1">
      <alignment horizontal="center" vertical="top"/>
    </xf>
    <xf numFmtId="2" fontId="3" fillId="70" borderId="0" xfId="1071" applyNumberFormat="1" applyFont="1" applyFill="1" applyAlignment="1">
      <alignment horizontal="center" vertical="top"/>
    </xf>
    <xf numFmtId="44" fontId="3" fillId="70" borderId="0" xfId="1448" applyFont="1" applyFill="1" applyAlignment="1">
      <alignment horizontal="center" vertical="top"/>
    </xf>
    <xf numFmtId="0" fontId="72" fillId="70" borderId="0" xfId="0" applyFont="1" applyFill="1" applyAlignment="1">
      <alignment vertical="top" wrapText="1"/>
    </xf>
    <xf numFmtId="0" fontId="12" fillId="70" borderId="0" xfId="0" applyFont="1" applyFill="1" applyAlignment="1">
      <alignment horizontal="left" vertical="top" wrapText="1"/>
    </xf>
    <xf numFmtId="0" fontId="12" fillId="70" borderId="0" xfId="0" applyFont="1" applyFill="1" applyAlignment="1">
      <alignment vertical="top" wrapText="1"/>
    </xf>
    <xf numFmtId="0" fontId="3" fillId="70" borderId="0" xfId="0" applyFont="1" applyFill="1" applyAlignment="1">
      <alignment horizontal="center" vertical="top"/>
    </xf>
    <xf numFmtId="0" fontId="12" fillId="70" borderId="0" xfId="0" applyFont="1" applyFill="1" applyAlignment="1">
      <alignment horizontal="right" vertical="top"/>
    </xf>
    <xf numFmtId="0" fontId="12" fillId="70" borderId="0" xfId="0" applyFont="1" applyFill="1" applyAlignment="1">
      <alignment horizontal="center" vertical="top"/>
    </xf>
    <xf numFmtId="0" fontId="12" fillId="70" borderId="0" xfId="0" applyFont="1" applyFill="1" applyBorder="1" applyAlignment="1">
      <alignment horizontal="center" vertical="top"/>
    </xf>
    <xf numFmtId="0" fontId="3" fillId="70" borderId="0" xfId="0" applyFont="1" applyFill="1" applyAlignment="1">
      <alignment horizontal="left" vertical="top" wrapText="1"/>
    </xf>
    <xf numFmtId="0" fontId="75" fillId="70" borderId="0" xfId="1197" applyFont="1" applyFill="1" applyAlignment="1">
      <alignment horizontal="left" vertical="top"/>
      <protection/>
    </xf>
    <xf numFmtId="0" fontId="3" fillId="70" borderId="0" xfId="0" applyFont="1" applyFill="1" applyAlignment="1">
      <alignment vertical="top" wrapText="1"/>
    </xf>
    <xf numFmtId="4" fontId="12" fillId="70" borderId="0" xfId="1748" applyNumberFormat="1" applyFont="1" applyFill="1" applyBorder="1" applyAlignment="1">
      <alignment horizontal="center" vertical="top"/>
      <protection/>
    </xf>
    <xf numFmtId="0" fontId="75" fillId="70" borderId="0" xfId="1197" applyFont="1" applyFill="1" applyAlignment="1">
      <alignment horizontal="left" vertical="top" wrapText="1"/>
      <protection/>
    </xf>
    <xf numFmtId="0" fontId="12" fillId="70" borderId="0" xfId="0" applyFont="1" applyFill="1" applyBorder="1" applyAlignment="1">
      <alignment horizontal="left" vertical="top"/>
    </xf>
    <xf numFmtId="4" fontId="12" fillId="70" borderId="0" xfId="1748" applyNumberFormat="1" applyFont="1" applyFill="1" applyBorder="1" applyAlignment="1">
      <alignment horizontal="left" vertical="top"/>
      <protection/>
    </xf>
    <xf numFmtId="0" fontId="3" fillId="70" borderId="67" xfId="0" applyFont="1" applyFill="1" applyBorder="1" applyAlignment="1">
      <alignment horizontal="center" vertical="top"/>
    </xf>
    <xf numFmtId="173" fontId="3" fillId="70" borderId="68" xfId="1071" applyNumberFormat="1" applyFont="1" applyFill="1" applyBorder="1" applyAlignment="1" applyProtection="1">
      <alignment horizontal="center" vertical="top" wrapText="1"/>
      <protection/>
    </xf>
    <xf numFmtId="173" fontId="3" fillId="70" borderId="69" xfId="1071" applyNumberFormat="1" applyFont="1" applyFill="1" applyBorder="1" applyAlignment="1">
      <alignment horizontal="center" vertical="top" wrapText="1"/>
    </xf>
    <xf numFmtId="0" fontId="3" fillId="70" borderId="31" xfId="0" applyFont="1" applyFill="1" applyBorder="1" applyAlignment="1">
      <alignment horizontal="center" vertical="top"/>
    </xf>
    <xf numFmtId="1" fontId="3" fillId="70" borderId="32" xfId="1071" applyNumberFormat="1" applyFont="1" applyFill="1" applyBorder="1" applyAlignment="1" applyProtection="1">
      <alignment horizontal="center" vertical="top"/>
      <protection/>
    </xf>
    <xf numFmtId="1" fontId="3" fillId="70" borderId="32" xfId="1071" applyNumberFormat="1" applyFont="1" applyFill="1" applyBorder="1" applyAlignment="1" applyProtection="1">
      <alignment horizontal="center" vertical="top" wrapText="1"/>
      <protection/>
    </xf>
    <xf numFmtId="1" fontId="3" fillId="70" borderId="33" xfId="1071" applyNumberFormat="1" applyFont="1" applyFill="1" applyBorder="1" applyAlignment="1" applyProtection="1">
      <alignment horizontal="center" vertical="top"/>
      <protection/>
    </xf>
    <xf numFmtId="0" fontId="71" fillId="70" borderId="36" xfId="0" applyFont="1" applyFill="1" applyBorder="1" applyAlignment="1">
      <alignment vertical="center" wrapText="1"/>
    </xf>
    <xf numFmtId="0" fontId="3" fillId="70" borderId="36" xfId="0" applyFont="1" applyFill="1" applyBorder="1" applyAlignment="1">
      <alignment vertical="center" wrapText="1"/>
    </xf>
    <xf numFmtId="0" fontId="3" fillId="70" borderId="36" xfId="0" applyFont="1" applyFill="1" applyBorder="1" applyAlignment="1">
      <alignment horizontal="center" vertical="center" wrapText="1"/>
    </xf>
    <xf numFmtId="172" fontId="3" fillId="70" borderId="36" xfId="0" applyNumberFormat="1" applyFont="1" applyFill="1" applyBorder="1" applyAlignment="1">
      <alignment horizontal="center" vertical="top"/>
    </xf>
    <xf numFmtId="172" fontId="12" fillId="70" borderId="36" xfId="0" applyNumberFormat="1" applyFont="1" applyFill="1" applyBorder="1" applyAlignment="1">
      <alignment horizontal="center" vertical="top"/>
    </xf>
    <xf numFmtId="2" fontId="3" fillId="70" borderId="36" xfId="1071" applyNumberFormat="1" applyFont="1" applyFill="1" applyBorder="1" applyAlignment="1">
      <alignment horizontal="center" vertical="top"/>
    </xf>
    <xf numFmtId="44" fontId="3" fillId="70" borderId="70" xfId="1448" applyFont="1" applyFill="1" applyBorder="1" applyAlignment="1">
      <alignment horizontal="center" vertical="top"/>
    </xf>
    <xf numFmtId="0" fontId="12" fillId="70" borderId="3" xfId="1739" applyFont="1" applyFill="1" applyBorder="1" applyAlignment="1" applyProtection="1">
      <alignment vertical="center" wrapText="1"/>
      <protection/>
    </xf>
    <xf numFmtId="49" fontId="12" fillId="70" borderId="3" xfId="1676" applyNumberFormat="1" applyFont="1" applyFill="1" applyBorder="1" applyAlignment="1">
      <alignment vertical="center" wrapText="1"/>
      <protection/>
    </xf>
    <xf numFmtId="172" fontId="3" fillId="70" borderId="3" xfId="0" applyNumberFormat="1" applyFont="1" applyFill="1" applyBorder="1" applyAlignment="1">
      <alignment horizontal="center" vertical="top"/>
    </xf>
    <xf numFmtId="44" fontId="12" fillId="70" borderId="29" xfId="1448" applyFont="1" applyFill="1" applyBorder="1" applyAlignment="1">
      <alignment horizontal="center" vertical="top"/>
    </xf>
    <xf numFmtId="0" fontId="81" fillId="70" borderId="3" xfId="1749" applyFont="1" applyFill="1" applyBorder="1" applyAlignment="1">
      <alignment horizontal="left" vertical="center" wrapText="1"/>
      <protection/>
    </xf>
    <xf numFmtId="0" fontId="3" fillId="70" borderId="3" xfId="1750" applyFont="1" applyFill="1" applyBorder="1" applyAlignment="1">
      <alignment horizontal="center" vertical="top"/>
      <protection/>
    </xf>
    <xf numFmtId="0" fontId="80" fillId="70" borderId="3" xfId="0" applyFont="1" applyFill="1" applyBorder="1" applyAlignment="1">
      <alignment vertical="center" wrapText="1"/>
    </xf>
    <xf numFmtId="0" fontId="80" fillId="70" borderId="3" xfId="0" applyFont="1" applyFill="1" applyBorder="1" applyAlignment="1">
      <alignment horizontal="left" vertical="center" wrapText="1"/>
    </xf>
    <xf numFmtId="176" fontId="78" fillId="70" borderId="3" xfId="1071" applyNumberFormat="1" applyFont="1" applyFill="1" applyBorder="1" applyAlignment="1">
      <alignment horizontal="center" vertical="center" wrapText="1"/>
    </xf>
    <xf numFmtId="172" fontId="80" fillId="70" borderId="3" xfId="0" applyNumberFormat="1" applyFont="1" applyFill="1" applyBorder="1" applyAlignment="1">
      <alignment horizontal="center" vertical="top" wrapText="1"/>
    </xf>
    <xf numFmtId="0" fontId="78" fillId="70" borderId="3" xfId="0" applyFont="1" applyFill="1" applyBorder="1" applyAlignment="1">
      <alignment vertical="center"/>
    </xf>
    <xf numFmtId="0" fontId="79" fillId="70" borderId="3" xfId="0" applyFont="1" applyFill="1" applyBorder="1" applyAlignment="1">
      <alignment horizontal="right" vertical="center" wrapText="1"/>
    </xf>
    <xf numFmtId="0" fontId="78" fillId="70" borderId="3" xfId="0" applyFont="1" applyFill="1" applyBorder="1" applyAlignment="1">
      <alignment horizontal="center" vertical="center" wrapText="1"/>
    </xf>
    <xf numFmtId="172" fontId="79" fillId="70" borderId="3" xfId="0" applyNumberFormat="1" applyFont="1" applyFill="1" applyBorder="1" applyAlignment="1">
      <alignment horizontal="center" vertical="top"/>
    </xf>
    <xf numFmtId="0" fontId="80" fillId="70" borderId="3" xfId="1739" applyFont="1" applyFill="1" applyBorder="1" applyAlignment="1" applyProtection="1">
      <alignment vertical="center" wrapText="1"/>
      <protection/>
    </xf>
    <xf numFmtId="0" fontId="80" fillId="70" borderId="3" xfId="0" applyFont="1" applyFill="1" applyBorder="1" applyAlignment="1">
      <alignment horizontal="left" vertical="center" wrapText="1"/>
    </xf>
    <xf numFmtId="0" fontId="78" fillId="70" borderId="3" xfId="1739" applyFont="1" applyFill="1" applyBorder="1" applyAlignment="1" applyProtection="1">
      <alignment horizontal="center" vertical="center" wrapText="1"/>
      <protection/>
    </xf>
    <xf numFmtId="172" fontId="80" fillId="70" borderId="3" xfId="0" applyNumberFormat="1" applyFont="1" applyFill="1" applyBorder="1" applyAlignment="1">
      <alignment horizontal="center" vertical="top" wrapText="1"/>
    </xf>
    <xf numFmtId="172" fontId="43" fillId="70" borderId="3" xfId="0" applyNumberFormat="1" applyFont="1" applyFill="1" applyBorder="1" applyAlignment="1">
      <alignment horizontal="center" vertical="top"/>
    </xf>
    <xf numFmtId="0" fontId="79" fillId="70" borderId="3" xfId="0" applyFont="1" applyFill="1" applyBorder="1" applyAlignment="1">
      <alignment horizontal="right" vertical="center" wrapText="1"/>
    </xf>
    <xf numFmtId="172" fontId="79" fillId="70" borderId="3" xfId="0" applyNumberFormat="1" applyFont="1" applyFill="1" applyBorder="1" applyAlignment="1">
      <alignment horizontal="center" vertical="top"/>
    </xf>
    <xf numFmtId="0" fontId="80" fillId="70" borderId="3" xfId="1739" applyFont="1" applyFill="1" applyBorder="1" applyAlignment="1" applyProtection="1">
      <alignment vertical="center" wrapText="1"/>
      <protection/>
    </xf>
    <xf numFmtId="172" fontId="3" fillId="70" borderId="3" xfId="0" applyNumberFormat="1" applyFont="1" applyFill="1" applyBorder="1" applyAlignment="1">
      <alignment horizontal="center" vertical="center"/>
    </xf>
    <xf numFmtId="44" fontId="3" fillId="70" borderId="29" xfId="1448" applyFont="1" applyFill="1" applyBorder="1" applyAlignment="1">
      <alignment horizontal="left" vertical="center"/>
    </xf>
    <xf numFmtId="176" fontId="81" fillId="70" borderId="3" xfId="1071" applyNumberFormat="1" applyFont="1" applyFill="1" applyBorder="1" applyAlignment="1">
      <alignment horizontal="left" vertical="center" wrapText="1"/>
    </xf>
    <xf numFmtId="9" fontId="80" fillId="70" borderId="3" xfId="0" applyNumberFormat="1" applyFont="1" applyFill="1" applyBorder="1" applyAlignment="1">
      <alignment horizontal="left" vertical="center" wrapText="1"/>
    </xf>
    <xf numFmtId="172" fontId="80" fillId="70" borderId="3" xfId="0" applyNumberFormat="1" applyFont="1" applyFill="1" applyBorder="1" applyAlignment="1">
      <alignment horizontal="center" vertical="top"/>
    </xf>
    <xf numFmtId="0" fontId="3" fillId="70" borderId="21" xfId="0" applyNumberFormat="1" applyFont="1" applyFill="1" applyBorder="1" applyAlignment="1" applyProtection="1">
      <alignment vertical="center" wrapText="1"/>
      <protection/>
    </xf>
    <xf numFmtId="0" fontId="3" fillId="70" borderId="21" xfId="0" applyNumberFormat="1" applyFont="1" applyFill="1" applyBorder="1" applyAlignment="1" applyProtection="1">
      <alignment horizontal="left" vertical="center" wrapText="1"/>
      <protection/>
    </xf>
    <xf numFmtId="0" fontId="81" fillId="70" borderId="3" xfId="1739" applyFont="1" applyFill="1" applyBorder="1" applyAlignment="1" applyProtection="1">
      <alignment horizontal="left" vertical="center" wrapText="1"/>
      <protection/>
    </xf>
    <xf numFmtId="172" fontId="12" fillId="70" borderId="3" xfId="1749" applyNumberFormat="1" applyFont="1" applyFill="1" applyBorder="1" applyAlignment="1">
      <alignment horizontal="center" vertical="top"/>
      <protection/>
    </xf>
    <xf numFmtId="49" fontId="43" fillId="70" borderId="3" xfId="1676" applyNumberFormat="1" applyFont="1" applyFill="1" applyBorder="1" applyAlignment="1">
      <alignment vertical="center" wrapText="1"/>
      <protection/>
    </xf>
    <xf numFmtId="172" fontId="78" fillId="70" borderId="3" xfId="0" applyNumberFormat="1" applyFont="1" applyFill="1" applyBorder="1" applyAlignment="1">
      <alignment horizontal="center" vertical="top"/>
    </xf>
    <xf numFmtId="0" fontId="80" fillId="70" borderId="3" xfId="0" applyFont="1" applyFill="1" applyBorder="1" applyAlignment="1">
      <alignment horizontal="center" vertical="top" wrapText="1"/>
    </xf>
    <xf numFmtId="0" fontId="144" fillId="70" borderId="3" xfId="0" applyFont="1" applyFill="1" applyBorder="1" applyAlignment="1">
      <alignment vertical="center" wrapText="1"/>
    </xf>
    <xf numFmtId="172" fontId="144" fillId="70" borderId="3" xfId="0" applyNumberFormat="1" applyFont="1" applyFill="1" applyBorder="1" applyAlignment="1">
      <alignment horizontal="left" vertical="center" wrapText="1"/>
    </xf>
    <xf numFmtId="0" fontId="144" fillId="70" borderId="3" xfId="1749" applyFont="1" applyFill="1" applyBorder="1" applyAlignment="1">
      <alignment horizontal="center" vertical="center" wrapText="1"/>
      <protection/>
    </xf>
    <xf numFmtId="172" fontId="144" fillId="70" borderId="3" xfId="0" applyNumberFormat="1" applyFont="1" applyFill="1" applyBorder="1" applyAlignment="1">
      <alignment horizontal="center" vertical="top" wrapText="1"/>
    </xf>
    <xf numFmtId="0" fontId="82" fillId="70" borderId="3" xfId="0" applyFont="1" applyFill="1" applyBorder="1" applyAlignment="1">
      <alignment horizontal="center" vertical="top"/>
    </xf>
    <xf numFmtId="0" fontId="82" fillId="70" borderId="29" xfId="0" applyFont="1" applyFill="1" applyBorder="1" applyAlignment="1">
      <alignment horizontal="center" vertical="top"/>
    </xf>
    <xf numFmtId="0" fontId="82" fillId="70" borderId="0" xfId="0" applyFont="1" applyFill="1" applyAlignment="1">
      <alignment vertical="top"/>
    </xf>
    <xf numFmtId="0" fontId="73" fillId="70" borderId="3" xfId="1739" applyFont="1" applyFill="1" applyBorder="1" applyAlignment="1" applyProtection="1">
      <alignment vertical="center" wrapText="1"/>
      <protection/>
    </xf>
    <xf numFmtId="0" fontId="80" fillId="70" borderId="3" xfId="0" applyFont="1" applyFill="1" applyBorder="1" applyAlignment="1">
      <alignment horizontal="right" vertical="center" wrapText="1"/>
    </xf>
    <xf numFmtId="0" fontId="80" fillId="70" borderId="3" xfId="0" applyFont="1" applyFill="1" applyBorder="1" applyAlignment="1">
      <alignment vertical="center" wrapText="1"/>
    </xf>
    <xf numFmtId="9" fontId="80" fillId="70" borderId="3" xfId="0" applyNumberFormat="1" applyFont="1" applyFill="1" applyBorder="1" applyAlignment="1">
      <alignment horizontal="left" vertical="center" wrapText="1"/>
    </xf>
    <xf numFmtId="172" fontId="80" fillId="70" borderId="3" xfId="0" applyNumberFormat="1" applyFont="1" applyFill="1" applyBorder="1" applyAlignment="1">
      <alignment horizontal="center" vertical="top"/>
    </xf>
    <xf numFmtId="172" fontId="79" fillId="70" borderId="3" xfId="1749" applyNumberFormat="1" applyFont="1" applyFill="1" applyBorder="1" applyAlignment="1">
      <alignment horizontal="center" vertical="top"/>
      <protection/>
    </xf>
    <xf numFmtId="0" fontId="3" fillId="70" borderId="3" xfId="0" applyFont="1" applyFill="1" applyBorder="1" applyAlignment="1">
      <alignment vertical="center" wrapText="1"/>
    </xf>
    <xf numFmtId="172" fontId="3" fillId="70" borderId="3" xfId="0" applyNumberFormat="1" applyFont="1" applyFill="1" applyBorder="1" applyAlignment="1">
      <alignment horizontal="center" vertical="center" wrapText="1"/>
    </xf>
    <xf numFmtId="172" fontId="43" fillId="70" borderId="3" xfId="1749" applyNumberFormat="1" applyFont="1" applyFill="1" applyBorder="1" applyAlignment="1">
      <alignment horizontal="center" vertical="top"/>
      <protection/>
    </xf>
    <xf numFmtId="172" fontId="78" fillId="70" borderId="3" xfId="0" applyNumberFormat="1" applyFont="1" applyFill="1" applyBorder="1" applyAlignment="1">
      <alignment horizontal="center" vertical="center" wrapText="1"/>
    </xf>
    <xf numFmtId="0" fontId="80" fillId="70" borderId="3" xfId="0" applyFont="1" applyFill="1" applyBorder="1" applyAlignment="1">
      <alignment horizontal="center" vertical="top" wrapText="1"/>
    </xf>
    <xf numFmtId="2" fontId="43" fillId="70" borderId="3" xfId="0" applyNumberFormat="1" applyFont="1" applyFill="1" applyBorder="1" applyAlignment="1">
      <alignment horizontal="center" vertical="top"/>
    </xf>
    <xf numFmtId="44" fontId="78" fillId="70" borderId="29" xfId="1461" applyFont="1" applyFill="1" applyBorder="1" applyAlignment="1">
      <alignment horizontal="center" vertical="top"/>
    </xf>
    <xf numFmtId="0" fontId="73" fillId="70" borderId="3" xfId="0" applyFont="1" applyFill="1" applyBorder="1" applyAlignment="1">
      <alignment vertical="center" wrapText="1"/>
    </xf>
    <xf numFmtId="0" fontId="12" fillId="70" borderId="3" xfId="0" applyFont="1" applyFill="1" applyBorder="1" applyAlignment="1">
      <alignment vertical="center" wrapText="1"/>
    </xf>
    <xf numFmtId="0" fontId="144" fillId="70" borderId="3" xfId="1749" applyFont="1" applyFill="1" applyBorder="1" applyAlignment="1">
      <alignment horizontal="left" vertical="center" wrapText="1"/>
      <protection/>
    </xf>
    <xf numFmtId="0" fontId="3" fillId="70" borderId="3" xfId="0" applyNumberFormat="1" applyFont="1" applyFill="1" applyBorder="1" applyAlignment="1" applyProtection="1">
      <alignment vertical="center" wrapText="1"/>
      <protection/>
    </xf>
    <xf numFmtId="0" fontId="3" fillId="70" borderId="3" xfId="0" applyNumberFormat="1" applyFont="1" applyFill="1" applyBorder="1" applyAlignment="1" applyProtection="1">
      <alignment horizontal="left" vertical="center" wrapText="1"/>
      <protection/>
    </xf>
    <xf numFmtId="0" fontId="145" fillId="70" borderId="3" xfId="0" applyFont="1" applyFill="1" applyBorder="1" applyAlignment="1">
      <alignment vertical="center" wrapText="1"/>
    </xf>
    <xf numFmtId="1" fontId="3" fillId="70" borderId="3" xfId="1749" applyNumberFormat="1" applyFont="1" applyFill="1" applyBorder="1" applyAlignment="1">
      <alignment vertical="center"/>
      <protection/>
    </xf>
    <xf numFmtId="1" fontId="3" fillId="70" borderId="3" xfId="1754" applyNumberFormat="1" applyFont="1" applyFill="1" applyBorder="1" applyAlignment="1">
      <alignment vertical="center"/>
      <protection/>
    </xf>
    <xf numFmtId="0" fontId="80" fillId="70" borderId="3" xfId="1741" applyFont="1" applyFill="1" applyBorder="1" applyAlignment="1" applyProtection="1">
      <alignment vertical="center" wrapText="1"/>
      <protection/>
    </xf>
    <xf numFmtId="0" fontId="79" fillId="70" borderId="3" xfId="1749" applyFont="1" applyFill="1" applyBorder="1" applyAlignment="1">
      <alignment horizontal="center" vertical="top"/>
      <protection/>
    </xf>
    <xf numFmtId="2" fontId="80" fillId="70" borderId="3" xfId="1071" applyNumberFormat="1" applyFont="1" applyFill="1" applyBorder="1" applyAlignment="1">
      <alignment horizontal="center" vertical="top"/>
    </xf>
    <xf numFmtId="44" fontId="80" fillId="70" borderId="29" xfId="1448" applyFont="1" applyFill="1" applyBorder="1" applyAlignment="1">
      <alignment horizontal="center" vertical="top"/>
    </xf>
    <xf numFmtId="1" fontId="78" fillId="70" borderId="3" xfId="1749" applyNumberFormat="1" applyFont="1" applyFill="1" applyBorder="1" applyAlignment="1">
      <alignment vertical="center"/>
      <protection/>
    </xf>
    <xf numFmtId="0" fontId="78" fillId="70" borderId="3" xfId="1749" applyFont="1" applyFill="1" applyBorder="1" applyAlignment="1">
      <alignment horizontal="center" vertical="center" wrapText="1"/>
      <protection/>
    </xf>
    <xf numFmtId="0" fontId="78" fillId="70" borderId="3" xfId="1749" applyFont="1" applyFill="1" applyBorder="1" applyAlignment="1">
      <alignment horizontal="center" vertical="top"/>
      <protection/>
    </xf>
    <xf numFmtId="1" fontId="3" fillId="70" borderId="3" xfId="1755" applyNumberFormat="1" applyFont="1" applyFill="1" applyBorder="1" applyAlignment="1">
      <alignment vertical="center"/>
      <protection/>
    </xf>
    <xf numFmtId="0" fontId="3" fillId="70" borderId="3" xfId="1741" applyFont="1" applyFill="1" applyBorder="1" applyAlignment="1" applyProtection="1">
      <alignment vertical="center" wrapText="1"/>
      <protection/>
    </xf>
    <xf numFmtId="49" fontId="3" fillId="70" borderId="3" xfId="1676" applyNumberFormat="1" applyFont="1" applyFill="1" applyBorder="1" applyAlignment="1">
      <alignment horizontal="left" vertical="center" wrapText="1"/>
      <protection/>
    </xf>
    <xf numFmtId="0" fontId="3" fillId="70" borderId="3" xfId="1755" applyFont="1" applyFill="1" applyBorder="1" applyAlignment="1">
      <alignment horizontal="center" vertical="top"/>
      <protection/>
    </xf>
    <xf numFmtId="17" fontId="78" fillId="70" borderId="3" xfId="0" applyNumberFormat="1" applyFont="1" applyFill="1" applyBorder="1" applyAlignment="1">
      <alignment vertical="center" wrapText="1"/>
    </xf>
    <xf numFmtId="172" fontId="80" fillId="70" borderId="3" xfId="1749" applyNumberFormat="1" applyFont="1" applyFill="1" applyBorder="1" applyAlignment="1">
      <alignment horizontal="left" vertical="center" wrapText="1"/>
      <protection/>
    </xf>
    <xf numFmtId="172" fontId="80" fillId="70" borderId="3" xfId="1749" applyNumberFormat="1" applyFont="1" applyFill="1" applyBorder="1" applyAlignment="1">
      <alignment horizontal="center" vertical="top" wrapText="1"/>
      <protection/>
    </xf>
    <xf numFmtId="1" fontId="78" fillId="70" borderId="3" xfId="1755" applyNumberFormat="1" applyFont="1" applyFill="1" applyBorder="1" applyAlignment="1">
      <alignment vertical="center"/>
      <protection/>
    </xf>
    <xf numFmtId="49" fontId="3" fillId="70" borderId="3" xfId="1676" applyNumberFormat="1" applyFont="1" applyFill="1" applyBorder="1" applyAlignment="1">
      <alignment vertical="center"/>
      <protection/>
    </xf>
    <xf numFmtId="49" fontId="78" fillId="70" borderId="3" xfId="1676" applyNumberFormat="1" applyFont="1" applyFill="1" applyBorder="1" applyAlignment="1">
      <alignment vertical="center"/>
      <protection/>
    </xf>
    <xf numFmtId="0" fontId="78" fillId="70" borderId="3" xfId="0" applyFont="1" applyFill="1" applyBorder="1" applyAlignment="1">
      <alignment vertical="center" wrapText="1"/>
    </xf>
    <xf numFmtId="172" fontId="80" fillId="70" borderId="3" xfId="0" applyNumberFormat="1" applyFont="1" applyFill="1" applyBorder="1" applyAlignment="1">
      <alignment horizontal="left" vertical="center" wrapText="1"/>
    </xf>
    <xf numFmtId="172" fontId="3" fillId="70" borderId="3" xfId="0" applyNumberFormat="1" applyFont="1" applyFill="1" applyBorder="1" applyAlignment="1">
      <alignment horizontal="left" vertical="center" wrapText="1"/>
    </xf>
    <xf numFmtId="172" fontId="3" fillId="70" borderId="3" xfId="0" applyNumberFormat="1" applyFont="1" applyFill="1" applyBorder="1" applyAlignment="1">
      <alignment horizontal="center" vertical="top" wrapText="1"/>
    </xf>
    <xf numFmtId="0" fontId="80" fillId="70" borderId="3" xfId="1730" applyFont="1" applyFill="1" applyBorder="1" applyAlignment="1">
      <alignment vertical="center"/>
      <protection/>
    </xf>
    <xf numFmtId="0" fontId="73" fillId="70" borderId="3" xfId="1730" applyFont="1" applyFill="1" applyBorder="1" applyAlignment="1">
      <alignment vertical="center"/>
      <protection/>
    </xf>
    <xf numFmtId="176" fontId="146" fillId="70" borderId="3" xfId="1071" applyNumberFormat="1" applyFont="1" applyFill="1" applyBorder="1" applyAlignment="1">
      <alignment horizontal="left" vertical="center" wrapText="1"/>
    </xf>
    <xf numFmtId="0" fontId="79" fillId="70" borderId="3" xfId="1749" applyFont="1" applyFill="1" applyBorder="1" applyAlignment="1">
      <alignment horizontal="center" vertical="top"/>
      <protection/>
    </xf>
    <xf numFmtId="2" fontId="80" fillId="70" borderId="3" xfId="1071" applyNumberFormat="1" applyFont="1" applyFill="1" applyBorder="1" applyAlignment="1">
      <alignment horizontal="center" vertical="top"/>
    </xf>
    <xf numFmtId="44" fontId="80" fillId="70" borderId="29" xfId="1448" applyFont="1" applyFill="1" applyBorder="1" applyAlignment="1">
      <alignment horizontal="center" vertical="top"/>
    </xf>
    <xf numFmtId="0" fontId="80" fillId="70" borderId="3" xfId="0" applyFont="1" applyFill="1" applyBorder="1" applyAlignment="1">
      <alignment vertical="center"/>
    </xf>
    <xf numFmtId="0" fontId="80" fillId="70" borderId="3" xfId="0" applyFont="1" applyFill="1" applyBorder="1" applyAlignment="1">
      <alignment horizontal="center" vertical="center" wrapText="1"/>
    </xf>
    <xf numFmtId="0" fontId="43" fillId="70" borderId="3" xfId="1739" applyFont="1" applyFill="1" applyBorder="1" applyAlignment="1" applyProtection="1">
      <alignment vertical="center" wrapText="1"/>
      <protection/>
    </xf>
    <xf numFmtId="0" fontId="80" fillId="70" borderId="3" xfId="0" applyFont="1" applyFill="1" applyBorder="1" applyAlignment="1">
      <alignment vertical="center"/>
    </xf>
    <xf numFmtId="0" fontId="80" fillId="70" borderId="3" xfId="0" applyFont="1" applyFill="1" applyBorder="1" applyAlignment="1">
      <alignment horizontal="center" vertical="center" wrapText="1"/>
    </xf>
    <xf numFmtId="172" fontId="78" fillId="70" borderId="0" xfId="0" applyNumberFormat="1" applyFont="1" applyFill="1" applyAlignment="1">
      <alignment vertical="top"/>
    </xf>
    <xf numFmtId="176" fontId="80" fillId="70" borderId="3" xfId="1071" applyNumberFormat="1" applyFont="1" applyFill="1" applyBorder="1" applyAlignment="1">
      <alignment horizontal="center" vertical="center" wrapText="1"/>
    </xf>
    <xf numFmtId="0" fontId="3" fillId="70" borderId="3" xfId="1753" applyFont="1" applyFill="1" applyBorder="1" applyAlignment="1">
      <alignment vertical="center" wrapText="1"/>
      <protection/>
    </xf>
    <xf numFmtId="0" fontId="3" fillId="70" borderId="3" xfId="1753" applyFont="1" applyFill="1" applyBorder="1" applyAlignment="1">
      <alignment horizontal="center" vertical="center" wrapText="1"/>
      <protection/>
    </xf>
    <xf numFmtId="0" fontId="3" fillId="70" borderId="3" xfId="1753" applyFont="1" applyFill="1" applyBorder="1" applyAlignment="1">
      <alignment horizontal="center" vertical="top"/>
      <protection/>
    </xf>
    <xf numFmtId="0" fontId="3" fillId="70" borderId="0" xfId="1742" applyFont="1" applyFill="1" applyAlignment="1">
      <alignment vertical="top"/>
      <protection/>
    </xf>
    <xf numFmtId="44" fontId="3" fillId="70" borderId="29" xfId="1448" applyFont="1" applyFill="1" applyBorder="1" applyAlignment="1">
      <alignment/>
    </xf>
    <xf numFmtId="0" fontId="144" fillId="70" borderId="3" xfId="0" applyFont="1" applyFill="1" applyBorder="1" applyAlignment="1">
      <alignment horizontal="left" vertical="center" wrapText="1"/>
    </xf>
    <xf numFmtId="176" fontId="144" fillId="70" borderId="3" xfId="1071" applyNumberFormat="1" applyFont="1" applyFill="1" applyBorder="1" applyAlignment="1">
      <alignment horizontal="left" vertical="center" wrapText="1"/>
    </xf>
    <xf numFmtId="172" fontId="144" fillId="70" borderId="3" xfId="0" applyNumberFormat="1" applyFont="1" applyFill="1" applyBorder="1" applyAlignment="1">
      <alignment horizontal="center" wrapText="1"/>
    </xf>
    <xf numFmtId="0" fontId="78" fillId="70" borderId="3" xfId="0" applyFont="1" applyFill="1" applyBorder="1" applyAlignment="1">
      <alignment horizontal="left" vertical="center"/>
    </xf>
    <xf numFmtId="0" fontId="43" fillId="70" borderId="3" xfId="0" applyFont="1" applyFill="1" applyBorder="1" applyAlignment="1">
      <alignment horizontal="left" vertical="center" wrapText="1"/>
    </xf>
    <xf numFmtId="172" fontId="79" fillId="70" borderId="3" xfId="0" applyNumberFormat="1" applyFont="1" applyFill="1" applyBorder="1" applyAlignment="1">
      <alignment horizontal="center"/>
    </xf>
    <xf numFmtId="172" fontId="74" fillId="70" borderId="3" xfId="0" applyNumberFormat="1" applyFont="1" applyFill="1" applyBorder="1" applyAlignment="1">
      <alignment horizontal="center"/>
    </xf>
    <xf numFmtId="1" fontId="3" fillId="70" borderId="3" xfId="1749" applyNumberFormat="1" applyFont="1" applyFill="1" applyBorder="1" applyAlignment="1">
      <alignment horizontal="left" vertical="center"/>
      <protection/>
    </xf>
    <xf numFmtId="0" fontId="3" fillId="70" borderId="3" xfId="1749" applyFont="1" applyFill="1" applyBorder="1" applyAlignment="1">
      <alignment horizontal="left" vertical="center" wrapText="1"/>
      <protection/>
    </xf>
    <xf numFmtId="1" fontId="144" fillId="70" borderId="3" xfId="1749" applyNumberFormat="1" applyFont="1" applyFill="1" applyBorder="1" applyAlignment="1">
      <alignment horizontal="left" vertical="center"/>
      <protection/>
    </xf>
    <xf numFmtId="0" fontId="3" fillId="70" borderId="3" xfId="0" applyFont="1" applyFill="1" applyBorder="1" applyAlignment="1" applyProtection="1">
      <alignment vertical="center" wrapText="1"/>
      <protection locked="0"/>
    </xf>
    <xf numFmtId="0" fontId="78" fillId="70" borderId="3" xfId="0" applyFont="1" applyFill="1" applyBorder="1" applyAlignment="1" applyProtection="1">
      <alignment vertical="center" wrapText="1"/>
      <protection locked="0"/>
    </xf>
    <xf numFmtId="0" fontId="78" fillId="70" borderId="3" xfId="1749" applyFont="1" applyFill="1" applyBorder="1" applyAlignment="1">
      <alignment horizontal="left" vertical="center" wrapText="1"/>
      <protection/>
    </xf>
    <xf numFmtId="0" fontId="78" fillId="70" borderId="3" xfId="1749" applyFont="1" applyFill="1" applyBorder="1" applyAlignment="1">
      <alignment horizontal="center"/>
      <protection/>
    </xf>
    <xf numFmtId="172" fontId="3" fillId="70" borderId="3" xfId="1749" applyNumberFormat="1" applyFont="1" applyFill="1" applyBorder="1" applyAlignment="1">
      <alignment horizontal="center"/>
      <protection/>
    </xf>
    <xf numFmtId="1" fontId="144" fillId="70" borderId="3" xfId="1749" applyNumberFormat="1" applyFont="1" applyFill="1" applyBorder="1" applyAlignment="1">
      <alignment vertical="center"/>
      <protection/>
    </xf>
    <xf numFmtId="176" fontId="3" fillId="70" borderId="3" xfId="1071" applyNumberFormat="1" applyFont="1" applyFill="1" applyBorder="1" applyAlignment="1">
      <alignment horizontal="left" vertical="center" wrapText="1"/>
    </xf>
    <xf numFmtId="44" fontId="3" fillId="70" borderId="3" xfId="0" applyNumberFormat="1" applyFont="1" applyFill="1" applyBorder="1" applyAlignment="1">
      <alignment horizontal="left" vertical="center" wrapText="1"/>
    </xf>
    <xf numFmtId="1" fontId="3" fillId="70" borderId="3" xfId="1755" applyNumberFormat="1" applyFont="1" applyFill="1" applyBorder="1" applyAlignment="1">
      <alignment horizontal="left" vertical="center"/>
      <protection/>
    </xf>
    <xf numFmtId="49" fontId="12" fillId="70" borderId="3" xfId="1676" applyNumberFormat="1" applyFont="1" applyFill="1" applyBorder="1" applyAlignment="1">
      <alignment horizontal="left" vertical="center"/>
      <protection/>
    </xf>
    <xf numFmtId="0" fontId="81" fillId="70" borderId="3" xfId="0" applyFont="1" applyFill="1" applyBorder="1" applyAlignment="1">
      <alignment horizontal="left" vertical="center" wrapText="1"/>
    </xf>
    <xf numFmtId="176" fontId="80" fillId="70" borderId="3" xfId="1071" applyNumberFormat="1" applyFont="1" applyFill="1" applyBorder="1" applyAlignment="1">
      <alignment horizontal="center" vertical="center" wrapText="1"/>
    </xf>
    <xf numFmtId="0" fontId="3" fillId="70" borderId="3" xfId="1750" applyFont="1" applyFill="1" applyBorder="1" applyAlignment="1">
      <alignment horizontal="center" vertical="center" wrapText="1"/>
      <protection/>
    </xf>
    <xf numFmtId="0" fontId="3" fillId="70" borderId="3" xfId="1756" applyFont="1" applyFill="1" applyBorder="1" applyAlignment="1">
      <alignment horizontal="center" vertical="top"/>
      <protection/>
    </xf>
    <xf numFmtId="0" fontId="3" fillId="70" borderId="3" xfId="1741" applyFont="1" applyFill="1" applyBorder="1" applyAlignment="1" applyProtection="1">
      <alignment horizontal="left" vertical="center" wrapText="1"/>
      <protection/>
    </xf>
    <xf numFmtId="175" fontId="3" fillId="70" borderId="3" xfId="1741" applyNumberFormat="1" applyFont="1" applyFill="1" applyBorder="1" applyAlignment="1" applyProtection="1">
      <alignment horizontal="center" vertical="top" wrapText="1"/>
      <protection/>
    </xf>
    <xf numFmtId="174" fontId="12" fillId="70" borderId="3" xfId="1741" applyNumberFormat="1" applyFont="1" applyFill="1" applyBorder="1" applyAlignment="1" applyProtection="1">
      <alignment horizontal="center" vertical="top" wrapText="1"/>
      <protection/>
    </xf>
    <xf numFmtId="44" fontId="3" fillId="70" borderId="29" xfId="1461" applyFont="1" applyFill="1" applyBorder="1" applyAlignment="1">
      <alignment horizontal="center" vertical="top"/>
    </xf>
    <xf numFmtId="175" fontId="43" fillId="70" borderId="3" xfId="1741" applyNumberFormat="1" applyFont="1" applyFill="1" applyBorder="1" applyAlignment="1" applyProtection="1">
      <alignment horizontal="center" vertical="top" wrapText="1"/>
      <protection/>
    </xf>
    <xf numFmtId="2" fontId="78" fillId="70" borderId="3" xfId="1741" applyNumberFormat="1" applyFont="1" applyFill="1" applyBorder="1" applyAlignment="1" applyProtection="1">
      <alignment horizontal="center" vertical="top" wrapText="1"/>
      <protection/>
    </xf>
    <xf numFmtId="44" fontId="78" fillId="70" borderId="29" xfId="1461" applyFont="1" applyFill="1" applyBorder="1" applyAlignment="1">
      <alignment horizontal="center" vertical="top" wrapText="1"/>
    </xf>
    <xf numFmtId="175" fontId="3" fillId="70" borderId="3" xfId="1739" applyNumberFormat="1" applyFont="1" applyFill="1" applyBorder="1" applyAlignment="1" applyProtection="1">
      <alignment horizontal="center" vertical="top" wrapText="1"/>
      <protection/>
    </xf>
    <xf numFmtId="0" fontId="3" fillId="70" borderId="3" xfId="1741" applyFont="1" applyFill="1" applyBorder="1" applyAlignment="1" applyProtection="1">
      <alignment horizontal="center" vertical="center" wrapText="1"/>
      <protection/>
    </xf>
    <xf numFmtId="0" fontId="73" fillId="70" borderId="3" xfId="1741" applyFont="1" applyFill="1" applyBorder="1" applyAlignment="1" applyProtection="1">
      <alignment vertical="center" wrapText="1"/>
      <protection/>
    </xf>
    <xf numFmtId="0" fontId="73" fillId="70" borderId="3" xfId="0" applyFont="1" applyFill="1" applyBorder="1" applyAlignment="1">
      <alignment horizontal="center" vertical="center" wrapText="1"/>
    </xf>
    <xf numFmtId="175" fontId="12" fillId="70" borderId="3" xfId="1741" applyNumberFormat="1" applyFont="1" applyFill="1" applyBorder="1" applyAlignment="1" applyProtection="1">
      <alignment horizontal="center" vertical="top" wrapText="1"/>
      <protection/>
    </xf>
    <xf numFmtId="2" fontId="3" fillId="70" borderId="3" xfId="1741" applyNumberFormat="1" applyFont="1" applyFill="1" applyBorder="1" applyAlignment="1" applyProtection="1">
      <alignment horizontal="center" vertical="top" wrapText="1"/>
      <protection/>
    </xf>
    <xf numFmtId="44" fontId="3" fillId="70" borderId="29" xfId="1461" applyFont="1" applyFill="1" applyBorder="1" applyAlignment="1">
      <alignment horizontal="center" vertical="top" wrapText="1"/>
    </xf>
    <xf numFmtId="1" fontId="3" fillId="70" borderId="3" xfId="1749" applyNumberFormat="1" applyFont="1" applyFill="1" applyBorder="1" applyAlignment="1">
      <alignment vertical="center" wrapText="1"/>
      <protection/>
    </xf>
    <xf numFmtId="1" fontId="3" fillId="70" borderId="3" xfId="1752" applyNumberFormat="1" applyFont="1" applyFill="1" applyBorder="1" applyAlignment="1">
      <alignment vertical="center" wrapText="1"/>
      <protection/>
    </xf>
    <xf numFmtId="1" fontId="3" fillId="70" borderId="3" xfId="1754" applyNumberFormat="1" applyFont="1" applyFill="1" applyBorder="1" applyAlignment="1">
      <alignment vertical="center" wrapText="1"/>
      <protection/>
    </xf>
    <xf numFmtId="1" fontId="78" fillId="70" borderId="3" xfId="1749" applyNumberFormat="1" applyFont="1" applyFill="1" applyBorder="1" applyAlignment="1">
      <alignment vertical="center" wrapText="1"/>
      <protection/>
    </xf>
    <xf numFmtId="0" fontId="3" fillId="70" borderId="3" xfId="1739" applyFont="1" applyFill="1" applyBorder="1" applyAlignment="1" applyProtection="1">
      <alignment horizontal="left" vertical="center" wrapText="1"/>
      <protection/>
    </xf>
    <xf numFmtId="175" fontId="43" fillId="70" borderId="3" xfId="1739" applyNumberFormat="1" applyFont="1" applyFill="1" applyBorder="1" applyAlignment="1" applyProtection="1">
      <alignment horizontal="center" vertical="top" wrapText="1"/>
      <protection/>
    </xf>
    <xf numFmtId="2" fontId="78" fillId="70" borderId="3" xfId="1739" applyNumberFormat="1" applyFont="1" applyFill="1" applyBorder="1" applyAlignment="1" applyProtection="1">
      <alignment horizontal="center" vertical="top" wrapText="1"/>
      <protection/>
    </xf>
    <xf numFmtId="0" fontId="78" fillId="70" borderId="0" xfId="0" applyFont="1" applyFill="1" applyBorder="1" applyAlignment="1">
      <alignment vertical="top"/>
    </xf>
    <xf numFmtId="49" fontId="3" fillId="70" borderId="3" xfId="1676" applyNumberFormat="1" applyFont="1" applyFill="1" applyBorder="1" applyAlignment="1">
      <alignment horizontal="center" vertical="center"/>
      <protection/>
    </xf>
    <xf numFmtId="2" fontId="3" fillId="70" borderId="29" xfId="1071" applyNumberFormat="1" applyFont="1" applyFill="1" applyBorder="1" applyAlignment="1" applyProtection="1">
      <alignment horizontal="center" vertical="top" wrapText="1"/>
      <protection/>
    </xf>
    <xf numFmtId="0" fontId="3" fillId="70" borderId="3" xfId="1751" applyFont="1" applyFill="1" applyBorder="1" applyAlignment="1">
      <alignment horizontal="center" vertical="center"/>
      <protection/>
    </xf>
    <xf numFmtId="0" fontId="3" fillId="70" borderId="3" xfId="1751" applyFont="1" applyFill="1" applyBorder="1" applyAlignment="1">
      <alignment horizontal="center" vertical="top"/>
      <protection/>
    </xf>
    <xf numFmtId="0" fontId="12" fillId="70" borderId="3" xfId="1751" applyFont="1" applyFill="1" applyBorder="1" applyAlignment="1">
      <alignment horizontal="center" vertical="top"/>
      <protection/>
    </xf>
    <xf numFmtId="49" fontId="81" fillId="70" borderId="3" xfId="1743" applyNumberFormat="1" applyFont="1" applyFill="1" applyBorder="1" applyAlignment="1">
      <alignment horizontal="left" vertical="center" wrapText="1"/>
      <protection/>
    </xf>
    <xf numFmtId="49" fontId="78" fillId="70" borderId="3" xfId="1676" applyNumberFormat="1" applyFont="1" applyFill="1" applyBorder="1" applyAlignment="1">
      <alignment horizontal="center" vertical="center"/>
      <protection/>
    </xf>
    <xf numFmtId="0" fontId="78" fillId="70" borderId="3" xfId="1739" applyFont="1" applyFill="1" applyBorder="1" applyAlignment="1" applyProtection="1">
      <alignment horizontal="center" vertical="top" wrapText="1"/>
      <protection/>
    </xf>
    <xf numFmtId="172" fontId="43" fillId="70" borderId="3" xfId="1739" applyNumberFormat="1" applyFont="1" applyFill="1" applyBorder="1" applyAlignment="1" applyProtection="1">
      <alignment horizontal="center" vertical="top" wrapText="1"/>
      <protection/>
    </xf>
    <xf numFmtId="2" fontId="78" fillId="70" borderId="29" xfId="1071" applyNumberFormat="1" applyFont="1" applyFill="1" applyBorder="1" applyAlignment="1" applyProtection="1">
      <alignment horizontal="center" vertical="top" wrapText="1"/>
      <protection/>
    </xf>
    <xf numFmtId="49" fontId="3" fillId="70" borderId="3" xfId="0" applyNumberFormat="1" applyFont="1" applyFill="1" applyBorder="1" applyAlignment="1">
      <alignment vertical="center"/>
    </xf>
    <xf numFmtId="49" fontId="3" fillId="70" borderId="3" xfId="0" applyNumberFormat="1" applyFont="1" applyFill="1" applyBorder="1" applyAlignment="1">
      <alignment horizontal="left" vertical="center" wrapText="1"/>
    </xf>
    <xf numFmtId="49" fontId="12" fillId="70" borderId="3" xfId="1743" applyNumberFormat="1" applyFont="1" applyFill="1" applyBorder="1" applyAlignment="1">
      <alignment vertical="center"/>
      <protection/>
    </xf>
    <xf numFmtId="49" fontId="12" fillId="70" borderId="3" xfId="1743" applyNumberFormat="1" applyFont="1" applyFill="1" applyBorder="1" applyAlignment="1">
      <alignment vertical="center" wrapText="1"/>
      <protection/>
    </xf>
    <xf numFmtId="49" fontId="12" fillId="70" borderId="3" xfId="1743" applyNumberFormat="1" applyFont="1" applyFill="1" applyBorder="1" applyAlignment="1">
      <alignment horizontal="center" vertical="top"/>
      <protection/>
    </xf>
    <xf numFmtId="182" fontId="12" fillId="70" borderId="3" xfId="1743" applyNumberFormat="1" applyFont="1" applyFill="1" applyBorder="1" applyAlignment="1">
      <alignment horizontal="center" vertical="top"/>
      <protection/>
    </xf>
    <xf numFmtId="4" fontId="12" fillId="70" borderId="3" xfId="1077" applyNumberFormat="1" applyFont="1" applyFill="1" applyBorder="1" applyAlignment="1">
      <alignment horizontal="center" vertical="top"/>
    </xf>
    <xf numFmtId="44" fontId="12" fillId="70" borderId="29" xfId="1450" applyFont="1" applyFill="1" applyBorder="1" applyAlignment="1">
      <alignment horizontal="center" vertical="top"/>
    </xf>
    <xf numFmtId="0" fontId="3" fillId="70" borderId="0" xfId="1743" applyFont="1" applyFill="1" applyAlignment="1">
      <alignment vertical="top"/>
      <protection/>
    </xf>
    <xf numFmtId="49" fontId="144" fillId="70" borderId="3" xfId="1743" applyNumberFormat="1" applyFont="1" applyFill="1" applyBorder="1" applyAlignment="1">
      <alignment vertical="center" wrapText="1"/>
      <protection/>
    </xf>
    <xf numFmtId="0" fontId="144" fillId="70" borderId="3" xfId="1743" applyNumberFormat="1" applyFont="1" applyFill="1" applyBorder="1" applyAlignment="1">
      <alignment horizontal="left" vertical="center" wrapText="1"/>
      <protection/>
    </xf>
    <xf numFmtId="0" fontId="144" fillId="70" borderId="3" xfId="1743" applyNumberFormat="1" applyFont="1" applyFill="1" applyBorder="1" applyAlignment="1">
      <alignment horizontal="center" vertical="center" wrapText="1"/>
      <protection/>
    </xf>
    <xf numFmtId="49" fontId="144" fillId="70" borderId="3" xfId="1745" applyNumberFormat="1" applyFont="1" applyFill="1" applyBorder="1" applyAlignment="1">
      <alignment horizontal="center" vertical="top"/>
      <protection/>
    </xf>
    <xf numFmtId="182" fontId="145" fillId="70" borderId="3" xfId="1743" applyNumberFormat="1" applyFont="1" applyFill="1" applyBorder="1" applyAlignment="1">
      <alignment horizontal="center" vertical="top"/>
      <protection/>
    </xf>
    <xf numFmtId="4" fontId="144" fillId="70" borderId="3" xfId="1077" applyNumberFormat="1" applyFont="1" applyFill="1" applyBorder="1" applyAlignment="1">
      <alignment horizontal="center" vertical="top"/>
    </xf>
    <xf numFmtId="44" fontId="144" fillId="70" borderId="29" xfId="1450" applyFont="1" applyFill="1" applyBorder="1" applyAlignment="1">
      <alignment horizontal="center" vertical="top"/>
    </xf>
    <xf numFmtId="0" fontId="144" fillId="70" borderId="0" xfId="1743" applyFont="1" applyFill="1" applyAlignment="1">
      <alignment vertical="top"/>
      <protection/>
    </xf>
    <xf numFmtId="49" fontId="3" fillId="70" borderId="3" xfId="1743" applyNumberFormat="1" applyFont="1" applyFill="1" applyBorder="1" applyAlignment="1">
      <alignment horizontal="center" vertical="center" wrapText="1"/>
      <protection/>
    </xf>
    <xf numFmtId="49" fontId="3" fillId="70" borderId="3" xfId="1743" applyNumberFormat="1" applyFont="1" applyFill="1" applyBorder="1" applyAlignment="1">
      <alignment horizontal="center" vertical="top"/>
      <protection/>
    </xf>
    <xf numFmtId="44" fontId="3" fillId="70" borderId="29" xfId="1450" applyFont="1" applyFill="1" applyBorder="1" applyAlignment="1">
      <alignment horizontal="center" vertical="top"/>
    </xf>
    <xf numFmtId="0" fontId="144" fillId="70" borderId="3" xfId="1743" applyNumberFormat="1" applyFont="1" applyFill="1" applyBorder="1" applyAlignment="1" applyProtection="1">
      <alignment vertical="center" wrapText="1"/>
      <protection/>
    </xf>
    <xf numFmtId="0" fontId="144" fillId="70" borderId="3" xfId="1743" applyNumberFormat="1" applyFont="1" applyFill="1" applyBorder="1" applyAlignment="1" applyProtection="1">
      <alignment horizontal="left" vertical="center" wrapText="1"/>
      <protection/>
    </xf>
    <xf numFmtId="49" fontId="144" fillId="70" borderId="3" xfId="1743" applyNumberFormat="1" applyFont="1" applyFill="1" applyBorder="1" applyAlignment="1">
      <alignment horizontal="center" vertical="center" wrapText="1"/>
      <protection/>
    </xf>
    <xf numFmtId="49" fontId="144" fillId="70" borderId="3" xfId="1743" applyNumberFormat="1" applyFont="1" applyFill="1" applyBorder="1" applyAlignment="1">
      <alignment horizontal="center" vertical="top"/>
      <protection/>
    </xf>
    <xf numFmtId="49" fontId="3" fillId="70" borderId="3" xfId="1743" applyNumberFormat="1" applyFont="1" applyFill="1" applyBorder="1" applyAlignment="1">
      <alignment vertical="center" wrapText="1"/>
      <protection/>
    </xf>
    <xf numFmtId="0" fontId="3" fillId="70" borderId="3" xfId="1743" applyNumberFormat="1" applyFont="1" applyFill="1" applyBorder="1" applyAlignment="1">
      <alignment horizontal="left" vertical="center" wrapText="1"/>
      <protection/>
    </xf>
    <xf numFmtId="0" fontId="3" fillId="70" borderId="3" xfId="1743" applyNumberFormat="1" applyFont="1" applyFill="1" applyBorder="1" applyAlignment="1">
      <alignment horizontal="center" vertical="center" wrapText="1"/>
      <protection/>
    </xf>
    <xf numFmtId="49" fontId="3" fillId="70" borderId="3" xfId="1745" applyNumberFormat="1" applyFont="1" applyFill="1" applyBorder="1" applyAlignment="1">
      <alignment horizontal="center" vertical="top"/>
      <protection/>
    </xf>
    <xf numFmtId="4" fontId="33" fillId="70" borderId="3" xfId="1077" applyNumberFormat="1" applyFont="1" applyFill="1" applyBorder="1" applyAlignment="1">
      <alignment horizontal="center" vertical="top"/>
    </xf>
    <xf numFmtId="0" fontId="3" fillId="70" borderId="3" xfId="1743" applyNumberFormat="1" applyFont="1" applyFill="1" applyBorder="1" applyAlignment="1" applyProtection="1">
      <alignment vertical="center" wrapText="1"/>
      <protection/>
    </xf>
    <xf numFmtId="0" fontId="3" fillId="70" borderId="3" xfId="1743" applyNumberFormat="1" applyFont="1" applyFill="1" applyBorder="1" applyAlignment="1" applyProtection="1">
      <alignment horizontal="left" vertical="center" wrapText="1"/>
      <protection/>
    </xf>
    <xf numFmtId="4" fontId="3" fillId="70" borderId="3" xfId="1077" applyNumberFormat="1" applyFont="1" applyFill="1" applyBorder="1" applyAlignment="1">
      <alignment horizontal="center" vertical="top"/>
    </xf>
    <xf numFmtId="0" fontId="12" fillId="70" borderId="3" xfId="1709" applyNumberFormat="1" applyFont="1" applyFill="1" applyBorder="1" applyAlignment="1">
      <alignment horizontal="left" vertical="center" wrapText="1" shrinkToFit="1"/>
      <protection/>
    </xf>
    <xf numFmtId="175" fontId="12" fillId="70" borderId="3" xfId="1739" applyNumberFormat="1" applyFont="1" applyFill="1" applyBorder="1" applyAlignment="1" applyProtection="1">
      <alignment horizontal="center" vertical="top" wrapText="1"/>
      <protection/>
    </xf>
    <xf numFmtId="49" fontId="78" fillId="70" borderId="3" xfId="0" applyNumberFormat="1" applyFont="1" applyFill="1" applyBorder="1" applyAlignment="1">
      <alignment vertical="center"/>
    </xf>
    <xf numFmtId="0" fontId="43" fillId="70" borderId="3" xfId="1709" applyNumberFormat="1" applyFont="1" applyFill="1" applyBorder="1" applyAlignment="1">
      <alignment horizontal="left" vertical="center" wrapText="1" shrinkToFit="1"/>
      <protection/>
    </xf>
    <xf numFmtId="0" fontId="3" fillId="70" borderId="3" xfId="1739" applyFont="1" applyFill="1" applyBorder="1" applyAlignment="1" applyProtection="1">
      <alignment vertical="center" wrapText="1"/>
      <protection/>
    </xf>
    <xf numFmtId="0" fontId="80" fillId="70" borderId="3" xfId="1741" applyFont="1" applyFill="1" applyBorder="1" applyAlignment="1" applyProtection="1">
      <alignment vertical="center" wrapText="1"/>
      <protection/>
    </xf>
    <xf numFmtId="0" fontId="3" fillId="70" borderId="3" xfId="1746" applyFont="1" applyFill="1" applyBorder="1" applyAlignment="1">
      <alignment vertical="center"/>
      <protection/>
    </xf>
    <xf numFmtId="0" fontId="3" fillId="70" borderId="3" xfId="1742" applyFont="1" applyFill="1" applyBorder="1" applyAlignment="1">
      <alignment horizontal="center" vertical="center" wrapText="1"/>
      <protection/>
    </xf>
    <xf numFmtId="0" fontId="3" fillId="70" borderId="3" xfId="1746" applyFont="1" applyFill="1" applyBorder="1" applyAlignment="1">
      <alignment horizontal="center" vertical="top"/>
      <protection/>
    </xf>
    <xf numFmtId="0" fontId="81" fillId="70" borderId="3" xfId="0" applyFont="1" applyFill="1" applyBorder="1" applyAlignment="1">
      <alignment vertical="center"/>
    </xf>
    <xf numFmtId="0" fontId="95" fillId="70" borderId="3" xfId="0" applyFont="1" applyFill="1" applyBorder="1" applyAlignment="1">
      <alignment horizontal="right" vertical="center" wrapText="1"/>
    </xf>
    <xf numFmtId="0" fontId="81" fillId="70" borderId="3" xfId="0" applyFont="1" applyFill="1" applyBorder="1" applyAlignment="1">
      <alignment horizontal="center" vertical="center" wrapText="1"/>
    </xf>
    <xf numFmtId="172" fontId="95" fillId="70" borderId="3" xfId="0" applyNumberFormat="1" applyFont="1" applyFill="1" applyBorder="1" applyAlignment="1">
      <alignment horizontal="center" vertical="top"/>
    </xf>
    <xf numFmtId="0" fontId="96" fillId="70" borderId="3" xfId="1749" applyFont="1" applyFill="1" applyBorder="1" applyAlignment="1">
      <alignment horizontal="center" vertical="top"/>
      <protection/>
    </xf>
    <xf numFmtId="2" fontId="81" fillId="70" borderId="3" xfId="1071" applyNumberFormat="1" applyFont="1" applyFill="1" applyBorder="1" applyAlignment="1">
      <alignment horizontal="center" vertical="top"/>
    </xf>
    <xf numFmtId="44" fontId="81" fillId="70" borderId="29" xfId="1448" applyFont="1" applyFill="1" applyBorder="1" applyAlignment="1">
      <alignment horizontal="center" vertical="top"/>
    </xf>
    <xf numFmtId="0" fontId="78" fillId="70" borderId="3" xfId="1751" applyFont="1" applyFill="1" applyBorder="1" applyAlignment="1">
      <alignment vertical="center" wrapText="1"/>
      <protection/>
    </xf>
    <xf numFmtId="0" fontId="78" fillId="70" borderId="3" xfId="1751" applyFont="1" applyFill="1" applyBorder="1" applyAlignment="1">
      <alignment horizontal="center" vertical="center"/>
      <protection/>
    </xf>
    <xf numFmtId="0" fontId="78" fillId="70" borderId="3" xfId="1751" applyFont="1" applyFill="1" applyBorder="1" applyAlignment="1">
      <alignment horizontal="center" vertical="top"/>
      <protection/>
    </xf>
    <xf numFmtId="172" fontId="43" fillId="70" borderId="3" xfId="1751" applyNumberFormat="1" applyFont="1" applyFill="1" applyBorder="1" applyAlignment="1">
      <alignment horizontal="center" vertical="top"/>
      <protection/>
    </xf>
    <xf numFmtId="1" fontId="3" fillId="70" borderId="3" xfId="1757" applyNumberFormat="1" applyFont="1" applyFill="1" applyBorder="1" applyAlignment="1">
      <alignment vertical="center"/>
      <protection/>
    </xf>
    <xf numFmtId="49" fontId="3" fillId="70" borderId="3" xfId="1682" applyNumberFormat="1" applyFont="1" applyFill="1" applyBorder="1" applyAlignment="1">
      <alignment horizontal="left" vertical="center" wrapText="1"/>
      <protection/>
    </xf>
    <xf numFmtId="0" fontId="81" fillId="70" borderId="3" xfId="1740" applyFont="1" applyFill="1" applyBorder="1" applyAlignment="1" applyProtection="1">
      <alignment horizontal="left" vertical="center" wrapText="1"/>
      <protection/>
    </xf>
    <xf numFmtId="172" fontId="12" fillId="70" borderId="3" xfId="1756" applyNumberFormat="1" applyFont="1" applyFill="1" applyBorder="1" applyAlignment="1">
      <alignment horizontal="center" vertical="top"/>
      <protection/>
    </xf>
    <xf numFmtId="172" fontId="82" fillId="70" borderId="3" xfId="0" applyNumberFormat="1" applyFont="1" applyFill="1" applyBorder="1" applyAlignment="1">
      <alignment horizontal="center" vertical="top"/>
    </xf>
    <xf numFmtId="172" fontId="73" fillId="70" borderId="3" xfId="0" applyNumberFormat="1" applyFont="1" applyFill="1" applyBorder="1" applyAlignment="1">
      <alignment horizontal="left" vertical="center" wrapText="1"/>
    </xf>
    <xf numFmtId="172" fontId="73" fillId="70" borderId="3" xfId="0" applyNumberFormat="1" applyFont="1" applyFill="1" applyBorder="1" applyAlignment="1">
      <alignment horizontal="center" vertical="top"/>
    </xf>
    <xf numFmtId="0" fontId="3" fillId="70" borderId="3" xfId="1740" applyFont="1" applyFill="1" applyBorder="1" applyAlignment="1" applyProtection="1">
      <alignment horizontal="center" vertical="center" wrapText="1"/>
      <protection/>
    </xf>
    <xf numFmtId="0" fontId="3" fillId="70" borderId="3" xfId="1740" applyFont="1" applyFill="1" applyBorder="1" applyAlignment="1" applyProtection="1">
      <alignment horizontal="center" vertical="top" wrapText="1"/>
      <protection/>
    </xf>
    <xf numFmtId="175" fontId="12" fillId="70" borderId="3" xfId="1740" applyNumberFormat="1" applyFont="1" applyFill="1" applyBorder="1" applyAlignment="1" applyProtection="1">
      <alignment horizontal="center" vertical="top" wrapText="1"/>
      <protection/>
    </xf>
    <xf numFmtId="172" fontId="12" fillId="70" borderId="3" xfId="1751" applyNumberFormat="1" applyFont="1" applyFill="1" applyBorder="1" applyAlignment="1">
      <alignment horizontal="center" vertical="top"/>
      <protection/>
    </xf>
    <xf numFmtId="1" fontId="3" fillId="70" borderId="3" xfId="1752" applyNumberFormat="1" applyFont="1" applyFill="1" applyBorder="1" applyAlignment="1">
      <alignment vertical="center"/>
      <protection/>
    </xf>
    <xf numFmtId="0" fontId="78" fillId="70" borderId="0" xfId="0" applyFont="1" applyFill="1" applyBorder="1" applyAlignment="1">
      <alignment vertical="center"/>
    </xf>
    <xf numFmtId="0" fontId="3" fillId="70" borderId="71" xfId="0" applyNumberFormat="1" applyFont="1" applyFill="1" applyBorder="1" applyAlignment="1" applyProtection="1">
      <alignment horizontal="left" vertical="center" wrapText="1"/>
      <protection/>
    </xf>
    <xf numFmtId="172" fontId="82" fillId="70" borderId="0" xfId="0" applyNumberFormat="1" applyFont="1" applyFill="1" applyAlignment="1">
      <alignment vertical="top"/>
    </xf>
    <xf numFmtId="172" fontId="3" fillId="70" borderId="0" xfId="0" applyNumberFormat="1" applyFont="1" applyFill="1" applyAlignment="1">
      <alignment vertical="top"/>
    </xf>
    <xf numFmtId="172" fontId="73" fillId="70" borderId="3" xfId="0" applyNumberFormat="1" applyFont="1" applyFill="1" applyBorder="1" applyAlignment="1">
      <alignment horizontal="center" vertical="top" wrapText="1"/>
    </xf>
    <xf numFmtId="0" fontId="3" fillId="70" borderId="32" xfId="0" applyFont="1" applyFill="1" applyBorder="1" applyAlignment="1">
      <alignment vertical="center" wrapText="1"/>
    </xf>
    <xf numFmtId="0" fontId="12" fillId="70" borderId="32" xfId="0" applyFont="1" applyFill="1" applyBorder="1" applyAlignment="1">
      <alignment horizontal="right" vertical="center" wrapText="1"/>
    </xf>
    <xf numFmtId="0" fontId="12" fillId="70" borderId="32" xfId="0" applyFont="1" applyFill="1" applyBorder="1" applyAlignment="1">
      <alignment horizontal="center" vertical="center" wrapText="1"/>
    </xf>
    <xf numFmtId="172" fontId="12" fillId="70" borderId="32" xfId="0" applyNumberFormat="1" applyFont="1" applyFill="1" applyBorder="1" applyAlignment="1">
      <alignment horizontal="center" vertical="top"/>
    </xf>
    <xf numFmtId="2" fontId="3" fillId="70" borderId="32" xfId="1071" applyNumberFormat="1" applyFont="1" applyFill="1" applyBorder="1" applyAlignment="1">
      <alignment horizontal="center" vertical="top"/>
    </xf>
    <xf numFmtId="44" fontId="3" fillId="70" borderId="33" xfId="1448" applyFont="1" applyFill="1" applyBorder="1" applyAlignment="1">
      <alignment horizontal="center" vertical="top"/>
    </xf>
    <xf numFmtId="0" fontId="3" fillId="70" borderId="0" xfId="0" applyFont="1" applyFill="1" applyBorder="1" applyAlignment="1">
      <alignment horizontal="left" vertical="top"/>
    </xf>
    <xf numFmtId="0" fontId="3" fillId="70" borderId="0" xfId="0" applyFont="1" applyFill="1" applyBorder="1" applyAlignment="1">
      <alignment vertical="top" wrapText="1"/>
    </xf>
    <xf numFmtId="0" fontId="3" fillId="70" borderId="0" xfId="0" applyFont="1" applyFill="1" applyBorder="1" applyAlignment="1">
      <alignment horizontal="center" vertical="top" wrapText="1"/>
    </xf>
    <xf numFmtId="172" fontId="3" fillId="70" borderId="0" xfId="0" applyNumberFormat="1" applyFont="1" applyFill="1" applyBorder="1" applyAlignment="1">
      <alignment horizontal="right" vertical="top"/>
    </xf>
    <xf numFmtId="172" fontId="12" fillId="70" borderId="0" xfId="0" applyNumberFormat="1" applyFont="1" applyFill="1" applyBorder="1" applyAlignment="1">
      <alignment horizontal="center" vertical="top"/>
    </xf>
    <xf numFmtId="2" fontId="3" fillId="70" borderId="0" xfId="1071" applyNumberFormat="1" applyFont="1" applyFill="1" applyBorder="1" applyAlignment="1">
      <alignment horizontal="center" vertical="top"/>
    </xf>
    <xf numFmtId="44" fontId="3" fillId="70" borderId="0" xfId="1448" applyFont="1" applyFill="1" applyBorder="1" applyAlignment="1">
      <alignment horizontal="center" vertical="top"/>
    </xf>
    <xf numFmtId="0" fontId="71" fillId="70" borderId="0" xfId="0" applyFont="1" applyFill="1" applyBorder="1" applyAlignment="1">
      <alignment horizontal="left" vertical="top"/>
    </xf>
    <xf numFmtId="0" fontId="16" fillId="70" borderId="0" xfId="0" applyFont="1" applyFill="1" applyBorder="1" applyAlignment="1">
      <alignment vertical="top" wrapText="1"/>
    </xf>
    <xf numFmtId="0" fontId="16" fillId="70" borderId="0" xfId="0" applyFont="1" applyFill="1" applyBorder="1" applyAlignment="1">
      <alignment horizontal="center" vertical="top" wrapText="1"/>
    </xf>
    <xf numFmtId="172" fontId="16" fillId="70" borderId="0" xfId="0" applyNumberFormat="1" applyFont="1" applyFill="1" applyBorder="1" applyAlignment="1">
      <alignment horizontal="right" vertical="top"/>
    </xf>
    <xf numFmtId="172" fontId="16" fillId="70" borderId="0" xfId="0" applyNumberFormat="1" applyFont="1" applyFill="1" applyBorder="1" applyAlignment="1">
      <alignment horizontal="center" vertical="top"/>
    </xf>
    <xf numFmtId="2" fontId="16" fillId="70" borderId="0" xfId="1071" applyNumberFormat="1" applyFont="1" applyFill="1" applyBorder="1" applyAlignment="1">
      <alignment horizontal="center" vertical="top"/>
    </xf>
    <xf numFmtId="44" fontId="16" fillId="70" borderId="0" xfId="1448" applyFont="1" applyFill="1" applyBorder="1" applyAlignment="1">
      <alignment horizontal="center" vertical="top"/>
    </xf>
    <xf numFmtId="0" fontId="65" fillId="70" borderId="0" xfId="0" applyFont="1" applyFill="1" applyBorder="1" applyAlignment="1">
      <alignment horizontal="center" vertical="top" wrapText="1"/>
    </xf>
    <xf numFmtId="0" fontId="71" fillId="70" borderId="0" xfId="0" applyFont="1" applyFill="1" applyBorder="1" applyAlignment="1">
      <alignment horizontal="center" vertical="top" wrapText="1"/>
    </xf>
    <xf numFmtId="0" fontId="71" fillId="70" borderId="0" xfId="0" applyFont="1" applyFill="1" applyAlignment="1">
      <alignment horizontal="center" vertical="top" wrapText="1"/>
    </xf>
    <xf numFmtId="0" fontId="71" fillId="70" borderId="0" xfId="0" applyFont="1" applyFill="1" applyAlignment="1">
      <alignment horizontal="left" vertical="top"/>
    </xf>
    <xf numFmtId="0" fontId="16" fillId="70" borderId="0" xfId="0" applyFont="1" applyFill="1" applyBorder="1" applyAlignment="1">
      <alignment wrapText="1"/>
    </xf>
    <xf numFmtId="0" fontId="71" fillId="70" borderId="0" xfId="0" applyFont="1" applyFill="1" applyAlignment="1">
      <alignment horizontal="left" wrapText="1"/>
    </xf>
    <xf numFmtId="0" fontId="77" fillId="70" borderId="0" xfId="0" applyFont="1" applyFill="1" applyAlignment="1">
      <alignment wrapText="1"/>
    </xf>
    <xf numFmtId="0" fontId="3" fillId="70" borderId="0" xfId="0" applyFont="1" applyFill="1" applyAlignment="1">
      <alignment horizontal="center" wrapText="1"/>
    </xf>
    <xf numFmtId="172" fontId="3" fillId="70" borderId="0" xfId="0" applyNumberFormat="1" applyFont="1" applyFill="1" applyAlignment="1">
      <alignment horizontal="center"/>
    </xf>
    <xf numFmtId="172" fontId="12" fillId="70" borderId="0" xfId="0" applyNumberFormat="1" applyFont="1" applyFill="1" applyAlignment="1">
      <alignment horizontal="center"/>
    </xf>
    <xf numFmtId="2" fontId="3" fillId="70" borderId="0" xfId="1071" applyNumberFormat="1" applyFont="1" applyFill="1" applyAlignment="1">
      <alignment horizontal="center"/>
    </xf>
    <xf numFmtId="44" fontId="3" fillId="70" borderId="0" xfId="1448" applyFont="1" applyFill="1" applyAlignment="1">
      <alignment horizontal="center"/>
    </xf>
    <xf numFmtId="0" fontId="12" fillId="70" borderId="0" xfId="0" applyFont="1" applyFill="1" applyAlignment="1">
      <alignment horizontal="left" wrapText="1"/>
    </xf>
    <xf numFmtId="0" fontId="12" fillId="70" borderId="0" xfId="0" applyFont="1" applyFill="1" applyAlignment="1">
      <alignment wrapText="1"/>
    </xf>
    <xf numFmtId="0" fontId="12" fillId="70" borderId="0" xfId="0" applyFont="1" applyFill="1" applyAlignment="1">
      <alignment horizontal="center"/>
    </xf>
    <xf numFmtId="0" fontId="12" fillId="70" borderId="0" xfId="0" applyFont="1" applyFill="1" applyBorder="1" applyAlignment="1">
      <alignment horizontal="center"/>
    </xf>
    <xf numFmtId="0" fontId="75" fillId="70" borderId="0" xfId="1197" applyFont="1" applyFill="1" applyAlignment="1">
      <alignment horizontal="left"/>
      <protection/>
    </xf>
    <xf numFmtId="4" fontId="12" fillId="70" borderId="0" xfId="1748" applyNumberFormat="1" applyFont="1" applyFill="1" applyBorder="1" applyAlignment="1">
      <alignment horizontal="center" vertical="center"/>
      <protection/>
    </xf>
    <xf numFmtId="0" fontId="75" fillId="70" borderId="0" xfId="1197" applyFont="1" applyFill="1" applyAlignment="1">
      <alignment horizontal="left" wrapText="1"/>
      <protection/>
    </xf>
    <xf numFmtId="0" fontId="12" fillId="70" borderId="0" xfId="0" applyFont="1" applyFill="1" applyBorder="1" applyAlignment="1">
      <alignment horizontal="left"/>
    </xf>
    <xf numFmtId="173" fontId="3" fillId="70" borderId="63" xfId="1071" applyNumberFormat="1" applyFont="1" applyFill="1" applyBorder="1" applyAlignment="1" applyProtection="1">
      <alignment horizontal="center" wrapText="1"/>
      <protection/>
    </xf>
    <xf numFmtId="173" fontId="3" fillId="70" borderId="64" xfId="1071" applyNumberFormat="1" applyFont="1" applyFill="1" applyBorder="1" applyAlignment="1" applyProtection="1">
      <alignment horizontal="center" wrapText="1"/>
      <protection/>
    </xf>
    <xf numFmtId="173" fontId="3" fillId="70" borderId="72" xfId="1071" applyNumberFormat="1" applyFont="1" applyFill="1" applyBorder="1" applyAlignment="1">
      <alignment horizontal="center" wrapText="1"/>
    </xf>
    <xf numFmtId="1" fontId="3" fillId="70" borderId="65" xfId="1071" applyNumberFormat="1" applyFont="1" applyFill="1" applyBorder="1" applyAlignment="1" applyProtection="1">
      <alignment horizontal="center" wrapText="1"/>
      <protection/>
    </xf>
    <xf numFmtId="1" fontId="3" fillId="70" borderId="66" xfId="1071" applyNumberFormat="1" applyFont="1" applyFill="1" applyBorder="1" applyAlignment="1" applyProtection="1">
      <alignment horizontal="center" wrapText="1"/>
      <protection/>
    </xf>
    <xf numFmtId="1" fontId="3" fillId="70" borderId="65" xfId="1071" applyNumberFormat="1" applyFont="1" applyFill="1" applyBorder="1" applyAlignment="1" applyProtection="1">
      <alignment horizontal="center"/>
      <protection/>
    </xf>
    <xf numFmtId="1" fontId="3" fillId="70" borderId="66" xfId="1071" applyNumberFormat="1" applyFont="1" applyFill="1" applyBorder="1" applyAlignment="1" applyProtection="1">
      <alignment horizontal="center"/>
      <protection/>
    </xf>
    <xf numFmtId="1" fontId="3" fillId="70" borderId="73" xfId="1071" applyNumberFormat="1" applyFont="1" applyFill="1" applyBorder="1" applyAlignment="1" applyProtection="1">
      <alignment horizontal="center"/>
      <protection/>
    </xf>
    <xf numFmtId="0" fontId="71" fillId="70" borderId="67" xfId="0" applyFont="1" applyFill="1" applyBorder="1" applyAlignment="1">
      <alignment horizontal="left" wrapText="1"/>
    </xf>
    <xf numFmtId="0" fontId="3" fillId="70" borderId="68" xfId="0" applyFont="1" applyFill="1" applyBorder="1" applyAlignment="1">
      <alignment wrapText="1"/>
    </xf>
    <xf numFmtId="0" fontId="3" fillId="70" borderId="68" xfId="0" applyFont="1" applyFill="1" applyBorder="1" applyAlignment="1">
      <alignment horizontal="center" wrapText="1"/>
    </xf>
    <xf numFmtId="172" fontId="3" fillId="70" borderId="68" xfId="0" applyNumberFormat="1" applyFont="1" applyFill="1" applyBorder="1" applyAlignment="1">
      <alignment horizontal="center"/>
    </xf>
    <xf numFmtId="172" fontId="12" fillId="70" borderId="68" xfId="0" applyNumberFormat="1" applyFont="1" applyFill="1" applyBorder="1" applyAlignment="1">
      <alignment horizontal="center"/>
    </xf>
    <xf numFmtId="2" fontId="3" fillId="70" borderId="68" xfId="1071" applyNumberFormat="1" applyFont="1" applyFill="1" applyBorder="1" applyAlignment="1">
      <alignment horizontal="center"/>
    </xf>
    <xf numFmtId="44" fontId="3" fillId="70" borderId="69" xfId="1448" applyFont="1" applyFill="1" applyBorder="1" applyAlignment="1">
      <alignment horizontal="center"/>
    </xf>
    <xf numFmtId="0" fontId="3" fillId="70" borderId="30" xfId="1739" applyFont="1" applyFill="1" applyBorder="1" applyAlignment="1" applyProtection="1">
      <alignment horizontal="center" vertical="top" wrapText="1"/>
      <protection/>
    </xf>
    <xf numFmtId="0" fontId="0" fillId="70" borderId="3" xfId="0" applyFont="1" applyFill="1" applyBorder="1" applyAlignment="1">
      <alignment horizontal="left"/>
    </xf>
    <xf numFmtId="44" fontId="12" fillId="70" borderId="29" xfId="1448" applyFont="1" applyFill="1" applyBorder="1" applyAlignment="1">
      <alignment horizontal="center"/>
    </xf>
    <xf numFmtId="172" fontId="3" fillId="70" borderId="30" xfId="0" applyNumberFormat="1" applyFont="1" applyFill="1" applyBorder="1" applyAlignment="1">
      <alignment horizontal="left" wrapText="1"/>
    </xf>
    <xf numFmtId="44" fontId="3" fillId="70" borderId="29" xfId="1448" applyFont="1" applyFill="1" applyBorder="1" applyAlignment="1">
      <alignment horizontal="center"/>
    </xf>
    <xf numFmtId="0" fontId="12" fillId="70" borderId="30" xfId="1739" applyFont="1" applyFill="1" applyBorder="1" applyAlignment="1" applyProtection="1">
      <alignment horizontal="left" vertical="top" wrapText="1"/>
      <protection/>
    </xf>
    <xf numFmtId="0" fontId="3" fillId="70" borderId="30" xfId="0" applyFont="1" applyFill="1" applyBorder="1" applyAlignment="1">
      <alignment horizontal="left"/>
    </xf>
    <xf numFmtId="0" fontId="3" fillId="70" borderId="30" xfId="0" applyFont="1" applyFill="1" applyBorder="1" applyAlignment="1">
      <alignment horizontal="left" wrapText="1"/>
    </xf>
    <xf numFmtId="172" fontId="3" fillId="70" borderId="3" xfId="0" applyNumberFormat="1" applyFont="1" applyFill="1" applyBorder="1" applyAlignment="1">
      <alignment horizontal="center" wrapText="1"/>
    </xf>
    <xf numFmtId="0" fontId="73" fillId="70" borderId="30" xfId="1741" applyFont="1" applyFill="1" applyBorder="1" applyAlignment="1" applyProtection="1">
      <alignment horizontal="left" vertical="center" wrapText="1"/>
      <protection/>
    </xf>
    <xf numFmtId="0" fontId="73" fillId="70" borderId="3" xfId="0" applyFont="1" applyFill="1" applyBorder="1" applyAlignment="1">
      <alignment horizontal="right" wrapText="1"/>
    </xf>
    <xf numFmtId="0" fontId="73" fillId="70" borderId="3" xfId="0" applyFont="1" applyFill="1" applyBorder="1" applyAlignment="1">
      <alignment horizontal="center" wrapText="1"/>
    </xf>
    <xf numFmtId="172" fontId="16" fillId="70" borderId="0" xfId="0" applyNumberFormat="1" applyFont="1" applyFill="1" applyBorder="1" applyAlignment="1">
      <alignment/>
    </xf>
    <xf numFmtId="44" fontId="16" fillId="70" borderId="0" xfId="1448" applyFont="1" applyFill="1" applyBorder="1" applyAlignment="1">
      <alignment horizontal="right"/>
    </xf>
    <xf numFmtId="44" fontId="12" fillId="70" borderId="0" xfId="1448" applyFont="1" applyFill="1" applyBorder="1" applyAlignment="1">
      <alignment/>
    </xf>
    <xf numFmtId="0" fontId="65" fillId="70" borderId="0" xfId="0" applyFont="1" applyFill="1" applyBorder="1" applyAlignment="1">
      <alignment horizontal="center" wrapText="1"/>
    </xf>
    <xf numFmtId="9" fontId="16" fillId="70" borderId="0" xfId="0" applyNumberFormat="1" applyFont="1" applyFill="1" applyBorder="1" applyAlignment="1">
      <alignment horizontal="left" wrapText="1"/>
    </xf>
    <xf numFmtId="44" fontId="17" fillId="70" borderId="0" xfId="1448" applyFont="1" applyFill="1" applyBorder="1" applyAlignment="1">
      <alignment/>
    </xf>
    <xf numFmtId="0" fontId="3" fillId="70" borderId="0" xfId="0" applyFont="1" applyFill="1" applyAlignment="1">
      <alignment horizontal="left"/>
    </xf>
    <xf numFmtId="0" fontId="71" fillId="70" borderId="0" xfId="0" applyFont="1" applyFill="1" applyAlignment="1">
      <alignment horizontal="left"/>
    </xf>
    <xf numFmtId="4" fontId="12" fillId="70" borderId="0" xfId="1748" applyNumberFormat="1" applyFont="1" applyFill="1" applyBorder="1" applyAlignment="1">
      <alignment horizontal="left" vertical="center"/>
      <protection/>
    </xf>
    <xf numFmtId="173" fontId="3" fillId="70" borderId="72" xfId="1071" applyNumberFormat="1" applyFont="1" applyFill="1" applyBorder="1" applyAlignment="1">
      <alignment horizontal="center" vertical="center" wrapText="1"/>
    </xf>
    <xf numFmtId="1" fontId="3" fillId="70" borderId="74" xfId="1071" applyNumberFormat="1" applyFont="1" applyFill="1" applyBorder="1" applyAlignment="1" applyProtection="1">
      <alignment horizontal="center" vertical="center"/>
      <protection/>
    </xf>
    <xf numFmtId="1" fontId="3" fillId="70" borderId="74" xfId="1071" applyNumberFormat="1" applyFont="1" applyFill="1" applyBorder="1" applyAlignment="1" applyProtection="1">
      <alignment horizontal="center" vertical="center" wrapText="1"/>
      <protection/>
    </xf>
    <xf numFmtId="1" fontId="3" fillId="70" borderId="75" xfId="1071" applyNumberFormat="1" applyFont="1" applyFill="1" applyBorder="1" applyAlignment="1" applyProtection="1">
      <alignment horizontal="center" vertical="center" wrapText="1"/>
      <protection/>
    </xf>
    <xf numFmtId="1" fontId="3" fillId="70" borderId="75" xfId="1071" applyNumberFormat="1" applyFont="1" applyFill="1" applyBorder="1" applyAlignment="1" applyProtection="1">
      <alignment horizontal="center" vertical="center"/>
      <protection/>
    </xf>
    <xf numFmtId="1" fontId="3" fillId="70" borderId="76" xfId="1071" applyNumberFormat="1" applyFont="1" applyFill="1" applyBorder="1" applyAlignment="1" applyProtection="1">
      <alignment horizontal="center" vertical="center"/>
      <protection/>
    </xf>
    <xf numFmtId="49" fontId="3" fillId="70" borderId="36" xfId="0" applyNumberFormat="1" applyFont="1" applyFill="1" applyBorder="1" applyAlignment="1">
      <alignment wrapText="1"/>
    </xf>
    <xf numFmtId="0" fontId="3" fillId="70" borderId="36" xfId="0" applyFont="1" applyFill="1" applyBorder="1" applyAlignment="1">
      <alignment horizontal="center" wrapText="1"/>
    </xf>
    <xf numFmtId="172" fontId="3" fillId="70" borderId="36" xfId="0" applyNumberFormat="1" applyFont="1" applyFill="1" applyBorder="1" applyAlignment="1">
      <alignment horizontal="center"/>
    </xf>
    <xf numFmtId="172" fontId="12" fillId="70" borderId="36" xfId="0" applyNumberFormat="1" applyFont="1" applyFill="1" applyBorder="1" applyAlignment="1">
      <alignment horizontal="center"/>
    </xf>
    <xf numFmtId="2" fontId="3" fillId="70" borderId="36" xfId="1071" applyNumberFormat="1" applyFont="1" applyFill="1" applyBorder="1" applyAlignment="1">
      <alignment horizontal="center"/>
    </xf>
    <xf numFmtId="44" fontId="3" fillId="70" borderId="70" xfId="1448" applyFill="1" applyBorder="1" applyAlignment="1">
      <alignment horizontal="center"/>
    </xf>
    <xf numFmtId="0" fontId="71" fillId="70" borderId="77" xfId="0" applyFont="1" applyFill="1" applyBorder="1" applyAlignment="1">
      <alignment horizontal="left" wrapText="1"/>
    </xf>
    <xf numFmtId="0" fontId="3" fillId="70" borderId="36" xfId="0" applyFont="1" applyFill="1" applyBorder="1" applyAlignment="1">
      <alignment wrapText="1"/>
    </xf>
    <xf numFmtId="0" fontId="3" fillId="70" borderId="3" xfId="0" applyFont="1" applyFill="1" applyBorder="1" applyAlignment="1">
      <alignment horizontal="right" wrapText="1"/>
    </xf>
    <xf numFmtId="0" fontId="3" fillId="70" borderId="3" xfId="0" applyNumberFormat="1" applyFont="1" applyFill="1" applyBorder="1" applyAlignment="1">
      <alignment horizontal="right" wrapText="1"/>
    </xf>
    <xf numFmtId="1" fontId="3" fillId="70" borderId="30" xfId="1757" applyNumberFormat="1" applyFont="1" applyFill="1" applyBorder="1" applyAlignment="1">
      <alignment horizontal="left"/>
      <protection/>
    </xf>
    <xf numFmtId="0" fontId="3" fillId="70" borderId="3" xfId="1757" applyNumberFormat="1" applyFont="1" applyFill="1" applyBorder="1" applyAlignment="1">
      <alignment wrapText="1"/>
      <protection/>
    </xf>
    <xf numFmtId="0" fontId="3" fillId="70" borderId="3" xfId="1757" applyFont="1" applyFill="1" applyBorder="1" applyAlignment="1">
      <alignment horizontal="center"/>
      <protection/>
    </xf>
    <xf numFmtId="0" fontId="12" fillId="70" borderId="3" xfId="1757" applyFont="1" applyFill="1" applyBorder="1" applyAlignment="1">
      <alignment horizontal="center"/>
      <protection/>
    </xf>
    <xf numFmtId="2" fontId="3" fillId="70" borderId="3" xfId="1757" applyNumberFormat="1" applyFont="1" applyFill="1" applyBorder="1" applyAlignment="1">
      <alignment horizontal="center"/>
      <protection/>
    </xf>
    <xf numFmtId="49" fontId="3" fillId="70" borderId="30" xfId="1676" applyNumberFormat="1" applyFont="1" applyFill="1" applyBorder="1" applyAlignment="1">
      <alignment horizontal="left"/>
      <protection/>
    </xf>
    <xf numFmtId="49" fontId="3" fillId="70" borderId="3" xfId="1749" applyNumberFormat="1" applyFont="1" applyFill="1" applyBorder="1" applyAlignment="1">
      <alignment wrapText="1"/>
      <protection/>
    </xf>
    <xf numFmtId="1" fontId="3" fillId="70" borderId="30" xfId="1749" applyNumberFormat="1" applyFont="1" applyFill="1" applyBorder="1" applyAlignment="1">
      <alignment horizontal="left" wrapText="1"/>
      <protection/>
    </xf>
    <xf numFmtId="1" fontId="3" fillId="70" borderId="30" xfId="1752" applyNumberFormat="1" applyFont="1" applyFill="1" applyBorder="1" applyAlignment="1">
      <alignment horizontal="left" wrapText="1"/>
      <protection/>
    </xf>
    <xf numFmtId="0" fontId="3" fillId="70" borderId="30" xfId="0" applyNumberFormat="1" applyFont="1" applyFill="1" applyBorder="1" applyAlignment="1" applyProtection="1">
      <alignment horizontal="left" vertical="top" wrapText="1"/>
      <protection/>
    </xf>
    <xf numFmtId="0" fontId="3" fillId="70" borderId="3" xfId="0" applyNumberFormat="1" applyFont="1" applyFill="1" applyBorder="1" applyAlignment="1" applyProtection="1">
      <alignment horizontal="left" vertical="top" wrapText="1"/>
      <protection/>
    </xf>
    <xf numFmtId="172" fontId="12" fillId="70" borderId="3" xfId="1739" applyNumberFormat="1" applyFont="1" applyFill="1" applyBorder="1" applyAlignment="1" applyProtection="1">
      <alignment horizontal="center" vertical="center" wrapText="1"/>
      <protection/>
    </xf>
    <xf numFmtId="49" fontId="3" fillId="70" borderId="3" xfId="1743" applyNumberFormat="1" applyFont="1" applyFill="1" applyBorder="1" applyAlignment="1">
      <alignment wrapText="1"/>
      <protection/>
    </xf>
    <xf numFmtId="49" fontId="12" fillId="70" borderId="3" xfId="1743" applyNumberFormat="1" applyFont="1" applyFill="1" applyBorder="1" applyAlignment="1">
      <alignment horizontal="center" wrapText="1"/>
      <protection/>
    </xf>
    <xf numFmtId="49" fontId="12" fillId="70" borderId="3" xfId="1743" applyNumberFormat="1" applyFont="1" applyFill="1" applyBorder="1" applyAlignment="1">
      <alignment horizontal="center"/>
      <protection/>
    </xf>
    <xf numFmtId="182" fontId="12" fillId="70" borderId="3" xfId="1743" applyNumberFormat="1" applyFont="1" applyFill="1" applyBorder="1" applyAlignment="1">
      <alignment horizontal="center"/>
      <protection/>
    </xf>
    <xf numFmtId="4" fontId="12" fillId="70" borderId="3" xfId="1077" applyNumberFormat="1" applyFont="1" applyFill="1" applyBorder="1" applyAlignment="1">
      <alignment horizontal="center"/>
    </xf>
    <xf numFmtId="0" fontId="3" fillId="70" borderId="0" xfId="1743" applyFont="1" applyFill="1">
      <alignment/>
      <protection/>
    </xf>
    <xf numFmtId="0" fontId="3" fillId="70" borderId="30" xfId="1743" applyNumberFormat="1" applyFont="1" applyFill="1" applyBorder="1" applyAlignment="1" applyProtection="1">
      <alignment horizontal="left" vertical="top" wrapText="1"/>
      <protection/>
    </xf>
    <xf numFmtId="0" fontId="3" fillId="70" borderId="3" xfId="1743" applyNumberFormat="1" applyFont="1" applyFill="1" applyBorder="1" applyAlignment="1" applyProtection="1">
      <alignment horizontal="left" vertical="top" wrapText="1"/>
      <protection/>
    </xf>
    <xf numFmtId="49" fontId="3" fillId="70" borderId="3" xfId="1743" applyNumberFormat="1" applyFont="1" applyFill="1" applyBorder="1" applyAlignment="1">
      <alignment horizontal="center" wrapText="1"/>
      <protection/>
    </xf>
    <xf numFmtId="49" fontId="3" fillId="70" borderId="3" xfId="1743" applyNumberFormat="1" applyFont="1" applyFill="1" applyBorder="1" applyAlignment="1">
      <alignment horizontal="center"/>
      <protection/>
    </xf>
    <xf numFmtId="4" fontId="3" fillId="70" borderId="3" xfId="1077" applyNumberFormat="1" applyFont="1" applyFill="1" applyBorder="1" applyAlignment="1">
      <alignment horizontal="center"/>
    </xf>
    <xf numFmtId="0" fontId="3" fillId="70" borderId="3" xfId="1743" applyNumberFormat="1" applyFont="1" applyFill="1" applyBorder="1" applyAlignment="1">
      <alignment wrapText="1"/>
      <protection/>
    </xf>
    <xf numFmtId="0" fontId="3" fillId="70" borderId="3" xfId="1751" applyNumberFormat="1" applyFont="1" applyFill="1" applyBorder="1" applyAlignment="1">
      <alignment wrapText="1"/>
      <protection/>
    </xf>
    <xf numFmtId="172" fontId="12" fillId="70" borderId="3" xfId="1751" applyNumberFormat="1" applyFont="1" applyFill="1" applyBorder="1" applyAlignment="1">
      <alignment horizontal="center"/>
      <protection/>
    </xf>
    <xf numFmtId="49" fontId="3" fillId="70" borderId="30" xfId="0" applyNumberFormat="1" applyFont="1" applyFill="1" applyBorder="1" applyAlignment="1">
      <alignment horizontal="left" vertical="top"/>
    </xf>
    <xf numFmtId="0" fontId="3" fillId="70" borderId="3" xfId="1709" applyNumberFormat="1" applyFont="1" applyFill="1" applyBorder="1" applyAlignment="1">
      <alignment horizontal="left" vertical="center" wrapText="1" shrinkToFit="1"/>
      <protection/>
    </xf>
    <xf numFmtId="0" fontId="3" fillId="70" borderId="3" xfId="0" applyNumberFormat="1" applyFont="1" applyFill="1" applyBorder="1" applyAlignment="1">
      <alignment wrapText="1"/>
    </xf>
    <xf numFmtId="2" fontId="3" fillId="70" borderId="3" xfId="0" applyNumberFormat="1" applyFont="1" applyFill="1" applyBorder="1" applyAlignment="1">
      <alignment horizontal="center"/>
    </xf>
    <xf numFmtId="49" fontId="3" fillId="70" borderId="3" xfId="1751" applyNumberFormat="1" applyFont="1" applyFill="1" applyBorder="1" applyAlignment="1">
      <alignment wrapText="1"/>
      <protection/>
    </xf>
    <xf numFmtId="44" fontId="3" fillId="70" borderId="0" xfId="1448" applyFont="1" applyFill="1" applyBorder="1" applyAlignment="1">
      <alignment horizontal="center"/>
    </xf>
    <xf numFmtId="0" fontId="3" fillId="70" borderId="78" xfId="1739" applyFont="1" applyFill="1" applyBorder="1" applyAlignment="1" applyProtection="1">
      <alignment horizontal="center" vertical="top" wrapText="1"/>
      <protection/>
    </xf>
    <xf numFmtId="49" fontId="3" fillId="70" borderId="38" xfId="1676" applyNumberFormat="1" applyFont="1" applyFill="1" applyBorder="1" applyAlignment="1">
      <alignment wrapText="1"/>
      <protection/>
    </xf>
    <xf numFmtId="0" fontId="12" fillId="70" borderId="38" xfId="0" applyFont="1" applyFill="1" applyBorder="1" applyAlignment="1">
      <alignment horizontal="left" wrapText="1"/>
    </xf>
    <xf numFmtId="172" fontId="12" fillId="70" borderId="38" xfId="0" applyNumberFormat="1" applyFont="1" applyFill="1" applyBorder="1" applyAlignment="1">
      <alignment/>
    </xf>
    <xf numFmtId="2" fontId="12" fillId="70" borderId="38" xfId="1071" applyNumberFormat="1" applyFont="1" applyFill="1" applyBorder="1" applyAlignment="1">
      <alignment horizontal="right"/>
    </xf>
    <xf numFmtId="44" fontId="12" fillId="70" borderId="79" xfId="1448" applyFont="1" applyFill="1" applyBorder="1" applyAlignment="1">
      <alignment/>
    </xf>
    <xf numFmtId="49" fontId="3" fillId="70" borderId="3" xfId="1676" applyNumberFormat="1" applyFont="1" applyFill="1" applyBorder="1" applyAlignment="1">
      <alignment horizontal="left" wrapText="1"/>
      <protection/>
    </xf>
    <xf numFmtId="0" fontId="9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70" borderId="77" xfId="0" applyFont="1" applyFill="1" applyBorder="1" applyAlignment="1">
      <alignment horizontal="center" vertical="center"/>
    </xf>
    <xf numFmtId="0" fontId="3" fillId="70" borderId="30" xfId="0" applyFont="1" applyFill="1" applyBorder="1" applyAlignment="1">
      <alignment horizontal="center" vertical="center"/>
    </xf>
    <xf numFmtId="0" fontId="78" fillId="70" borderId="30" xfId="0" applyFont="1" applyFill="1" applyBorder="1" applyAlignment="1">
      <alignment horizontal="center" vertical="center"/>
    </xf>
    <xf numFmtId="0" fontId="82" fillId="70" borderId="30" xfId="0" applyFont="1" applyFill="1" applyBorder="1" applyAlignment="1">
      <alignment horizontal="center" vertical="center"/>
    </xf>
    <xf numFmtId="0" fontId="3" fillId="70" borderId="30" xfId="1742" applyFont="1" applyFill="1" applyBorder="1" applyAlignment="1">
      <alignment horizontal="center" vertical="center"/>
      <protection/>
    </xf>
    <xf numFmtId="0" fontId="3" fillId="70" borderId="30" xfId="1743" applyFont="1" applyFill="1" applyBorder="1" applyAlignment="1">
      <alignment horizontal="center" vertical="center"/>
      <protection/>
    </xf>
    <xf numFmtId="0" fontId="144" fillId="70" borderId="30" xfId="1743" applyFont="1" applyFill="1" applyBorder="1" applyAlignment="1">
      <alignment horizontal="center" vertical="center"/>
      <protection/>
    </xf>
    <xf numFmtId="0" fontId="81" fillId="70" borderId="30" xfId="0" applyFont="1" applyFill="1" applyBorder="1" applyAlignment="1">
      <alignment horizontal="center" vertical="center"/>
    </xf>
    <xf numFmtId="0" fontId="3" fillId="70" borderId="31" xfId="0" applyFont="1" applyFill="1" applyBorder="1" applyAlignment="1">
      <alignment horizontal="center" vertical="center"/>
    </xf>
    <xf numFmtId="0" fontId="75" fillId="70" borderId="80" xfId="1197" applyFont="1" applyFill="1" applyBorder="1" applyAlignment="1">
      <alignment horizontal="left" wrapText="1"/>
      <protection/>
    </xf>
    <xf numFmtId="0" fontId="0" fillId="70" borderId="80" xfId="0" applyFill="1" applyBorder="1" applyAlignment="1">
      <alignment horizontal="left" wrapText="1"/>
    </xf>
    <xf numFmtId="0" fontId="16" fillId="70" borderId="0" xfId="0" applyFont="1" applyFill="1" applyBorder="1" applyAlignment="1">
      <alignment wrapText="1"/>
    </xf>
    <xf numFmtId="0" fontId="0" fillId="70" borderId="0" xfId="0" applyFill="1" applyAlignment="1">
      <alignment wrapText="1"/>
    </xf>
    <xf numFmtId="0" fontId="3" fillId="70" borderId="0" xfId="1744" applyFont="1" applyFill="1" applyBorder="1" applyAlignment="1">
      <alignment horizontal="left" vertical="top" wrapText="1"/>
      <protection/>
    </xf>
    <xf numFmtId="0" fontId="0" fillId="70" borderId="0" xfId="0" applyFill="1" applyAlignment="1">
      <alignment vertical="top" wrapText="1"/>
    </xf>
    <xf numFmtId="0" fontId="75" fillId="70" borderId="0" xfId="1197" applyFont="1" applyFill="1" applyBorder="1" applyAlignment="1">
      <alignment horizontal="left" vertical="top" wrapText="1"/>
      <protection/>
    </xf>
    <xf numFmtId="0" fontId="0" fillId="70" borderId="0" xfId="0" applyFill="1" applyBorder="1" applyAlignment="1">
      <alignment horizontal="left" vertical="top" wrapText="1"/>
    </xf>
    <xf numFmtId="0" fontId="3" fillId="70" borderId="0" xfId="1748" applyFont="1" applyFill="1" applyBorder="1" applyAlignment="1">
      <alignment horizontal="left" vertical="top" wrapText="1"/>
      <protection/>
    </xf>
    <xf numFmtId="0" fontId="0" fillId="70" borderId="58" xfId="0" applyFont="1" applyFill="1" applyBorder="1" applyAlignment="1" applyProtection="1">
      <alignment horizontal="left" vertical="center" wrapText="1"/>
      <protection locked="0"/>
    </xf>
    <xf numFmtId="4" fontId="0" fillId="0" borderId="58" xfId="0" applyNumberFormat="1" applyFont="1" applyBorder="1" applyAlignment="1" applyProtection="1">
      <alignment vertical="center"/>
      <protection/>
    </xf>
    <xf numFmtId="0" fontId="0" fillId="0" borderId="58" xfId="0" applyFont="1" applyBorder="1" applyAlignment="1" applyProtection="1">
      <alignment horizontal="left" vertical="center" wrapText="1"/>
      <protection/>
    </xf>
    <xf numFmtId="4" fontId="0" fillId="70" borderId="58" xfId="0" applyNumberFormat="1" applyFont="1" applyFill="1" applyBorder="1" applyAlignment="1" applyProtection="1">
      <alignment vertical="center"/>
      <protection locked="0"/>
    </xf>
    <xf numFmtId="4" fontId="0" fillId="70" borderId="58" xfId="0" applyNumberFormat="1" applyFont="1" applyFill="1" applyBorder="1" applyAlignment="1" applyProtection="1">
      <alignment vertical="center"/>
      <protection/>
    </xf>
    <xf numFmtId="4" fontId="139" fillId="0" borderId="45" xfId="0" applyNumberFormat="1" applyFont="1" applyBorder="1" applyAlignment="1" applyProtection="1">
      <alignment/>
      <protection/>
    </xf>
    <xf numFmtId="4" fontId="139" fillId="0" borderId="45" xfId="0" applyNumberFormat="1" applyFont="1" applyBorder="1" applyAlignment="1" applyProtection="1">
      <alignment vertical="center"/>
      <protection/>
    </xf>
    <xf numFmtId="4" fontId="140" fillId="0" borderId="53" xfId="0" applyNumberFormat="1" applyFont="1" applyBorder="1" applyAlignment="1" applyProtection="1">
      <alignment/>
      <protection/>
    </xf>
    <xf numFmtId="4" fontId="140" fillId="0" borderId="53" xfId="0" applyNumberFormat="1" applyFont="1" applyBorder="1" applyAlignment="1" applyProtection="1">
      <alignment vertical="center"/>
      <protection/>
    </xf>
    <xf numFmtId="0" fontId="90" fillId="74" borderId="60" xfId="0" applyFont="1" applyFill="1" applyBorder="1" applyAlignment="1" applyProtection="1">
      <alignment horizontal="center" vertical="center" wrapText="1"/>
      <protection/>
    </xf>
    <xf numFmtId="0" fontId="147" fillId="74" borderId="60" xfId="0" applyFont="1" applyFill="1" applyBorder="1" applyAlignment="1" applyProtection="1">
      <alignment horizontal="center" vertical="center" wrapText="1"/>
      <protection/>
    </xf>
    <xf numFmtId="0" fontId="90" fillId="74" borderId="61" xfId="0" applyFont="1" applyFill="1" applyBorder="1" applyAlignment="1" applyProtection="1">
      <alignment horizontal="center" vertical="center" wrapText="1"/>
      <protection/>
    </xf>
    <xf numFmtId="4" fontId="141" fillId="0" borderId="45" xfId="0" applyNumberFormat="1" applyFont="1" applyBorder="1" applyAlignment="1" applyProtection="1">
      <alignment/>
      <protection/>
    </xf>
    <xf numFmtId="4" fontId="89" fillId="0" borderId="45" xfId="0" applyNumberFormat="1" applyFont="1" applyBorder="1" applyAlignment="1" applyProtection="1">
      <alignment vertical="center"/>
      <protection/>
    </xf>
    <xf numFmtId="4" fontId="139" fillId="0" borderId="0" xfId="0" applyNumberFormat="1" applyFont="1" applyBorder="1" applyAlignment="1" applyProtection="1">
      <alignment/>
      <protection/>
    </xf>
    <xf numFmtId="4" fontId="139" fillId="0" borderId="0" xfId="0" applyNumberFormat="1" applyFont="1" applyBorder="1" applyAlignment="1" applyProtection="1">
      <alignment vertical="center"/>
      <protection/>
    </xf>
    <xf numFmtId="0" fontId="8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33" fillId="0" borderId="0" xfId="0" applyFont="1" applyBorder="1" applyAlignment="1" applyProtection="1">
      <alignment horizontal="left" vertical="center" wrapText="1"/>
      <protection/>
    </xf>
    <xf numFmtId="0" fontId="133" fillId="0" borderId="0" xfId="0" applyFont="1" applyBorder="1" applyAlignment="1" applyProtection="1">
      <alignment horizontal="left" vertical="center"/>
      <protection/>
    </xf>
    <xf numFmtId="0" fontId="89" fillId="0" borderId="0" xfId="0" applyFont="1" applyBorder="1" applyAlignment="1" applyProtection="1">
      <alignment horizontal="left" vertical="center" wrapText="1"/>
      <protection/>
    </xf>
    <xf numFmtId="215" fontId="90" fillId="0" borderId="0" xfId="0" applyNumberFormat="1" applyFont="1" applyBorder="1" applyAlignment="1" applyProtection="1">
      <alignment horizontal="left" vertical="center"/>
      <protection/>
    </xf>
    <xf numFmtId="0" fontId="90" fillId="0" borderId="0" xfId="0" applyFont="1" applyBorder="1" applyAlignment="1" applyProtection="1">
      <alignment horizontal="left" vertical="center"/>
      <protection/>
    </xf>
    <xf numFmtId="0" fontId="140" fillId="70" borderId="0" xfId="0" applyFont="1" applyFill="1" applyBorder="1" applyAlignment="1" applyProtection="1">
      <alignment horizontal="left" vertical="center"/>
      <protection locked="0"/>
    </xf>
    <xf numFmtId="0" fontId="140" fillId="70" borderId="0" xfId="0" applyFont="1" applyFill="1" applyBorder="1" applyAlignment="1" applyProtection="1">
      <alignment horizontal="left" vertical="center"/>
      <protection/>
    </xf>
    <xf numFmtId="4" fontId="140" fillId="70" borderId="0" xfId="0" applyNumberFormat="1" applyFont="1" applyFill="1" applyBorder="1" applyAlignment="1" applyProtection="1">
      <alignment vertical="center"/>
      <protection locked="0"/>
    </xf>
    <xf numFmtId="4" fontId="140" fillId="70" borderId="0" xfId="0" applyNumberFormat="1" applyFont="1" applyFill="1" applyBorder="1" applyAlignment="1" applyProtection="1">
      <alignment vertical="center"/>
      <protection/>
    </xf>
    <xf numFmtId="4" fontId="141" fillId="74" borderId="0" xfId="0" applyNumberFormat="1" applyFont="1" applyFill="1" applyBorder="1" applyAlignment="1" applyProtection="1">
      <alignment vertical="center"/>
      <protection/>
    </xf>
    <xf numFmtId="4" fontId="138" fillId="0" borderId="0" xfId="0" applyNumberFormat="1" applyFont="1" applyBorder="1" applyAlignment="1" applyProtection="1">
      <alignment vertical="center"/>
      <protection/>
    </xf>
    <xf numFmtId="4" fontId="148" fillId="0" borderId="0" xfId="0" applyNumberFormat="1" applyFont="1" applyBorder="1" applyAlignment="1" applyProtection="1">
      <alignment vertical="center"/>
      <protection/>
    </xf>
    <xf numFmtId="0" fontId="139" fillId="0" borderId="0" xfId="0" applyFont="1" applyBorder="1" applyAlignment="1" applyProtection="1">
      <alignment vertical="center"/>
      <protection/>
    </xf>
    <xf numFmtId="4" fontId="140" fillId="0" borderId="0" xfId="0" applyNumberFormat="1" applyFont="1" applyBorder="1" applyAlignment="1" applyProtection="1">
      <alignment vertical="center"/>
      <protection/>
    </xf>
    <xf numFmtId="0" fontId="140" fillId="0" borderId="0" xfId="0" applyFont="1" applyBorder="1" applyAlignment="1" applyProtection="1">
      <alignment vertical="center"/>
      <protection/>
    </xf>
    <xf numFmtId="0" fontId="90" fillId="74" borderId="0" xfId="0" applyFont="1" applyFill="1" applyBorder="1" applyAlignment="1" applyProtection="1">
      <alignment horizontal="center" vertical="center"/>
      <protection/>
    </xf>
    <xf numFmtId="0" fontId="0" fillId="74" borderId="0" xfId="0" applyFont="1" applyFill="1" applyBorder="1" applyAlignment="1" applyProtection="1">
      <alignment vertical="center"/>
      <protection/>
    </xf>
    <xf numFmtId="4" fontId="141" fillId="0" borderId="0" xfId="0" applyNumberFormat="1" applyFont="1" applyBorder="1" applyAlignment="1" applyProtection="1">
      <alignment vertical="center"/>
      <protection/>
    </xf>
    <xf numFmtId="4" fontId="89" fillId="74" borderId="47" xfId="0" applyNumberFormat="1" applyFont="1" applyFill="1" applyBorder="1" applyAlignment="1" applyProtection="1">
      <alignment vertical="center"/>
      <protection/>
    </xf>
    <xf numFmtId="4" fontId="89" fillId="74" borderId="81" xfId="0" applyNumberFormat="1" applyFont="1" applyFill="1" applyBorder="1" applyAlignment="1" applyProtection="1">
      <alignment vertical="center"/>
      <protection/>
    </xf>
    <xf numFmtId="0" fontId="88" fillId="0" borderId="0" xfId="0" applyFont="1" applyBorder="1" applyAlignment="1" applyProtection="1">
      <alignment horizontal="left" vertical="center"/>
      <protection/>
    </xf>
    <xf numFmtId="4" fontId="135" fillId="0" borderId="0" xfId="0" applyNumberFormat="1" applyFont="1" applyBorder="1" applyAlignment="1" applyProtection="1">
      <alignment vertical="center"/>
      <protection/>
    </xf>
    <xf numFmtId="4" fontId="87" fillId="0" borderId="0" xfId="0" applyNumberFormat="1" applyFont="1" applyBorder="1" applyAlignment="1" applyProtection="1">
      <alignment vertical="center"/>
      <protection/>
    </xf>
    <xf numFmtId="4" fontId="91" fillId="0" borderId="0" xfId="0" applyNumberFormat="1" applyFont="1" applyBorder="1" applyAlignment="1" applyProtection="1">
      <alignment vertical="center"/>
      <protection/>
    </xf>
    <xf numFmtId="0" fontId="90" fillId="70" borderId="0" xfId="0" applyFont="1" applyFill="1" applyBorder="1" applyAlignment="1" applyProtection="1">
      <alignment horizontal="left" vertical="center"/>
      <protection/>
    </xf>
    <xf numFmtId="0" fontId="90" fillId="0" borderId="0" xfId="0" applyFont="1" applyBorder="1" applyAlignment="1" applyProtection="1">
      <alignment horizontal="left" vertical="center" wrapText="1"/>
      <protection/>
    </xf>
    <xf numFmtId="215" fontId="90" fillId="70" borderId="0" xfId="0" applyNumberFormat="1" applyFont="1" applyFill="1" applyBorder="1" applyAlignment="1" applyProtection="1">
      <alignment horizontal="left" vertical="center"/>
      <protection locked="0"/>
    </xf>
    <xf numFmtId="215" fontId="90" fillId="70" borderId="0" xfId="0" applyNumberFormat="1" applyFont="1" applyFill="1" applyBorder="1" applyAlignment="1" applyProtection="1">
      <alignment horizontal="left" vertical="center"/>
      <protection/>
    </xf>
    <xf numFmtId="0" fontId="90" fillId="70" borderId="0" xfId="0" applyFont="1" applyFill="1" applyBorder="1" applyAlignment="1" applyProtection="1">
      <alignment horizontal="left" vertical="center"/>
      <protection locked="0"/>
    </xf>
    <xf numFmtId="0" fontId="132" fillId="76" borderId="0" xfId="0" applyFont="1" applyFill="1" applyAlignment="1">
      <alignment horizontal="center" vertical="center"/>
    </xf>
    <xf numFmtId="0" fontId="131" fillId="73" borderId="0" xfId="1365" applyFont="1" applyFill="1" applyAlignment="1" applyProtection="1">
      <alignment horizontal="center" vertical="center"/>
      <protection/>
    </xf>
    <xf numFmtId="0" fontId="132" fillId="0" borderId="0" xfId="0" applyFont="1" applyBorder="1" applyAlignment="1">
      <alignment horizontal="center" vertical="center"/>
    </xf>
    <xf numFmtId="0" fontId="132" fillId="0" borderId="0" xfId="0" applyFont="1" applyBorder="1" applyAlignment="1">
      <alignment horizontal="left" vertical="center"/>
    </xf>
    <xf numFmtId="0" fontId="89" fillId="70" borderId="0" xfId="0" applyFont="1" applyFill="1" applyBorder="1" applyAlignment="1" applyProtection="1">
      <alignment horizontal="left" vertical="top" wrapText="1"/>
      <protection/>
    </xf>
    <xf numFmtId="0" fontId="0" fillId="70" borderId="0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133" fillId="70" borderId="0" xfId="0" applyFont="1" applyFill="1" applyBorder="1" applyAlignment="1" applyProtection="1">
      <alignment horizontal="left" vertical="center" wrapText="1"/>
      <protection/>
    </xf>
    <xf numFmtId="0" fontId="133" fillId="70" borderId="0" xfId="0" applyFont="1" applyFill="1" applyBorder="1" applyAlignment="1" applyProtection="1">
      <alignment horizontal="left" vertical="center"/>
      <protection/>
    </xf>
    <xf numFmtId="4" fontId="0" fillId="70" borderId="59" xfId="0" applyNumberFormat="1" applyFont="1" applyFill="1" applyBorder="1" applyAlignment="1" applyProtection="1">
      <alignment vertical="center"/>
      <protection locked="0"/>
    </xf>
    <xf numFmtId="4" fontId="0" fillId="70" borderId="61" xfId="0" applyNumberFormat="1" applyFont="1" applyFill="1" applyBorder="1" applyAlignment="1" applyProtection="1">
      <alignment vertical="center"/>
      <protection locked="0"/>
    </xf>
    <xf numFmtId="4" fontId="140" fillId="0" borderId="60" xfId="0" applyNumberFormat="1" applyFont="1" applyBorder="1" applyAlignment="1" applyProtection="1">
      <alignment/>
      <protection/>
    </xf>
    <xf numFmtId="4" fontId="140" fillId="0" borderId="60" xfId="0" applyNumberFormat="1" applyFont="1" applyBorder="1" applyAlignment="1" applyProtection="1">
      <alignment vertical="center"/>
      <protection/>
    </xf>
    <xf numFmtId="0" fontId="89" fillId="0" borderId="0" xfId="0" applyFont="1" applyBorder="1" applyAlignment="1" applyProtection="1">
      <alignment horizontal="left" vertical="top" wrapText="1"/>
      <protection/>
    </xf>
    <xf numFmtId="4" fontId="139" fillId="0" borderId="53" xfId="0" applyNumberFormat="1" applyFont="1" applyBorder="1" applyAlignment="1" applyProtection="1">
      <alignment/>
      <protection/>
    </xf>
    <xf numFmtId="4" fontId="139" fillId="0" borderId="53" xfId="0" applyNumberFormat="1" applyFont="1" applyBorder="1" applyAlignment="1" applyProtection="1">
      <alignment vertical="center"/>
      <protection/>
    </xf>
    <xf numFmtId="4" fontId="139" fillId="0" borderId="60" xfId="0" applyNumberFormat="1" applyFont="1" applyBorder="1" applyAlignment="1" applyProtection="1">
      <alignment/>
      <protection/>
    </xf>
    <xf numFmtId="4" fontId="139" fillId="0" borderId="60" xfId="0" applyNumberFormat="1" applyFont="1" applyBorder="1" applyAlignment="1" applyProtection="1">
      <alignment vertical="center"/>
      <protection/>
    </xf>
    <xf numFmtId="44" fontId="12" fillId="70" borderId="82" xfId="1449" applyFont="1" applyFill="1" applyBorder="1" applyAlignment="1" applyProtection="1">
      <alignment vertical="center" wrapText="1"/>
      <protection locked="0"/>
    </xf>
    <xf numFmtId="44" fontId="12" fillId="70" borderId="83" xfId="1449" applyFont="1" applyFill="1" applyBorder="1" applyAlignment="1" applyProtection="1">
      <alignment vertical="center" wrapText="1"/>
      <protection locked="0"/>
    </xf>
    <xf numFmtId="44" fontId="12" fillId="70" borderId="84" xfId="1449" applyFont="1" applyFill="1" applyBorder="1" applyAlignment="1" applyProtection="1">
      <alignment vertical="center" wrapText="1"/>
      <protection locked="0"/>
    </xf>
    <xf numFmtId="44" fontId="12" fillId="70" borderId="85" xfId="1449" applyFont="1" applyFill="1" applyBorder="1" applyAlignment="1" applyProtection="1">
      <alignment vertical="center" wrapText="1"/>
      <protection locked="0"/>
    </xf>
    <xf numFmtId="44" fontId="12" fillId="70" borderId="0" xfId="1449" applyFont="1" applyFill="1" applyBorder="1" applyAlignment="1" applyProtection="1">
      <alignment vertical="center" wrapText="1"/>
      <protection locked="0"/>
    </xf>
    <xf numFmtId="44" fontId="12" fillId="70" borderId="86" xfId="1449" applyFont="1" applyFill="1" applyBorder="1" applyAlignment="1" applyProtection="1">
      <alignment vertical="center" wrapText="1"/>
      <protection locked="0"/>
    </xf>
    <xf numFmtId="44" fontId="12" fillId="70" borderId="87" xfId="1449" applyFont="1" applyFill="1" applyBorder="1" applyAlignment="1" applyProtection="1">
      <alignment vertical="center" wrapText="1"/>
      <protection locked="0"/>
    </xf>
    <xf numFmtId="44" fontId="12" fillId="70" borderId="80" xfId="1449" applyFont="1" applyFill="1" applyBorder="1" applyAlignment="1" applyProtection="1">
      <alignment vertical="center" wrapText="1"/>
      <protection locked="0"/>
    </xf>
    <xf numFmtId="44" fontId="12" fillId="70" borderId="88" xfId="1449" applyFont="1" applyFill="1" applyBorder="1" applyAlignment="1" applyProtection="1">
      <alignment vertical="center" wrapText="1"/>
      <protection locked="0"/>
    </xf>
    <xf numFmtId="1" fontId="85" fillId="70" borderId="0" xfId="1675" applyNumberFormat="1" applyFont="1" applyFill="1" applyBorder="1" applyAlignment="1" applyProtection="1">
      <alignment horizontal="left" vertical="center" indent="1"/>
      <protection locked="0"/>
    </xf>
    <xf numFmtId="0" fontId="3" fillId="70" borderId="0" xfId="1675" applyFont="1" applyFill="1" applyAlignment="1">
      <alignment horizontal="justify" vertical="top"/>
      <protection/>
    </xf>
    <xf numFmtId="0" fontId="86" fillId="70" borderId="34" xfId="1675" applyFont="1" applyFill="1" applyBorder="1" applyAlignment="1">
      <alignment horizontal="center"/>
      <protection/>
    </xf>
    <xf numFmtId="0" fontId="86" fillId="70" borderId="35" xfId="1675" applyFont="1" applyFill="1" applyBorder="1" applyAlignment="1">
      <alignment horizontal="center"/>
      <protection/>
    </xf>
    <xf numFmtId="0" fontId="84" fillId="70" borderId="0" xfId="1675" applyFont="1" applyFill="1" applyAlignment="1">
      <alignment horizontal="left" indent="2"/>
      <protection/>
    </xf>
    <xf numFmtId="1" fontId="84" fillId="70" borderId="0" xfId="1675" applyNumberFormat="1" applyFont="1" applyFill="1" applyBorder="1" applyAlignment="1" applyProtection="1">
      <alignment horizontal="left" vertical="center" indent="2"/>
      <protection locked="0"/>
    </xf>
    <xf numFmtId="0" fontId="84" fillId="70" borderId="0" xfId="1675" applyFont="1" applyFill="1" applyBorder="1" applyAlignment="1">
      <alignment horizontal="left" indent="2"/>
      <protection/>
    </xf>
    <xf numFmtId="0" fontId="149" fillId="70" borderId="80" xfId="1675" applyFont="1" applyFill="1" applyBorder="1" applyAlignment="1">
      <alignment horizontal="left" indent="2"/>
      <protection/>
    </xf>
    <xf numFmtId="0" fontId="84" fillId="70" borderId="0" xfId="1675" applyFont="1" applyFill="1" applyAlignment="1">
      <alignment horizontal="left"/>
      <protection/>
    </xf>
    <xf numFmtId="1" fontId="85" fillId="70" borderId="34" xfId="1675" applyNumberFormat="1" applyFont="1" applyFill="1" applyBorder="1" applyAlignment="1" applyProtection="1">
      <alignment horizontal="left" vertical="center" indent="2"/>
      <protection/>
    </xf>
    <xf numFmtId="1" fontId="85" fillId="70" borderId="35" xfId="1675" applyNumberFormat="1" applyFont="1" applyFill="1" applyBorder="1" applyAlignment="1" applyProtection="1">
      <alignment horizontal="left" vertical="center" indent="2"/>
      <protection/>
    </xf>
    <xf numFmtId="1" fontId="84" fillId="70" borderId="0" xfId="1675" applyNumberFormat="1" applyFont="1" applyFill="1" applyBorder="1" applyAlignment="1" applyProtection="1">
      <alignment horizontal="left" vertical="center" indent="2"/>
      <protection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2399">
    <cellStyle name="Normal" xfId="0"/>
    <cellStyle name="_09 114 LID Gant OC Myslbek" xfId="15"/>
    <cellStyle name="_10661-soupis.výkonů" xfId="16"/>
    <cellStyle name="_222_4-5-R-12-B_ZV" xfId="17"/>
    <cellStyle name="_222_4-5-R-12-B_ZV_1" xfId="18"/>
    <cellStyle name="_222_4-5-R-12-B_ZV_1_Kasperk - Etapizace" xfId="19"/>
    <cellStyle name="_6065_RD Chuchle" xfId="20"/>
    <cellStyle name="_6VX01" xfId="21"/>
    <cellStyle name="_920 VilaKobylisy?ástF11 MaR Rozpo?et090617" xfId="22"/>
    <cellStyle name="_920 VilaKobylisy?ástF11 MaR Rozpo?et090617 1" xfId="23"/>
    <cellStyle name="_920 VilaKobylisy?ástF11 MaR Rozpo?et090617 2" xfId="24"/>
    <cellStyle name="_920 VilaKobylisy?ástF11 MaR Rozpo?et090617 3" xfId="25"/>
    <cellStyle name="_920 VilaKobylisy?ástF11 MaR Rozpo?et090617 4" xfId="26"/>
    <cellStyle name="_920 VilaKobylisy?ástF11 MaR Rozpo?et090617 5" xfId="27"/>
    <cellStyle name="_920 VilaKobylisy?ástF11 MaR Rozpo?et090617 6" xfId="28"/>
    <cellStyle name="_920 VilaKobylisy?ástF11 MaR Rozpo?et090617 7" xfId="29"/>
    <cellStyle name="_920 VilaKobylisy?ástF11 MaR Rozpo?et090617 8" xfId="30"/>
    <cellStyle name="_920 VilaKobylisy?ástF11 MaR Rozpo?et090617 9" xfId="31"/>
    <cellStyle name="_A-063 DPS VYK-VYM" xfId="32"/>
    <cellStyle name="_A-063 DPS VYK-VYM 2" xfId="33"/>
    <cellStyle name="_A-063 DPS VYK-VYM 3" xfId="34"/>
    <cellStyle name="_A-063 DPS VYK-VYM 4" xfId="35"/>
    <cellStyle name="_A-063 DPS VYK-VYM 5" xfId="36"/>
    <cellStyle name="_A-063 DPS VYK-VYM 6" xfId="37"/>
    <cellStyle name="_A-063 DPS VYK-VYM 7" xfId="38"/>
    <cellStyle name="_A-063 DPS VYK-VYM 8" xfId="39"/>
    <cellStyle name="_A-063 DPS VYK-VYM_1" xfId="40"/>
    <cellStyle name="_A-063 DPS VYK-VYM_1 2" xfId="41"/>
    <cellStyle name="_A-063 DPS VYK-VYM_1 3" xfId="42"/>
    <cellStyle name="_A-063 DPS VYK-VYM_1 4" xfId="43"/>
    <cellStyle name="_A-063 DPS VYK-VYM_1 5" xfId="44"/>
    <cellStyle name="_A-063 DPS VYK-VYM_1 6" xfId="45"/>
    <cellStyle name="_A-063 DPS VYK-VYM_1 7" xfId="46"/>
    <cellStyle name="_A-063 DPS VYK-VYM_1 8" xfId="47"/>
    <cellStyle name="_A-063 DPS VYK-VYM_1_Kasperk - Etapizace" xfId="48"/>
    <cellStyle name="_A-063 DPS VYK-VYM_2" xfId="49"/>
    <cellStyle name="_A-063 DPS VYK-VYM_2 2" xfId="50"/>
    <cellStyle name="_A-063 DPS VYK-VYM_2 3" xfId="51"/>
    <cellStyle name="_A-063 DPS VYK-VYM_2 4" xfId="52"/>
    <cellStyle name="_A-063 DPS VYK-VYM_2 5" xfId="53"/>
    <cellStyle name="_A-063 DPS VYK-VYM_2 6" xfId="54"/>
    <cellStyle name="_A-063 DPS VYK-VYM_2 7" xfId="55"/>
    <cellStyle name="_A-063 DPS VYK-VYM_2 8" xfId="56"/>
    <cellStyle name="_A-063 DPS VYK-VYM_2_110612_U Průhonu, byt 6.NP" xfId="57"/>
    <cellStyle name="_A-063 DPS VYK-VYM_2_Kasperk - Etapizace" xfId="58"/>
    <cellStyle name="_A-063 DPS VYK-VYM_2_tabulky - poslední" xfId="59"/>
    <cellStyle name="_A-063 DPS VYK-VYM_2_Tabulky, U Pruhonu" xfId="60"/>
    <cellStyle name="_A-063 DPS VYK-VYM_3" xfId="61"/>
    <cellStyle name="_A-063 DPS VYK-VYM_3 2" xfId="62"/>
    <cellStyle name="_A-063 DPS VYK-VYM_3 3" xfId="63"/>
    <cellStyle name="_A-063 DPS VYK-VYM_3 4" xfId="64"/>
    <cellStyle name="_A-063 DPS VYK-VYM_3 5" xfId="65"/>
    <cellStyle name="_A-063 DPS VYK-VYM_3 6" xfId="66"/>
    <cellStyle name="_A-063 DPS VYK-VYM_3 7" xfId="67"/>
    <cellStyle name="_A-063 DPS VYK-VYM_3 8" xfId="68"/>
    <cellStyle name="_A-063 DPS VYK-VYM_3_Kasperk - Etapizace" xfId="69"/>
    <cellStyle name="_A-063 DPS VYK-VYM_4" xfId="70"/>
    <cellStyle name="_A-063 DPS VYK-VYM_4 2" xfId="71"/>
    <cellStyle name="_A-063 DPS VYK-VYM_4 3" xfId="72"/>
    <cellStyle name="_A-063 DPS VYK-VYM_4 4" xfId="73"/>
    <cellStyle name="_A-063 DPS VYK-VYM_4 5" xfId="74"/>
    <cellStyle name="_A-063 DPS VYK-VYM_4 6" xfId="75"/>
    <cellStyle name="_A-063 DPS VYK-VYM_4 7" xfId="76"/>
    <cellStyle name="_A-063 DPS VYK-VYM_4 8" xfId="77"/>
    <cellStyle name="_A-063 DPS VYK-VYM_4_090609_Kasperske hory SO01 - sypka_RO" xfId="78"/>
    <cellStyle name="_A-063 DPS VYK-VYM_4_110612_U Průhonu, byt 6.NP" xfId="79"/>
    <cellStyle name="_A-063 DPS VYK-VYM_4_110615_RD Mělník - RO" xfId="80"/>
    <cellStyle name="_A-063 DPS VYK-VYM_4_Kasperk - Etapizace" xfId="81"/>
    <cellStyle name="_A-063 DPS VYK-VYM_4_tabulky - poslední" xfId="82"/>
    <cellStyle name="_A-063 DPS VYK-VYM_4_Tabulky, U Pruhonu" xfId="83"/>
    <cellStyle name="_A-063 DPS VYK-VYM_5" xfId="84"/>
    <cellStyle name="_A-063 DPS VYK-VYM_5 2" xfId="85"/>
    <cellStyle name="_A-063 DPS VYK-VYM_5 3" xfId="86"/>
    <cellStyle name="_A-063 DPS VYK-VYM_5 4" xfId="87"/>
    <cellStyle name="_A-063 DPS VYK-VYM_5 5" xfId="88"/>
    <cellStyle name="_A-063 DPS VYK-VYM_5 6" xfId="89"/>
    <cellStyle name="_A-063 DPS VYK-VYM_5 7" xfId="90"/>
    <cellStyle name="_A-063 DPS VYK-VYM_5 8" xfId="91"/>
    <cellStyle name="_A-063 DPS VYK-VYM_5_110612_U Průhonu, byt 6.NP" xfId="92"/>
    <cellStyle name="_A-063 DPS VYK-VYM_5_Kasperk - Etapizace" xfId="93"/>
    <cellStyle name="_A-063 DPS VYK-VYM_5_tabulky - poslední" xfId="94"/>
    <cellStyle name="_A-063 DPS VYK-VYM_5_Tabulky, U Pruhonu" xfId="95"/>
    <cellStyle name="_A-063 DPS VYK-VYM_6" xfId="96"/>
    <cellStyle name="_A-063 DPS VYK-VYM_6 2" xfId="97"/>
    <cellStyle name="_A-063 DPS VYK-VYM_6 3" xfId="98"/>
    <cellStyle name="_A-063 DPS VYK-VYM_6 4" xfId="99"/>
    <cellStyle name="_A-063 DPS VYK-VYM_6 5" xfId="100"/>
    <cellStyle name="_A-063 DPS VYK-VYM_6 6" xfId="101"/>
    <cellStyle name="_A-063 DPS VYK-VYM_6 7" xfId="102"/>
    <cellStyle name="_A-063 DPS VYK-VYM_6 8" xfId="103"/>
    <cellStyle name="_A-063 DPS VYK-VYM_6_Kasperk - Etapizace" xfId="104"/>
    <cellStyle name="_A-063 DPS VYK-VYM_7" xfId="105"/>
    <cellStyle name="_A-063 DPS VYK-VYM_7 2" xfId="106"/>
    <cellStyle name="_A-063 DPS VYK-VYM_7 3" xfId="107"/>
    <cellStyle name="_A-063 DPS VYK-VYM_7 4" xfId="108"/>
    <cellStyle name="_A-063 DPS VYK-VYM_7 5" xfId="109"/>
    <cellStyle name="_A-063 DPS VYK-VYM_7 6" xfId="110"/>
    <cellStyle name="_A-063 DPS VYK-VYM_7 7" xfId="111"/>
    <cellStyle name="_A-063 DPS VYK-VYM_7 8" xfId="112"/>
    <cellStyle name="_A-063 DPS VYK-VYM_7_110612_U Průhonu, byt 6.NP" xfId="113"/>
    <cellStyle name="_A-063 DPS VYK-VYM_7_110612_U Průhonu, byt 6.NP_Plochy" xfId="114"/>
    <cellStyle name="_A-063 DPS VYK-VYM_7_Kasperk - Etapizace" xfId="115"/>
    <cellStyle name="_A-063 DPS VYK-VYM_7_Kasperk - Etapizace_110612_U Průhonu, byt 6.NP" xfId="116"/>
    <cellStyle name="_A-063 DPS VYK-VYM_7_Kasperk - Etapizace_110612_U Průhonu, byt 6.NP_Plochy" xfId="117"/>
    <cellStyle name="_A-063 DPS VYK-VYM_Kasperk - Etapizace" xfId="118"/>
    <cellStyle name="_Appendix N_Detailed Price Breakdown" xfId="119"/>
    <cellStyle name="_Appendix N_Detailed Price Breakdown 1" xfId="120"/>
    <cellStyle name="_Appendix N_Detailed Price Breakdown 2" xfId="121"/>
    <cellStyle name="_Appendix N_Detailed Price Breakdown 3" xfId="122"/>
    <cellStyle name="_Appendix N_Detailed Price Breakdown 4" xfId="123"/>
    <cellStyle name="_Appendix N_Detailed Price Breakdown 5" xfId="124"/>
    <cellStyle name="_Appendix N_Detailed Price Breakdown 6" xfId="125"/>
    <cellStyle name="_Appendix N_Detailed Price Breakdown 7" xfId="126"/>
    <cellStyle name="_Appendix N_Detailed Price Breakdown 8" xfId="127"/>
    <cellStyle name="_Appendix N_Detailed Price Breakdown 9" xfId="128"/>
    <cellStyle name="_Appendix N_Detailed Price Breakdown_120125_BD U Průhonu-tabulky" xfId="129"/>
    <cellStyle name="_Appendix N_Detailed Price Breakdown_okna dveře" xfId="130"/>
    <cellStyle name="_Appendix N_Detailed Price Breakdown_Výtah" xfId="131"/>
    <cellStyle name="_EPS" xfId="132"/>
    <cellStyle name="_EPS 1" xfId="133"/>
    <cellStyle name="_EPS 10" xfId="134"/>
    <cellStyle name="_EPS 11" xfId="135"/>
    <cellStyle name="_EPS 12" xfId="136"/>
    <cellStyle name="_EPS 13" xfId="137"/>
    <cellStyle name="_EPS 14" xfId="138"/>
    <cellStyle name="_EPS 15" xfId="139"/>
    <cellStyle name="_EPS 16" xfId="140"/>
    <cellStyle name="_EPS 17" xfId="141"/>
    <cellStyle name="_EPS 18" xfId="142"/>
    <cellStyle name="_EPS 19" xfId="143"/>
    <cellStyle name="_EPS 2" xfId="144"/>
    <cellStyle name="_EPS 20" xfId="145"/>
    <cellStyle name="_EPS 21" xfId="146"/>
    <cellStyle name="_EPS 22" xfId="147"/>
    <cellStyle name="_EPS 3" xfId="148"/>
    <cellStyle name="_EPS 4" xfId="149"/>
    <cellStyle name="_EPS 5" xfId="150"/>
    <cellStyle name="_EPS 6" xfId="151"/>
    <cellStyle name="_EPS 7" xfId="152"/>
    <cellStyle name="_EPS 8" xfId="153"/>
    <cellStyle name="_EPS 9" xfId="154"/>
    <cellStyle name="_eps_1" xfId="155"/>
    <cellStyle name="_eps_1 1" xfId="156"/>
    <cellStyle name="_eps_1 10" xfId="157"/>
    <cellStyle name="_eps_1 11" xfId="158"/>
    <cellStyle name="_eps_1 12" xfId="159"/>
    <cellStyle name="_eps_1 13" xfId="160"/>
    <cellStyle name="_eps_1 14" xfId="161"/>
    <cellStyle name="_eps_1 15" xfId="162"/>
    <cellStyle name="_eps_1 16" xfId="163"/>
    <cellStyle name="_eps_1 17" xfId="164"/>
    <cellStyle name="_eps_1 18" xfId="165"/>
    <cellStyle name="_eps_1 19" xfId="166"/>
    <cellStyle name="_eps_1 2" xfId="167"/>
    <cellStyle name="_eps_1 20" xfId="168"/>
    <cellStyle name="_eps_1 21" xfId="169"/>
    <cellStyle name="_eps_1 22" xfId="170"/>
    <cellStyle name="_eps_1 3" xfId="171"/>
    <cellStyle name="_eps_1 4" xfId="172"/>
    <cellStyle name="_eps_1 5" xfId="173"/>
    <cellStyle name="_eps_1 6" xfId="174"/>
    <cellStyle name="_eps_1 7" xfId="175"/>
    <cellStyle name="_eps_1 8" xfId="176"/>
    <cellStyle name="_eps_1 9" xfId="177"/>
    <cellStyle name="_EZS" xfId="178"/>
    <cellStyle name="_EZS 1" xfId="179"/>
    <cellStyle name="_EZS 10" xfId="180"/>
    <cellStyle name="_EZS 11" xfId="181"/>
    <cellStyle name="_EZS 12" xfId="182"/>
    <cellStyle name="_EZS 13" xfId="183"/>
    <cellStyle name="_EZS 14" xfId="184"/>
    <cellStyle name="_EZS 15" xfId="185"/>
    <cellStyle name="_EZS 16" xfId="186"/>
    <cellStyle name="_EZS 17" xfId="187"/>
    <cellStyle name="_EZS 18" xfId="188"/>
    <cellStyle name="_EZS 19" xfId="189"/>
    <cellStyle name="_EZS 2" xfId="190"/>
    <cellStyle name="_EZS 20" xfId="191"/>
    <cellStyle name="_EZS 21" xfId="192"/>
    <cellStyle name="_EZS 22" xfId="193"/>
    <cellStyle name="_EZS 3" xfId="194"/>
    <cellStyle name="_EZS 4" xfId="195"/>
    <cellStyle name="_EZS 5" xfId="196"/>
    <cellStyle name="_EZS 6" xfId="197"/>
    <cellStyle name="_EZS 7" xfId="198"/>
    <cellStyle name="_EZS 8" xfId="199"/>
    <cellStyle name="_EZS 9" xfId="200"/>
    <cellStyle name="_ezs_1" xfId="201"/>
    <cellStyle name="_ezs_1 1" xfId="202"/>
    <cellStyle name="_ezs_1 10" xfId="203"/>
    <cellStyle name="_ezs_1 11" xfId="204"/>
    <cellStyle name="_ezs_1 12" xfId="205"/>
    <cellStyle name="_ezs_1 13" xfId="206"/>
    <cellStyle name="_ezs_1 14" xfId="207"/>
    <cellStyle name="_ezs_1 15" xfId="208"/>
    <cellStyle name="_ezs_1 16" xfId="209"/>
    <cellStyle name="_ezs_1 17" xfId="210"/>
    <cellStyle name="_ezs_1 18" xfId="211"/>
    <cellStyle name="_ezs_1 19" xfId="212"/>
    <cellStyle name="_ezs_1 2" xfId="213"/>
    <cellStyle name="_ezs_1 20" xfId="214"/>
    <cellStyle name="_ezs_1 21" xfId="215"/>
    <cellStyle name="_ezs_1 22" xfId="216"/>
    <cellStyle name="_ezs_1 3" xfId="217"/>
    <cellStyle name="_ezs_1 4" xfId="218"/>
    <cellStyle name="_ezs_1 5" xfId="219"/>
    <cellStyle name="_ezs_1 6" xfId="220"/>
    <cellStyle name="_ezs_1 7" xfId="221"/>
    <cellStyle name="_ezs_1 8" xfId="222"/>
    <cellStyle name="_ezs_1 9" xfId="223"/>
    <cellStyle name="_EZS_2" xfId="224"/>
    <cellStyle name="_EZS_2 1" xfId="225"/>
    <cellStyle name="_EZS_2 10" xfId="226"/>
    <cellStyle name="_EZS_2 11" xfId="227"/>
    <cellStyle name="_EZS_2 12" xfId="228"/>
    <cellStyle name="_EZS_2 13" xfId="229"/>
    <cellStyle name="_EZS_2 14" xfId="230"/>
    <cellStyle name="_EZS_2 15" xfId="231"/>
    <cellStyle name="_EZS_2 16" xfId="232"/>
    <cellStyle name="_EZS_2 17" xfId="233"/>
    <cellStyle name="_EZS_2 18" xfId="234"/>
    <cellStyle name="_EZS_2 19" xfId="235"/>
    <cellStyle name="_EZS_2 2" xfId="236"/>
    <cellStyle name="_EZS_2 20" xfId="237"/>
    <cellStyle name="_EZS_2 21" xfId="238"/>
    <cellStyle name="_EZS_2 22" xfId="239"/>
    <cellStyle name="_EZS_2 3" xfId="240"/>
    <cellStyle name="_EZS_2 4" xfId="241"/>
    <cellStyle name="_EZS_2 5" xfId="242"/>
    <cellStyle name="_EZS_2 6" xfId="243"/>
    <cellStyle name="_EZS_2 7" xfId="244"/>
    <cellStyle name="_EZS_2 8" xfId="245"/>
    <cellStyle name="_EZS_2 9" xfId="246"/>
    <cellStyle name="_Ladronka_2_VV-DVD_kontrola_FINAL" xfId="247"/>
    <cellStyle name="_List1" xfId="248"/>
    <cellStyle name="_List1 1" xfId="249"/>
    <cellStyle name="_List1 10" xfId="250"/>
    <cellStyle name="_List1 11" xfId="251"/>
    <cellStyle name="_List1 12" xfId="252"/>
    <cellStyle name="_List1 13" xfId="253"/>
    <cellStyle name="_List1 14" xfId="254"/>
    <cellStyle name="_List1 15" xfId="255"/>
    <cellStyle name="_List1 16" xfId="256"/>
    <cellStyle name="_List1 17" xfId="257"/>
    <cellStyle name="_List1 18" xfId="258"/>
    <cellStyle name="_List1 19" xfId="259"/>
    <cellStyle name="_List1 2" xfId="260"/>
    <cellStyle name="_List1 20" xfId="261"/>
    <cellStyle name="_List1 21" xfId="262"/>
    <cellStyle name="_List1 22" xfId="263"/>
    <cellStyle name="_List1 3" xfId="264"/>
    <cellStyle name="_List1 4" xfId="265"/>
    <cellStyle name="_List1 5" xfId="266"/>
    <cellStyle name="_List1 6" xfId="267"/>
    <cellStyle name="_List1 7" xfId="268"/>
    <cellStyle name="_List1 8" xfId="269"/>
    <cellStyle name="_List1 9" xfId="270"/>
    <cellStyle name="_MESA IIa-SO-03z Slabopr.." xfId="271"/>
    <cellStyle name="_MESA IIa-SO-03z Slabopr.._1" xfId="272"/>
    <cellStyle name="_MESA IIa-SO-03z Slabopr.._Kasperk - Etapizace" xfId="273"/>
    <cellStyle name="_MESA Vysokov - II. etapa" xfId="274"/>
    <cellStyle name="_MESA-II et-Zpřistavek-ROZPOČET-včSANI uprav1" xfId="275"/>
    <cellStyle name="_MESA-II et-Zpřistavek-ROZPOČET-včSANI uprav1_1" xfId="276"/>
    <cellStyle name="_MESA-II et-Zpřistavek-ROZPOČET-včSANI uprav1_1_Kasperk - Etapizace" xfId="277"/>
    <cellStyle name="_PERSONAL" xfId="278"/>
    <cellStyle name="_PERSONAL_1" xfId="279"/>
    <cellStyle name="_PS_M_93_02_slaboproud" xfId="280"/>
    <cellStyle name="_PS_M_93_02_slaboproud 1" xfId="281"/>
    <cellStyle name="_PS_M_93_02_slaboproud 2" xfId="282"/>
    <cellStyle name="_PS_M_93_02_slaboproud 3" xfId="283"/>
    <cellStyle name="_PS_M_93_02_slaboproud 4" xfId="284"/>
    <cellStyle name="_PS_M_93_02_slaboproud 5" xfId="285"/>
    <cellStyle name="_PS_M_93_02_slaboproud 6" xfId="286"/>
    <cellStyle name="_PS_M_93_02_slaboproud 7" xfId="287"/>
    <cellStyle name="_PS_M_93_02_slaboproud 8" xfId="288"/>
    <cellStyle name="_PS_M_93_02_slaboproud 9" xfId="289"/>
    <cellStyle name="_PS_M_93_02_slaboproud_120125_BD U Průhonu-tabulky" xfId="290"/>
    <cellStyle name="_PS_M_93_02_slaboproud_okna dveře" xfId="291"/>
    <cellStyle name="_PS_M_93_02_slaboproud_Výtah" xfId="292"/>
    <cellStyle name="_Q-Sadovky-výkaz-2003-07-01" xfId="293"/>
    <cellStyle name="_Q-Sadovky-výkaz-2003-07-01_1" xfId="294"/>
    <cellStyle name="_Q-Sadovky-výkaz-2003-07-01_2" xfId="295"/>
    <cellStyle name="_Q-Sadovky-výkaz-2003-07-01_2_110615_RD Mělník - RO" xfId="296"/>
    <cellStyle name="_Q-Sadovky-výkaz-2003-07-01_3" xfId="297"/>
    <cellStyle name="_ROZPIS NÁKLAD?" xfId="298"/>
    <cellStyle name="_ROZPIS NÁKLAD? 1" xfId="299"/>
    <cellStyle name="_ROZPIS NÁKLAD? 10" xfId="300"/>
    <cellStyle name="_ROZPIS NÁKLAD? 11" xfId="301"/>
    <cellStyle name="_ROZPIS NÁKLAD? 12" xfId="302"/>
    <cellStyle name="_ROZPIS NÁKLAD? 13" xfId="303"/>
    <cellStyle name="_ROZPIS NÁKLAD? 14" xfId="304"/>
    <cellStyle name="_ROZPIS NÁKLAD? 15" xfId="305"/>
    <cellStyle name="_ROZPIS NÁKLAD? 16" xfId="306"/>
    <cellStyle name="_ROZPIS NÁKLAD? 17" xfId="307"/>
    <cellStyle name="_ROZPIS NÁKLAD? 18" xfId="308"/>
    <cellStyle name="_ROZPIS NÁKLAD? 19" xfId="309"/>
    <cellStyle name="_ROZPIS NÁKLAD? 2" xfId="310"/>
    <cellStyle name="_ROZPIS NÁKLAD? 20" xfId="311"/>
    <cellStyle name="_ROZPIS NÁKLAD? 21" xfId="312"/>
    <cellStyle name="_ROZPIS NÁKLAD? 22" xfId="313"/>
    <cellStyle name="_ROZPIS NÁKLAD? 3" xfId="314"/>
    <cellStyle name="_ROZPIS NÁKLAD? 4" xfId="315"/>
    <cellStyle name="_ROZPIS NÁKLAD? 5" xfId="316"/>
    <cellStyle name="_ROZPIS NÁKLAD? 6" xfId="317"/>
    <cellStyle name="_ROZPIS NÁKLAD? 7" xfId="318"/>
    <cellStyle name="_ROZPIS NÁKLAD? 8" xfId="319"/>
    <cellStyle name="_ROZPIS NÁKLAD? 9" xfId="320"/>
    <cellStyle name="_ROZPO?ET" xfId="321"/>
    <cellStyle name="_ROZPO?ET 1" xfId="322"/>
    <cellStyle name="_ROZPO?ET 10" xfId="323"/>
    <cellStyle name="_ROZPO?ET 11" xfId="324"/>
    <cellStyle name="_ROZPO?ET 12" xfId="325"/>
    <cellStyle name="_ROZPO?ET 13" xfId="326"/>
    <cellStyle name="_ROZPO?ET 14" xfId="327"/>
    <cellStyle name="_ROZPO?ET 15" xfId="328"/>
    <cellStyle name="_ROZPO?ET 16" xfId="329"/>
    <cellStyle name="_ROZPO?ET 17" xfId="330"/>
    <cellStyle name="_ROZPO?ET 18" xfId="331"/>
    <cellStyle name="_ROZPO?ET 19" xfId="332"/>
    <cellStyle name="_ROZPO?ET 2" xfId="333"/>
    <cellStyle name="_ROZPO?ET 20" xfId="334"/>
    <cellStyle name="_ROZPO?ET 21" xfId="335"/>
    <cellStyle name="_ROZPO?ET 22" xfId="336"/>
    <cellStyle name="_ROZPO?ET 3" xfId="337"/>
    <cellStyle name="_ROZPO?ET 4" xfId="338"/>
    <cellStyle name="_ROZPO?ET 5" xfId="339"/>
    <cellStyle name="_ROZPO?ET 6" xfId="340"/>
    <cellStyle name="_ROZPO?ET 7" xfId="341"/>
    <cellStyle name="_ROZPO?ET 8" xfId="342"/>
    <cellStyle name="_ROZPO?ET 9" xfId="343"/>
    <cellStyle name="_SO 05_F6_rain wat drain.060531" xfId="344"/>
    <cellStyle name="_SO 16_6VX01_vzduchotechnika" xfId="345"/>
    <cellStyle name="_Summary bill of rates COOLINGL" xfId="346"/>
    <cellStyle name="_Summary bill of rates COOLINGL 1" xfId="347"/>
    <cellStyle name="_Summary bill of rates COOLINGL 2" xfId="348"/>
    <cellStyle name="_Summary bill of rates COOLINGL 3" xfId="349"/>
    <cellStyle name="_Summary bill of rates COOLINGL 4" xfId="350"/>
    <cellStyle name="_Summary bill of rates COOLINGL 5" xfId="351"/>
    <cellStyle name="_Summary bill of rates COOLINGL 6" xfId="352"/>
    <cellStyle name="_Summary bill of rates COOLINGL 7" xfId="353"/>
    <cellStyle name="_Summary bill of rates COOLINGL 8" xfId="354"/>
    <cellStyle name="_Summary bill of rates COOLINGL 9" xfId="355"/>
    <cellStyle name="_Summary bill of rates COOLINGL_1" xfId="356"/>
    <cellStyle name="_Summary bill of rates COOLINGL_1 1" xfId="357"/>
    <cellStyle name="_Summary bill of rates COOLINGL_1 2" xfId="358"/>
    <cellStyle name="_Summary bill of rates COOLINGL_1 3" xfId="359"/>
    <cellStyle name="_Summary bill of rates COOLINGL_1 4" xfId="360"/>
    <cellStyle name="_Summary bill of rates COOLINGL_1 5" xfId="361"/>
    <cellStyle name="_Summary bill of rates COOLINGL_1 6" xfId="362"/>
    <cellStyle name="_Summary bill of rates COOLINGL_1 7" xfId="363"/>
    <cellStyle name="_Summary bill of rates COOLINGL_1 8" xfId="364"/>
    <cellStyle name="_Summary bill of rates COOLINGL_1 9" xfId="365"/>
    <cellStyle name="_Summary bill of rates COOLINGL_1_120125_BD U Průhonu-tabulky" xfId="366"/>
    <cellStyle name="_Summary bill of rates COOLINGL_1_okna dveře" xfId="367"/>
    <cellStyle name="_Summary bill of rates COOLINGL_1_Výtah" xfId="368"/>
    <cellStyle name="_Summary bill of rates COOLINGL_120125_BD U Průhonu-tabulky" xfId="369"/>
    <cellStyle name="_Summary bill of rates COOLINGL_2" xfId="370"/>
    <cellStyle name="_Summary bill of rates COOLINGL_2 1" xfId="371"/>
    <cellStyle name="_Summary bill of rates COOLINGL_2 2" xfId="372"/>
    <cellStyle name="_Summary bill of rates COOLINGL_2 3" xfId="373"/>
    <cellStyle name="_Summary bill of rates COOLINGL_2 4" xfId="374"/>
    <cellStyle name="_Summary bill of rates COOLINGL_2 5" xfId="375"/>
    <cellStyle name="_Summary bill of rates COOLINGL_2 6" xfId="376"/>
    <cellStyle name="_Summary bill of rates COOLINGL_2 7" xfId="377"/>
    <cellStyle name="_Summary bill of rates COOLINGL_2 8" xfId="378"/>
    <cellStyle name="_Summary bill of rates COOLINGL_2 9" xfId="379"/>
    <cellStyle name="_Summary bill of rates COOLINGL_2_120125_BD U Průhonu-tabulky" xfId="380"/>
    <cellStyle name="_Summary bill of rates COOLINGL_2_okna dveře" xfId="381"/>
    <cellStyle name="_Summary bill of rates COOLINGL_2_Výtah" xfId="382"/>
    <cellStyle name="_Summary bill of rates COOLINGL_3" xfId="383"/>
    <cellStyle name="_Summary bill of rates COOLINGL_3 1" xfId="384"/>
    <cellStyle name="_Summary bill of rates COOLINGL_3 2" xfId="385"/>
    <cellStyle name="_Summary bill of rates COOLINGL_3 3" xfId="386"/>
    <cellStyle name="_Summary bill of rates COOLINGL_3 4" xfId="387"/>
    <cellStyle name="_Summary bill of rates COOLINGL_3 5" xfId="388"/>
    <cellStyle name="_Summary bill of rates COOLINGL_3 6" xfId="389"/>
    <cellStyle name="_Summary bill of rates COOLINGL_3 7" xfId="390"/>
    <cellStyle name="_Summary bill of rates COOLINGL_3 8" xfId="391"/>
    <cellStyle name="_Summary bill of rates COOLINGL_3 9" xfId="392"/>
    <cellStyle name="_Summary bill of rates COOLINGL_3_120125_BD U Průhonu-tabulky" xfId="393"/>
    <cellStyle name="_Summary bill of rates COOLINGL_3_okna dveře" xfId="394"/>
    <cellStyle name="_Summary bill of rates COOLINGL_3_Výtah" xfId="395"/>
    <cellStyle name="_Summary bill of rates COOLINGL_okna dveře" xfId="396"/>
    <cellStyle name="_Summary bill of rates COOLINGL_Výtah" xfId="397"/>
    <cellStyle name="_Summary bill of rates VENTILATIONL" xfId="398"/>
    <cellStyle name="_Summary bill of rates VENTILATIONL 1" xfId="399"/>
    <cellStyle name="_Summary bill of rates VENTILATIONL 2" xfId="400"/>
    <cellStyle name="_Summary bill of rates VENTILATIONL 3" xfId="401"/>
    <cellStyle name="_Summary bill of rates VENTILATIONL 4" xfId="402"/>
    <cellStyle name="_Summary bill of rates VENTILATIONL 5" xfId="403"/>
    <cellStyle name="_Summary bill of rates VENTILATIONL 6" xfId="404"/>
    <cellStyle name="_Summary bill of rates VENTILATIONL 7" xfId="405"/>
    <cellStyle name="_Summary bill of rates VENTILATIONL 8" xfId="406"/>
    <cellStyle name="_Summary bill of rates VENTILATIONL 9" xfId="407"/>
    <cellStyle name="_Summary bill of rates VENTILATIONL_1" xfId="408"/>
    <cellStyle name="_Summary bill of rates VENTILATIONL_1 1" xfId="409"/>
    <cellStyle name="_Summary bill of rates VENTILATIONL_1 2" xfId="410"/>
    <cellStyle name="_Summary bill of rates VENTILATIONL_1 3" xfId="411"/>
    <cellStyle name="_Summary bill of rates VENTILATIONL_1 4" xfId="412"/>
    <cellStyle name="_Summary bill of rates VENTILATIONL_1 5" xfId="413"/>
    <cellStyle name="_Summary bill of rates VENTILATIONL_1 6" xfId="414"/>
    <cellStyle name="_Summary bill of rates VENTILATIONL_1 7" xfId="415"/>
    <cellStyle name="_Summary bill of rates VENTILATIONL_1 8" xfId="416"/>
    <cellStyle name="_Summary bill of rates VENTILATIONL_1 9" xfId="417"/>
    <cellStyle name="_Summary bill of rates VENTILATIONL_1_120125_BD U Průhonu-tabulky" xfId="418"/>
    <cellStyle name="_Summary bill of rates VENTILATIONL_1_okna dveře" xfId="419"/>
    <cellStyle name="_Summary bill of rates VENTILATIONL_1_Výtah" xfId="420"/>
    <cellStyle name="_Summary bill of rates VENTILATIONL_120125_BD U Průhonu-tabulky" xfId="421"/>
    <cellStyle name="_Summary bill of rates VENTILATIONL_2" xfId="422"/>
    <cellStyle name="_Summary bill of rates VENTILATIONL_2 1" xfId="423"/>
    <cellStyle name="_Summary bill of rates VENTILATIONL_2 2" xfId="424"/>
    <cellStyle name="_Summary bill of rates VENTILATIONL_2 3" xfId="425"/>
    <cellStyle name="_Summary bill of rates VENTILATIONL_2 4" xfId="426"/>
    <cellStyle name="_Summary bill of rates VENTILATIONL_2 5" xfId="427"/>
    <cellStyle name="_Summary bill of rates VENTILATIONL_2 6" xfId="428"/>
    <cellStyle name="_Summary bill of rates VENTILATIONL_2 7" xfId="429"/>
    <cellStyle name="_Summary bill of rates VENTILATIONL_2 8" xfId="430"/>
    <cellStyle name="_Summary bill of rates VENTILATIONL_2 9" xfId="431"/>
    <cellStyle name="_Summary bill of rates VENTILATIONL_2_120125_BD U Průhonu-tabulky" xfId="432"/>
    <cellStyle name="_Summary bill of rates VENTILATIONL_2_okna dveře" xfId="433"/>
    <cellStyle name="_Summary bill of rates VENTILATIONL_2_Výtah" xfId="434"/>
    <cellStyle name="_Summary bill of rates VENTILATIONL_3" xfId="435"/>
    <cellStyle name="_Summary bill of rates VENTILATIONL_3 1" xfId="436"/>
    <cellStyle name="_Summary bill of rates VENTILATIONL_3 2" xfId="437"/>
    <cellStyle name="_Summary bill of rates VENTILATIONL_3 3" xfId="438"/>
    <cellStyle name="_Summary bill of rates VENTILATIONL_3 4" xfId="439"/>
    <cellStyle name="_Summary bill of rates VENTILATIONL_3 5" xfId="440"/>
    <cellStyle name="_Summary bill of rates VENTILATIONL_3 6" xfId="441"/>
    <cellStyle name="_Summary bill of rates VENTILATIONL_3 7" xfId="442"/>
    <cellStyle name="_Summary bill of rates VENTILATIONL_3 8" xfId="443"/>
    <cellStyle name="_Summary bill of rates VENTILATIONL_3 9" xfId="444"/>
    <cellStyle name="_Summary bill of rates VENTILATIONL_3_120125_BD U Průhonu-tabulky" xfId="445"/>
    <cellStyle name="_Summary bill of rates VENTILATIONL_3_okna dveře" xfId="446"/>
    <cellStyle name="_Summary bill of rates VENTILATIONL_3_Výtah" xfId="447"/>
    <cellStyle name="_Summary bill of rates VENTILATIONL_okna dveře" xfId="448"/>
    <cellStyle name="_Summary bill of rates VENTILATIONL_Výtah" xfId="449"/>
    <cellStyle name="_Tendr,konvence-soupis.výkonů,07.08.05" xfId="450"/>
    <cellStyle name="_Tendr,konvence-soupis.výkonů,07.08.05_1" xfId="451"/>
    <cellStyle name="_Tendr,konvence-soupis.výkonů,07.08.05_1_Kasperk - Etapizace" xfId="452"/>
    <cellStyle name="_TI_SO 01_060301_cz_en" xfId="453"/>
    <cellStyle name="_Titulní list" xfId="454"/>
    <cellStyle name="_VilaDomyKobylisy VýkazVým?r090424" xfId="455"/>
    <cellStyle name="_VilaDomyKobylisy VýkazVým?r090424 1" xfId="456"/>
    <cellStyle name="_VilaDomyKobylisy VýkazVým?r090424 2" xfId="457"/>
    <cellStyle name="_VilaDomyKobylisy VýkazVým?r090424 3" xfId="458"/>
    <cellStyle name="_VilaDomyKobylisy VýkazVým?r090424 4" xfId="459"/>
    <cellStyle name="_VilaDomyKobylisy VýkazVým?r090424 5" xfId="460"/>
    <cellStyle name="_VilaDomyKobylisy VýkazVým?r090424 6" xfId="461"/>
    <cellStyle name="_VilaDomyKobylisy VýkazVým?r090424 7" xfId="462"/>
    <cellStyle name="_VilaDomyKobylisy VýkazVým?r090424 8" xfId="463"/>
    <cellStyle name="_VilaDomyKobylisy VýkazVým?r090424 9" xfId="464"/>
    <cellStyle name="_VÝKAZ - Celakovice pro TZB v01" xfId="465"/>
    <cellStyle name="_VÝKAZ - Celakovice pro TZB v01 2" xfId="466"/>
    <cellStyle name="_VÝKAZ - Celakovice pro TZB v01 3" xfId="467"/>
    <cellStyle name="_VÝKAZ - Celakovice pro TZB v01 4" xfId="468"/>
    <cellStyle name="_VÝKAZ - Celakovice pro TZB v01 5" xfId="469"/>
    <cellStyle name="_VÝKAZ - Celakovice pro TZB v01 6" xfId="470"/>
    <cellStyle name="_VÝKAZ - Celakovice pro TZB v01 7" xfId="471"/>
    <cellStyle name="_VÝKAZ - Celakovice pro TZB v01 8" xfId="472"/>
    <cellStyle name="_VÝKAZ - Celakovice pro TZB v01_1" xfId="473"/>
    <cellStyle name="_VÝKAZ - Celakovice pro TZB v01_1 2" xfId="474"/>
    <cellStyle name="_VÝKAZ - Celakovice pro TZB v01_1 3" xfId="475"/>
    <cellStyle name="_VÝKAZ - Celakovice pro TZB v01_1 4" xfId="476"/>
    <cellStyle name="_VÝKAZ - Celakovice pro TZB v01_1 5" xfId="477"/>
    <cellStyle name="_VÝKAZ - Celakovice pro TZB v01_1 6" xfId="478"/>
    <cellStyle name="_VÝKAZ - Celakovice pro TZB v01_1 7" xfId="479"/>
    <cellStyle name="_VÝKAZ - Celakovice pro TZB v01_1 8" xfId="480"/>
    <cellStyle name="_VÝKAZ - Celakovice pro TZB v01_1_Kasperk - Etapizace" xfId="481"/>
    <cellStyle name="_VÝKAZ - Celakovice pro TZB v01_2" xfId="482"/>
    <cellStyle name="_VÝKAZ - Celakovice pro TZB v01_2 2" xfId="483"/>
    <cellStyle name="_VÝKAZ - Celakovice pro TZB v01_2 3" xfId="484"/>
    <cellStyle name="_VÝKAZ - Celakovice pro TZB v01_2 4" xfId="485"/>
    <cellStyle name="_VÝKAZ - Celakovice pro TZB v01_2 5" xfId="486"/>
    <cellStyle name="_VÝKAZ - Celakovice pro TZB v01_2 6" xfId="487"/>
    <cellStyle name="_VÝKAZ - Celakovice pro TZB v01_2 7" xfId="488"/>
    <cellStyle name="_VÝKAZ - Celakovice pro TZB v01_2 8" xfId="489"/>
    <cellStyle name="_VÝKAZ - Celakovice pro TZB v01_2_Kasperk - Etapizace" xfId="490"/>
    <cellStyle name="_VÝKAZ - Celakovice pro TZB v01_3" xfId="491"/>
    <cellStyle name="_VÝKAZ - Celakovice pro TZB v01_3 2" xfId="492"/>
    <cellStyle name="_VÝKAZ - Celakovice pro TZB v01_3 3" xfId="493"/>
    <cellStyle name="_VÝKAZ - Celakovice pro TZB v01_3 4" xfId="494"/>
    <cellStyle name="_VÝKAZ - Celakovice pro TZB v01_3 5" xfId="495"/>
    <cellStyle name="_VÝKAZ - Celakovice pro TZB v01_3 6" xfId="496"/>
    <cellStyle name="_VÝKAZ - Celakovice pro TZB v01_3 7" xfId="497"/>
    <cellStyle name="_VÝKAZ - Celakovice pro TZB v01_3 8" xfId="498"/>
    <cellStyle name="_VÝKAZ - Celakovice pro TZB v01_3_Kasperk - Etapizace" xfId="499"/>
    <cellStyle name="_VÝKAZ - Celakovice pro TZB v01_4" xfId="500"/>
    <cellStyle name="_VÝKAZ - Celakovice pro TZB v01_4 2" xfId="501"/>
    <cellStyle name="_VÝKAZ - Celakovice pro TZB v01_4 3" xfId="502"/>
    <cellStyle name="_VÝKAZ - Celakovice pro TZB v01_4 4" xfId="503"/>
    <cellStyle name="_VÝKAZ - Celakovice pro TZB v01_4 5" xfId="504"/>
    <cellStyle name="_VÝKAZ - Celakovice pro TZB v01_4 6" xfId="505"/>
    <cellStyle name="_VÝKAZ - Celakovice pro TZB v01_4 7" xfId="506"/>
    <cellStyle name="_VÝKAZ - Celakovice pro TZB v01_4 8" xfId="507"/>
    <cellStyle name="_VÝKAZ - Celakovice pro TZB v01_4_110612_U Průhonu, byt 6.NP" xfId="508"/>
    <cellStyle name="_VÝKAZ - Celakovice pro TZB v01_4_Kasperk - Etapizace" xfId="509"/>
    <cellStyle name="_VÝKAZ - Celakovice pro TZB v01_4_tabulky - poslední" xfId="510"/>
    <cellStyle name="_VÝKAZ - Celakovice pro TZB v01_4_Tabulky, U Pruhonu" xfId="511"/>
    <cellStyle name="_VÝKAZ - Celakovice pro TZB v01_5" xfId="512"/>
    <cellStyle name="_VÝKAZ - Celakovice pro TZB v01_5 2" xfId="513"/>
    <cellStyle name="_VÝKAZ - Celakovice pro TZB v01_5 3" xfId="514"/>
    <cellStyle name="_VÝKAZ - Celakovice pro TZB v01_5 4" xfId="515"/>
    <cellStyle name="_VÝKAZ - Celakovice pro TZB v01_5 5" xfId="516"/>
    <cellStyle name="_VÝKAZ - Celakovice pro TZB v01_5 6" xfId="517"/>
    <cellStyle name="_VÝKAZ - Celakovice pro TZB v01_5 7" xfId="518"/>
    <cellStyle name="_VÝKAZ - Celakovice pro TZB v01_5 8" xfId="519"/>
    <cellStyle name="_VÝKAZ - Celakovice pro TZB v01_5_110612_U Průhonu, byt 6.NP" xfId="520"/>
    <cellStyle name="_VÝKAZ - Celakovice pro TZB v01_5_110612_U Průhonu, byt 6.NP_Plochy" xfId="521"/>
    <cellStyle name="_VÝKAZ - Celakovice pro TZB v01_5_Kasperk - Etapizace" xfId="522"/>
    <cellStyle name="_VÝKAZ - Celakovice pro TZB v01_5_Kasperk - Etapizace_110612_U Průhonu, byt 6.NP" xfId="523"/>
    <cellStyle name="_VÝKAZ - Celakovice pro TZB v01_5_Kasperk - Etapizace_110612_U Průhonu, byt 6.NP_Plochy" xfId="524"/>
    <cellStyle name="_VÝKAZ - Celakovice pro TZB v01_6" xfId="525"/>
    <cellStyle name="_VÝKAZ - Celakovice pro TZB v01_6 2" xfId="526"/>
    <cellStyle name="_VÝKAZ - Celakovice pro TZB v01_6 3" xfId="527"/>
    <cellStyle name="_VÝKAZ - Celakovice pro TZB v01_6 4" xfId="528"/>
    <cellStyle name="_VÝKAZ - Celakovice pro TZB v01_6 5" xfId="529"/>
    <cellStyle name="_VÝKAZ - Celakovice pro TZB v01_6 6" xfId="530"/>
    <cellStyle name="_VÝKAZ - Celakovice pro TZB v01_6 7" xfId="531"/>
    <cellStyle name="_VÝKAZ - Celakovice pro TZB v01_6 8" xfId="532"/>
    <cellStyle name="_VÝKAZ - Celakovice pro TZB v01_6_110612_U Průhonu, byt 6.NP" xfId="533"/>
    <cellStyle name="_VÝKAZ - Celakovice pro TZB v01_6_Kasperk - Etapizace" xfId="534"/>
    <cellStyle name="_VÝKAZ - Celakovice pro TZB v01_6_tabulky - poslední" xfId="535"/>
    <cellStyle name="_VÝKAZ - Celakovice pro TZB v01_6_Tabulky, U Pruhonu" xfId="536"/>
    <cellStyle name="_VÝKAZ - Celakovice pro TZB v01_7" xfId="537"/>
    <cellStyle name="_VÝKAZ - Celakovice pro TZB v01_7 2" xfId="538"/>
    <cellStyle name="_VÝKAZ - Celakovice pro TZB v01_7 3" xfId="539"/>
    <cellStyle name="_VÝKAZ - Celakovice pro TZB v01_7 4" xfId="540"/>
    <cellStyle name="_VÝKAZ - Celakovice pro TZB v01_7 5" xfId="541"/>
    <cellStyle name="_VÝKAZ - Celakovice pro TZB v01_7 6" xfId="542"/>
    <cellStyle name="_VÝKAZ - Celakovice pro TZB v01_7 7" xfId="543"/>
    <cellStyle name="_VÝKAZ - Celakovice pro TZB v01_7 8" xfId="544"/>
    <cellStyle name="_VÝKAZ - Celakovice pro TZB v01_7_090609_Kasperske hory SO01 - sypka_RO" xfId="545"/>
    <cellStyle name="_VÝKAZ - Celakovice pro TZB v01_7_110612_U Průhonu, byt 6.NP" xfId="546"/>
    <cellStyle name="_VÝKAZ - Celakovice pro TZB v01_7_110615_RD Mělník - RO" xfId="547"/>
    <cellStyle name="_VÝKAZ - Celakovice pro TZB v01_7_Kasperk - Etapizace" xfId="548"/>
    <cellStyle name="_VÝKAZ - Celakovice pro TZB v01_7_tabulky - poslední" xfId="549"/>
    <cellStyle name="_VÝKAZ - Celakovice pro TZB v01_7_Tabulky, U Pruhonu" xfId="550"/>
    <cellStyle name="_VÝKAZ - Celakovice pro TZB v01_Kasperk - Etapizace" xfId="551"/>
    <cellStyle name="_Výkaz výměr PSHZ" xfId="552"/>
    <cellStyle name="_Výkaz výměr PSHZ_Kasperk - Etapizace" xfId="553"/>
    <cellStyle name="_Výkaz výměr SHZ" xfId="554"/>
    <cellStyle name="_Výkaz výměr SHZ_Kasperk - Etapizace" xfId="555"/>
    <cellStyle name="_Vysokov, Mesa - Západní administrativně provozní přístavba, 25.10.2006 ostrý" xfId="556"/>
    <cellStyle name="_Vysokov, Mesa - Západní administrativně provozní přístavba, 25.10.2006 ostrý_Kasperk - Etapizace" xfId="557"/>
    <cellStyle name="_Západní křídlo - El. rozpočet" xfId="558"/>
    <cellStyle name="_Západní křídlo - El. rozpočet_1" xfId="559"/>
    <cellStyle name="_Západní křídlo - El. rozpočet_1_Kasperk - Etapizace" xfId="560"/>
    <cellStyle name="¬µrka" xfId="561"/>
    <cellStyle name="¬µrka 1" xfId="562"/>
    <cellStyle name="¬µrka 10" xfId="563"/>
    <cellStyle name="¬µrka 11" xfId="564"/>
    <cellStyle name="¬µrka 12" xfId="565"/>
    <cellStyle name="¬µrka 13" xfId="566"/>
    <cellStyle name="¬µrka 14" xfId="567"/>
    <cellStyle name="¬µrka 15" xfId="568"/>
    <cellStyle name="¬µrka 16" xfId="569"/>
    <cellStyle name="¬µrka 17" xfId="570"/>
    <cellStyle name="¬µrka 18" xfId="571"/>
    <cellStyle name="¬µrka 19" xfId="572"/>
    <cellStyle name="¬µrka 2" xfId="573"/>
    <cellStyle name="¬µrka 20" xfId="574"/>
    <cellStyle name="¬µrka 21" xfId="575"/>
    <cellStyle name="¬µrka 22" xfId="576"/>
    <cellStyle name="¬µrka 3" xfId="577"/>
    <cellStyle name="¬µrka 4" xfId="578"/>
    <cellStyle name="¬µrka 5" xfId="579"/>
    <cellStyle name="¬µrka 6" xfId="580"/>
    <cellStyle name="¬µrka 7" xfId="581"/>
    <cellStyle name="¬µrka 8" xfId="582"/>
    <cellStyle name="¬µrka 9" xfId="583"/>
    <cellStyle name="1" xfId="584"/>
    <cellStyle name="1 000 K?_Ceník 2002" xfId="585"/>
    <cellStyle name="1 000 Kč_PERSONAL" xfId="586"/>
    <cellStyle name="1000 Sk_PERSONAL" xfId="587"/>
    <cellStyle name="20 % – Zvýrazn?ní1" xfId="588"/>
    <cellStyle name="20 % – Zvýrazn?ní1 1" xfId="589"/>
    <cellStyle name="20 % – Zvýrazn?ní1 2" xfId="590"/>
    <cellStyle name="20 % – Zvýrazn?ní1 3" xfId="591"/>
    <cellStyle name="20 % – Zvýrazn?ní1 4" xfId="592"/>
    <cellStyle name="20 % – Zvýrazn?ní1 5" xfId="593"/>
    <cellStyle name="20 % – Zvýrazn?ní1 6" xfId="594"/>
    <cellStyle name="20 % – Zvýrazn?ní1 7" xfId="595"/>
    <cellStyle name="20 % – Zvýrazn?ní1 8" xfId="596"/>
    <cellStyle name="20 % – Zvýrazn?ní1 9" xfId="597"/>
    <cellStyle name="20 % – Zvýrazn?ní2" xfId="598"/>
    <cellStyle name="20 % – Zvýrazn?ní2 1" xfId="599"/>
    <cellStyle name="20 % – Zvýrazn?ní2 2" xfId="600"/>
    <cellStyle name="20 % – Zvýrazn?ní2 3" xfId="601"/>
    <cellStyle name="20 % – Zvýrazn?ní2 4" xfId="602"/>
    <cellStyle name="20 % – Zvýrazn?ní2 5" xfId="603"/>
    <cellStyle name="20 % – Zvýrazn?ní2 6" xfId="604"/>
    <cellStyle name="20 % – Zvýrazn?ní2 7" xfId="605"/>
    <cellStyle name="20 % – Zvýrazn?ní2 8" xfId="606"/>
    <cellStyle name="20 % – Zvýrazn?ní2 9" xfId="607"/>
    <cellStyle name="20 % – Zvýrazn?ní3" xfId="608"/>
    <cellStyle name="20 % – Zvýrazn?ní3 1" xfId="609"/>
    <cellStyle name="20 % – Zvýrazn?ní3 2" xfId="610"/>
    <cellStyle name="20 % – Zvýrazn?ní3 3" xfId="611"/>
    <cellStyle name="20 % – Zvýrazn?ní3 4" xfId="612"/>
    <cellStyle name="20 % – Zvýrazn?ní3 5" xfId="613"/>
    <cellStyle name="20 % – Zvýrazn?ní3 6" xfId="614"/>
    <cellStyle name="20 % – Zvýrazn?ní3 7" xfId="615"/>
    <cellStyle name="20 % – Zvýrazn?ní3 8" xfId="616"/>
    <cellStyle name="20 % – Zvýrazn?ní3 9" xfId="617"/>
    <cellStyle name="20 % – Zvýrazn?ní4" xfId="618"/>
    <cellStyle name="20 % – Zvýrazn?ní4 1" xfId="619"/>
    <cellStyle name="20 % – Zvýrazn?ní4 2" xfId="620"/>
    <cellStyle name="20 % – Zvýrazn?ní4 3" xfId="621"/>
    <cellStyle name="20 % – Zvýrazn?ní4 4" xfId="622"/>
    <cellStyle name="20 % – Zvýrazn?ní4 5" xfId="623"/>
    <cellStyle name="20 % – Zvýrazn?ní4 6" xfId="624"/>
    <cellStyle name="20 % – Zvýrazn?ní4 7" xfId="625"/>
    <cellStyle name="20 % – Zvýrazn?ní4 8" xfId="626"/>
    <cellStyle name="20 % – Zvýrazn?ní4 9" xfId="627"/>
    <cellStyle name="20 % – Zvýrazn?ní5" xfId="628"/>
    <cellStyle name="20 % – Zvýrazn?ní5 1" xfId="629"/>
    <cellStyle name="20 % – Zvýrazn?ní5 2" xfId="630"/>
    <cellStyle name="20 % – Zvýrazn?ní5 3" xfId="631"/>
    <cellStyle name="20 % – Zvýrazn?ní5 4" xfId="632"/>
    <cellStyle name="20 % – Zvýrazn?ní5 5" xfId="633"/>
    <cellStyle name="20 % – Zvýrazn?ní5 6" xfId="634"/>
    <cellStyle name="20 % – Zvýrazn?ní5 7" xfId="635"/>
    <cellStyle name="20 % – Zvýrazn?ní5 8" xfId="636"/>
    <cellStyle name="20 % – Zvýrazn?ní5 9" xfId="637"/>
    <cellStyle name="20 % – Zvýrazn?ní6" xfId="638"/>
    <cellStyle name="20 % – Zvýrazn?ní6 1" xfId="639"/>
    <cellStyle name="20 % – Zvýrazn?ní6 2" xfId="640"/>
    <cellStyle name="20 % – Zvýrazn?ní6 3" xfId="641"/>
    <cellStyle name="20 % – Zvýrazn?ní6 4" xfId="642"/>
    <cellStyle name="20 % – Zvýrazn?ní6 5" xfId="643"/>
    <cellStyle name="20 % – Zvýrazn?ní6 6" xfId="644"/>
    <cellStyle name="20 % – Zvýrazn?ní6 7" xfId="645"/>
    <cellStyle name="20 % – Zvýrazn?ní6 8" xfId="646"/>
    <cellStyle name="20 % – Zvýrazn?ní6 9" xfId="647"/>
    <cellStyle name="20 % – Zvýraznění1" xfId="648"/>
    <cellStyle name="20 % – Zvýraznění2" xfId="649"/>
    <cellStyle name="20 % – Zvýraznění3" xfId="650"/>
    <cellStyle name="20 % – Zvýraznění4" xfId="651"/>
    <cellStyle name="20 % – Zvýraznění5" xfId="652"/>
    <cellStyle name="20 % – Zvýraznění6" xfId="653"/>
    <cellStyle name="20 % - zvýraznenie1" xfId="654"/>
    <cellStyle name="20 % - zvýraznenie1 1" xfId="655"/>
    <cellStyle name="20 % - zvýraznenie1 2" xfId="656"/>
    <cellStyle name="20 % - zvýraznenie1 3" xfId="657"/>
    <cellStyle name="20 % - zvýraznenie1 4" xfId="658"/>
    <cellStyle name="20 % - zvýraznenie1 5" xfId="659"/>
    <cellStyle name="20 % - zvýraznenie1 6" xfId="660"/>
    <cellStyle name="20 % - zvýraznenie1 7" xfId="661"/>
    <cellStyle name="20 % - zvýraznenie1 8" xfId="662"/>
    <cellStyle name="20 % - zvýraznenie1 9" xfId="663"/>
    <cellStyle name="20 % - zvýraznenie2" xfId="664"/>
    <cellStyle name="20 % - zvýraznenie2 1" xfId="665"/>
    <cellStyle name="20 % - zvýraznenie2 2" xfId="666"/>
    <cellStyle name="20 % - zvýraznenie2 3" xfId="667"/>
    <cellStyle name="20 % - zvýraznenie2 4" xfId="668"/>
    <cellStyle name="20 % - zvýraznenie2 5" xfId="669"/>
    <cellStyle name="20 % - zvýraznenie2 6" xfId="670"/>
    <cellStyle name="20 % - zvýraznenie2 7" xfId="671"/>
    <cellStyle name="20 % - zvýraznenie2 8" xfId="672"/>
    <cellStyle name="20 % - zvýraznenie2 9" xfId="673"/>
    <cellStyle name="20 % - zvýraznenie3" xfId="674"/>
    <cellStyle name="20 % - zvýraznenie3 1" xfId="675"/>
    <cellStyle name="20 % - zvýraznenie3 2" xfId="676"/>
    <cellStyle name="20 % - zvýraznenie3 3" xfId="677"/>
    <cellStyle name="20 % - zvýraznenie3 4" xfId="678"/>
    <cellStyle name="20 % - zvýraznenie3 5" xfId="679"/>
    <cellStyle name="20 % - zvýraznenie3 6" xfId="680"/>
    <cellStyle name="20 % - zvýraznenie3 7" xfId="681"/>
    <cellStyle name="20 % - zvýraznenie3 8" xfId="682"/>
    <cellStyle name="20 % - zvýraznenie3 9" xfId="683"/>
    <cellStyle name="20 % - zvýraznenie4" xfId="684"/>
    <cellStyle name="20 % - zvýraznenie4 1" xfId="685"/>
    <cellStyle name="20 % - zvýraznenie4 2" xfId="686"/>
    <cellStyle name="20 % - zvýraznenie4 3" xfId="687"/>
    <cellStyle name="20 % - zvýraznenie4 4" xfId="688"/>
    <cellStyle name="20 % - zvýraznenie4 5" xfId="689"/>
    <cellStyle name="20 % - zvýraznenie4 6" xfId="690"/>
    <cellStyle name="20 % - zvýraznenie4 7" xfId="691"/>
    <cellStyle name="20 % - zvýraznenie4 8" xfId="692"/>
    <cellStyle name="20 % - zvýraznenie4 9" xfId="693"/>
    <cellStyle name="20 % - zvýraznenie5" xfId="694"/>
    <cellStyle name="20 % - zvýraznenie5 1" xfId="695"/>
    <cellStyle name="20 % - zvýraznenie5 2" xfId="696"/>
    <cellStyle name="20 % - zvýraznenie5 3" xfId="697"/>
    <cellStyle name="20 % - zvýraznenie5 4" xfId="698"/>
    <cellStyle name="20 % - zvýraznenie5 5" xfId="699"/>
    <cellStyle name="20 % - zvýraznenie5 6" xfId="700"/>
    <cellStyle name="20 % - zvýraznenie5 7" xfId="701"/>
    <cellStyle name="20 % - zvýraznenie5 8" xfId="702"/>
    <cellStyle name="20 % - zvýraznenie5 9" xfId="703"/>
    <cellStyle name="20 % - zvýraznenie6" xfId="704"/>
    <cellStyle name="20 % - zvýraznenie6 1" xfId="705"/>
    <cellStyle name="20 % - zvýraznenie6 2" xfId="706"/>
    <cellStyle name="20 % - zvýraznenie6 3" xfId="707"/>
    <cellStyle name="20 % - zvýraznenie6 4" xfId="708"/>
    <cellStyle name="20 % - zvýraznenie6 5" xfId="709"/>
    <cellStyle name="20 % - zvýraznenie6 6" xfId="710"/>
    <cellStyle name="20 % - zvýraznenie6 7" xfId="711"/>
    <cellStyle name="20 % - zvýraznenie6 8" xfId="712"/>
    <cellStyle name="20 % - zvýraznenie6 9" xfId="713"/>
    <cellStyle name="20% - Accent1" xfId="714"/>
    <cellStyle name="20% - Accent2" xfId="715"/>
    <cellStyle name="20% - Accent3" xfId="716"/>
    <cellStyle name="20% - Accent4" xfId="717"/>
    <cellStyle name="20% - Accent5" xfId="718"/>
    <cellStyle name="20% - Accent6" xfId="719"/>
    <cellStyle name="40 % – Zvýrazn?ní1" xfId="720"/>
    <cellStyle name="40 % – Zvýrazn?ní1 1" xfId="721"/>
    <cellStyle name="40 % – Zvýrazn?ní1 2" xfId="722"/>
    <cellStyle name="40 % – Zvýrazn?ní1 3" xfId="723"/>
    <cellStyle name="40 % – Zvýrazn?ní1 4" xfId="724"/>
    <cellStyle name="40 % – Zvýrazn?ní1 5" xfId="725"/>
    <cellStyle name="40 % – Zvýrazn?ní1 6" xfId="726"/>
    <cellStyle name="40 % – Zvýrazn?ní1 7" xfId="727"/>
    <cellStyle name="40 % – Zvýrazn?ní1 8" xfId="728"/>
    <cellStyle name="40 % – Zvýrazn?ní1 9" xfId="729"/>
    <cellStyle name="40 % – Zvýrazn?ní2" xfId="730"/>
    <cellStyle name="40 % – Zvýrazn?ní2 1" xfId="731"/>
    <cellStyle name="40 % – Zvýrazn?ní2 2" xfId="732"/>
    <cellStyle name="40 % – Zvýrazn?ní2 3" xfId="733"/>
    <cellStyle name="40 % – Zvýrazn?ní2 4" xfId="734"/>
    <cellStyle name="40 % – Zvýrazn?ní2 5" xfId="735"/>
    <cellStyle name="40 % – Zvýrazn?ní2 6" xfId="736"/>
    <cellStyle name="40 % – Zvýrazn?ní2 7" xfId="737"/>
    <cellStyle name="40 % – Zvýrazn?ní2 8" xfId="738"/>
    <cellStyle name="40 % – Zvýrazn?ní2 9" xfId="739"/>
    <cellStyle name="40 % – Zvýrazn?ní3" xfId="740"/>
    <cellStyle name="40 % – Zvýrazn?ní3 1" xfId="741"/>
    <cellStyle name="40 % – Zvýrazn?ní3 2" xfId="742"/>
    <cellStyle name="40 % – Zvýrazn?ní3 3" xfId="743"/>
    <cellStyle name="40 % – Zvýrazn?ní3 4" xfId="744"/>
    <cellStyle name="40 % – Zvýrazn?ní3 5" xfId="745"/>
    <cellStyle name="40 % – Zvýrazn?ní3 6" xfId="746"/>
    <cellStyle name="40 % – Zvýrazn?ní3 7" xfId="747"/>
    <cellStyle name="40 % – Zvýrazn?ní3 8" xfId="748"/>
    <cellStyle name="40 % – Zvýrazn?ní3 9" xfId="749"/>
    <cellStyle name="40 % – Zvýrazn?ní4" xfId="750"/>
    <cellStyle name="40 % – Zvýrazn?ní4 1" xfId="751"/>
    <cellStyle name="40 % – Zvýrazn?ní4 2" xfId="752"/>
    <cellStyle name="40 % – Zvýrazn?ní4 3" xfId="753"/>
    <cellStyle name="40 % – Zvýrazn?ní4 4" xfId="754"/>
    <cellStyle name="40 % – Zvýrazn?ní4 5" xfId="755"/>
    <cellStyle name="40 % – Zvýrazn?ní4 6" xfId="756"/>
    <cellStyle name="40 % – Zvýrazn?ní4 7" xfId="757"/>
    <cellStyle name="40 % – Zvýrazn?ní4 8" xfId="758"/>
    <cellStyle name="40 % – Zvýrazn?ní4 9" xfId="759"/>
    <cellStyle name="40 % – Zvýrazn?ní5" xfId="760"/>
    <cellStyle name="40 % – Zvýrazn?ní5 1" xfId="761"/>
    <cellStyle name="40 % – Zvýrazn?ní5 2" xfId="762"/>
    <cellStyle name="40 % – Zvýrazn?ní5 3" xfId="763"/>
    <cellStyle name="40 % – Zvýrazn?ní5 4" xfId="764"/>
    <cellStyle name="40 % – Zvýrazn?ní5 5" xfId="765"/>
    <cellStyle name="40 % – Zvýrazn?ní5 6" xfId="766"/>
    <cellStyle name="40 % – Zvýrazn?ní5 7" xfId="767"/>
    <cellStyle name="40 % – Zvýrazn?ní5 8" xfId="768"/>
    <cellStyle name="40 % – Zvýrazn?ní5 9" xfId="769"/>
    <cellStyle name="40 % – Zvýrazn?ní6" xfId="770"/>
    <cellStyle name="40 % – Zvýrazn?ní6 1" xfId="771"/>
    <cellStyle name="40 % – Zvýrazn?ní6 2" xfId="772"/>
    <cellStyle name="40 % – Zvýrazn?ní6 3" xfId="773"/>
    <cellStyle name="40 % – Zvýrazn?ní6 4" xfId="774"/>
    <cellStyle name="40 % – Zvýrazn?ní6 5" xfId="775"/>
    <cellStyle name="40 % – Zvýrazn?ní6 6" xfId="776"/>
    <cellStyle name="40 % – Zvýrazn?ní6 7" xfId="777"/>
    <cellStyle name="40 % – Zvýrazn?ní6 8" xfId="778"/>
    <cellStyle name="40 % – Zvýrazn?ní6 9" xfId="779"/>
    <cellStyle name="40 % – Zvýraznění1" xfId="780"/>
    <cellStyle name="40 % – Zvýraznění2" xfId="781"/>
    <cellStyle name="40 % – Zvýraznění3" xfId="782"/>
    <cellStyle name="40 % – Zvýraznění4" xfId="783"/>
    <cellStyle name="40 % – Zvýraznění5" xfId="784"/>
    <cellStyle name="40 % – Zvýraznění6" xfId="785"/>
    <cellStyle name="40 % - zvýraznenie1" xfId="786"/>
    <cellStyle name="40 % - zvýraznenie1 1" xfId="787"/>
    <cellStyle name="40 % - zvýraznenie1 2" xfId="788"/>
    <cellStyle name="40 % - zvýraznenie1 3" xfId="789"/>
    <cellStyle name="40 % - zvýraznenie1 4" xfId="790"/>
    <cellStyle name="40 % - zvýraznenie1 5" xfId="791"/>
    <cellStyle name="40 % - zvýraznenie1 6" xfId="792"/>
    <cellStyle name="40 % - zvýraznenie1 7" xfId="793"/>
    <cellStyle name="40 % - zvýraznenie1 8" xfId="794"/>
    <cellStyle name="40 % - zvýraznenie1 9" xfId="795"/>
    <cellStyle name="40 % - zvýraznenie2" xfId="796"/>
    <cellStyle name="40 % - zvýraznenie2 1" xfId="797"/>
    <cellStyle name="40 % - zvýraznenie2 2" xfId="798"/>
    <cellStyle name="40 % - zvýraznenie2 3" xfId="799"/>
    <cellStyle name="40 % - zvýraznenie2 4" xfId="800"/>
    <cellStyle name="40 % - zvýraznenie2 5" xfId="801"/>
    <cellStyle name="40 % - zvýraznenie2 6" xfId="802"/>
    <cellStyle name="40 % - zvýraznenie2 7" xfId="803"/>
    <cellStyle name="40 % - zvýraznenie2 8" xfId="804"/>
    <cellStyle name="40 % - zvýraznenie2 9" xfId="805"/>
    <cellStyle name="40 % - zvýraznenie3" xfId="806"/>
    <cellStyle name="40 % - zvýraznenie3 1" xfId="807"/>
    <cellStyle name="40 % - zvýraznenie3 2" xfId="808"/>
    <cellStyle name="40 % - zvýraznenie3 3" xfId="809"/>
    <cellStyle name="40 % - zvýraznenie3 4" xfId="810"/>
    <cellStyle name="40 % - zvýraznenie3 5" xfId="811"/>
    <cellStyle name="40 % - zvýraznenie3 6" xfId="812"/>
    <cellStyle name="40 % - zvýraznenie3 7" xfId="813"/>
    <cellStyle name="40 % - zvýraznenie3 8" xfId="814"/>
    <cellStyle name="40 % - zvýraznenie3 9" xfId="815"/>
    <cellStyle name="40 % - zvýraznenie4" xfId="816"/>
    <cellStyle name="40 % - zvýraznenie4 1" xfId="817"/>
    <cellStyle name="40 % - zvýraznenie4 2" xfId="818"/>
    <cellStyle name="40 % - zvýraznenie4 3" xfId="819"/>
    <cellStyle name="40 % - zvýraznenie4 4" xfId="820"/>
    <cellStyle name="40 % - zvýraznenie4 5" xfId="821"/>
    <cellStyle name="40 % - zvýraznenie4 6" xfId="822"/>
    <cellStyle name="40 % - zvýraznenie4 7" xfId="823"/>
    <cellStyle name="40 % - zvýraznenie4 8" xfId="824"/>
    <cellStyle name="40 % - zvýraznenie4 9" xfId="825"/>
    <cellStyle name="40 % - zvýraznenie5" xfId="826"/>
    <cellStyle name="40 % - zvýraznenie5 1" xfId="827"/>
    <cellStyle name="40 % - zvýraznenie5 2" xfId="828"/>
    <cellStyle name="40 % - zvýraznenie5 3" xfId="829"/>
    <cellStyle name="40 % - zvýraznenie5 4" xfId="830"/>
    <cellStyle name="40 % - zvýraznenie5 5" xfId="831"/>
    <cellStyle name="40 % - zvýraznenie5 6" xfId="832"/>
    <cellStyle name="40 % - zvýraznenie5 7" xfId="833"/>
    <cellStyle name="40 % - zvýraznenie5 8" xfId="834"/>
    <cellStyle name="40 % - zvýraznenie5 9" xfId="835"/>
    <cellStyle name="40 % - zvýraznenie6" xfId="836"/>
    <cellStyle name="40 % - zvýraznenie6 1" xfId="837"/>
    <cellStyle name="40 % - zvýraznenie6 2" xfId="838"/>
    <cellStyle name="40 % - zvýraznenie6 3" xfId="839"/>
    <cellStyle name="40 % - zvýraznenie6 4" xfId="840"/>
    <cellStyle name="40 % - zvýraznenie6 5" xfId="841"/>
    <cellStyle name="40 % - zvýraznenie6 6" xfId="842"/>
    <cellStyle name="40 % - zvýraznenie6 7" xfId="843"/>
    <cellStyle name="40 % - zvýraznenie6 8" xfId="844"/>
    <cellStyle name="40 % - zvýraznenie6 9" xfId="845"/>
    <cellStyle name="40% - Accent1" xfId="846"/>
    <cellStyle name="40% - Accent2" xfId="847"/>
    <cellStyle name="40% - Accent3" xfId="848"/>
    <cellStyle name="40% - Accent4" xfId="849"/>
    <cellStyle name="40% - Accent5" xfId="850"/>
    <cellStyle name="40% - Accent6" xfId="851"/>
    <cellStyle name="60 % – Zvýrazn?ní1" xfId="852"/>
    <cellStyle name="60 % – Zvýrazn?ní1 1" xfId="853"/>
    <cellStyle name="60 % – Zvýrazn?ní1 2" xfId="854"/>
    <cellStyle name="60 % – Zvýrazn?ní1 3" xfId="855"/>
    <cellStyle name="60 % – Zvýrazn?ní1 4" xfId="856"/>
    <cellStyle name="60 % – Zvýrazn?ní1 5" xfId="857"/>
    <cellStyle name="60 % – Zvýrazn?ní1 6" xfId="858"/>
    <cellStyle name="60 % – Zvýrazn?ní1 7" xfId="859"/>
    <cellStyle name="60 % – Zvýrazn?ní1 8" xfId="860"/>
    <cellStyle name="60 % – Zvýrazn?ní1 9" xfId="861"/>
    <cellStyle name="60 % – Zvýrazn?ní2" xfId="862"/>
    <cellStyle name="60 % – Zvýrazn?ní2 1" xfId="863"/>
    <cellStyle name="60 % – Zvýrazn?ní2 2" xfId="864"/>
    <cellStyle name="60 % – Zvýrazn?ní2 3" xfId="865"/>
    <cellStyle name="60 % – Zvýrazn?ní2 4" xfId="866"/>
    <cellStyle name="60 % – Zvýrazn?ní2 5" xfId="867"/>
    <cellStyle name="60 % – Zvýrazn?ní2 6" xfId="868"/>
    <cellStyle name="60 % – Zvýrazn?ní2 7" xfId="869"/>
    <cellStyle name="60 % – Zvýrazn?ní2 8" xfId="870"/>
    <cellStyle name="60 % – Zvýrazn?ní2 9" xfId="871"/>
    <cellStyle name="60 % – Zvýrazn?ní3" xfId="872"/>
    <cellStyle name="60 % – Zvýrazn?ní3 1" xfId="873"/>
    <cellStyle name="60 % – Zvýrazn?ní3 2" xfId="874"/>
    <cellStyle name="60 % – Zvýrazn?ní3 3" xfId="875"/>
    <cellStyle name="60 % – Zvýrazn?ní3 4" xfId="876"/>
    <cellStyle name="60 % – Zvýrazn?ní3 5" xfId="877"/>
    <cellStyle name="60 % – Zvýrazn?ní3 6" xfId="878"/>
    <cellStyle name="60 % – Zvýrazn?ní3 7" xfId="879"/>
    <cellStyle name="60 % – Zvýrazn?ní3 8" xfId="880"/>
    <cellStyle name="60 % – Zvýrazn?ní3 9" xfId="881"/>
    <cellStyle name="60 % – Zvýrazn?ní4" xfId="882"/>
    <cellStyle name="60 % – Zvýrazn?ní4 1" xfId="883"/>
    <cellStyle name="60 % – Zvýrazn?ní4 2" xfId="884"/>
    <cellStyle name="60 % – Zvýrazn?ní4 3" xfId="885"/>
    <cellStyle name="60 % – Zvýrazn?ní4 4" xfId="886"/>
    <cellStyle name="60 % – Zvýrazn?ní4 5" xfId="887"/>
    <cellStyle name="60 % – Zvýrazn?ní4 6" xfId="888"/>
    <cellStyle name="60 % – Zvýrazn?ní4 7" xfId="889"/>
    <cellStyle name="60 % – Zvýrazn?ní4 8" xfId="890"/>
    <cellStyle name="60 % – Zvýrazn?ní4 9" xfId="891"/>
    <cellStyle name="60 % – Zvýrazn?ní5" xfId="892"/>
    <cellStyle name="60 % – Zvýrazn?ní5 1" xfId="893"/>
    <cellStyle name="60 % – Zvýrazn?ní5 2" xfId="894"/>
    <cellStyle name="60 % – Zvýrazn?ní5 3" xfId="895"/>
    <cellStyle name="60 % – Zvýrazn?ní5 4" xfId="896"/>
    <cellStyle name="60 % – Zvýrazn?ní5 5" xfId="897"/>
    <cellStyle name="60 % – Zvýrazn?ní5 6" xfId="898"/>
    <cellStyle name="60 % – Zvýrazn?ní5 7" xfId="899"/>
    <cellStyle name="60 % – Zvýrazn?ní5 8" xfId="900"/>
    <cellStyle name="60 % – Zvýrazn?ní5 9" xfId="901"/>
    <cellStyle name="60 % – Zvýrazn?ní6" xfId="902"/>
    <cellStyle name="60 % – Zvýrazn?ní6 1" xfId="903"/>
    <cellStyle name="60 % – Zvýrazn?ní6 2" xfId="904"/>
    <cellStyle name="60 % – Zvýrazn?ní6 3" xfId="905"/>
    <cellStyle name="60 % – Zvýrazn?ní6 4" xfId="906"/>
    <cellStyle name="60 % – Zvýrazn?ní6 5" xfId="907"/>
    <cellStyle name="60 % – Zvýrazn?ní6 6" xfId="908"/>
    <cellStyle name="60 % – Zvýrazn?ní6 7" xfId="909"/>
    <cellStyle name="60 % – Zvýrazn?ní6 8" xfId="910"/>
    <cellStyle name="60 % – Zvýrazn?ní6 9" xfId="911"/>
    <cellStyle name="60 % – Zvýraznění1" xfId="912"/>
    <cellStyle name="60 % – Zvýraznění2" xfId="913"/>
    <cellStyle name="60 % – Zvýraznění3" xfId="914"/>
    <cellStyle name="60 % – Zvýraznění4" xfId="915"/>
    <cellStyle name="60 % – Zvýraznění5" xfId="916"/>
    <cellStyle name="60 % – Zvýraznění6" xfId="917"/>
    <cellStyle name="60 % - zvýraznenie1" xfId="918"/>
    <cellStyle name="60 % - zvýraznenie1 1" xfId="919"/>
    <cellStyle name="60 % - zvýraznenie1 2" xfId="920"/>
    <cellStyle name="60 % - zvýraznenie1 3" xfId="921"/>
    <cellStyle name="60 % - zvýraznenie1 4" xfId="922"/>
    <cellStyle name="60 % - zvýraznenie1 5" xfId="923"/>
    <cellStyle name="60 % - zvýraznenie1 6" xfId="924"/>
    <cellStyle name="60 % - zvýraznenie1 7" xfId="925"/>
    <cellStyle name="60 % - zvýraznenie1 8" xfId="926"/>
    <cellStyle name="60 % - zvýraznenie1 9" xfId="927"/>
    <cellStyle name="60 % - zvýraznenie2" xfId="928"/>
    <cellStyle name="60 % - zvýraznenie2 1" xfId="929"/>
    <cellStyle name="60 % - zvýraznenie2 2" xfId="930"/>
    <cellStyle name="60 % - zvýraznenie2 3" xfId="931"/>
    <cellStyle name="60 % - zvýraznenie2 4" xfId="932"/>
    <cellStyle name="60 % - zvýraznenie2 5" xfId="933"/>
    <cellStyle name="60 % - zvýraznenie2 6" xfId="934"/>
    <cellStyle name="60 % - zvýraznenie2 7" xfId="935"/>
    <cellStyle name="60 % - zvýraznenie2 8" xfId="936"/>
    <cellStyle name="60 % - zvýraznenie2 9" xfId="937"/>
    <cellStyle name="60 % - zvýraznenie3" xfId="938"/>
    <cellStyle name="60 % - zvýraznenie3 1" xfId="939"/>
    <cellStyle name="60 % - zvýraznenie3 2" xfId="940"/>
    <cellStyle name="60 % - zvýraznenie3 3" xfId="941"/>
    <cellStyle name="60 % - zvýraznenie3 4" xfId="942"/>
    <cellStyle name="60 % - zvýraznenie3 5" xfId="943"/>
    <cellStyle name="60 % - zvýraznenie3 6" xfId="944"/>
    <cellStyle name="60 % - zvýraznenie3 7" xfId="945"/>
    <cellStyle name="60 % - zvýraznenie3 8" xfId="946"/>
    <cellStyle name="60 % - zvýraznenie3 9" xfId="947"/>
    <cellStyle name="60 % - zvýraznenie4" xfId="948"/>
    <cellStyle name="60 % - zvýraznenie4 1" xfId="949"/>
    <cellStyle name="60 % - zvýraznenie4 2" xfId="950"/>
    <cellStyle name="60 % - zvýraznenie4 3" xfId="951"/>
    <cellStyle name="60 % - zvýraznenie4 4" xfId="952"/>
    <cellStyle name="60 % - zvýraznenie4 5" xfId="953"/>
    <cellStyle name="60 % - zvýraznenie4 6" xfId="954"/>
    <cellStyle name="60 % - zvýraznenie4 7" xfId="955"/>
    <cellStyle name="60 % - zvýraznenie4 8" xfId="956"/>
    <cellStyle name="60 % - zvýraznenie4 9" xfId="957"/>
    <cellStyle name="60 % - zvýraznenie5" xfId="958"/>
    <cellStyle name="60 % - zvýraznenie5 1" xfId="959"/>
    <cellStyle name="60 % - zvýraznenie5 2" xfId="960"/>
    <cellStyle name="60 % - zvýraznenie5 3" xfId="961"/>
    <cellStyle name="60 % - zvýraznenie5 4" xfId="962"/>
    <cellStyle name="60 % - zvýraznenie5 5" xfId="963"/>
    <cellStyle name="60 % - zvýraznenie5 6" xfId="964"/>
    <cellStyle name="60 % - zvýraznenie5 7" xfId="965"/>
    <cellStyle name="60 % - zvýraznenie5 8" xfId="966"/>
    <cellStyle name="60 % - zvýraznenie5 9" xfId="967"/>
    <cellStyle name="60 % - zvýraznenie6" xfId="968"/>
    <cellStyle name="60 % - zvýraznenie6 1" xfId="969"/>
    <cellStyle name="60 % - zvýraznenie6 2" xfId="970"/>
    <cellStyle name="60 % - zvýraznenie6 3" xfId="971"/>
    <cellStyle name="60 % - zvýraznenie6 4" xfId="972"/>
    <cellStyle name="60 % - zvýraznenie6 5" xfId="973"/>
    <cellStyle name="60 % - zvýraznenie6 6" xfId="974"/>
    <cellStyle name="60 % - zvýraznenie6 7" xfId="975"/>
    <cellStyle name="60 % - zvýraznenie6 8" xfId="976"/>
    <cellStyle name="60 % - zvýraznenie6 9" xfId="977"/>
    <cellStyle name="60% - Accent1" xfId="978"/>
    <cellStyle name="60% - Accent2" xfId="979"/>
    <cellStyle name="60% - Accent3" xfId="980"/>
    <cellStyle name="60% - Accent4" xfId="981"/>
    <cellStyle name="60% - Accent5" xfId="982"/>
    <cellStyle name="60% - Accent6" xfId="983"/>
    <cellStyle name="Accent1" xfId="984"/>
    <cellStyle name="Accent2" xfId="985"/>
    <cellStyle name="Accent3" xfId="986"/>
    <cellStyle name="Accent4" xfId="987"/>
    <cellStyle name="Accent5" xfId="988"/>
    <cellStyle name="Accent6" xfId="989"/>
    <cellStyle name="Akcia" xfId="990"/>
    <cellStyle name="Bad" xfId="991"/>
    <cellStyle name="blokcen" xfId="992"/>
    <cellStyle name="Calculation" xfId="993"/>
    <cellStyle name="Celkem" xfId="994"/>
    <cellStyle name="Celkem 1" xfId="995"/>
    <cellStyle name="Celkem 10" xfId="996"/>
    <cellStyle name="Celkem 11" xfId="997"/>
    <cellStyle name="Celkem 12" xfId="998"/>
    <cellStyle name="Celkem 13" xfId="999"/>
    <cellStyle name="Celkem 14" xfId="1000"/>
    <cellStyle name="Celkem 15" xfId="1001"/>
    <cellStyle name="Celkem 16" xfId="1002"/>
    <cellStyle name="Celkem 17" xfId="1003"/>
    <cellStyle name="Celkem 18" xfId="1004"/>
    <cellStyle name="Celkem 19" xfId="1005"/>
    <cellStyle name="Celkem 2" xfId="1006"/>
    <cellStyle name="Celkem 20" xfId="1007"/>
    <cellStyle name="Celkem 21" xfId="1008"/>
    <cellStyle name="Celkem 22" xfId="1009"/>
    <cellStyle name="Celkem 23" xfId="1010"/>
    <cellStyle name="Celkem 24" xfId="1011"/>
    <cellStyle name="Celkem 25" xfId="1012"/>
    <cellStyle name="Celkem 3" xfId="1013"/>
    <cellStyle name="Celkem 4" xfId="1014"/>
    <cellStyle name="Celkem 5" xfId="1015"/>
    <cellStyle name="Celkem 6" xfId="1016"/>
    <cellStyle name="Celkem 7" xfId="1017"/>
    <cellStyle name="Celkem 8" xfId="1018"/>
    <cellStyle name="Celkem 9" xfId="1019"/>
    <cellStyle name="Cena_Sk" xfId="1020"/>
    <cellStyle name="CenaJednPolozky" xfId="1021"/>
    <cellStyle name="CenaJednPolozky 1" xfId="1022"/>
    <cellStyle name="CenaJednPolozky 10" xfId="1023"/>
    <cellStyle name="CenaJednPolozky 11" xfId="1024"/>
    <cellStyle name="CenaJednPolozky 12" xfId="1025"/>
    <cellStyle name="CenaJednPolozky 13" xfId="1026"/>
    <cellStyle name="CenaJednPolozky 14" xfId="1027"/>
    <cellStyle name="CenaJednPolozky 15" xfId="1028"/>
    <cellStyle name="CenaJednPolozky 16" xfId="1029"/>
    <cellStyle name="CenaJednPolozky 17" xfId="1030"/>
    <cellStyle name="CenaJednPolozky 18" xfId="1031"/>
    <cellStyle name="CenaJednPolozky 19" xfId="1032"/>
    <cellStyle name="CenaJednPolozky 2" xfId="1033"/>
    <cellStyle name="CenaJednPolozky 20" xfId="1034"/>
    <cellStyle name="CenaJednPolozky 21" xfId="1035"/>
    <cellStyle name="CenaJednPolozky 22" xfId="1036"/>
    <cellStyle name="CenaJednPolozky 3" xfId="1037"/>
    <cellStyle name="CenaJednPolozky 4" xfId="1038"/>
    <cellStyle name="CenaJednPolozky 5" xfId="1039"/>
    <cellStyle name="CenaJednPolozky 6" xfId="1040"/>
    <cellStyle name="CenaJednPolozky 7" xfId="1041"/>
    <cellStyle name="CenaJednPolozky 8" xfId="1042"/>
    <cellStyle name="CenaJednPolozky 9" xfId="1043"/>
    <cellStyle name="ceník" xfId="1044"/>
    <cellStyle name="ceník 1" xfId="1045"/>
    <cellStyle name="ceník 10" xfId="1046"/>
    <cellStyle name="ceník 11" xfId="1047"/>
    <cellStyle name="ceník 12" xfId="1048"/>
    <cellStyle name="ceník 13" xfId="1049"/>
    <cellStyle name="ceník 14" xfId="1050"/>
    <cellStyle name="ceník 15" xfId="1051"/>
    <cellStyle name="ceník 16" xfId="1052"/>
    <cellStyle name="ceník 17" xfId="1053"/>
    <cellStyle name="ceník 18" xfId="1054"/>
    <cellStyle name="ceník 19" xfId="1055"/>
    <cellStyle name="ceník 2" xfId="1056"/>
    <cellStyle name="ceník 20" xfId="1057"/>
    <cellStyle name="ceník 21" xfId="1058"/>
    <cellStyle name="ceník 22" xfId="1059"/>
    <cellStyle name="ceník 3" xfId="1060"/>
    <cellStyle name="ceník 4" xfId="1061"/>
    <cellStyle name="ceník 5" xfId="1062"/>
    <cellStyle name="ceník 6" xfId="1063"/>
    <cellStyle name="ceník 7" xfId="1064"/>
    <cellStyle name="ceník 8" xfId="1065"/>
    <cellStyle name="ceník 9" xfId="1066"/>
    <cellStyle name="Comma [0]_laroux" xfId="1067"/>
    <cellStyle name="Comma_laroux" xfId="1068"/>
    <cellStyle name="Currency [0]_laroux" xfId="1069"/>
    <cellStyle name="Currency_laroux" xfId="1070"/>
    <cellStyle name="Comma" xfId="1071"/>
    <cellStyle name="čárky [0]_1214 ZT" xfId="1072"/>
    <cellStyle name="čárky 2" xfId="1073"/>
    <cellStyle name="čárky 3" xfId="1074"/>
    <cellStyle name="čárky 3 2" xfId="1075"/>
    <cellStyle name="čárky 3_090609_Kasperske hory SO01 - sypka_RO" xfId="1076"/>
    <cellStyle name="čárky 3_110615_RD Mělník - RO" xfId="1077"/>
    <cellStyle name="čárky 4" xfId="1078"/>
    <cellStyle name="čárky 4 2" xfId="1079"/>
    <cellStyle name="čárky 4_110615_RD Mělník - RO" xfId="1080"/>
    <cellStyle name="čárky 5" xfId="1081"/>
    <cellStyle name="čárky 6" xfId="1082"/>
    <cellStyle name="Comma [0]" xfId="1083"/>
    <cellStyle name="čiarky [0]_PERSONAL" xfId="1084"/>
    <cellStyle name="čiarky_PERSONAL" xfId="1085"/>
    <cellStyle name="Date" xfId="1086"/>
    <cellStyle name="Date 1" xfId="1087"/>
    <cellStyle name="Date 10" xfId="1088"/>
    <cellStyle name="Date 11" xfId="1089"/>
    <cellStyle name="Date 12" xfId="1090"/>
    <cellStyle name="Date 13" xfId="1091"/>
    <cellStyle name="Date 14" xfId="1092"/>
    <cellStyle name="Date 15" xfId="1093"/>
    <cellStyle name="Date 16" xfId="1094"/>
    <cellStyle name="Date 17" xfId="1095"/>
    <cellStyle name="Date 18" xfId="1096"/>
    <cellStyle name="Date 19" xfId="1097"/>
    <cellStyle name="Date 2" xfId="1098"/>
    <cellStyle name="Date 20" xfId="1099"/>
    <cellStyle name="Date 21" xfId="1100"/>
    <cellStyle name="Date 22" xfId="1101"/>
    <cellStyle name="Date 3" xfId="1102"/>
    <cellStyle name="Date 4" xfId="1103"/>
    <cellStyle name="Date 5" xfId="1104"/>
    <cellStyle name="Date 6" xfId="1105"/>
    <cellStyle name="Date 7" xfId="1106"/>
    <cellStyle name="Date 8" xfId="1107"/>
    <cellStyle name="Date 9" xfId="1108"/>
    <cellStyle name="Datum" xfId="1109"/>
    <cellStyle name="Datum 1" xfId="1110"/>
    <cellStyle name="Datum 10" xfId="1111"/>
    <cellStyle name="Datum 11" xfId="1112"/>
    <cellStyle name="Datum 12" xfId="1113"/>
    <cellStyle name="Datum 13" xfId="1114"/>
    <cellStyle name="Datum 14" xfId="1115"/>
    <cellStyle name="Datum 15" xfId="1116"/>
    <cellStyle name="Datum 16" xfId="1117"/>
    <cellStyle name="Datum 17" xfId="1118"/>
    <cellStyle name="Datum 18" xfId="1119"/>
    <cellStyle name="Datum 19" xfId="1120"/>
    <cellStyle name="Datum 2" xfId="1121"/>
    <cellStyle name="Datum 20" xfId="1122"/>
    <cellStyle name="Datum 21" xfId="1123"/>
    <cellStyle name="Datum 22" xfId="1124"/>
    <cellStyle name="Datum 3" xfId="1125"/>
    <cellStyle name="Datum 4" xfId="1126"/>
    <cellStyle name="Datum 5" xfId="1127"/>
    <cellStyle name="Datum 6" xfId="1128"/>
    <cellStyle name="Datum 7" xfId="1129"/>
    <cellStyle name="Datum 8" xfId="1130"/>
    <cellStyle name="Datum 9" xfId="1131"/>
    <cellStyle name="Description Col" xfId="1132"/>
    <cellStyle name="Description Col 1" xfId="1133"/>
    <cellStyle name="Description Col 10" xfId="1134"/>
    <cellStyle name="Description Col 11" xfId="1135"/>
    <cellStyle name="Description Col 12" xfId="1136"/>
    <cellStyle name="Description Col 13" xfId="1137"/>
    <cellStyle name="Description Col 14" xfId="1138"/>
    <cellStyle name="Description Col 15" xfId="1139"/>
    <cellStyle name="Description Col 16" xfId="1140"/>
    <cellStyle name="Description Col 17" xfId="1141"/>
    <cellStyle name="Description Col 18" xfId="1142"/>
    <cellStyle name="Description Col 19" xfId="1143"/>
    <cellStyle name="Description Col 2" xfId="1144"/>
    <cellStyle name="Description Col 20" xfId="1145"/>
    <cellStyle name="Description Col 21" xfId="1146"/>
    <cellStyle name="Description Col 22" xfId="1147"/>
    <cellStyle name="Description Col 3" xfId="1148"/>
    <cellStyle name="Description Col 4" xfId="1149"/>
    <cellStyle name="Description Col 5" xfId="1150"/>
    <cellStyle name="Description Col 6" xfId="1151"/>
    <cellStyle name="Description Col 7" xfId="1152"/>
    <cellStyle name="Description Col 8" xfId="1153"/>
    <cellStyle name="Description Col 9" xfId="1154"/>
    <cellStyle name="Dezimal [0]_--&gt;2-1" xfId="1155"/>
    <cellStyle name="Dezimal_--&gt;2-1" xfId="1156"/>
    <cellStyle name="Dobrá" xfId="1157"/>
    <cellStyle name="Dobrá 1" xfId="1158"/>
    <cellStyle name="Dobrá 2" xfId="1159"/>
    <cellStyle name="Dobrá 3" xfId="1160"/>
    <cellStyle name="Dobrá 4" xfId="1161"/>
    <cellStyle name="Dobrá 5" xfId="1162"/>
    <cellStyle name="Dobrá 6" xfId="1163"/>
    <cellStyle name="Dobrá 7" xfId="1164"/>
    <cellStyle name="Dobrá 8" xfId="1165"/>
    <cellStyle name="Dobrá 9" xfId="1166"/>
    <cellStyle name="Dostupnosť" xfId="1167"/>
    <cellStyle name="Dziesiętny [0]_laroux" xfId="1168"/>
    <cellStyle name="Dziesiętny_laroux" xfId="1169"/>
    <cellStyle name="Explanatory Text" xfId="1170"/>
    <cellStyle name="Firma" xfId="1171"/>
    <cellStyle name="Fixed" xfId="1172"/>
    <cellStyle name="Fixed 1" xfId="1173"/>
    <cellStyle name="Fixed 10" xfId="1174"/>
    <cellStyle name="Fixed 11" xfId="1175"/>
    <cellStyle name="Fixed 12" xfId="1176"/>
    <cellStyle name="Fixed 13" xfId="1177"/>
    <cellStyle name="Fixed 14" xfId="1178"/>
    <cellStyle name="Fixed 15" xfId="1179"/>
    <cellStyle name="Fixed 16" xfId="1180"/>
    <cellStyle name="Fixed 17" xfId="1181"/>
    <cellStyle name="Fixed 18" xfId="1182"/>
    <cellStyle name="Fixed 19" xfId="1183"/>
    <cellStyle name="Fixed 2" xfId="1184"/>
    <cellStyle name="Fixed 20" xfId="1185"/>
    <cellStyle name="Fixed 21" xfId="1186"/>
    <cellStyle name="Fixed 22" xfId="1187"/>
    <cellStyle name="Fixed 3" xfId="1188"/>
    <cellStyle name="Fixed 4" xfId="1189"/>
    <cellStyle name="Fixed 5" xfId="1190"/>
    <cellStyle name="Fixed 6" xfId="1191"/>
    <cellStyle name="Fixed 7" xfId="1192"/>
    <cellStyle name="Fixed 8" xfId="1193"/>
    <cellStyle name="Fixed 9" xfId="1194"/>
    <cellStyle name="fnRegressQ" xfId="1195"/>
    <cellStyle name="Font_Ariel_Small" xfId="1196"/>
    <cellStyle name="Font_Ariel_Small_Bold" xfId="1197"/>
    <cellStyle name="Good" xfId="1198"/>
    <cellStyle name="Header 2" xfId="1199"/>
    <cellStyle name="Header 2 1" xfId="1200"/>
    <cellStyle name="Header 2 10" xfId="1201"/>
    <cellStyle name="Header 2 11" xfId="1202"/>
    <cellStyle name="Header 2 12" xfId="1203"/>
    <cellStyle name="Header 2 13" xfId="1204"/>
    <cellStyle name="Header 2 14" xfId="1205"/>
    <cellStyle name="Header 2 15" xfId="1206"/>
    <cellStyle name="Header 2 16" xfId="1207"/>
    <cellStyle name="Header 2 17" xfId="1208"/>
    <cellStyle name="Header 2 18" xfId="1209"/>
    <cellStyle name="Header 2 19" xfId="1210"/>
    <cellStyle name="Header 2 2" xfId="1211"/>
    <cellStyle name="Header 2 20" xfId="1212"/>
    <cellStyle name="Header 2 21" xfId="1213"/>
    <cellStyle name="Header 2 22" xfId="1214"/>
    <cellStyle name="Header 2 3" xfId="1215"/>
    <cellStyle name="Header 2 4" xfId="1216"/>
    <cellStyle name="Header 2 5" xfId="1217"/>
    <cellStyle name="Header 2 6" xfId="1218"/>
    <cellStyle name="Header 2 7" xfId="1219"/>
    <cellStyle name="Header 2 8" xfId="1220"/>
    <cellStyle name="Header 2 9" xfId="1221"/>
    <cellStyle name="Heading 1" xfId="1222"/>
    <cellStyle name="Heading 2" xfId="1223"/>
    <cellStyle name="Heading 3" xfId="1224"/>
    <cellStyle name="Heading 4" xfId="1225"/>
    <cellStyle name="HEADING1" xfId="1226"/>
    <cellStyle name="HEADING1 1" xfId="1227"/>
    <cellStyle name="HEADING1 10" xfId="1228"/>
    <cellStyle name="HEADING1 11" xfId="1229"/>
    <cellStyle name="HEADING1 12" xfId="1230"/>
    <cellStyle name="HEADING1 13" xfId="1231"/>
    <cellStyle name="HEADING1 14" xfId="1232"/>
    <cellStyle name="HEADING1 15" xfId="1233"/>
    <cellStyle name="HEADING1 16" xfId="1234"/>
    <cellStyle name="HEADING1 17" xfId="1235"/>
    <cellStyle name="HEADING1 18" xfId="1236"/>
    <cellStyle name="HEADING1 19" xfId="1237"/>
    <cellStyle name="HEADING1 2" xfId="1238"/>
    <cellStyle name="HEADING1 20" xfId="1239"/>
    <cellStyle name="HEADING1 21" xfId="1240"/>
    <cellStyle name="HEADING1 22" xfId="1241"/>
    <cellStyle name="HEADING1 3" xfId="1242"/>
    <cellStyle name="HEADING1 4" xfId="1243"/>
    <cellStyle name="HEADING1 5" xfId="1244"/>
    <cellStyle name="HEADING1 6" xfId="1245"/>
    <cellStyle name="HEADING1 7" xfId="1246"/>
    <cellStyle name="HEADING1 8" xfId="1247"/>
    <cellStyle name="HEADING1 9" xfId="1248"/>
    <cellStyle name="HEADING2" xfId="1249"/>
    <cellStyle name="HEADING2 1" xfId="1250"/>
    <cellStyle name="HEADING2 10" xfId="1251"/>
    <cellStyle name="HEADING2 11" xfId="1252"/>
    <cellStyle name="HEADING2 12" xfId="1253"/>
    <cellStyle name="HEADING2 13" xfId="1254"/>
    <cellStyle name="HEADING2 14" xfId="1255"/>
    <cellStyle name="HEADING2 15" xfId="1256"/>
    <cellStyle name="HEADING2 16" xfId="1257"/>
    <cellStyle name="HEADING2 17" xfId="1258"/>
    <cellStyle name="HEADING2 18" xfId="1259"/>
    <cellStyle name="HEADING2 19" xfId="1260"/>
    <cellStyle name="HEADING2 2" xfId="1261"/>
    <cellStyle name="HEADING2 20" xfId="1262"/>
    <cellStyle name="HEADING2 21" xfId="1263"/>
    <cellStyle name="HEADING2 22" xfId="1264"/>
    <cellStyle name="HEADING2 3" xfId="1265"/>
    <cellStyle name="HEADING2 4" xfId="1266"/>
    <cellStyle name="HEADING2 5" xfId="1267"/>
    <cellStyle name="HEADING2 6" xfId="1268"/>
    <cellStyle name="HEADING2 7" xfId="1269"/>
    <cellStyle name="HEADING2 8" xfId="1270"/>
    <cellStyle name="HEADING2 9" xfId="1271"/>
    <cellStyle name="Headline I" xfId="1272"/>
    <cellStyle name="Headline I 1" xfId="1273"/>
    <cellStyle name="Headline I 10" xfId="1274"/>
    <cellStyle name="Headline I 11" xfId="1275"/>
    <cellStyle name="Headline I 12" xfId="1276"/>
    <cellStyle name="Headline I 13" xfId="1277"/>
    <cellStyle name="Headline I 14" xfId="1278"/>
    <cellStyle name="Headline I 15" xfId="1279"/>
    <cellStyle name="Headline I 16" xfId="1280"/>
    <cellStyle name="Headline I 17" xfId="1281"/>
    <cellStyle name="Headline I 18" xfId="1282"/>
    <cellStyle name="Headline I 19" xfId="1283"/>
    <cellStyle name="Headline I 2" xfId="1284"/>
    <cellStyle name="Headline I 20" xfId="1285"/>
    <cellStyle name="Headline I 21" xfId="1286"/>
    <cellStyle name="Headline I 22" xfId="1287"/>
    <cellStyle name="Headline I 3" xfId="1288"/>
    <cellStyle name="Headline I 4" xfId="1289"/>
    <cellStyle name="Headline I 5" xfId="1290"/>
    <cellStyle name="Headline I 6" xfId="1291"/>
    <cellStyle name="Headline I 7" xfId="1292"/>
    <cellStyle name="Headline I 8" xfId="1293"/>
    <cellStyle name="Headline I 9" xfId="1294"/>
    <cellStyle name="Headline II" xfId="1295"/>
    <cellStyle name="Headline II 1" xfId="1296"/>
    <cellStyle name="Headline II 10" xfId="1297"/>
    <cellStyle name="Headline II 11" xfId="1298"/>
    <cellStyle name="Headline II 12" xfId="1299"/>
    <cellStyle name="Headline II 13" xfId="1300"/>
    <cellStyle name="Headline II 14" xfId="1301"/>
    <cellStyle name="Headline II 15" xfId="1302"/>
    <cellStyle name="Headline II 16" xfId="1303"/>
    <cellStyle name="Headline II 17" xfId="1304"/>
    <cellStyle name="Headline II 18" xfId="1305"/>
    <cellStyle name="Headline II 19" xfId="1306"/>
    <cellStyle name="Headline II 2" xfId="1307"/>
    <cellStyle name="Headline II 20" xfId="1308"/>
    <cellStyle name="Headline II 21" xfId="1309"/>
    <cellStyle name="Headline II 22" xfId="1310"/>
    <cellStyle name="Headline II 3" xfId="1311"/>
    <cellStyle name="Headline II 4" xfId="1312"/>
    <cellStyle name="Headline II 5" xfId="1313"/>
    <cellStyle name="Headline II 6" xfId="1314"/>
    <cellStyle name="Headline II 7" xfId="1315"/>
    <cellStyle name="Headline II 8" xfId="1316"/>
    <cellStyle name="Headline II 9" xfId="1317"/>
    <cellStyle name="Hlavi?ka" xfId="1318"/>
    <cellStyle name="Hlavi?ka 1" xfId="1319"/>
    <cellStyle name="Hlavi?ka 10" xfId="1320"/>
    <cellStyle name="Hlavi?ka 11" xfId="1321"/>
    <cellStyle name="Hlavi?ka 12" xfId="1322"/>
    <cellStyle name="Hlavi?ka 13" xfId="1323"/>
    <cellStyle name="Hlavi?ka 14" xfId="1324"/>
    <cellStyle name="Hlavi?ka 15" xfId="1325"/>
    <cellStyle name="Hlavi?ka 16" xfId="1326"/>
    <cellStyle name="Hlavi?ka 17" xfId="1327"/>
    <cellStyle name="Hlavi?ka 18" xfId="1328"/>
    <cellStyle name="Hlavi?ka 19" xfId="1329"/>
    <cellStyle name="Hlavi?ka 2" xfId="1330"/>
    <cellStyle name="Hlavi?ka 20" xfId="1331"/>
    <cellStyle name="Hlavi?ka 21" xfId="1332"/>
    <cellStyle name="Hlavi?ka 22" xfId="1333"/>
    <cellStyle name="Hlavi?ka 3" xfId="1334"/>
    <cellStyle name="Hlavi?ka 4" xfId="1335"/>
    <cellStyle name="Hlavi?ka 5" xfId="1336"/>
    <cellStyle name="Hlavi?ka 6" xfId="1337"/>
    <cellStyle name="Hlavi?ka 7" xfId="1338"/>
    <cellStyle name="Hlavi?ka 8" xfId="1339"/>
    <cellStyle name="Hlavi?ka 9" xfId="1340"/>
    <cellStyle name="Hlavní nadpis" xfId="1341"/>
    <cellStyle name="horní index" xfId="1342"/>
    <cellStyle name="horní index 1" xfId="1343"/>
    <cellStyle name="horní index 10" xfId="1344"/>
    <cellStyle name="horní index 11" xfId="1345"/>
    <cellStyle name="horní index 12" xfId="1346"/>
    <cellStyle name="horní index 13" xfId="1347"/>
    <cellStyle name="horní index 14" xfId="1348"/>
    <cellStyle name="horní index 15" xfId="1349"/>
    <cellStyle name="horní index 16" xfId="1350"/>
    <cellStyle name="horní index 17" xfId="1351"/>
    <cellStyle name="horní index 18" xfId="1352"/>
    <cellStyle name="horní index 19" xfId="1353"/>
    <cellStyle name="horní index 2" xfId="1354"/>
    <cellStyle name="horní index 20" xfId="1355"/>
    <cellStyle name="horní index 21" xfId="1356"/>
    <cellStyle name="horní index 22" xfId="1357"/>
    <cellStyle name="horní index 3" xfId="1358"/>
    <cellStyle name="horní index 4" xfId="1359"/>
    <cellStyle name="horní index 5" xfId="1360"/>
    <cellStyle name="horní index 6" xfId="1361"/>
    <cellStyle name="horní index 7" xfId="1362"/>
    <cellStyle name="horní index 8" xfId="1363"/>
    <cellStyle name="horní index 9" xfId="1364"/>
    <cellStyle name="Hyperlink" xfId="1365"/>
    <cellStyle name="Hypertextový odkaz 2" xfId="1366"/>
    <cellStyle name="Check Cell" xfId="1367"/>
    <cellStyle name="Chybn?" xfId="1368"/>
    <cellStyle name="Chybn? 1" xfId="1369"/>
    <cellStyle name="Chybn? 2" xfId="1370"/>
    <cellStyle name="Chybn? 3" xfId="1371"/>
    <cellStyle name="Chybn? 4" xfId="1372"/>
    <cellStyle name="Chybn? 5" xfId="1373"/>
    <cellStyle name="Chybn? 6" xfId="1374"/>
    <cellStyle name="Chybn? 7" xfId="1375"/>
    <cellStyle name="Chybn? 8" xfId="1376"/>
    <cellStyle name="Chybn? 9" xfId="1377"/>
    <cellStyle name="Chybně" xfId="1378"/>
    <cellStyle name="Input" xfId="1379"/>
    <cellStyle name="Kontrolná bunka" xfId="1380"/>
    <cellStyle name="Kontrolná bunka 1" xfId="1381"/>
    <cellStyle name="Kontrolná bunka 2" xfId="1382"/>
    <cellStyle name="Kontrolná bunka 3" xfId="1383"/>
    <cellStyle name="Kontrolná bunka 4" xfId="1384"/>
    <cellStyle name="Kontrolná bunka 5" xfId="1385"/>
    <cellStyle name="Kontrolná bunka 6" xfId="1386"/>
    <cellStyle name="Kontrolná bunka 7" xfId="1387"/>
    <cellStyle name="Kontrolná bunka 8" xfId="1388"/>
    <cellStyle name="Kontrolná bunka 9" xfId="1389"/>
    <cellStyle name="Kontrolní bu?ka" xfId="1390"/>
    <cellStyle name="Kontrolní bu?ka 1" xfId="1391"/>
    <cellStyle name="Kontrolní bu?ka 2" xfId="1392"/>
    <cellStyle name="Kontrolní bu?ka 3" xfId="1393"/>
    <cellStyle name="Kontrolní bu?ka 4" xfId="1394"/>
    <cellStyle name="Kontrolní bu?ka 5" xfId="1395"/>
    <cellStyle name="Kontrolní bu?ka 6" xfId="1396"/>
    <cellStyle name="Kontrolní bu?ka 7" xfId="1397"/>
    <cellStyle name="Kontrolní bu?ka 8" xfId="1398"/>
    <cellStyle name="Kontrolní bu?ka 9" xfId="1399"/>
    <cellStyle name="Kontrolní buňka" xfId="1400"/>
    <cellStyle name="Linked Cell" xfId="1401"/>
    <cellStyle name="M?ížkaNormální" xfId="1402"/>
    <cellStyle name="M?ížkaNormální 1" xfId="1403"/>
    <cellStyle name="M?ížkaNormální 10" xfId="1404"/>
    <cellStyle name="M?ížkaNormální 11" xfId="1405"/>
    <cellStyle name="M?ížkaNormální 12" xfId="1406"/>
    <cellStyle name="M?ížkaNormální 13" xfId="1407"/>
    <cellStyle name="M?ížkaNormální 14" xfId="1408"/>
    <cellStyle name="M?ížkaNormální 15" xfId="1409"/>
    <cellStyle name="M?ížkaNormální 16" xfId="1410"/>
    <cellStyle name="M?ížkaNormální 17" xfId="1411"/>
    <cellStyle name="M?ížkaNormální 18" xfId="1412"/>
    <cellStyle name="M?ížkaNormální 19" xfId="1413"/>
    <cellStyle name="M?ížkaNormální 2" xfId="1414"/>
    <cellStyle name="M?ížkaNormální 20" xfId="1415"/>
    <cellStyle name="M?ížkaNormální 21" xfId="1416"/>
    <cellStyle name="M?ížkaNormální 22" xfId="1417"/>
    <cellStyle name="M?ížkaNormální 3" xfId="1418"/>
    <cellStyle name="M?ížkaNormální 4" xfId="1419"/>
    <cellStyle name="M?ížkaNormální 5" xfId="1420"/>
    <cellStyle name="M?ížkaNormální 6" xfId="1421"/>
    <cellStyle name="M?ížkaNormální 7" xfId="1422"/>
    <cellStyle name="M?ížkaNormální 8" xfId="1423"/>
    <cellStyle name="M?ížkaNormální 9" xfId="1424"/>
    <cellStyle name="M·na" xfId="1425"/>
    <cellStyle name="M·na 1" xfId="1426"/>
    <cellStyle name="M·na 10" xfId="1427"/>
    <cellStyle name="M·na 11" xfId="1428"/>
    <cellStyle name="M·na 12" xfId="1429"/>
    <cellStyle name="M·na 13" xfId="1430"/>
    <cellStyle name="M·na 14" xfId="1431"/>
    <cellStyle name="M·na 15" xfId="1432"/>
    <cellStyle name="M·na 16" xfId="1433"/>
    <cellStyle name="M·na 17" xfId="1434"/>
    <cellStyle name="M·na 18" xfId="1435"/>
    <cellStyle name="M·na 19" xfId="1436"/>
    <cellStyle name="M·na 2" xfId="1437"/>
    <cellStyle name="M·na 20" xfId="1438"/>
    <cellStyle name="M·na 21" xfId="1439"/>
    <cellStyle name="M·na 22" xfId="1440"/>
    <cellStyle name="M·na 3" xfId="1441"/>
    <cellStyle name="M·na 4" xfId="1442"/>
    <cellStyle name="M·na 5" xfId="1443"/>
    <cellStyle name="M·na 6" xfId="1444"/>
    <cellStyle name="M·na 7" xfId="1445"/>
    <cellStyle name="M·na 8" xfId="1446"/>
    <cellStyle name="M·na 9" xfId="1447"/>
    <cellStyle name="Currency" xfId="1448"/>
    <cellStyle name="Měna 2" xfId="1449"/>
    <cellStyle name="měny 2" xfId="1450"/>
    <cellStyle name="měny 2 2" xfId="1451"/>
    <cellStyle name="měny 3" xfId="1452"/>
    <cellStyle name="měny 3 2" xfId="1453"/>
    <cellStyle name="měny 3_090609_Kasperske hory SO01 - sypka_RO" xfId="1454"/>
    <cellStyle name="měny 4" xfId="1455"/>
    <cellStyle name="měny 5" xfId="1456"/>
    <cellStyle name="měny 6" xfId="1457"/>
    <cellStyle name="Currency [0]" xfId="1458"/>
    <cellStyle name="měny_090609_Kasperske hory SO01 - sypka_RO" xfId="1459"/>
    <cellStyle name="meny_PERSONAL" xfId="1460"/>
    <cellStyle name="měny_Volary - Dům pro seniory - 080625" xfId="1461"/>
    <cellStyle name="NADPIS" xfId="1462"/>
    <cellStyle name="Nadpis 1" xfId="1463"/>
    <cellStyle name="Nadpis 1 1" xfId="1464"/>
    <cellStyle name="Nadpis 1 2" xfId="1465"/>
    <cellStyle name="Nadpis 1 3" xfId="1466"/>
    <cellStyle name="Nadpis 1 4" xfId="1467"/>
    <cellStyle name="Nadpis 1 5" xfId="1468"/>
    <cellStyle name="Nadpis 1 6" xfId="1469"/>
    <cellStyle name="Nadpis 1 7" xfId="1470"/>
    <cellStyle name="Nadpis 1 8" xfId="1471"/>
    <cellStyle name="Nadpis 1 9" xfId="1472"/>
    <cellStyle name="NADPIS 10" xfId="1473"/>
    <cellStyle name="NADPIS 11" xfId="1474"/>
    <cellStyle name="NADPIS 12" xfId="1475"/>
    <cellStyle name="NADPIS 13" xfId="1476"/>
    <cellStyle name="NADPIS 14" xfId="1477"/>
    <cellStyle name="NADPIS 15" xfId="1478"/>
    <cellStyle name="NADPIS 16" xfId="1479"/>
    <cellStyle name="NADPIS 17" xfId="1480"/>
    <cellStyle name="NADPIS 18" xfId="1481"/>
    <cellStyle name="NADPIS 19" xfId="1482"/>
    <cellStyle name="Nadpis 2" xfId="1483"/>
    <cellStyle name="Nadpis 2 1" xfId="1484"/>
    <cellStyle name="Nadpis 2 2" xfId="1485"/>
    <cellStyle name="Nadpis 2 3" xfId="1486"/>
    <cellStyle name="Nadpis 2 4" xfId="1487"/>
    <cellStyle name="Nadpis 2 5" xfId="1488"/>
    <cellStyle name="Nadpis 2 6" xfId="1489"/>
    <cellStyle name="Nadpis 2 7" xfId="1490"/>
    <cellStyle name="Nadpis 2 8" xfId="1491"/>
    <cellStyle name="Nadpis 2 9" xfId="1492"/>
    <cellStyle name="NADPIS 20" xfId="1493"/>
    <cellStyle name="NADPIS 21" xfId="1494"/>
    <cellStyle name="NADPIS 22" xfId="1495"/>
    <cellStyle name="Nadpis 3" xfId="1496"/>
    <cellStyle name="Nadpis 3 1" xfId="1497"/>
    <cellStyle name="Nadpis 3 2" xfId="1498"/>
    <cellStyle name="Nadpis 3 3" xfId="1499"/>
    <cellStyle name="Nadpis 3 4" xfId="1500"/>
    <cellStyle name="Nadpis 3 5" xfId="1501"/>
    <cellStyle name="Nadpis 3 6" xfId="1502"/>
    <cellStyle name="Nadpis 3 7" xfId="1503"/>
    <cellStyle name="Nadpis 3 8" xfId="1504"/>
    <cellStyle name="Nadpis 3 9" xfId="1505"/>
    <cellStyle name="Nadpis 4" xfId="1506"/>
    <cellStyle name="Nadpis 4 1" xfId="1507"/>
    <cellStyle name="Nadpis 4 2" xfId="1508"/>
    <cellStyle name="Nadpis 4 3" xfId="1509"/>
    <cellStyle name="Nadpis 4 4" xfId="1510"/>
    <cellStyle name="Nadpis 4 5" xfId="1511"/>
    <cellStyle name="Nadpis 4 6" xfId="1512"/>
    <cellStyle name="Nadpis 4 7" xfId="1513"/>
    <cellStyle name="Nadpis 4 8" xfId="1514"/>
    <cellStyle name="Nadpis 4 9" xfId="1515"/>
    <cellStyle name="NADPIS 5" xfId="1516"/>
    <cellStyle name="NADPIS 6" xfId="1517"/>
    <cellStyle name="NADPIS 7" xfId="1518"/>
    <cellStyle name="NADPIS 8" xfId="1519"/>
    <cellStyle name="NADPIS 9" xfId="1520"/>
    <cellStyle name="nadpis1" xfId="1521"/>
    <cellStyle name="Nadpis1 1" xfId="1522"/>
    <cellStyle name="Nadpis1 10" xfId="1523"/>
    <cellStyle name="Nadpis1 11" xfId="1524"/>
    <cellStyle name="Nadpis1 12" xfId="1525"/>
    <cellStyle name="Nadpis1 13" xfId="1526"/>
    <cellStyle name="Nadpis1 14" xfId="1527"/>
    <cellStyle name="Nadpis1 15" xfId="1528"/>
    <cellStyle name="Nadpis1 16" xfId="1529"/>
    <cellStyle name="Nadpis1 17" xfId="1530"/>
    <cellStyle name="Nadpis1 18" xfId="1531"/>
    <cellStyle name="Nadpis1 19" xfId="1532"/>
    <cellStyle name="Nadpis1 2" xfId="1533"/>
    <cellStyle name="Nadpis1 20" xfId="1534"/>
    <cellStyle name="Nadpis1 21" xfId="1535"/>
    <cellStyle name="Nadpis1 22" xfId="1536"/>
    <cellStyle name="Nadpis1 23" xfId="1537"/>
    <cellStyle name="Nadpis1 3" xfId="1538"/>
    <cellStyle name="Nadpis1 4" xfId="1539"/>
    <cellStyle name="Nadpis1 5" xfId="1540"/>
    <cellStyle name="Nadpis1 6" xfId="1541"/>
    <cellStyle name="Nadpis1 7" xfId="1542"/>
    <cellStyle name="Nadpis1 8" xfId="1543"/>
    <cellStyle name="Nadpis1 9" xfId="1544"/>
    <cellStyle name="Nadpis2" xfId="1545"/>
    <cellStyle name="Nadpis2 1" xfId="1546"/>
    <cellStyle name="Nadpis2 10" xfId="1547"/>
    <cellStyle name="Nadpis2 11" xfId="1548"/>
    <cellStyle name="Nadpis2 12" xfId="1549"/>
    <cellStyle name="Nadpis2 13" xfId="1550"/>
    <cellStyle name="Nadpis2 14" xfId="1551"/>
    <cellStyle name="Nadpis2 15" xfId="1552"/>
    <cellStyle name="Nadpis2 16" xfId="1553"/>
    <cellStyle name="Nadpis2 17" xfId="1554"/>
    <cellStyle name="Nadpis2 18" xfId="1555"/>
    <cellStyle name="Nadpis2 19" xfId="1556"/>
    <cellStyle name="Nadpis2 2" xfId="1557"/>
    <cellStyle name="Nadpis2 20" xfId="1558"/>
    <cellStyle name="Nadpis2 21" xfId="1559"/>
    <cellStyle name="Nadpis2 22" xfId="1560"/>
    <cellStyle name="Nadpis2 3" xfId="1561"/>
    <cellStyle name="Nadpis2 4" xfId="1562"/>
    <cellStyle name="Nadpis2 5" xfId="1563"/>
    <cellStyle name="Nadpis2 6" xfId="1564"/>
    <cellStyle name="Nadpis2 7" xfId="1565"/>
    <cellStyle name="Nadpis2 8" xfId="1566"/>
    <cellStyle name="Nadpis2 9" xfId="1567"/>
    <cellStyle name="Nadpis3" xfId="1568"/>
    <cellStyle name="Nadpis3 1" xfId="1569"/>
    <cellStyle name="Nadpis3 10" xfId="1570"/>
    <cellStyle name="Nadpis3 11" xfId="1571"/>
    <cellStyle name="Nadpis3 12" xfId="1572"/>
    <cellStyle name="Nadpis3 13" xfId="1573"/>
    <cellStyle name="Nadpis3 14" xfId="1574"/>
    <cellStyle name="Nadpis3 15" xfId="1575"/>
    <cellStyle name="Nadpis3 16" xfId="1576"/>
    <cellStyle name="Nadpis3 17" xfId="1577"/>
    <cellStyle name="Nadpis3 18" xfId="1578"/>
    <cellStyle name="Nadpis3 19" xfId="1579"/>
    <cellStyle name="Nadpis3 2" xfId="1580"/>
    <cellStyle name="Nadpis3 20" xfId="1581"/>
    <cellStyle name="Nadpis3 21" xfId="1582"/>
    <cellStyle name="Nadpis3 22" xfId="1583"/>
    <cellStyle name="Nadpis3 3" xfId="1584"/>
    <cellStyle name="Nadpis3 4" xfId="1585"/>
    <cellStyle name="Nadpis3 5" xfId="1586"/>
    <cellStyle name="Nadpis3 6" xfId="1587"/>
    <cellStyle name="Nadpis3 7" xfId="1588"/>
    <cellStyle name="Nadpis3 8" xfId="1589"/>
    <cellStyle name="Nadpis3 9" xfId="1590"/>
    <cellStyle name="Nadpis4" xfId="1591"/>
    <cellStyle name="Nadpis4 1" xfId="1592"/>
    <cellStyle name="Nadpis4 10" xfId="1593"/>
    <cellStyle name="Nadpis4 11" xfId="1594"/>
    <cellStyle name="Nadpis4 12" xfId="1595"/>
    <cellStyle name="Nadpis4 13" xfId="1596"/>
    <cellStyle name="Nadpis4 14" xfId="1597"/>
    <cellStyle name="Nadpis4 15" xfId="1598"/>
    <cellStyle name="Nadpis4 16" xfId="1599"/>
    <cellStyle name="Nadpis4 17" xfId="1600"/>
    <cellStyle name="Nadpis4 18" xfId="1601"/>
    <cellStyle name="Nadpis4 19" xfId="1602"/>
    <cellStyle name="Nadpis4 2" xfId="1603"/>
    <cellStyle name="Nadpis4 20" xfId="1604"/>
    <cellStyle name="Nadpis4 21" xfId="1605"/>
    <cellStyle name="Nadpis4 22" xfId="1606"/>
    <cellStyle name="Nadpis4 3" xfId="1607"/>
    <cellStyle name="Nadpis4 4" xfId="1608"/>
    <cellStyle name="Nadpis4 5" xfId="1609"/>
    <cellStyle name="Nadpis4 6" xfId="1610"/>
    <cellStyle name="Nadpis4 7" xfId="1611"/>
    <cellStyle name="Nadpis4 8" xfId="1612"/>
    <cellStyle name="Nadpis4 9" xfId="1613"/>
    <cellStyle name="nadpis5" xfId="1614"/>
    <cellStyle name="nadpis5 1" xfId="1615"/>
    <cellStyle name="nadpis5 10" xfId="1616"/>
    <cellStyle name="nadpis5 11" xfId="1617"/>
    <cellStyle name="nadpis5 12" xfId="1618"/>
    <cellStyle name="nadpis5 13" xfId="1619"/>
    <cellStyle name="nadpis5 14" xfId="1620"/>
    <cellStyle name="nadpis5 15" xfId="1621"/>
    <cellStyle name="nadpis5 16" xfId="1622"/>
    <cellStyle name="nadpis5 17" xfId="1623"/>
    <cellStyle name="nadpis5 18" xfId="1624"/>
    <cellStyle name="nadpis5 19" xfId="1625"/>
    <cellStyle name="nadpis5 2" xfId="1626"/>
    <cellStyle name="nadpis5 20" xfId="1627"/>
    <cellStyle name="nadpis5 21" xfId="1628"/>
    <cellStyle name="nadpis5 22" xfId="1629"/>
    <cellStyle name="nadpis5 3" xfId="1630"/>
    <cellStyle name="nadpis5 4" xfId="1631"/>
    <cellStyle name="nadpis5 5" xfId="1632"/>
    <cellStyle name="nadpis5 6" xfId="1633"/>
    <cellStyle name="nadpis5 7" xfId="1634"/>
    <cellStyle name="nadpis5 8" xfId="1635"/>
    <cellStyle name="nadpis5 9" xfId="1636"/>
    <cellStyle name="Název" xfId="1637"/>
    <cellStyle name="Název 1" xfId="1638"/>
    <cellStyle name="Název 2" xfId="1639"/>
    <cellStyle name="Název 3" xfId="1640"/>
    <cellStyle name="Název 4" xfId="1641"/>
    <cellStyle name="Název 5" xfId="1642"/>
    <cellStyle name="Název 6" xfId="1643"/>
    <cellStyle name="Název 7" xfId="1644"/>
    <cellStyle name="Název 8" xfId="1645"/>
    <cellStyle name="Název 9" xfId="1646"/>
    <cellStyle name="nazev_skup" xfId="1647"/>
    <cellStyle name="Nazov" xfId="1648"/>
    <cellStyle name="Neutral" xfId="1649"/>
    <cellStyle name="Neutrálna" xfId="1650"/>
    <cellStyle name="Neutrálna 1" xfId="1651"/>
    <cellStyle name="Neutrálna 2" xfId="1652"/>
    <cellStyle name="Neutrálna 3" xfId="1653"/>
    <cellStyle name="Neutrálna 4" xfId="1654"/>
    <cellStyle name="Neutrálna 5" xfId="1655"/>
    <cellStyle name="Neutrálna 6" xfId="1656"/>
    <cellStyle name="Neutrálna 7" xfId="1657"/>
    <cellStyle name="Neutrálna 8" xfId="1658"/>
    <cellStyle name="Neutrálna 9" xfId="1659"/>
    <cellStyle name="Neutrální" xfId="1660"/>
    <cellStyle name="Neutrální 1" xfId="1661"/>
    <cellStyle name="Neutrální 2" xfId="1662"/>
    <cellStyle name="Neutrální 3" xfId="1663"/>
    <cellStyle name="Neutrální 4" xfId="1664"/>
    <cellStyle name="Neutrální 5" xfId="1665"/>
    <cellStyle name="Neutrální 6" xfId="1666"/>
    <cellStyle name="Neutrální 7" xfId="1667"/>
    <cellStyle name="Neutrální 8" xfId="1668"/>
    <cellStyle name="Neutrální 9" xfId="1669"/>
    <cellStyle name="normal" xfId="1670"/>
    <cellStyle name="Normal 2" xfId="1671"/>
    <cellStyle name="Normal_201 - Chapter 01 - Preliminaries" xfId="1672"/>
    <cellStyle name="normálne_PERSONAL" xfId="1673"/>
    <cellStyle name="normální 10" xfId="1674"/>
    <cellStyle name="Normální 11" xfId="1675"/>
    <cellStyle name="normální 2" xfId="1676"/>
    <cellStyle name="normální 2 1" xfId="1677"/>
    <cellStyle name="normální 2 10" xfId="1678"/>
    <cellStyle name="normální 2 11" xfId="1679"/>
    <cellStyle name="normální 2 2" xfId="1680"/>
    <cellStyle name="normální 2 2 1" xfId="1681"/>
    <cellStyle name="normální 2 2 2" xfId="1682"/>
    <cellStyle name="normální 2 2 3" xfId="1683"/>
    <cellStyle name="normální 2 2 4" xfId="1684"/>
    <cellStyle name="normální 2 2 5" xfId="1685"/>
    <cellStyle name="normální 2 2 6" xfId="1686"/>
    <cellStyle name="normální 2 2 7" xfId="1687"/>
    <cellStyle name="normální 2 2 8" xfId="1688"/>
    <cellStyle name="normální 2 2 9" xfId="1689"/>
    <cellStyle name="normální 2 2_2-Vykaz vymer" xfId="1690"/>
    <cellStyle name="normální 2 3" xfId="1691"/>
    <cellStyle name="normální 2 3 1" xfId="1692"/>
    <cellStyle name="normální 2 3 2" xfId="1693"/>
    <cellStyle name="normální 2 3 3" xfId="1694"/>
    <cellStyle name="normální 2 3 4" xfId="1695"/>
    <cellStyle name="normální 2 3 5" xfId="1696"/>
    <cellStyle name="normální 2 3 6" xfId="1697"/>
    <cellStyle name="normální 2 3 7" xfId="1698"/>
    <cellStyle name="normální 2 3 8" xfId="1699"/>
    <cellStyle name="normální 2 3 9" xfId="1700"/>
    <cellStyle name="normální 2 3_120125_BD U Průhonu-tabulky" xfId="1701"/>
    <cellStyle name="normální 2 4" xfId="1702"/>
    <cellStyle name="normální 2 5" xfId="1703"/>
    <cellStyle name="normální 2 6" xfId="1704"/>
    <cellStyle name="normální 2 7" xfId="1705"/>
    <cellStyle name="normální 2 8" xfId="1706"/>
    <cellStyle name="normální 2 9" xfId="1707"/>
    <cellStyle name="normální 2_090609_Kasperske hory SO01 - sypka_RO" xfId="1708"/>
    <cellStyle name="normální 3" xfId="1709"/>
    <cellStyle name="normální 3 1" xfId="1710"/>
    <cellStyle name="normální 3 2" xfId="1711"/>
    <cellStyle name="normální 3 3" xfId="1712"/>
    <cellStyle name="normální 3 4" xfId="1713"/>
    <cellStyle name="normální 3 5" xfId="1714"/>
    <cellStyle name="normální 3 6" xfId="1715"/>
    <cellStyle name="normální 3 7" xfId="1716"/>
    <cellStyle name="normální 3 8" xfId="1717"/>
    <cellStyle name="normální 3 9" xfId="1718"/>
    <cellStyle name="normální 3_090609_Kasperske hory SO01 - sypka_RO" xfId="1719"/>
    <cellStyle name="normální 4" xfId="1720"/>
    <cellStyle name="normální 4 1" xfId="1721"/>
    <cellStyle name="normální 4 2" xfId="1722"/>
    <cellStyle name="normální 4 3" xfId="1723"/>
    <cellStyle name="normální 4 4" xfId="1724"/>
    <cellStyle name="normální 4 5" xfId="1725"/>
    <cellStyle name="normální 4 6" xfId="1726"/>
    <cellStyle name="normální 4 7" xfId="1727"/>
    <cellStyle name="normální 4 8" xfId="1728"/>
    <cellStyle name="normální 4 9" xfId="1729"/>
    <cellStyle name="normální 5" xfId="1730"/>
    <cellStyle name="normální 5 2" xfId="1731"/>
    <cellStyle name="normální 5_10307_GARC Kladno - RO" xfId="1732"/>
    <cellStyle name="normální 6" xfId="1733"/>
    <cellStyle name="normální 7" xfId="1734"/>
    <cellStyle name="normální 8" xfId="1735"/>
    <cellStyle name="normální 8 2" xfId="1736"/>
    <cellStyle name="normální 8_120125_BD U Průhonu-tabulky" xfId="1737"/>
    <cellStyle name="normální 9" xfId="1738"/>
    <cellStyle name="normální_01.AST-Objekty A+B+C na společné podnoži" xfId="1739"/>
    <cellStyle name="normální_01.AST-Objekty A+B+C na společné podnoži 2 2" xfId="1740"/>
    <cellStyle name="normální_01.AST-Objekty A+B+C na společné podnoži_Volary - Dům pro seniory - 080625" xfId="1741"/>
    <cellStyle name="normální_090609_Kasperske hory SO01 - sypka_RO" xfId="1742"/>
    <cellStyle name="normální_110615_RD Mělník - RO" xfId="1743"/>
    <cellStyle name="normální_5345-900-4-6EZ01_GROUNDING_061024" xfId="1744"/>
    <cellStyle name="normální_6087_U Vojanky" xfId="1745"/>
    <cellStyle name="normální_Doplňující položky" xfId="1746"/>
    <cellStyle name="normální_Elektro-BD_Jeseniova,propočet_1" xfId="1747"/>
    <cellStyle name="normální_IMMO Kadan-FoT-SO02-06" xfId="1748"/>
    <cellStyle name="normální_Kral" xfId="1749"/>
    <cellStyle name="normální_Kral 2" xfId="1750"/>
    <cellStyle name="normální_Kral.vyhlidka_-_080616_-_Vychozi 2" xfId="1751"/>
    <cellStyle name="normální_Kral.vyhlidka_-_080616_-_Vychozi_Volary - Dům pro seniory - 080625" xfId="1752"/>
    <cellStyle name="normální_Kral_090609_Kasperske hory SO01 - sypka_RO" xfId="1753"/>
    <cellStyle name="normální_Kral_Volary - Dům pro seniory - 080625" xfId="1754"/>
    <cellStyle name="normální_Králvyhlídka - 080617 - Výchozí" xfId="1755"/>
    <cellStyle name="normální_Králvyhlídka - 080617 - Výchozí 2" xfId="1756"/>
    <cellStyle name="normální_Králvyhlídka - 080617 - Výchozí_Volary - Dům pro seniory - 080625" xfId="1757"/>
    <cellStyle name="Normalny_Arkusz1" xfId="1758"/>
    <cellStyle name="Note" xfId="1759"/>
    <cellStyle name="Output" xfId="1760"/>
    <cellStyle name="Pevní" xfId="1761"/>
    <cellStyle name="Pevní 1" xfId="1762"/>
    <cellStyle name="Pevní 10" xfId="1763"/>
    <cellStyle name="Pevní 11" xfId="1764"/>
    <cellStyle name="Pevní 12" xfId="1765"/>
    <cellStyle name="Pevní 13" xfId="1766"/>
    <cellStyle name="Pevní 14" xfId="1767"/>
    <cellStyle name="Pevní 15" xfId="1768"/>
    <cellStyle name="Pevní 16" xfId="1769"/>
    <cellStyle name="Pevní 17" xfId="1770"/>
    <cellStyle name="Pevní 18" xfId="1771"/>
    <cellStyle name="Pevní 19" xfId="1772"/>
    <cellStyle name="Pevní 2" xfId="1773"/>
    <cellStyle name="Pevní 20" xfId="1774"/>
    <cellStyle name="Pevní 21" xfId="1775"/>
    <cellStyle name="Pevní 22" xfId="1776"/>
    <cellStyle name="Pevní 3" xfId="1777"/>
    <cellStyle name="Pevní 4" xfId="1778"/>
    <cellStyle name="Pevní 5" xfId="1779"/>
    <cellStyle name="Pevní 6" xfId="1780"/>
    <cellStyle name="Pevní 7" xfId="1781"/>
    <cellStyle name="Pevní 8" xfId="1782"/>
    <cellStyle name="Pevní 9" xfId="1783"/>
    <cellStyle name="Podnadpis" xfId="1784"/>
    <cellStyle name="POPIS" xfId="1785"/>
    <cellStyle name="POPIS 1" xfId="1786"/>
    <cellStyle name="POPIS 10" xfId="1787"/>
    <cellStyle name="POPIS 11" xfId="1788"/>
    <cellStyle name="POPIS 12" xfId="1789"/>
    <cellStyle name="POPIS 13" xfId="1790"/>
    <cellStyle name="POPIS 14" xfId="1791"/>
    <cellStyle name="POPIS 15" xfId="1792"/>
    <cellStyle name="POPIS 16" xfId="1793"/>
    <cellStyle name="POPIS 17" xfId="1794"/>
    <cellStyle name="POPIS 18" xfId="1795"/>
    <cellStyle name="POPIS 19" xfId="1796"/>
    <cellStyle name="POPIS 2" xfId="1797"/>
    <cellStyle name="POPIS 20" xfId="1798"/>
    <cellStyle name="POPIS 21" xfId="1799"/>
    <cellStyle name="POPIS 22" xfId="1800"/>
    <cellStyle name="POPIS 3" xfId="1801"/>
    <cellStyle name="POPIS 4" xfId="1802"/>
    <cellStyle name="POPIS 5" xfId="1803"/>
    <cellStyle name="POPIS 6" xfId="1804"/>
    <cellStyle name="POPIS 7" xfId="1805"/>
    <cellStyle name="POPIS 8" xfId="1806"/>
    <cellStyle name="POPIS 9" xfId="1807"/>
    <cellStyle name="Popis_120125_BD U Průhonu-tabulky" xfId="1808"/>
    <cellStyle name="Followed Hyperlink" xfId="1809"/>
    <cellStyle name="Poznámka" xfId="1810"/>
    <cellStyle name="Poznámka 1" xfId="1811"/>
    <cellStyle name="Poznámka 2" xfId="1812"/>
    <cellStyle name="Poznámka 3" xfId="1813"/>
    <cellStyle name="Poznámka 4" xfId="1814"/>
    <cellStyle name="Poznámka 5" xfId="1815"/>
    <cellStyle name="Poznámka 6" xfId="1816"/>
    <cellStyle name="Poznámka 7" xfId="1817"/>
    <cellStyle name="Poznámka 8" xfId="1818"/>
    <cellStyle name="Poznámka 9" xfId="1819"/>
    <cellStyle name="Prázdný?ádek" xfId="1820"/>
    <cellStyle name="Prázdný?ádek 1" xfId="1821"/>
    <cellStyle name="Prázdný?ádek 10" xfId="1822"/>
    <cellStyle name="Prázdný?ádek 11" xfId="1823"/>
    <cellStyle name="Prázdný?ádek 12" xfId="1824"/>
    <cellStyle name="Prázdný?ádek 13" xfId="1825"/>
    <cellStyle name="Prázdný?ádek 14" xfId="1826"/>
    <cellStyle name="Prázdný?ádek 15" xfId="1827"/>
    <cellStyle name="Prázdný?ádek 16" xfId="1828"/>
    <cellStyle name="Prázdný?ádek 17" xfId="1829"/>
    <cellStyle name="Prázdný?ádek 18" xfId="1830"/>
    <cellStyle name="Prázdný?ádek 19" xfId="1831"/>
    <cellStyle name="Prázdný?ádek 2" xfId="1832"/>
    <cellStyle name="Prázdný?ádek 20" xfId="1833"/>
    <cellStyle name="Prázdný?ádek 21" xfId="1834"/>
    <cellStyle name="Prázdný?ádek 22" xfId="1835"/>
    <cellStyle name="Prázdný?ádek 3" xfId="1836"/>
    <cellStyle name="Prázdný?ádek 4" xfId="1837"/>
    <cellStyle name="Prázdný?ádek 5" xfId="1838"/>
    <cellStyle name="Prázdný?ádek 6" xfId="1839"/>
    <cellStyle name="Prázdný?ádek 7" xfId="1840"/>
    <cellStyle name="Prázdný?ádek 8" xfId="1841"/>
    <cellStyle name="Prázdný?ádek 9" xfId="1842"/>
    <cellStyle name="Prepojená bunka" xfId="1843"/>
    <cellStyle name="Prepojená bunka 1" xfId="1844"/>
    <cellStyle name="Prepojená bunka 2" xfId="1845"/>
    <cellStyle name="Prepojená bunka 3" xfId="1846"/>
    <cellStyle name="Prepojená bunka 4" xfId="1847"/>
    <cellStyle name="Prepojená bunka 5" xfId="1848"/>
    <cellStyle name="Prepojená bunka 6" xfId="1849"/>
    <cellStyle name="Prepojená bunka 7" xfId="1850"/>
    <cellStyle name="Prepojená bunka 8" xfId="1851"/>
    <cellStyle name="Prepojená bunka 9" xfId="1852"/>
    <cellStyle name="procent 2" xfId="1853"/>
    <cellStyle name="procent 2 1" xfId="1854"/>
    <cellStyle name="procent 2 2" xfId="1855"/>
    <cellStyle name="procent 2 3" xfId="1856"/>
    <cellStyle name="procent 2 4" xfId="1857"/>
    <cellStyle name="procent 2 5" xfId="1858"/>
    <cellStyle name="procent 2 6" xfId="1859"/>
    <cellStyle name="procent 2 7" xfId="1860"/>
    <cellStyle name="procent 2 8" xfId="1861"/>
    <cellStyle name="procent 2 9" xfId="1862"/>
    <cellStyle name="procent 2_120125_BD U Průhonu-tabulky" xfId="1863"/>
    <cellStyle name="procent 3" xfId="1864"/>
    <cellStyle name="procent 4" xfId="1865"/>
    <cellStyle name="procent 5" xfId="1866"/>
    <cellStyle name="Percent" xfId="1867"/>
    <cellStyle name="Procenta 1" xfId="1868"/>
    <cellStyle name="Procenta 10" xfId="1869"/>
    <cellStyle name="Procenta 11" xfId="1870"/>
    <cellStyle name="Procenta 12" xfId="1871"/>
    <cellStyle name="Procenta 13" xfId="1872"/>
    <cellStyle name="Procenta 14" xfId="1873"/>
    <cellStyle name="Procenta 15" xfId="1874"/>
    <cellStyle name="Procenta 16" xfId="1875"/>
    <cellStyle name="Procenta 17" xfId="1876"/>
    <cellStyle name="Procenta 18" xfId="1877"/>
    <cellStyle name="Procenta 19" xfId="1878"/>
    <cellStyle name="Procenta 2" xfId="1879"/>
    <cellStyle name="Procenta 20" xfId="1880"/>
    <cellStyle name="Procenta 21" xfId="1881"/>
    <cellStyle name="Procenta 22" xfId="1882"/>
    <cellStyle name="Procenta 3" xfId="1883"/>
    <cellStyle name="Procenta 4" xfId="1884"/>
    <cellStyle name="Procenta 5" xfId="1885"/>
    <cellStyle name="Procenta 6" xfId="1886"/>
    <cellStyle name="Procenta 7" xfId="1887"/>
    <cellStyle name="Procenta 8" xfId="1888"/>
    <cellStyle name="Procenta 9" xfId="1889"/>
    <cellStyle name="ProductNo." xfId="1890"/>
    <cellStyle name="Propojená bu?ka" xfId="1891"/>
    <cellStyle name="Propojená bu?ka 1" xfId="1892"/>
    <cellStyle name="Propojená bu?ka 2" xfId="1893"/>
    <cellStyle name="Propojená bu?ka 3" xfId="1894"/>
    <cellStyle name="Propojená bu?ka 4" xfId="1895"/>
    <cellStyle name="Propojená bu?ka 5" xfId="1896"/>
    <cellStyle name="Propojená bu?ka 6" xfId="1897"/>
    <cellStyle name="Propojená bu?ka 7" xfId="1898"/>
    <cellStyle name="Propojená bu?ka 8" xfId="1899"/>
    <cellStyle name="Propojená bu?ka 9" xfId="1900"/>
    <cellStyle name="Propojená buňka" xfId="1901"/>
    <cellStyle name="SAPBEXstdItem" xfId="1902"/>
    <cellStyle name="SAPBEXstdItem 1" xfId="1903"/>
    <cellStyle name="SAPBEXstdItem 10" xfId="1904"/>
    <cellStyle name="SAPBEXstdItem 11" xfId="1905"/>
    <cellStyle name="SAPBEXstdItem 12" xfId="1906"/>
    <cellStyle name="SAPBEXstdItem 13" xfId="1907"/>
    <cellStyle name="SAPBEXstdItem 14" xfId="1908"/>
    <cellStyle name="SAPBEXstdItem 15" xfId="1909"/>
    <cellStyle name="SAPBEXstdItem 16" xfId="1910"/>
    <cellStyle name="SAPBEXstdItem 17" xfId="1911"/>
    <cellStyle name="SAPBEXstdItem 18" xfId="1912"/>
    <cellStyle name="SAPBEXstdItem 19" xfId="1913"/>
    <cellStyle name="SAPBEXstdItem 2" xfId="1914"/>
    <cellStyle name="SAPBEXstdItem 20" xfId="1915"/>
    <cellStyle name="SAPBEXstdItem 21" xfId="1916"/>
    <cellStyle name="SAPBEXstdItem 22" xfId="1917"/>
    <cellStyle name="SAPBEXstdItem 3" xfId="1918"/>
    <cellStyle name="SAPBEXstdItem 4" xfId="1919"/>
    <cellStyle name="SAPBEXstdItem 5" xfId="1920"/>
    <cellStyle name="SAPBEXstdItem 6" xfId="1921"/>
    <cellStyle name="SAPBEXstdItem 7" xfId="1922"/>
    <cellStyle name="SAPBEXstdItem 8" xfId="1923"/>
    <cellStyle name="SAPBEXstdItem 9" xfId="1924"/>
    <cellStyle name="SKP" xfId="1925"/>
    <cellStyle name="Specifikace" xfId="1926"/>
    <cellStyle name="Spolu" xfId="1927"/>
    <cellStyle name="Spolu 1" xfId="1928"/>
    <cellStyle name="Spolu 2" xfId="1929"/>
    <cellStyle name="Spolu 3" xfId="1930"/>
    <cellStyle name="Spolu 4" xfId="1931"/>
    <cellStyle name="Spolu 5" xfId="1932"/>
    <cellStyle name="Spolu 6" xfId="1933"/>
    <cellStyle name="Spolu 7" xfId="1934"/>
    <cellStyle name="Spolu 8" xfId="1935"/>
    <cellStyle name="Spolu 9" xfId="1936"/>
    <cellStyle name="Správn?" xfId="1937"/>
    <cellStyle name="Správn? 1" xfId="1938"/>
    <cellStyle name="Správn? 2" xfId="1939"/>
    <cellStyle name="Správn? 3" xfId="1940"/>
    <cellStyle name="Správn? 4" xfId="1941"/>
    <cellStyle name="Správn? 5" xfId="1942"/>
    <cellStyle name="Správn? 6" xfId="1943"/>
    <cellStyle name="Správn? 7" xfId="1944"/>
    <cellStyle name="Správn? 8" xfId="1945"/>
    <cellStyle name="Správn? 9" xfId="1946"/>
    <cellStyle name="Správně" xfId="1947"/>
    <cellStyle name="Standard_--&gt;2-1" xfId="1948"/>
    <cellStyle name="Stín+tučně" xfId="1949"/>
    <cellStyle name="Stín+tučně+velké písmo" xfId="1950"/>
    <cellStyle name="Styl 1" xfId="1951"/>
    <cellStyle name="Styl 1 1" xfId="1952"/>
    <cellStyle name="Styl 1 2" xfId="1953"/>
    <cellStyle name="Styl 1 3" xfId="1954"/>
    <cellStyle name="Styl 1 4" xfId="1955"/>
    <cellStyle name="Styl 1 5" xfId="1956"/>
    <cellStyle name="Styl 1 6" xfId="1957"/>
    <cellStyle name="Styl 1 7" xfId="1958"/>
    <cellStyle name="Styl 1 8" xfId="1959"/>
    <cellStyle name="Styl 1 9" xfId="1960"/>
    <cellStyle name="Styl 10" xfId="1961"/>
    <cellStyle name="Styl 10 2" xfId="1962"/>
    <cellStyle name="Styl 10 3" xfId="1963"/>
    <cellStyle name="Styl 10 4" xfId="1964"/>
    <cellStyle name="Styl 10 5" xfId="1965"/>
    <cellStyle name="Styl 10 6" xfId="1966"/>
    <cellStyle name="Styl 10 7" xfId="1967"/>
    <cellStyle name="Styl 10 8" xfId="1968"/>
    <cellStyle name="Styl 11" xfId="1969"/>
    <cellStyle name="Styl 11 2" xfId="1970"/>
    <cellStyle name="Styl 11 3" xfId="1971"/>
    <cellStyle name="Styl 11 4" xfId="1972"/>
    <cellStyle name="Styl 11 5" xfId="1973"/>
    <cellStyle name="Styl 11 6" xfId="1974"/>
    <cellStyle name="Styl 11 7" xfId="1975"/>
    <cellStyle name="Styl 11 8" xfId="1976"/>
    <cellStyle name="Styl 11_110612_U Průhonu, byt 6.NP" xfId="1977"/>
    <cellStyle name="Styl 12" xfId="1978"/>
    <cellStyle name="Styl 12 2" xfId="1979"/>
    <cellStyle name="Styl 12 3" xfId="1980"/>
    <cellStyle name="Styl 12 4" xfId="1981"/>
    <cellStyle name="Styl 12 5" xfId="1982"/>
    <cellStyle name="Styl 12 6" xfId="1983"/>
    <cellStyle name="Styl 12 7" xfId="1984"/>
    <cellStyle name="Styl 12 8" xfId="1985"/>
    <cellStyle name="Styl 13" xfId="1986"/>
    <cellStyle name="Styl 13 2" xfId="1987"/>
    <cellStyle name="Styl 13 3" xfId="1988"/>
    <cellStyle name="Styl 13 4" xfId="1989"/>
    <cellStyle name="Styl 13 5" xfId="1990"/>
    <cellStyle name="Styl 13 6" xfId="1991"/>
    <cellStyle name="Styl 13 7" xfId="1992"/>
    <cellStyle name="Styl 13 8" xfId="1993"/>
    <cellStyle name="Styl 14" xfId="1994"/>
    <cellStyle name="Styl 14 2" xfId="1995"/>
    <cellStyle name="Styl 14 3" xfId="1996"/>
    <cellStyle name="Styl 14 4" xfId="1997"/>
    <cellStyle name="Styl 14 5" xfId="1998"/>
    <cellStyle name="Styl 14 6" xfId="1999"/>
    <cellStyle name="Styl 14 7" xfId="2000"/>
    <cellStyle name="Styl 14 8" xfId="2001"/>
    <cellStyle name="Styl 14_090609_Kasperske hory SO01 - sypka_RO" xfId="2002"/>
    <cellStyle name="Styl 15" xfId="2003"/>
    <cellStyle name="Styl 15 2" xfId="2004"/>
    <cellStyle name="Styl 15 3" xfId="2005"/>
    <cellStyle name="Styl 15 4" xfId="2006"/>
    <cellStyle name="Styl 15 5" xfId="2007"/>
    <cellStyle name="Styl 15 6" xfId="2008"/>
    <cellStyle name="Styl 15 7" xfId="2009"/>
    <cellStyle name="Styl 15 8" xfId="2010"/>
    <cellStyle name="Styl 16" xfId="2011"/>
    <cellStyle name="Styl 16 2" xfId="2012"/>
    <cellStyle name="Styl 16 3" xfId="2013"/>
    <cellStyle name="Styl 16 4" xfId="2014"/>
    <cellStyle name="Styl 16 5" xfId="2015"/>
    <cellStyle name="Styl 16 6" xfId="2016"/>
    <cellStyle name="Styl 16 7" xfId="2017"/>
    <cellStyle name="Styl 16 8" xfId="2018"/>
    <cellStyle name="Styl 17" xfId="2019"/>
    <cellStyle name="Styl 17 2" xfId="2020"/>
    <cellStyle name="Styl 17 3" xfId="2021"/>
    <cellStyle name="Styl 17 4" xfId="2022"/>
    <cellStyle name="Styl 17 5" xfId="2023"/>
    <cellStyle name="Styl 17 6" xfId="2024"/>
    <cellStyle name="Styl 17 7" xfId="2025"/>
    <cellStyle name="Styl 17 8" xfId="2026"/>
    <cellStyle name="Styl 18" xfId="2027"/>
    <cellStyle name="Styl 18 2" xfId="2028"/>
    <cellStyle name="Styl 18 3" xfId="2029"/>
    <cellStyle name="Styl 18 4" xfId="2030"/>
    <cellStyle name="Styl 18 5" xfId="2031"/>
    <cellStyle name="Styl 18 6" xfId="2032"/>
    <cellStyle name="Styl 18 7" xfId="2033"/>
    <cellStyle name="Styl 18 8" xfId="2034"/>
    <cellStyle name="Styl 18_110612_U Průhonu, byt 6.NP" xfId="2035"/>
    <cellStyle name="Styl 19" xfId="2036"/>
    <cellStyle name="Styl 19 2" xfId="2037"/>
    <cellStyle name="Styl 19 3" xfId="2038"/>
    <cellStyle name="Styl 19 4" xfId="2039"/>
    <cellStyle name="Styl 19 5" xfId="2040"/>
    <cellStyle name="Styl 19 6" xfId="2041"/>
    <cellStyle name="Styl 19 7" xfId="2042"/>
    <cellStyle name="Styl 19 8" xfId="2043"/>
    <cellStyle name="Styl 19_110612_U Průhonu, byt 6.NP" xfId="2044"/>
    <cellStyle name="Styl 2" xfId="2045"/>
    <cellStyle name="Styl 2 2" xfId="2046"/>
    <cellStyle name="Styl 2 3" xfId="2047"/>
    <cellStyle name="Styl 2 4" xfId="2048"/>
    <cellStyle name="Styl 2 5" xfId="2049"/>
    <cellStyle name="Styl 2 6" xfId="2050"/>
    <cellStyle name="Styl 2 7" xfId="2051"/>
    <cellStyle name="Styl 2 8" xfId="2052"/>
    <cellStyle name="Styl 20" xfId="2053"/>
    <cellStyle name="Styl 20 2" xfId="2054"/>
    <cellStyle name="Styl 20 3" xfId="2055"/>
    <cellStyle name="Styl 20 4" xfId="2056"/>
    <cellStyle name="Styl 20 5" xfId="2057"/>
    <cellStyle name="Styl 20 6" xfId="2058"/>
    <cellStyle name="Styl 20 7" xfId="2059"/>
    <cellStyle name="Styl 20 8" xfId="2060"/>
    <cellStyle name="Styl 20_110612_U Průhonu, byt 6.NP" xfId="2061"/>
    <cellStyle name="Styl 21" xfId="2062"/>
    <cellStyle name="Styl 21 2" xfId="2063"/>
    <cellStyle name="Styl 21 3" xfId="2064"/>
    <cellStyle name="Styl 21 4" xfId="2065"/>
    <cellStyle name="Styl 21 5" xfId="2066"/>
    <cellStyle name="Styl 21 6" xfId="2067"/>
    <cellStyle name="Styl 21 7" xfId="2068"/>
    <cellStyle name="Styl 21 8" xfId="2069"/>
    <cellStyle name="Styl 3" xfId="2070"/>
    <cellStyle name="Styl 3 2" xfId="2071"/>
    <cellStyle name="Styl 3 3" xfId="2072"/>
    <cellStyle name="Styl 3 4" xfId="2073"/>
    <cellStyle name="Styl 3 5" xfId="2074"/>
    <cellStyle name="Styl 3 6" xfId="2075"/>
    <cellStyle name="Styl 3 7" xfId="2076"/>
    <cellStyle name="Styl 3 8" xfId="2077"/>
    <cellStyle name="Styl 4" xfId="2078"/>
    <cellStyle name="Styl 4 2" xfId="2079"/>
    <cellStyle name="Styl 4 3" xfId="2080"/>
    <cellStyle name="Styl 4 4" xfId="2081"/>
    <cellStyle name="Styl 4 5" xfId="2082"/>
    <cellStyle name="Styl 4 6" xfId="2083"/>
    <cellStyle name="Styl 4 7" xfId="2084"/>
    <cellStyle name="Styl 4 8" xfId="2085"/>
    <cellStyle name="Styl 5" xfId="2086"/>
    <cellStyle name="Styl 5 2" xfId="2087"/>
    <cellStyle name="Styl 5 3" xfId="2088"/>
    <cellStyle name="Styl 5 4" xfId="2089"/>
    <cellStyle name="Styl 5 5" xfId="2090"/>
    <cellStyle name="Styl 5 6" xfId="2091"/>
    <cellStyle name="Styl 5 7" xfId="2092"/>
    <cellStyle name="Styl 5 8" xfId="2093"/>
    <cellStyle name="Styl 5_110612_U Průhonu, byt 6.NP" xfId="2094"/>
    <cellStyle name="Styl 6" xfId="2095"/>
    <cellStyle name="Styl 6 2" xfId="2096"/>
    <cellStyle name="Styl 6 3" xfId="2097"/>
    <cellStyle name="Styl 6 4" xfId="2098"/>
    <cellStyle name="Styl 6 5" xfId="2099"/>
    <cellStyle name="Styl 6 6" xfId="2100"/>
    <cellStyle name="Styl 6 7" xfId="2101"/>
    <cellStyle name="Styl 6 8" xfId="2102"/>
    <cellStyle name="Styl 6_110612_U Průhonu, byt 6.NP" xfId="2103"/>
    <cellStyle name="Styl 7" xfId="2104"/>
    <cellStyle name="Styl 7 2" xfId="2105"/>
    <cellStyle name="Styl 7 3" xfId="2106"/>
    <cellStyle name="Styl 7 4" xfId="2107"/>
    <cellStyle name="Styl 7 5" xfId="2108"/>
    <cellStyle name="Styl 7 6" xfId="2109"/>
    <cellStyle name="Styl 7 7" xfId="2110"/>
    <cellStyle name="Styl 7 8" xfId="2111"/>
    <cellStyle name="Styl 7_110612_U Průhonu, byt 6.NP" xfId="2112"/>
    <cellStyle name="Styl 8" xfId="2113"/>
    <cellStyle name="Styl 8 2" xfId="2114"/>
    <cellStyle name="Styl 8 3" xfId="2115"/>
    <cellStyle name="Styl 8 4" xfId="2116"/>
    <cellStyle name="Styl 8 5" xfId="2117"/>
    <cellStyle name="Styl 8 6" xfId="2118"/>
    <cellStyle name="Styl 8 7" xfId="2119"/>
    <cellStyle name="Styl 8 8" xfId="2120"/>
    <cellStyle name="Styl 9" xfId="2121"/>
    <cellStyle name="Styl 9 2" xfId="2122"/>
    <cellStyle name="Styl 9 3" xfId="2123"/>
    <cellStyle name="Styl 9 4" xfId="2124"/>
    <cellStyle name="Styl 9 5" xfId="2125"/>
    <cellStyle name="Styl 9 6" xfId="2126"/>
    <cellStyle name="Styl 9 7" xfId="2127"/>
    <cellStyle name="Styl 9 8" xfId="2128"/>
    <cellStyle name="Styl 9_110612_U Průhonu, byt 6.NP" xfId="2129"/>
    <cellStyle name="Text upozorn?ní" xfId="2130"/>
    <cellStyle name="Text upozorn?ní 1" xfId="2131"/>
    <cellStyle name="Text upozorn?ní 2" xfId="2132"/>
    <cellStyle name="Text upozorn?ní 3" xfId="2133"/>
    <cellStyle name="Text upozorn?ní 4" xfId="2134"/>
    <cellStyle name="Text upozorn?ní 5" xfId="2135"/>
    <cellStyle name="Text upozorn?ní 6" xfId="2136"/>
    <cellStyle name="Text upozorn?ní 7" xfId="2137"/>
    <cellStyle name="Text upozorn?ní 8" xfId="2138"/>
    <cellStyle name="Text upozorn?ní 9" xfId="2139"/>
    <cellStyle name="Text upozornění" xfId="2140"/>
    <cellStyle name="Text upozornenia" xfId="2141"/>
    <cellStyle name="Text upozornenia 1" xfId="2142"/>
    <cellStyle name="Text upozornenia 2" xfId="2143"/>
    <cellStyle name="Text upozornenia 3" xfId="2144"/>
    <cellStyle name="Text upozornenia 4" xfId="2145"/>
    <cellStyle name="Text upozornenia 5" xfId="2146"/>
    <cellStyle name="Text upozornenia 6" xfId="2147"/>
    <cellStyle name="Text upozornenia 7" xfId="2148"/>
    <cellStyle name="Text upozornenia 8" xfId="2149"/>
    <cellStyle name="Text upozornenia 9" xfId="2150"/>
    <cellStyle name="Title" xfId="2151"/>
    <cellStyle name="Titul" xfId="2152"/>
    <cellStyle name="Titul 1" xfId="2153"/>
    <cellStyle name="Titul 2" xfId="2154"/>
    <cellStyle name="Titul 3" xfId="2155"/>
    <cellStyle name="Titul 4" xfId="2156"/>
    <cellStyle name="Titul 5" xfId="2157"/>
    <cellStyle name="Titul 6" xfId="2158"/>
    <cellStyle name="Titul 7" xfId="2159"/>
    <cellStyle name="Titul 8" xfId="2160"/>
    <cellStyle name="Titul 9" xfId="2161"/>
    <cellStyle name="Total" xfId="2162"/>
    <cellStyle name="Total 1" xfId="2163"/>
    <cellStyle name="Total 10" xfId="2164"/>
    <cellStyle name="Total 11" xfId="2165"/>
    <cellStyle name="Total 12" xfId="2166"/>
    <cellStyle name="Total 13" xfId="2167"/>
    <cellStyle name="Total 14" xfId="2168"/>
    <cellStyle name="Total 15" xfId="2169"/>
    <cellStyle name="Total 16" xfId="2170"/>
    <cellStyle name="Total 17" xfId="2171"/>
    <cellStyle name="Total 18" xfId="2172"/>
    <cellStyle name="Total 19" xfId="2173"/>
    <cellStyle name="Total 2" xfId="2174"/>
    <cellStyle name="Total 20" xfId="2175"/>
    <cellStyle name="Total 21" xfId="2176"/>
    <cellStyle name="Total 22" xfId="2177"/>
    <cellStyle name="Total 3" xfId="2178"/>
    <cellStyle name="Total 4" xfId="2179"/>
    <cellStyle name="Total 5" xfId="2180"/>
    <cellStyle name="Total 6" xfId="2181"/>
    <cellStyle name="Total 7" xfId="2182"/>
    <cellStyle name="Total 8" xfId="2183"/>
    <cellStyle name="Total 9" xfId="2184"/>
    <cellStyle name="Total_120125_BD U Průhonu-tabulky" xfId="2185"/>
    <cellStyle name="Tučně" xfId="2186"/>
    <cellStyle name="TYP ŘÁDKU_4(sloupceJ-L)" xfId="2187"/>
    <cellStyle name="Typ tovaru" xfId="2188"/>
    <cellStyle name="UK Price Col" xfId="2189"/>
    <cellStyle name="UK Price Col 1" xfId="2190"/>
    <cellStyle name="UK Price Col 10" xfId="2191"/>
    <cellStyle name="UK Price Col 11" xfId="2192"/>
    <cellStyle name="UK Price Col 12" xfId="2193"/>
    <cellStyle name="UK Price Col 13" xfId="2194"/>
    <cellStyle name="UK Price Col 14" xfId="2195"/>
    <cellStyle name="UK Price Col 15" xfId="2196"/>
    <cellStyle name="UK Price Col 16" xfId="2197"/>
    <cellStyle name="UK Price Col 17" xfId="2198"/>
    <cellStyle name="UK Price Col 18" xfId="2199"/>
    <cellStyle name="UK Price Col 19" xfId="2200"/>
    <cellStyle name="UK Price Col 2" xfId="2201"/>
    <cellStyle name="UK Price Col 20" xfId="2202"/>
    <cellStyle name="UK Price Col 21" xfId="2203"/>
    <cellStyle name="UK Price Col 22" xfId="2204"/>
    <cellStyle name="UK Price Col 3" xfId="2205"/>
    <cellStyle name="UK Price Col 4" xfId="2206"/>
    <cellStyle name="UK Price Col 5" xfId="2207"/>
    <cellStyle name="UK Price Col 6" xfId="2208"/>
    <cellStyle name="UK Price Col 7" xfId="2209"/>
    <cellStyle name="UK Price Col 8" xfId="2210"/>
    <cellStyle name="UK Price Col 9" xfId="2211"/>
    <cellStyle name="Upozornenie" xfId="2212"/>
    <cellStyle name="Vstup" xfId="2213"/>
    <cellStyle name="Vstup 1" xfId="2214"/>
    <cellStyle name="Vstup 2" xfId="2215"/>
    <cellStyle name="Vstup 3" xfId="2216"/>
    <cellStyle name="Vstup 4" xfId="2217"/>
    <cellStyle name="Vstup 5" xfId="2218"/>
    <cellStyle name="Vstup 6" xfId="2219"/>
    <cellStyle name="Vstup 7" xfId="2220"/>
    <cellStyle name="Vstup 8" xfId="2221"/>
    <cellStyle name="Vstup 9" xfId="2222"/>
    <cellStyle name="Výpo?et" xfId="2223"/>
    <cellStyle name="Výpo?et 1" xfId="2224"/>
    <cellStyle name="Výpo?et 2" xfId="2225"/>
    <cellStyle name="Výpo?et 3" xfId="2226"/>
    <cellStyle name="Výpo?et 4" xfId="2227"/>
    <cellStyle name="Výpo?et 5" xfId="2228"/>
    <cellStyle name="Výpo?et 6" xfId="2229"/>
    <cellStyle name="Výpo?et 7" xfId="2230"/>
    <cellStyle name="Výpo?et 8" xfId="2231"/>
    <cellStyle name="Výpo?et 9" xfId="2232"/>
    <cellStyle name="Výpočet" xfId="2233"/>
    <cellStyle name="Výstup" xfId="2234"/>
    <cellStyle name="Výstup 1" xfId="2235"/>
    <cellStyle name="Výstup 2" xfId="2236"/>
    <cellStyle name="Výstup 3" xfId="2237"/>
    <cellStyle name="Výstup 4" xfId="2238"/>
    <cellStyle name="Výstup 5" xfId="2239"/>
    <cellStyle name="Výstup 6" xfId="2240"/>
    <cellStyle name="Výstup 7" xfId="2241"/>
    <cellStyle name="Výstup 8" xfId="2242"/>
    <cellStyle name="Výstup 9" xfId="2243"/>
    <cellStyle name="Vysv?tlující text" xfId="2244"/>
    <cellStyle name="Vysv?tlující text 1" xfId="2245"/>
    <cellStyle name="Vysv?tlující text 2" xfId="2246"/>
    <cellStyle name="Vysv?tlující text 3" xfId="2247"/>
    <cellStyle name="Vysv?tlující text 4" xfId="2248"/>
    <cellStyle name="Vysv?tlující text 5" xfId="2249"/>
    <cellStyle name="Vysv?tlující text 6" xfId="2250"/>
    <cellStyle name="Vysv?tlující text 7" xfId="2251"/>
    <cellStyle name="Vysv?tlující text 8" xfId="2252"/>
    <cellStyle name="Vysv?tlující text 9" xfId="2253"/>
    <cellStyle name="Vysvet?ujúci text" xfId="2254"/>
    <cellStyle name="Vysvet?ujúci text 1" xfId="2255"/>
    <cellStyle name="Vysvet?ujúci text 2" xfId="2256"/>
    <cellStyle name="Vysvet?ujúci text 3" xfId="2257"/>
    <cellStyle name="Vysvet?ujúci text 4" xfId="2258"/>
    <cellStyle name="Vysvet?ujúci text 5" xfId="2259"/>
    <cellStyle name="Vysvet?ujúci text 6" xfId="2260"/>
    <cellStyle name="Vysvet?ujúci text 7" xfId="2261"/>
    <cellStyle name="Vysvet?ujúci text 8" xfId="2262"/>
    <cellStyle name="Vysvet?ujúci text 9" xfId="2263"/>
    <cellStyle name="Vysvětlující text" xfId="2264"/>
    <cellStyle name="W?hrung [0]_--&gt;2-1" xfId="2265"/>
    <cellStyle name="W?hrung_--&gt;2-1" xfId="2266"/>
    <cellStyle name="Währung [0]_--&gt;2-1" xfId="2267"/>
    <cellStyle name="Währung_--&gt;2-1" xfId="2268"/>
    <cellStyle name="Walutowy [0]_laroux" xfId="2269"/>
    <cellStyle name="Walutowy_laroux" xfId="2270"/>
    <cellStyle name="Warning Text" xfId="2271"/>
    <cellStyle name="Wהhrung [0]_--&gt;2-1" xfId="2272"/>
    <cellStyle name="Wהhrung_--&gt;2-1" xfId="2273"/>
    <cellStyle name="základní" xfId="2274"/>
    <cellStyle name="Záruka" xfId="2275"/>
    <cellStyle name="Zlá" xfId="2276"/>
    <cellStyle name="Zlá 1" xfId="2277"/>
    <cellStyle name="Zlá 2" xfId="2278"/>
    <cellStyle name="Zlá 3" xfId="2279"/>
    <cellStyle name="Zlá 4" xfId="2280"/>
    <cellStyle name="Zlá 5" xfId="2281"/>
    <cellStyle name="Zlá 6" xfId="2282"/>
    <cellStyle name="Zlá 7" xfId="2283"/>
    <cellStyle name="Zlá 8" xfId="2284"/>
    <cellStyle name="Zlá 9" xfId="2285"/>
    <cellStyle name="Zvýrazn?ní 1" xfId="2286"/>
    <cellStyle name="Zvýrazn?ní 1 1" xfId="2287"/>
    <cellStyle name="Zvýrazn?ní 1 2" xfId="2288"/>
    <cellStyle name="Zvýrazn?ní 1 3" xfId="2289"/>
    <cellStyle name="Zvýrazn?ní 1 4" xfId="2290"/>
    <cellStyle name="Zvýrazn?ní 1 5" xfId="2291"/>
    <cellStyle name="Zvýrazn?ní 1 6" xfId="2292"/>
    <cellStyle name="Zvýrazn?ní 1 7" xfId="2293"/>
    <cellStyle name="Zvýrazn?ní 1 8" xfId="2294"/>
    <cellStyle name="Zvýrazn?ní 1 9" xfId="2295"/>
    <cellStyle name="Zvýrazn?ní 2" xfId="2296"/>
    <cellStyle name="Zvýrazn?ní 2 1" xfId="2297"/>
    <cellStyle name="Zvýrazn?ní 2 2" xfId="2298"/>
    <cellStyle name="Zvýrazn?ní 2 3" xfId="2299"/>
    <cellStyle name="Zvýrazn?ní 2 4" xfId="2300"/>
    <cellStyle name="Zvýrazn?ní 2 5" xfId="2301"/>
    <cellStyle name="Zvýrazn?ní 2 6" xfId="2302"/>
    <cellStyle name="Zvýrazn?ní 2 7" xfId="2303"/>
    <cellStyle name="Zvýrazn?ní 2 8" xfId="2304"/>
    <cellStyle name="Zvýrazn?ní 2 9" xfId="2305"/>
    <cellStyle name="Zvýrazn?ní 3" xfId="2306"/>
    <cellStyle name="Zvýrazn?ní 3 1" xfId="2307"/>
    <cellStyle name="Zvýrazn?ní 3 2" xfId="2308"/>
    <cellStyle name="Zvýrazn?ní 3 3" xfId="2309"/>
    <cellStyle name="Zvýrazn?ní 3 4" xfId="2310"/>
    <cellStyle name="Zvýrazn?ní 3 5" xfId="2311"/>
    <cellStyle name="Zvýrazn?ní 3 6" xfId="2312"/>
    <cellStyle name="Zvýrazn?ní 3 7" xfId="2313"/>
    <cellStyle name="Zvýrazn?ní 3 8" xfId="2314"/>
    <cellStyle name="Zvýrazn?ní 3 9" xfId="2315"/>
    <cellStyle name="Zvýrazn?ní 4" xfId="2316"/>
    <cellStyle name="Zvýrazn?ní 4 1" xfId="2317"/>
    <cellStyle name="Zvýrazn?ní 4 2" xfId="2318"/>
    <cellStyle name="Zvýrazn?ní 4 3" xfId="2319"/>
    <cellStyle name="Zvýrazn?ní 4 4" xfId="2320"/>
    <cellStyle name="Zvýrazn?ní 4 5" xfId="2321"/>
    <cellStyle name="Zvýrazn?ní 4 6" xfId="2322"/>
    <cellStyle name="Zvýrazn?ní 4 7" xfId="2323"/>
    <cellStyle name="Zvýrazn?ní 4 8" xfId="2324"/>
    <cellStyle name="Zvýrazn?ní 4 9" xfId="2325"/>
    <cellStyle name="Zvýrazn?ní 5" xfId="2326"/>
    <cellStyle name="Zvýrazn?ní 5 1" xfId="2327"/>
    <cellStyle name="Zvýrazn?ní 5 2" xfId="2328"/>
    <cellStyle name="Zvýrazn?ní 5 3" xfId="2329"/>
    <cellStyle name="Zvýrazn?ní 5 4" xfId="2330"/>
    <cellStyle name="Zvýrazn?ní 5 5" xfId="2331"/>
    <cellStyle name="Zvýrazn?ní 5 6" xfId="2332"/>
    <cellStyle name="Zvýrazn?ní 5 7" xfId="2333"/>
    <cellStyle name="Zvýrazn?ní 5 8" xfId="2334"/>
    <cellStyle name="Zvýrazn?ní 5 9" xfId="2335"/>
    <cellStyle name="Zvýrazn?ní 6" xfId="2336"/>
    <cellStyle name="Zvýrazn?ní 6 1" xfId="2337"/>
    <cellStyle name="Zvýrazn?ní 6 2" xfId="2338"/>
    <cellStyle name="Zvýrazn?ní 6 3" xfId="2339"/>
    <cellStyle name="Zvýrazn?ní 6 4" xfId="2340"/>
    <cellStyle name="Zvýrazn?ní 6 5" xfId="2341"/>
    <cellStyle name="Zvýrazn?ní 6 6" xfId="2342"/>
    <cellStyle name="Zvýrazn?ní 6 7" xfId="2343"/>
    <cellStyle name="Zvýrazn?ní 6 8" xfId="2344"/>
    <cellStyle name="Zvýrazn?ní 6 9" xfId="2345"/>
    <cellStyle name="Zvýraznění 1" xfId="2346"/>
    <cellStyle name="Zvýraznění 2" xfId="2347"/>
    <cellStyle name="Zvýraznění 3" xfId="2348"/>
    <cellStyle name="Zvýraznění 4" xfId="2349"/>
    <cellStyle name="Zvýraznění 5" xfId="2350"/>
    <cellStyle name="Zvýraznění 6" xfId="2351"/>
    <cellStyle name="Zvýraznenie1" xfId="2352"/>
    <cellStyle name="Zvýraznenie1 1" xfId="2353"/>
    <cellStyle name="Zvýraznenie1 2" xfId="2354"/>
    <cellStyle name="Zvýraznenie1 3" xfId="2355"/>
    <cellStyle name="Zvýraznenie1 4" xfId="2356"/>
    <cellStyle name="Zvýraznenie1 5" xfId="2357"/>
    <cellStyle name="Zvýraznenie1 6" xfId="2358"/>
    <cellStyle name="Zvýraznenie1 7" xfId="2359"/>
    <cellStyle name="Zvýraznenie1 8" xfId="2360"/>
    <cellStyle name="Zvýraznenie1 9" xfId="2361"/>
    <cellStyle name="Zvýraznenie2" xfId="2362"/>
    <cellStyle name="Zvýraznenie2 1" xfId="2363"/>
    <cellStyle name="Zvýraznenie2 2" xfId="2364"/>
    <cellStyle name="Zvýraznenie2 3" xfId="2365"/>
    <cellStyle name="Zvýraznenie2 4" xfId="2366"/>
    <cellStyle name="Zvýraznenie2 5" xfId="2367"/>
    <cellStyle name="Zvýraznenie2 6" xfId="2368"/>
    <cellStyle name="Zvýraznenie2 7" xfId="2369"/>
    <cellStyle name="Zvýraznenie2 8" xfId="2370"/>
    <cellStyle name="Zvýraznenie2 9" xfId="2371"/>
    <cellStyle name="Zvýraznenie3" xfId="2372"/>
    <cellStyle name="Zvýraznenie3 1" xfId="2373"/>
    <cellStyle name="Zvýraznenie3 2" xfId="2374"/>
    <cellStyle name="Zvýraznenie3 3" xfId="2375"/>
    <cellStyle name="Zvýraznenie3 4" xfId="2376"/>
    <cellStyle name="Zvýraznenie3 5" xfId="2377"/>
    <cellStyle name="Zvýraznenie3 6" xfId="2378"/>
    <cellStyle name="Zvýraznenie3 7" xfId="2379"/>
    <cellStyle name="Zvýraznenie3 8" xfId="2380"/>
    <cellStyle name="Zvýraznenie3 9" xfId="2381"/>
    <cellStyle name="Zvýraznenie4" xfId="2382"/>
    <cellStyle name="Zvýraznenie4 1" xfId="2383"/>
    <cellStyle name="Zvýraznenie4 2" xfId="2384"/>
    <cellStyle name="Zvýraznenie4 3" xfId="2385"/>
    <cellStyle name="Zvýraznenie4 4" xfId="2386"/>
    <cellStyle name="Zvýraznenie4 5" xfId="2387"/>
    <cellStyle name="Zvýraznenie4 6" xfId="2388"/>
    <cellStyle name="Zvýraznenie4 7" xfId="2389"/>
    <cellStyle name="Zvýraznenie4 8" xfId="2390"/>
    <cellStyle name="Zvýraznenie4 9" xfId="2391"/>
    <cellStyle name="Zvýraznenie5" xfId="2392"/>
    <cellStyle name="Zvýraznenie5 1" xfId="2393"/>
    <cellStyle name="Zvýraznenie5 2" xfId="2394"/>
    <cellStyle name="Zvýraznenie5 3" xfId="2395"/>
    <cellStyle name="Zvýraznenie5 4" xfId="2396"/>
    <cellStyle name="Zvýraznenie5 5" xfId="2397"/>
    <cellStyle name="Zvýraznenie5 6" xfId="2398"/>
    <cellStyle name="Zvýraznenie5 7" xfId="2399"/>
    <cellStyle name="Zvýraznenie5 8" xfId="2400"/>
    <cellStyle name="Zvýraznenie5 9" xfId="2401"/>
    <cellStyle name="Zvýraznenie6" xfId="2402"/>
    <cellStyle name="Zvýraznenie6 1" xfId="2403"/>
    <cellStyle name="Zvýraznenie6 2" xfId="2404"/>
    <cellStyle name="Zvýraznenie6 3" xfId="2405"/>
    <cellStyle name="Zvýraznenie6 4" xfId="2406"/>
    <cellStyle name="Zvýraznenie6 5" xfId="2407"/>
    <cellStyle name="Zvýraznenie6 6" xfId="2408"/>
    <cellStyle name="Zvýraznenie6 7" xfId="2409"/>
    <cellStyle name="Zvýraznenie6 8" xfId="2410"/>
    <cellStyle name="Zvýraznenie6 9" xfId="2411"/>
    <cellStyle name="Zvýrazni" xfId="24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5mssrv39:8600/usn/webdav/a3def7b5284528fd0bd462d7dc644ef2/eliska.svobodova/218546/090805_Ka&#353;persk&#233;%20hory%20-%20etap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69-server\server\_Akce_2004\4120_4140\4127_Sokol_Central%20park%20Praha\Z&#225;kazn&#237;k_Out\4127_Final%20040624\4127_Sokolovna_CPP_04062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69-server\server\_Akce\3130_Jedli&#269;k&#367;v%20&#250;stav\V&#253;stupy_2\RO_Dostavba%20Jedli&#269;kova%20&#250;stavu%20a%20&#353;kol%20-%20II.etap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5mssrv39:8600/Users\Ivan\Desktop\Documents\PR&#193;CE\42.RD%20Hl&#225;sn&#225;%20T&#345;eb&#225;&#328;-Rovina%20-%20TS\100312_Final\2010-03-08_RD%20Hlasna%20Treban-Rovina%20-%20RO%20-fin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5mssrv39:8600/Users\Ivan\Desktop\Documents\PR&#193;CE\64.Kladno%20-%20Dvo&#345;&#225;kpartners\Podklady%20final\Zat.%20OSBD%20HB%20-%20Chot&#283;bo&#345;,%20Kosmonaut&#367;%201580%20-%20ocen&#283;no%203103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5mssrv39:8600/Users\Ivan\Desktop\Documents\PR&#193;CE\64.Kladno%20-%20Dvo&#345;&#225;kpartners\Podklady%20final\11308_GARC%20Kladno%20-%20R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5mssrv39:8600/Users\Ivan\Desktop\Documents\PR&#193;CE\64.Kladno%20-%20Dvo&#345;&#225;kpartners\Podklady%20final\ZATEPLENI%20KULTURNIHO%20CENTRA%2012%20-%20PRAHA%204-MODRANY%20-%20NABIDK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1%20Exbud\13.12.99.%20Exbud.%20List%20of%20unit%20rates.%20nr%209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4%20Ilbau\10.12.99%20Ilbau.%20Summary%20bill%20of%20quantiti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6\jola\WINDOWS\TEMP\Oferta%20-%20za&#322;.%2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5mssrv39:8600/usn/webdav/a3def7b5284528fd0bd462d7dc644ef2/eliska.svobodova/218546/160429_Are&#225;l%20MV%20Net&#345;eba%20-%20ostatn&#237;%20n&#225;klad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5mssrv39:8600/usn/webdav/a3def7b5284528fd0bd462d7dc644ef2/eliska.svobodova/218546/11%2005%2024%20Vykazy%20vymer_profese\SLABO_U%20PR&#366;HONU%20F1_11%20V&#221;M&#282;RY_rozpo&#269;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5mssrv39:8600/467%20-%20Vila%20Chuchle_Na%20Hv&#283;zd&#225;rn&#283;\_ROZPOCTY\DCPD%20PRO%20STAVBU\02_EXT\_IN\01_ROZPOCTAR\11_09_12%20Upraveny%20VV%20k%20DCPD%2001_ke%20kontrole\KOMPLETNI%20DSP_pdf\F.10_EL_SILNO\03_VV-El-Vytah-DS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5mssrv39:8600/Users\Ivan\Documents\PR&#193;CE\29.%20GANT%20-%20Bratislava\090912_GANT%20MAN\090912_GANT%20MAN%20Eurovea%20Bratislava%20-%20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5mssrv39:8600/Dokumenty\dodavatele%2047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5mssrv39:8600/Users\Ivan\AppData\Local\Microsoft\Windows\Temporary%20Internet%20Files\Content.Outlook\PKQ9HHHR\GANT%20Galerie%20Myslbek%20-%20stavebn&#237;%20-%20200309%20by%20J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5mssrv39:8600/Dana\VYPAL%20NA%20CD\PRAC&#193;K\ROZPRAC.ZAKAZKY\2006\PLZEN%20WEST\hala%20A\SO%2010%20Odv.%20komunikac&#23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5mssrv39:8600/Users\Ivan\Desktop\Documents\PR&#193;CE\32.RD%20Radot&#237;n%20-%20TS\Radotin-stavebni%20ZADANI%20PRO%20DODAVATELE%2020090902-doplneno%2028.10.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5mssrv39:8600/467%20-%20Vila%20Chuchle_Na%20Hv&#283;zd&#225;rn&#283;\_ROZPOCTY\05_DPS_EXT\_IN\01_ROZPOCTAR\12_01_17%20VV%20EXT_upravy%20final_kontrola%20pred%20rozdelenim\110615_RD%20M&#283;ln&#237;k%20-%20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apy-rekapitulace"/>
      <sheetName val="Etapy-položky"/>
      <sheetName val="Osvě,zvuk tech-hl.sál "/>
      <sheetName val="Osvě,zvuk tech-podkr.sál"/>
      <sheetName val="Silnop"/>
      <sheetName val="Přípojka ZTI"/>
      <sheetName val="Vnitřní ZTI"/>
      <sheetName val="Scén tech-konstrukce"/>
      <sheetName val="Scén tech-vybavení"/>
      <sheetName val="ÚT"/>
      <sheetName val="VZT"/>
      <sheetName val="Inter"/>
      <sheetName val="#ODKAZ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tul_RO"/>
      <sheetName val="Rekapitulace"/>
      <sheetName val="Propoče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kap SO01, SO02, SO03"/>
      <sheetName val="Pol RO SO1"/>
      <sheetName val="Pol RO SO2"/>
      <sheetName val="Pol RO SO3"/>
      <sheetName val="Zám výr RO SO03"/>
      <sheetName val="Klemp výrRO"/>
      <sheetName val="Zámeč výrRO SO01"/>
      <sheetName val="Ostat výrRO"/>
      <sheetName val="Výpl otv vnějRO"/>
      <sheetName val="Výpl otv vnitřRO"/>
      <sheetName val="Truhl výr ostRO"/>
      <sheetName val="ZTI RO"/>
      <sheetName val="ÚT RO"/>
      <sheetName val="Elekt rekap "/>
      <sheetName val="Elekt R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Byt. dům v Chotěboři, Kosmonautů č.p. 1580</v>
          </cell>
        </row>
        <row r="6">
          <cell r="C6" t="str">
            <v>Zat.OSBD Chotěboř sídl.Chmelnice, Kosmonautů 1580 </v>
          </cell>
        </row>
        <row r="7">
          <cell r="G7">
            <v>0</v>
          </cell>
        </row>
      </sheetData>
      <sheetData sheetId="1">
        <row r="27">
          <cell r="E27">
            <v>3871209.0199999996</v>
          </cell>
          <cell r="F27">
            <v>1114291.91</v>
          </cell>
          <cell r="G27">
            <v>0</v>
          </cell>
          <cell r="I27">
            <v>0</v>
          </cell>
        </row>
        <row r="35">
          <cell r="H35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RC Kladno-rekapW.1"/>
      <sheetName val="GARC Kladno-ROW.1"/>
      <sheetName val="GARC Kladno-rekap slepW.1 "/>
      <sheetName val="GARC Kladno-slepW.1 "/>
      <sheetName val="GARC Kladno-rekapW.2 "/>
      <sheetName val="GARC Kladno-ROW.2"/>
      <sheetName val="GARC Kladno-rekapslepW.2"/>
      <sheetName val="GARC Kladno-slepW.2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30">
          <cell r="C30">
            <v>20</v>
          </cell>
        </row>
        <row r="32">
          <cell r="C3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oboty sanitarne"/>
      <sheetName val="Roboty budowlane"/>
      <sheetName val="Roboty elektryczne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pp_6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oložky-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VV OCENĚNÝ - ROZPOČET"/>
      <sheetName val="VV NEOCENĚN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"/>
      <sheetName val="SO01-Bourání"/>
      <sheetName val="SO02-Stavební část"/>
      <sheetName val="Dodávka Gantservice"/>
      <sheetName val="SO03-Vnitřní vybavení"/>
      <sheetName val="SO04-Merchandising"/>
      <sheetName val="SO05-Svítidla"/>
      <sheetName val="Rozdělení dod.svítide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N-app-6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01 - Bourání, demolice"/>
      <sheetName val="SO02-Stavební část"/>
      <sheetName val="Pozn.-dodávka GANT"/>
      <sheetName val="Pódium+schody-rozpis"/>
      <sheetName val="Revizní lávka-rozpis"/>
      <sheetName val="Drobné zám.konstr.-rozpis"/>
      <sheetName val="SO03 - Vnitřní vybavení"/>
      <sheetName val="SO04-Merchandising"/>
      <sheetName val="SO05-Svítidla"/>
      <sheetName val="VZT"/>
      <sheetName val="Silnoproud"/>
      <sheetName val="STK"/>
      <sheetName val="EZS"/>
      <sheetName val="EPS"/>
      <sheetName val="CCTV"/>
      <sheetName val="Audio"/>
      <sheetName val="Ochrana zboží"/>
      <sheetName val="ÚT, napojení TČ"/>
      <sheetName val="ZT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ýkopy"/>
      <sheetName val="ORL"/>
      <sheetName val="štěrbinový žlab"/>
      <sheetName val="celkový přehled"/>
      <sheetName val="PW_Hala A_SO 10_Drain. of ar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lkem"/>
      <sheetName val="Rekap.stav."/>
      <sheetName val="Stav.pol."/>
      <sheetName val="Rekap.elektro"/>
      <sheetName val="Elektro pol."/>
      <sheetName val="Rekap.rozvaděč PR"/>
      <sheetName val="Rozvaděč PR-rozpis"/>
      <sheetName val="ÚT"/>
      <sheetName val="ZTI"/>
      <sheetName val="Ply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D Mělník"/>
      <sheetName val="RD Zavadilka - RO"/>
      <sheetName val="SO01-Sýpka-pol"/>
      <sheetName val="Pozn."/>
      <sheetName val="GARC Kladno-ROW.1"/>
      <sheetName val="GARC Kladno-ROW.2"/>
      <sheetName val="Pňovany"/>
      <sheetName val="Františka"/>
      <sheetName val="RD"/>
      <sheetName val="Rubín"/>
      <sheetName val="Dušan"/>
      <sheetName val="Roztoky"/>
      <sheetName val="RD Nebušická"/>
      <sheetName val="vzorová AB slepý"/>
      <sheetName val="Radotí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view="pageBreakPreview" zoomScaleNormal="80" zoomScaleSheetLayoutView="100" zoomScalePageLayoutView="0" workbookViewId="0" topLeftCell="A28">
      <selection activeCell="G51" sqref="G51"/>
    </sheetView>
  </sheetViews>
  <sheetFormatPr defaultColWidth="12.125" defaultRowHeight="12.75"/>
  <cols>
    <col min="1" max="1" width="15.125" style="694" customWidth="1"/>
    <col min="2" max="2" width="66.125" style="272" customWidth="1"/>
    <col min="3" max="3" width="26.75390625" style="647" customWidth="1"/>
    <col min="4" max="4" width="12.75390625" style="648" customWidth="1"/>
    <col min="5" max="5" width="13.875" style="649" customWidth="1"/>
    <col min="6" max="6" width="17.25390625" style="650" customWidth="1"/>
    <col min="7" max="7" width="25.75390625" style="651" customWidth="1"/>
    <col min="8" max="16384" width="12.125" style="246" customWidth="1"/>
  </cols>
  <sheetData>
    <row r="2" spans="1:2" ht="17.25" customHeight="1">
      <c r="A2" s="645"/>
      <c r="B2" s="646" t="s">
        <v>1481</v>
      </c>
    </row>
    <row r="3" spans="1:2" ht="17.25" customHeight="1">
      <c r="A3" s="645"/>
      <c r="B3" s="646"/>
    </row>
    <row r="4" spans="1:7" ht="12.75" customHeight="1">
      <c r="A4" s="652" t="s">
        <v>31</v>
      </c>
      <c r="B4" s="653" t="s">
        <v>99</v>
      </c>
      <c r="C4" s="242"/>
      <c r="D4" s="654"/>
      <c r="E4" s="654"/>
      <c r="G4" s="655"/>
    </row>
    <row r="5" spans="1:7" ht="19.5" customHeight="1">
      <c r="A5" s="652" t="s">
        <v>28</v>
      </c>
      <c r="B5" s="652">
        <v>146</v>
      </c>
      <c r="C5" s="242"/>
      <c r="D5" s="654"/>
      <c r="E5" s="654"/>
      <c r="G5" s="655"/>
    </row>
    <row r="6" spans="1:7" ht="18" customHeight="1">
      <c r="A6" s="656" t="s">
        <v>29</v>
      </c>
      <c r="B6" s="653" t="s">
        <v>69</v>
      </c>
      <c r="G6" s="657"/>
    </row>
    <row r="7" spans="1:2" ht="28.5" customHeight="1">
      <c r="A7" s="658" t="s">
        <v>30</v>
      </c>
      <c r="B7" s="653" t="s">
        <v>93</v>
      </c>
    </row>
    <row r="8" spans="1:7" ht="11.25" customHeight="1">
      <c r="A8" s="656"/>
      <c r="B8" s="653"/>
      <c r="G8" s="659"/>
    </row>
    <row r="9" spans="1:7" ht="18.75" customHeight="1">
      <c r="A9" s="374" t="s">
        <v>96</v>
      </c>
      <c r="B9" s="375" t="s">
        <v>97</v>
      </c>
      <c r="C9" s="361"/>
      <c r="D9" s="362"/>
      <c r="E9" s="363"/>
      <c r="F9" s="364"/>
      <c r="G9" s="378" t="s">
        <v>20</v>
      </c>
    </row>
    <row r="10" spans="1:7" ht="33.75" customHeight="1">
      <c r="A10" s="377" t="s">
        <v>98</v>
      </c>
      <c r="B10" s="375" t="s">
        <v>100</v>
      </c>
      <c r="C10" s="361"/>
      <c r="D10" s="362"/>
      <c r="E10" s="363"/>
      <c r="F10" s="364"/>
      <c r="G10" s="379" t="s">
        <v>21</v>
      </c>
    </row>
    <row r="11" spans="1:7" ht="12.75" customHeight="1">
      <c r="A11" s="374"/>
      <c r="B11" s="368"/>
      <c r="C11" s="361"/>
      <c r="D11" s="362"/>
      <c r="E11" s="363"/>
      <c r="F11" s="364"/>
      <c r="G11" s="379" t="s">
        <v>22</v>
      </c>
    </row>
    <row r="12" spans="1:7" ht="12.75" customHeight="1">
      <c r="A12" s="374"/>
      <c r="B12" s="368"/>
      <c r="C12" s="361"/>
      <c r="D12" s="362"/>
      <c r="E12" s="363"/>
      <c r="F12" s="364"/>
      <c r="G12" s="379" t="s">
        <v>94</v>
      </c>
    </row>
    <row r="13" spans="1:7" ht="12.75" customHeight="1" thickBot="1">
      <c r="A13" s="762"/>
      <c r="B13" s="763"/>
      <c r="G13" s="657"/>
    </row>
    <row r="14" spans="1:7" s="247" customFormat="1" ht="22.5" customHeight="1">
      <c r="A14" s="329"/>
      <c r="B14" s="660" t="s">
        <v>32</v>
      </c>
      <c r="C14" s="661"/>
      <c r="D14" s="660"/>
      <c r="E14" s="661"/>
      <c r="F14" s="660"/>
      <c r="G14" s="662" t="s">
        <v>37</v>
      </c>
    </row>
    <row r="15" spans="1:7" s="247" customFormat="1" ht="23.25" customHeight="1" thickBot="1">
      <c r="A15" s="332"/>
      <c r="B15" s="663">
        <v>1</v>
      </c>
      <c r="C15" s="664"/>
      <c r="D15" s="665"/>
      <c r="E15" s="666"/>
      <c r="F15" s="665"/>
      <c r="G15" s="667">
        <v>2</v>
      </c>
    </row>
    <row r="16" spans="1:7" ht="27" customHeight="1">
      <c r="A16" s="668"/>
      <c r="B16" s="669"/>
      <c r="C16" s="670"/>
      <c r="D16" s="671"/>
      <c r="E16" s="672"/>
      <c r="F16" s="673"/>
      <c r="G16" s="674"/>
    </row>
    <row r="17" spans="1:7" ht="12.75">
      <c r="A17" s="675">
        <v>1</v>
      </c>
      <c r="B17" s="274" t="s">
        <v>51</v>
      </c>
      <c r="C17" s="676"/>
      <c r="D17" s="8"/>
      <c r="E17" s="16"/>
      <c r="F17" s="17"/>
      <c r="G17" s="677">
        <f>SUM(' Rekap stav'!G17:G41)</f>
        <v>0</v>
      </c>
    </row>
    <row r="18" spans="1:7" ht="30.75" customHeight="1">
      <c r="A18" s="678"/>
      <c r="B18" s="274"/>
      <c r="C18" s="6"/>
      <c r="D18" s="501"/>
      <c r="E18" s="16"/>
      <c r="F18" s="17"/>
      <c r="G18" s="679"/>
    </row>
    <row r="19" spans="1:7" ht="12.75">
      <c r="A19" s="675">
        <v>2</v>
      </c>
      <c r="B19" s="274" t="s">
        <v>49</v>
      </c>
      <c r="C19" s="3"/>
      <c r="D19" s="8"/>
      <c r="E19" s="16"/>
      <c r="F19" s="17"/>
      <c r="G19" s="677">
        <f>SUM(' Rekap stav'!G42:G82)</f>
        <v>0</v>
      </c>
    </row>
    <row r="20" spans="1:7" ht="25.5" customHeight="1">
      <c r="A20" s="680"/>
      <c r="B20" s="274"/>
      <c r="C20" s="6"/>
      <c r="D20" s="501"/>
      <c r="E20" s="16"/>
      <c r="F20" s="17"/>
      <c r="G20" s="679"/>
    </row>
    <row r="21" spans="1:7" ht="13.5" customHeight="1">
      <c r="A21" s="675">
        <v>3</v>
      </c>
      <c r="B21" s="237" t="s">
        <v>1341</v>
      </c>
      <c r="C21" s="3"/>
      <c r="D21" s="8"/>
      <c r="E21" s="16"/>
      <c r="F21" s="17"/>
      <c r="G21" s="677"/>
    </row>
    <row r="22" spans="1:7" ht="13.5" customHeight="1">
      <c r="A22" s="680"/>
      <c r="B22" s="237" t="s">
        <v>1370</v>
      </c>
      <c r="C22" s="3"/>
      <c r="D22" s="8"/>
      <c r="E22" s="16"/>
      <c r="F22" s="17"/>
      <c r="G22" s="677">
        <f>ZTI!M30</f>
        <v>0</v>
      </c>
    </row>
    <row r="23" spans="1:7" ht="13.5" customHeight="1">
      <c r="A23" s="680"/>
      <c r="B23" s="237" t="s">
        <v>1371</v>
      </c>
      <c r="C23" s="3"/>
      <c r="D23" s="8"/>
      <c r="E23" s="16"/>
      <c r="F23" s="17"/>
      <c r="G23" s="677">
        <f>Vytapeni!M30</f>
        <v>0</v>
      </c>
    </row>
    <row r="24" spans="1:7" ht="13.5" customHeight="1">
      <c r="A24" s="680"/>
      <c r="B24" s="237" t="s">
        <v>1401</v>
      </c>
      <c r="C24" s="3"/>
      <c r="D24" s="8"/>
      <c r="E24" s="16"/>
      <c r="F24" s="17"/>
      <c r="G24" s="677">
        <f>Vzduchotechnika!M29</f>
        <v>0</v>
      </c>
    </row>
    <row r="25" spans="1:7" ht="13.5" customHeight="1">
      <c r="A25" s="680"/>
      <c r="B25" s="237" t="s">
        <v>1342</v>
      </c>
      <c r="C25" s="3"/>
      <c r="D25" s="8"/>
      <c r="E25" s="16"/>
      <c r="F25" s="17"/>
      <c r="G25" s="677">
        <f>Elektroinstalace!G103</f>
        <v>0</v>
      </c>
    </row>
    <row r="26" spans="1:7" ht="25.5" customHeight="1">
      <c r="A26" s="681"/>
      <c r="B26" s="237"/>
      <c r="C26" s="6"/>
      <c r="D26" s="501"/>
      <c r="E26" s="20"/>
      <c r="F26" s="17"/>
      <c r="G26" s="679"/>
    </row>
    <row r="27" spans="1:7" ht="17.25" customHeight="1">
      <c r="A27" s="248">
        <v>4</v>
      </c>
      <c r="B27" s="237" t="s">
        <v>1469</v>
      </c>
      <c r="C27" s="6"/>
      <c r="D27" s="501"/>
      <c r="E27" s="20"/>
      <c r="F27" s="17"/>
      <c r="G27" s="679"/>
    </row>
    <row r="28" spans="1:7" ht="36.75" customHeight="1">
      <c r="A28" s="681"/>
      <c r="B28" s="237"/>
      <c r="C28" s="6"/>
      <c r="D28" s="501"/>
      <c r="E28" s="20"/>
      <c r="F28" s="17"/>
      <c r="G28" s="679"/>
    </row>
    <row r="29" spans="1:7" ht="12.75">
      <c r="A29" s="248">
        <v>5</v>
      </c>
      <c r="B29" s="237" t="s">
        <v>101</v>
      </c>
      <c r="C29" s="6"/>
      <c r="D29" s="501"/>
      <c r="E29" s="20"/>
      <c r="F29" s="17"/>
      <c r="G29" s="679"/>
    </row>
    <row r="30" spans="1:7" ht="12.75">
      <c r="A30" s="681"/>
      <c r="B30" s="237"/>
      <c r="C30" s="6"/>
      <c r="D30" s="501"/>
      <c r="E30" s="20"/>
      <c r="F30" s="17"/>
      <c r="G30" s="679"/>
    </row>
    <row r="31" spans="1:7" ht="12.75">
      <c r="A31" s="681"/>
      <c r="B31" s="237"/>
      <c r="C31" s="6"/>
      <c r="D31" s="501"/>
      <c r="E31" s="20"/>
      <c r="F31" s="17"/>
      <c r="G31" s="679"/>
    </row>
    <row r="32" spans="1:7" ht="12.75">
      <c r="A32" s="682"/>
      <c r="B32" s="750" t="s">
        <v>1340</v>
      </c>
      <c r="C32" s="683"/>
      <c r="D32" s="8"/>
      <c r="E32" s="16"/>
      <c r="F32" s="17"/>
      <c r="G32" s="677">
        <f>SUM(G16:G30)</f>
        <v>0</v>
      </c>
    </row>
    <row r="33" spans="1:7" ht="12.75">
      <c r="A33" s="684"/>
      <c r="B33" s="685"/>
      <c r="C33" s="686"/>
      <c r="D33" s="501"/>
      <c r="E33" s="16"/>
      <c r="F33" s="17"/>
      <c r="G33" s="679"/>
    </row>
    <row r="34" spans="1:7" ht="48.75" customHeight="1">
      <c r="A34" s="684"/>
      <c r="B34" s="685"/>
      <c r="C34" s="686"/>
      <c r="D34" s="501"/>
      <c r="E34" s="16"/>
      <c r="F34" s="17"/>
      <c r="G34" s="679"/>
    </row>
    <row r="35" spans="1:7" ht="12.75">
      <c r="A35" s="684"/>
      <c r="B35" s="685"/>
      <c r="C35" s="686"/>
      <c r="D35" s="501"/>
      <c r="E35" s="16"/>
      <c r="F35" s="17"/>
      <c r="G35" s="679"/>
    </row>
    <row r="36" spans="1:7" ht="12.75">
      <c r="A36" s="675">
        <v>6</v>
      </c>
      <c r="B36" s="237" t="s">
        <v>85</v>
      </c>
      <c r="C36" s="33"/>
      <c r="D36" s="9"/>
      <c r="E36" s="9"/>
      <c r="F36" s="53"/>
      <c r="G36" s="10"/>
    </row>
    <row r="37" spans="1:7" ht="15.75" customHeight="1">
      <c r="A37" s="54"/>
      <c r="B37" s="237"/>
      <c r="C37" s="33"/>
      <c r="D37" s="9"/>
      <c r="E37" s="9"/>
      <c r="F37" s="53"/>
      <c r="G37" s="10"/>
    </row>
    <row r="38" spans="1:7" ht="15.75" customHeight="1">
      <c r="A38" s="675">
        <v>7</v>
      </c>
      <c r="B38" s="237" t="s">
        <v>86</v>
      </c>
      <c r="C38" s="33"/>
      <c r="D38" s="9"/>
      <c r="E38" s="9"/>
      <c r="F38" s="53"/>
      <c r="G38" s="10"/>
    </row>
    <row r="39" spans="1:7" ht="16.5" customHeight="1">
      <c r="A39" s="54"/>
      <c r="B39" s="237"/>
      <c r="C39" s="33"/>
      <c r="D39" s="9"/>
      <c r="E39" s="9"/>
      <c r="F39" s="53"/>
      <c r="G39" s="10"/>
    </row>
    <row r="40" spans="1:7" ht="18.75" customHeight="1">
      <c r="A40" s="675">
        <v>8</v>
      </c>
      <c r="B40" s="237" t="s">
        <v>87</v>
      </c>
      <c r="C40" s="33"/>
      <c r="D40" s="9"/>
      <c r="E40" s="9"/>
      <c r="F40" s="53"/>
      <c r="G40" s="10"/>
    </row>
    <row r="41" spans="1:7" ht="13.5" customHeight="1">
      <c r="A41" s="54"/>
      <c r="B41" s="237"/>
      <c r="C41" s="33"/>
      <c r="D41" s="9"/>
      <c r="E41" s="9"/>
      <c r="F41" s="53"/>
      <c r="G41" s="10"/>
    </row>
    <row r="42" spans="1:7" ht="16.5" customHeight="1">
      <c r="A42" s="675">
        <v>9</v>
      </c>
      <c r="B42" s="237" t="s">
        <v>1472</v>
      </c>
      <c r="C42" s="33"/>
      <c r="D42" s="9"/>
      <c r="E42" s="9"/>
      <c r="F42" s="53"/>
      <c r="G42" s="10"/>
    </row>
    <row r="43" spans="1:7" ht="51" customHeight="1">
      <c r="A43" s="744"/>
      <c r="B43" s="745"/>
      <c r="C43" s="746"/>
      <c r="D43" s="747"/>
      <c r="E43" s="747"/>
      <c r="F43" s="748"/>
      <c r="G43" s="749"/>
    </row>
    <row r="44" spans="1:7" ht="33" customHeight="1">
      <c r="A44" s="744">
        <v>10</v>
      </c>
      <c r="B44" s="745" t="s">
        <v>1482</v>
      </c>
      <c r="C44" s="746"/>
      <c r="D44" s="747"/>
      <c r="E44" s="747"/>
      <c r="F44" s="748"/>
      <c r="G44" s="749"/>
    </row>
    <row r="45" spans="1:7" ht="16.5" customHeight="1">
      <c r="A45" s="744"/>
      <c r="B45" s="745"/>
      <c r="C45" s="746"/>
      <c r="D45" s="747"/>
      <c r="E45" s="747"/>
      <c r="F45" s="748"/>
      <c r="G45" s="749"/>
    </row>
    <row r="46" spans="1:7" ht="12.75">
      <c r="A46" s="744">
        <v>11</v>
      </c>
      <c r="B46" s="745" t="s">
        <v>1483</v>
      </c>
      <c r="C46" s="746"/>
      <c r="D46" s="747"/>
      <c r="E46" s="747"/>
      <c r="F46" s="748"/>
      <c r="G46" s="749"/>
    </row>
    <row r="47" spans="1:7" ht="12.75">
      <c r="A47" s="744"/>
      <c r="B47" s="745"/>
      <c r="C47" s="746"/>
      <c r="D47" s="747"/>
      <c r="E47" s="747"/>
      <c r="F47" s="748"/>
      <c r="G47" s="749"/>
    </row>
    <row r="48" spans="1:7" s="247" customFormat="1" ht="13.5" thickBot="1">
      <c r="A48" s="39"/>
      <c r="B48" s="275"/>
      <c r="C48" s="40"/>
      <c r="D48" s="41"/>
      <c r="E48" s="41"/>
      <c r="F48" s="42"/>
      <c r="G48" s="43"/>
    </row>
    <row r="49" spans="1:7" s="247" customFormat="1" ht="7.5" customHeight="1">
      <c r="A49" s="44"/>
      <c r="B49" s="45"/>
      <c r="C49" s="37"/>
      <c r="D49" s="46"/>
      <c r="E49" s="47"/>
      <c r="F49" s="48"/>
      <c r="G49" s="327"/>
    </row>
    <row r="50" spans="1:8" s="247" customFormat="1" ht="15">
      <c r="A50" s="49"/>
      <c r="B50" s="269"/>
      <c r="C50" s="764" t="s">
        <v>88</v>
      </c>
      <c r="D50" s="765"/>
      <c r="E50" s="687"/>
      <c r="F50" s="687"/>
      <c r="G50" s="688">
        <f>SUM(G32:G48)</f>
        <v>0</v>
      </c>
      <c r="H50" s="689"/>
    </row>
    <row r="51" spans="1:8" s="247" customFormat="1" ht="18.75" customHeight="1">
      <c r="A51" s="49"/>
      <c r="B51" s="269"/>
      <c r="C51" s="644"/>
      <c r="D51" s="270"/>
      <c r="E51" s="687"/>
      <c r="F51" s="687"/>
      <c r="G51" s="688"/>
      <c r="H51" s="689"/>
    </row>
    <row r="52" spans="1:8" s="247" customFormat="1" ht="13.5" customHeight="1">
      <c r="A52" s="690"/>
      <c r="B52" s="269"/>
      <c r="C52" s="644" t="s">
        <v>89</v>
      </c>
      <c r="D52" s="691"/>
      <c r="E52" s="687"/>
      <c r="F52" s="687"/>
      <c r="G52" s="688"/>
      <c r="H52" s="692"/>
    </row>
    <row r="53" spans="1:8" s="247" customFormat="1" ht="18.75" customHeight="1">
      <c r="A53" s="690"/>
      <c r="B53" s="269"/>
      <c r="C53" s="644"/>
      <c r="D53" s="270"/>
      <c r="E53" s="687"/>
      <c r="F53" s="687"/>
      <c r="G53" s="688"/>
      <c r="H53" s="692"/>
    </row>
    <row r="54" spans="1:8" s="247" customFormat="1" ht="33" customHeight="1">
      <c r="A54" s="690"/>
      <c r="B54" s="269"/>
      <c r="C54" s="644" t="s">
        <v>90</v>
      </c>
      <c r="D54" s="270"/>
      <c r="E54" s="687"/>
      <c r="F54" s="687"/>
      <c r="G54" s="688">
        <f>G50+G52</f>
        <v>0</v>
      </c>
      <c r="H54" s="692"/>
    </row>
    <row r="55" spans="1:2" ht="25.5">
      <c r="A55" s="693" t="s">
        <v>1471</v>
      </c>
      <c r="B55" s="272" t="s">
        <v>1473</v>
      </c>
    </row>
    <row r="56" ht="12.75">
      <c r="A56" s="693"/>
    </row>
    <row r="57" ht="12.75">
      <c r="A57" s="693"/>
    </row>
    <row r="58" ht="12.75">
      <c r="A58" s="693"/>
    </row>
  </sheetData>
  <sheetProtection/>
  <mergeCells count="2">
    <mergeCell ref="A13:B13"/>
    <mergeCell ref="C50:D50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75" r:id="rId1"/>
  <headerFooter alignWithMargins="0">
    <oddFooter>&amp;C&amp;"Times New Roman,Obyčejné"&amp;12&amp;P&amp;RRaudnitzův dům - bydlení pro seniory_Rozklad ceny -  celk rekap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B12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5.375" style="201" customWidth="1"/>
    <col min="2" max="2" width="145.00390625" style="0" customWidth="1"/>
  </cols>
  <sheetData>
    <row r="2" ht="21" customHeight="1">
      <c r="B2" s="38" t="s">
        <v>91</v>
      </c>
    </row>
    <row r="3" ht="6" customHeight="1"/>
    <row r="4" ht="18" customHeight="1">
      <c r="B4" s="751" t="s">
        <v>1280</v>
      </c>
    </row>
    <row r="5" spans="1:2" ht="31.5" customHeight="1">
      <c r="A5" s="220" t="s">
        <v>961</v>
      </c>
      <c r="B5" s="752" t="s">
        <v>1484</v>
      </c>
    </row>
    <row r="6" spans="1:2" ht="33" customHeight="1">
      <c r="A6" s="220" t="s">
        <v>962</v>
      </c>
      <c r="B6" s="752" t="s">
        <v>1485</v>
      </c>
    </row>
    <row r="7" spans="1:2" ht="30" customHeight="1">
      <c r="A7" s="220" t="s">
        <v>963</v>
      </c>
      <c r="B7" s="752" t="s">
        <v>1486</v>
      </c>
    </row>
    <row r="8" spans="1:2" ht="30" customHeight="1">
      <c r="A8" s="220" t="s">
        <v>964</v>
      </c>
      <c r="B8" s="752" t="s">
        <v>1487</v>
      </c>
    </row>
    <row r="9" spans="1:2" ht="22.5" customHeight="1">
      <c r="A9" s="220" t="s">
        <v>965</v>
      </c>
      <c r="B9" s="752" t="s">
        <v>1494</v>
      </c>
    </row>
    <row r="10" spans="1:2" ht="33" customHeight="1">
      <c r="A10" s="220" t="s">
        <v>966</v>
      </c>
      <c r="B10" s="752" t="s">
        <v>1488</v>
      </c>
    </row>
    <row r="11" spans="1:2" ht="24" customHeight="1">
      <c r="A11" s="220" t="s">
        <v>967</v>
      </c>
      <c r="B11" s="752" t="s">
        <v>1497</v>
      </c>
    </row>
    <row r="12" spans="1:2" ht="27" customHeight="1">
      <c r="A12" s="220" t="s">
        <v>968</v>
      </c>
      <c r="B12" s="752" t="s">
        <v>1056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85"/>
  <sheetViews>
    <sheetView view="pageBreakPreview" zoomScaleNormal="80" zoomScaleSheetLayoutView="100" zoomScalePageLayoutView="0" workbookViewId="0" topLeftCell="A49">
      <selection activeCell="B59" sqref="B59"/>
    </sheetView>
  </sheetViews>
  <sheetFormatPr defaultColWidth="12.125" defaultRowHeight="12.75"/>
  <cols>
    <col min="1" max="1" width="15.125" style="694" customWidth="1"/>
    <col min="2" max="2" width="61.875" style="272" customWidth="1"/>
    <col min="3" max="3" width="27.125" style="647" customWidth="1"/>
    <col min="4" max="4" width="12.75390625" style="648" customWidth="1"/>
    <col min="5" max="5" width="13.875" style="649" customWidth="1"/>
    <col min="6" max="6" width="17.25390625" style="650" customWidth="1"/>
    <col min="7" max="7" width="25.75390625" style="651" customWidth="1"/>
    <col min="8" max="16384" width="12.125" style="246" customWidth="1"/>
  </cols>
  <sheetData>
    <row r="1" spans="1:2" ht="17.25" customHeight="1">
      <c r="A1" s="645"/>
      <c r="B1" s="646" t="s">
        <v>1300</v>
      </c>
    </row>
    <row r="2" spans="1:7" ht="12.75" customHeight="1">
      <c r="A2" s="652" t="s">
        <v>31</v>
      </c>
      <c r="B2" s="653" t="s">
        <v>99</v>
      </c>
      <c r="C2" s="242"/>
      <c r="D2" s="654"/>
      <c r="E2" s="654"/>
      <c r="G2" s="655"/>
    </row>
    <row r="3" spans="1:7" ht="27.75" customHeight="1">
      <c r="A3" s="652" t="s">
        <v>28</v>
      </c>
      <c r="B3" s="652">
        <v>146</v>
      </c>
      <c r="C3" s="242"/>
      <c r="D3" s="654"/>
      <c r="E3" s="654"/>
      <c r="G3" s="655"/>
    </row>
    <row r="4" spans="1:7" ht="12.75" customHeight="1">
      <c r="A4" s="656" t="s">
        <v>29</v>
      </c>
      <c r="B4" s="653" t="s">
        <v>69</v>
      </c>
      <c r="G4" s="657"/>
    </row>
    <row r="5" spans="1:2" ht="26.25" customHeight="1">
      <c r="A5" s="658" t="s">
        <v>30</v>
      </c>
      <c r="B5" s="653" t="s">
        <v>93</v>
      </c>
    </row>
    <row r="6" spans="1:7" ht="12.75" customHeight="1">
      <c r="A6" s="656"/>
      <c r="B6" s="653"/>
      <c r="G6" s="659"/>
    </row>
    <row r="7" spans="1:7" ht="12.75" customHeight="1">
      <c r="A7" s="656"/>
      <c r="B7" s="653"/>
      <c r="G7" s="659" t="s">
        <v>20</v>
      </c>
    </row>
    <row r="8" spans="1:7" ht="12.75" customHeight="1">
      <c r="A8" s="374" t="s">
        <v>96</v>
      </c>
      <c r="B8" s="375" t="s">
        <v>97</v>
      </c>
      <c r="C8" s="361"/>
      <c r="D8" s="362"/>
      <c r="E8" s="363"/>
      <c r="F8" s="364"/>
      <c r="G8" s="378" t="s">
        <v>20</v>
      </c>
    </row>
    <row r="9" spans="1:7" ht="12.75" customHeight="1">
      <c r="A9" s="377" t="s">
        <v>98</v>
      </c>
      <c r="B9" s="375" t="s">
        <v>100</v>
      </c>
      <c r="C9" s="361"/>
      <c r="D9" s="362"/>
      <c r="E9" s="363"/>
      <c r="F9" s="364"/>
      <c r="G9" s="379" t="s">
        <v>21</v>
      </c>
    </row>
    <row r="10" spans="1:7" ht="12.75" customHeight="1">
      <c r="A10" s="374"/>
      <c r="B10" s="368"/>
      <c r="C10" s="361"/>
      <c r="D10" s="362"/>
      <c r="E10" s="363"/>
      <c r="F10" s="364"/>
      <c r="G10" s="379" t="s">
        <v>22</v>
      </c>
    </row>
    <row r="11" spans="1:7" ht="12.75" customHeight="1">
      <c r="A11" s="374"/>
      <c r="B11" s="368"/>
      <c r="C11" s="361"/>
      <c r="D11" s="362"/>
      <c r="E11" s="363"/>
      <c r="F11" s="364"/>
      <c r="G11" s="379" t="s">
        <v>94</v>
      </c>
    </row>
    <row r="12" spans="1:7" ht="12.75" customHeight="1">
      <c r="A12" s="656"/>
      <c r="B12" s="653"/>
      <c r="G12" s="695"/>
    </row>
    <row r="13" spans="1:7" ht="12.75" customHeight="1">
      <c r="A13" s="656"/>
      <c r="B13" s="653"/>
      <c r="G13" s="695"/>
    </row>
    <row r="14" spans="1:7" ht="12.75" customHeight="1" thickBot="1">
      <c r="A14" s="762"/>
      <c r="B14" s="763"/>
      <c r="G14" s="657"/>
    </row>
    <row r="15" spans="1:7" s="247" customFormat="1" ht="34.5" customHeight="1">
      <c r="A15" s="329"/>
      <c r="B15" s="329" t="s">
        <v>32</v>
      </c>
      <c r="C15" s="330"/>
      <c r="D15" s="329"/>
      <c r="E15" s="330"/>
      <c r="F15" s="329"/>
      <c r="G15" s="696" t="s">
        <v>37</v>
      </c>
    </row>
    <row r="16" spans="1:7" s="247" customFormat="1" ht="27" customHeight="1" thickBot="1">
      <c r="A16" s="697"/>
      <c r="B16" s="698">
        <v>1</v>
      </c>
      <c r="C16" s="699"/>
      <c r="D16" s="697"/>
      <c r="E16" s="700"/>
      <c r="F16" s="697"/>
      <c r="G16" s="701">
        <v>2</v>
      </c>
    </row>
    <row r="17" spans="1:7" ht="12.75">
      <c r="A17" s="668"/>
      <c r="B17" s="669" t="s">
        <v>51</v>
      </c>
      <c r="C17" s="670"/>
      <c r="D17" s="671"/>
      <c r="E17" s="672"/>
      <c r="F17" s="673"/>
      <c r="G17" s="674"/>
    </row>
    <row r="18" spans="1:7" ht="12.75">
      <c r="A18" s="675">
        <v>1</v>
      </c>
      <c r="B18" s="702" t="str">
        <f>Stavebni!C19</f>
        <v>000:Obecné náklady</v>
      </c>
      <c r="C18" s="703"/>
      <c r="D18" s="704"/>
      <c r="E18" s="705"/>
      <c r="F18" s="706"/>
      <c r="G18" s="707">
        <f>Stavebni!H19</f>
        <v>0</v>
      </c>
    </row>
    <row r="19" spans="1:7" ht="12.75">
      <c r="A19" s="708"/>
      <c r="B19" s="709"/>
      <c r="C19" s="703"/>
      <c r="D19" s="704"/>
      <c r="E19" s="705"/>
      <c r="F19" s="706"/>
      <c r="G19" s="707"/>
    </row>
    <row r="20" spans="1:7" ht="12.75">
      <c r="A20" s="675">
        <v>2</v>
      </c>
      <c r="B20" s="237" t="str">
        <f>Stavebni!C28</f>
        <v>001:Zemní práce</v>
      </c>
      <c r="C20" s="3"/>
      <c r="D20" s="8"/>
      <c r="E20" s="16"/>
      <c r="F20" s="17"/>
      <c r="G20" s="238">
        <f>Stavebni!H28</f>
        <v>0</v>
      </c>
    </row>
    <row r="21" spans="1:7" ht="12.75">
      <c r="A21" s="678"/>
      <c r="B21" s="710"/>
      <c r="C21" s="6"/>
      <c r="D21" s="501"/>
      <c r="E21" s="16"/>
      <c r="F21" s="17"/>
      <c r="G21" s="238"/>
    </row>
    <row r="22" spans="1:7" ht="12.75">
      <c r="A22" s="675">
        <v>3</v>
      </c>
      <c r="B22" s="237" t="str">
        <f>Stavebni!C117</f>
        <v>002: Základy</v>
      </c>
      <c r="C22" s="3"/>
      <c r="D22" s="8"/>
      <c r="E22" s="16"/>
      <c r="F22" s="17"/>
      <c r="G22" s="238">
        <f>Stavebni!H117</f>
        <v>0</v>
      </c>
    </row>
    <row r="23" spans="1:7" ht="15" customHeight="1">
      <c r="A23" s="680"/>
      <c r="B23" s="711"/>
      <c r="C23" s="6"/>
      <c r="D23" s="501"/>
      <c r="E23" s="16"/>
      <c r="F23" s="17"/>
      <c r="G23" s="238"/>
    </row>
    <row r="24" spans="1:7" ht="13.5" customHeight="1">
      <c r="A24" s="675">
        <v>4</v>
      </c>
      <c r="B24" s="237" t="str">
        <f>Stavebni!C165</f>
        <v>003: Svislé konstrukce</v>
      </c>
      <c r="C24" s="3"/>
      <c r="D24" s="8"/>
      <c r="E24" s="16"/>
      <c r="F24" s="17"/>
      <c r="G24" s="238">
        <f>Stavebni!H165</f>
        <v>0</v>
      </c>
    </row>
    <row r="25" spans="1:7" ht="12.75">
      <c r="A25" s="681"/>
      <c r="B25" s="711"/>
      <c r="C25" s="6"/>
      <c r="D25" s="501"/>
      <c r="E25" s="20"/>
      <c r="F25" s="17"/>
      <c r="G25" s="238"/>
    </row>
    <row r="26" spans="1:7" ht="12.75">
      <c r="A26" s="675">
        <v>5</v>
      </c>
      <c r="B26" s="237" t="str">
        <f>Stavebni!C312</f>
        <v>004.: Vodorovné konstrukce</v>
      </c>
      <c r="C26" s="683"/>
      <c r="D26" s="8"/>
      <c r="E26" s="16"/>
      <c r="F26" s="17"/>
      <c r="G26" s="238">
        <f>Stavebni!H312</f>
        <v>0</v>
      </c>
    </row>
    <row r="27" spans="1:7" ht="12.75">
      <c r="A27" s="712"/>
      <c r="B27" s="713"/>
      <c r="C27" s="714"/>
      <c r="D27" s="714"/>
      <c r="E27" s="715"/>
      <c r="F27" s="716"/>
      <c r="G27" s="238"/>
    </row>
    <row r="28" spans="1:7" ht="12.75">
      <c r="A28" s="675">
        <v>6</v>
      </c>
      <c r="B28" s="237" t="str">
        <f>Stavebni!C495</f>
        <v>005: Komunikace pozemní</v>
      </c>
      <c r="C28" s="6"/>
      <c r="D28" s="8"/>
      <c r="E28" s="16"/>
      <c r="F28" s="17"/>
      <c r="G28" s="238">
        <f>Stavebni!H495</f>
        <v>0</v>
      </c>
    </row>
    <row r="29" spans="1:7" ht="12.75">
      <c r="A29" s="681"/>
      <c r="B29" s="711"/>
      <c r="C29" s="6"/>
      <c r="D29" s="501"/>
      <c r="E29" s="20"/>
      <c r="F29" s="17"/>
      <c r="G29" s="238"/>
    </row>
    <row r="30" spans="1:7" ht="12.75">
      <c r="A30" s="675">
        <v>7</v>
      </c>
      <c r="B30" s="237" t="str">
        <f>Stavebni!C510</f>
        <v>061: Úprava povrchů vnitřních</v>
      </c>
      <c r="C30" s="5"/>
      <c r="D30" s="11"/>
      <c r="E30" s="20"/>
      <c r="F30" s="17"/>
      <c r="G30" s="238">
        <f>Stavebni!H510</f>
        <v>0</v>
      </c>
    </row>
    <row r="31" spans="1:7" ht="12.75">
      <c r="A31" s="684"/>
      <c r="B31" s="711"/>
      <c r="C31" s="686"/>
      <c r="D31" s="501"/>
      <c r="E31" s="16"/>
      <c r="F31" s="17"/>
      <c r="G31" s="238"/>
    </row>
    <row r="32" spans="1:7" ht="12.75">
      <c r="A32" s="675">
        <v>8</v>
      </c>
      <c r="B32" s="237" t="str">
        <f>Stavebni!C548</f>
        <v>062: Omítky vnější</v>
      </c>
      <c r="C32" s="5"/>
      <c r="D32" s="11"/>
      <c r="E32" s="20"/>
      <c r="F32" s="17"/>
      <c r="G32" s="238">
        <f>Stavebni!H548</f>
        <v>0</v>
      </c>
    </row>
    <row r="33" spans="1:7" ht="12.75">
      <c r="A33" s="681"/>
      <c r="B33" s="711"/>
      <c r="C33" s="6"/>
      <c r="D33" s="501"/>
      <c r="E33" s="20"/>
      <c r="F33" s="17"/>
      <c r="G33" s="238"/>
    </row>
    <row r="34" spans="1:7" ht="12.75">
      <c r="A34" s="675">
        <v>9</v>
      </c>
      <c r="B34" s="237" t="str">
        <f>Stavebni!C553</f>
        <v>063: Podlahy a podlahové konstrukce</v>
      </c>
      <c r="C34" s="5"/>
      <c r="D34" s="11"/>
      <c r="E34" s="20"/>
      <c r="F34" s="17"/>
      <c r="G34" s="238">
        <f>Stavebni!H553</f>
        <v>0</v>
      </c>
    </row>
    <row r="35" spans="1:7" ht="12.75">
      <c r="A35" s="29"/>
      <c r="B35" s="236"/>
      <c r="C35" s="5"/>
      <c r="D35" s="11"/>
      <c r="E35" s="20"/>
      <c r="F35" s="17"/>
      <c r="G35" s="238"/>
    </row>
    <row r="36" spans="1:7" ht="12.75">
      <c r="A36" s="675">
        <v>10</v>
      </c>
      <c r="B36" s="237" t="str">
        <f>Stavebni!C579</f>
        <v>008: Vedení dálková a přípojná</v>
      </c>
      <c r="C36" s="5"/>
      <c r="D36" s="11"/>
      <c r="E36" s="20"/>
      <c r="F36" s="17"/>
      <c r="G36" s="238">
        <f>Stavebni!H579</f>
        <v>0</v>
      </c>
    </row>
    <row r="37" spans="1:7" ht="12.75">
      <c r="A37" s="28"/>
      <c r="B37" s="233"/>
      <c r="C37" s="5"/>
      <c r="D37" s="21"/>
      <c r="E37" s="22"/>
      <c r="F37" s="23"/>
      <c r="G37" s="238"/>
    </row>
    <row r="38" spans="1:7" ht="12.75">
      <c r="A38" s="675">
        <v>11</v>
      </c>
      <c r="B38" s="237" t="str">
        <f>Stavebni!C584</f>
        <v>009: Ostatní konstrukce a práce, bourání</v>
      </c>
      <c r="C38" s="5"/>
      <c r="D38" s="11"/>
      <c r="E38" s="20"/>
      <c r="F38" s="17"/>
      <c r="G38" s="238">
        <f>Stavebni!H584</f>
        <v>0</v>
      </c>
    </row>
    <row r="39" spans="1:7" ht="12.75">
      <c r="A39" s="717"/>
      <c r="B39" s="236"/>
      <c r="C39" s="5"/>
      <c r="D39" s="11"/>
      <c r="E39" s="20"/>
      <c r="F39" s="17"/>
      <c r="G39" s="238"/>
    </row>
    <row r="40" spans="1:7" ht="12.75" customHeight="1">
      <c r="A40" s="675">
        <v>12</v>
      </c>
      <c r="B40" s="237" t="str">
        <f>Stavebni!C717</f>
        <v>099: Přesun hmot HSV</v>
      </c>
      <c r="C40" s="7"/>
      <c r="D40" s="11"/>
      <c r="E40" s="14"/>
      <c r="F40" s="13"/>
      <c r="G40" s="239">
        <f>Stavebni!H717</f>
        <v>0</v>
      </c>
    </row>
    <row r="41" spans="1:7" ht="12.75">
      <c r="A41" s="31"/>
      <c r="B41" s="233"/>
      <c r="C41" s="5"/>
      <c r="D41" s="11"/>
      <c r="E41" s="12"/>
      <c r="F41" s="13"/>
      <c r="G41" s="239"/>
    </row>
    <row r="42" spans="1:7" ht="12.75">
      <c r="A42" s="28"/>
      <c r="B42" s="236" t="str">
        <f>Stavebni!C722</f>
        <v>Práce a dodávky PSV</v>
      </c>
      <c r="C42" s="5"/>
      <c r="D42" s="11"/>
      <c r="E42" s="20"/>
      <c r="F42" s="17"/>
      <c r="G42" s="238"/>
    </row>
    <row r="43" spans="1:7" ht="12.75">
      <c r="A43" s="675">
        <v>13</v>
      </c>
      <c r="B43" s="718" t="str">
        <f>Stavebni!C723</f>
        <v>711: Izolace proti vodě</v>
      </c>
      <c r="C43" s="5"/>
      <c r="D43" s="11"/>
      <c r="E43" s="20"/>
      <c r="F43" s="17"/>
      <c r="G43" s="238">
        <f>Stavebni!H723</f>
        <v>0</v>
      </c>
    </row>
    <row r="44" spans="1:7" ht="12.75" customHeight="1">
      <c r="A44" s="30"/>
      <c r="B44" s="236"/>
      <c r="C44" s="7"/>
      <c r="D44" s="11"/>
      <c r="E44" s="14"/>
      <c r="F44" s="13"/>
      <c r="G44" s="239"/>
    </row>
    <row r="45" spans="1:7" ht="12.75">
      <c r="A45" s="675">
        <v>14</v>
      </c>
      <c r="B45" s="2" t="str">
        <f>Stavebni!C756</f>
        <v>713.: Izolace tepelné</v>
      </c>
      <c r="C45" s="5"/>
      <c r="D45" s="11"/>
      <c r="E45" s="12"/>
      <c r="F45" s="13"/>
      <c r="G45" s="239">
        <f>Stavebni!H756</f>
        <v>0</v>
      </c>
    </row>
    <row r="46" spans="1:7" ht="12.75" customHeight="1">
      <c r="A46" s="719"/>
      <c r="B46" s="236"/>
      <c r="C46" s="5"/>
      <c r="D46" s="11"/>
      <c r="E46" s="20"/>
      <c r="F46" s="17"/>
      <c r="G46" s="238"/>
    </row>
    <row r="47" spans="1:7" ht="12.75" customHeight="1">
      <c r="A47" s="675">
        <v>15</v>
      </c>
      <c r="B47" s="237" t="str">
        <f>Stavebni!C772</f>
        <v>714.: Izolace akustická</v>
      </c>
      <c r="C47" s="5"/>
      <c r="D47" s="11"/>
      <c r="E47" s="20"/>
      <c r="F47" s="17"/>
      <c r="G47" s="238">
        <f>Stavebni!H772</f>
        <v>0</v>
      </c>
    </row>
    <row r="48" spans="1:7" ht="12.75" customHeight="1">
      <c r="A48" s="719"/>
      <c r="B48" s="236"/>
      <c r="C48" s="5"/>
      <c r="D48" s="11"/>
      <c r="E48" s="20"/>
      <c r="F48" s="17"/>
      <c r="G48" s="238"/>
    </row>
    <row r="49" spans="1:7" ht="12.75" customHeight="1">
      <c r="A49" s="675">
        <v>16</v>
      </c>
      <c r="B49" s="237" t="str">
        <f>Stavebni!C779</f>
        <v>755: Technologická zařízení - výtahy</v>
      </c>
      <c r="C49" s="5"/>
      <c r="D49" s="11"/>
      <c r="E49" s="20"/>
      <c r="F49" s="17"/>
      <c r="G49" s="238">
        <f>Stavebni!H779</f>
        <v>0</v>
      </c>
    </row>
    <row r="50" spans="1:7" ht="12.75" customHeight="1">
      <c r="A50" s="719"/>
      <c r="B50" s="236"/>
      <c r="C50" s="5"/>
      <c r="D50" s="11"/>
      <c r="E50" s="20"/>
      <c r="F50" s="17"/>
      <c r="G50" s="238"/>
    </row>
    <row r="51" spans="1:7" ht="12.75" customHeight="1">
      <c r="A51" s="675">
        <v>17</v>
      </c>
      <c r="B51" s="237" t="str">
        <f>Stavebni!C788</f>
        <v>762: Konstrukce tesařské</v>
      </c>
      <c r="C51" s="5"/>
      <c r="D51" s="11"/>
      <c r="E51" s="20"/>
      <c r="F51" s="17"/>
      <c r="G51" s="238">
        <f>Stavebni!H788</f>
        <v>0</v>
      </c>
    </row>
    <row r="52" spans="1:7" ht="12.75" customHeight="1">
      <c r="A52" s="719"/>
      <c r="B52" s="236"/>
      <c r="C52" s="5"/>
      <c r="D52" s="11"/>
      <c r="E52" s="20"/>
      <c r="F52" s="17"/>
      <c r="G52" s="238"/>
    </row>
    <row r="53" spans="1:7" ht="12.75" customHeight="1">
      <c r="A53" s="675">
        <v>18</v>
      </c>
      <c r="B53" s="237" t="str">
        <f>Stavebni!C830</f>
        <v>763: Konstrukce montované</v>
      </c>
      <c r="C53" s="5"/>
      <c r="D53" s="11"/>
      <c r="E53" s="20"/>
      <c r="F53" s="17"/>
      <c r="G53" s="238">
        <f>Stavebni!H830</f>
        <v>0</v>
      </c>
    </row>
    <row r="54" spans="1:7" ht="12.75" customHeight="1">
      <c r="A54" s="719"/>
      <c r="B54" s="236"/>
      <c r="C54" s="5"/>
      <c r="D54" s="11"/>
      <c r="E54" s="20"/>
      <c r="F54" s="17"/>
      <c r="G54" s="238"/>
    </row>
    <row r="55" spans="1:7" ht="12.75" customHeight="1">
      <c r="A55" s="675">
        <v>19</v>
      </c>
      <c r="B55" s="237" t="str">
        <f>Stavebni!C877</f>
        <v>764: Konstrukce klempířské </v>
      </c>
      <c r="C55" s="5"/>
      <c r="D55" s="11"/>
      <c r="E55" s="20"/>
      <c r="F55" s="17"/>
      <c r="G55" s="238">
        <f>Stavebni!H877</f>
        <v>0</v>
      </c>
    </row>
    <row r="56" spans="1:7" ht="12.75" customHeight="1">
      <c r="A56" s="719"/>
      <c r="B56" s="236"/>
      <c r="C56" s="5"/>
      <c r="D56" s="11"/>
      <c r="E56" s="20"/>
      <c r="F56" s="17"/>
      <c r="G56" s="238"/>
    </row>
    <row r="57" spans="1:7" ht="12.75" customHeight="1">
      <c r="A57" s="675">
        <v>20</v>
      </c>
      <c r="B57" s="237" t="str">
        <f>Stavebni!C888</f>
        <v>765: Krytina skládaná</v>
      </c>
      <c r="C57" s="5"/>
      <c r="D57" s="11"/>
      <c r="E57" s="20"/>
      <c r="F57" s="17"/>
      <c r="G57" s="238">
        <f>Stavebni!H888</f>
        <v>0</v>
      </c>
    </row>
    <row r="58" spans="1:7" ht="12.75">
      <c r="A58" s="720"/>
      <c r="B58" s="233"/>
      <c r="C58" s="5"/>
      <c r="D58" s="11"/>
      <c r="E58" s="22"/>
      <c r="F58" s="17"/>
      <c r="G58" s="238"/>
    </row>
    <row r="59" spans="1:117" ht="15" customHeight="1">
      <c r="A59" s="675">
        <v>21</v>
      </c>
      <c r="B59" s="237" t="str">
        <f>Stavebni!C895</f>
        <v>766: Konstrukce truhlářské</v>
      </c>
      <c r="C59" s="26"/>
      <c r="D59" s="8"/>
      <c r="E59" s="16"/>
      <c r="F59" s="17"/>
      <c r="G59" s="238">
        <f>Stavebni!H895</f>
        <v>0</v>
      </c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/>
      <c r="BE59" s="247"/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7"/>
      <c r="CE59" s="247"/>
      <c r="CF59" s="247"/>
      <c r="CG59" s="247"/>
      <c r="CH59" s="247"/>
      <c r="CI59" s="247"/>
      <c r="CJ59" s="247"/>
      <c r="CK59" s="247"/>
      <c r="CL59" s="247"/>
      <c r="CM59" s="247"/>
      <c r="CN59" s="247"/>
      <c r="CO59" s="247"/>
      <c r="CP59" s="247"/>
      <c r="CQ59" s="247"/>
      <c r="CR59" s="247"/>
      <c r="CS59" s="247"/>
      <c r="CT59" s="247"/>
      <c r="CU59" s="247"/>
      <c r="CV59" s="247"/>
      <c r="CW59" s="247"/>
      <c r="CX59" s="247"/>
      <c r="CY59" s="247"/>
      <c r="CZ59" s="247"/>
      <c r="DA59" s="247"/>
      <c r="DB59" s="247"/>
      <c r="DC59" s="247"/>
      <c r="DD59" s="247"/>
      <c r="DE59" s="247"/>
      <c r="DF59" s="247"/>
      <c r="DG59" s="247"/>
      <c r="DH59" s="247"/>
      <c r="DI59" s="247"/>
      <c r="DJ59" s="247"/>
      <c r="DK59" s="247"/>
      <c r="DL59" s="247"/>
      <c r="DM59" s="247"/>
    </row>
    <row r="60" spans="1:7" ht="12.75">
      <c r="A60" s="34"/>
      <c r="B60" s="233"/>
      <c r="C60" s="25"/>
      <c r="D60" s="25"/>
      <c r="E60" s="35"/>
      <c r="F60" s="17"/>
      <c r="G60" s="238"/>
    </row>
    <row r="61" spans="1:117" ht="12.75">
      <c r="A61" s="675">
        <v>22</v>
      </c>
      <c r="B61" s="237" t="str">
        <f>Stavebni!C914</f>
        <v>76666: Výplně otvorů - dveře </v>
      </c>
      <c r="C61" s="36"/>
      <c r="D61" s="8"/>
      <c r="E61" s="16"/>
      <c r="F61" s="17"/>
      <c r="G61" s="238">
        <f>Stavebni!H914</f>
        <v>0</v>
      </c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7"/>
      <c r="BC61" s="247"/>
      <c r="BD61" s="247"/>
      <c r="BE61" s="247"/>
      <c r="BF61" s="247"/>
      <c r="BG61" s="247"/>
      <c r="BH61" s="247"/>
      <c r="BI61" s="247"/>
      <c r="BJ61" s="247"/>
      <c r="BK61" s="247"/>
      <c r="BL61" s="247"/>
      <c r="BM61" s="247"/>
      <c r="BN61" s="247"/>
      <c r="BO61" s="247"/>
      <c r="BP61" s="247"/>
      <c r="BQ61" s="247"/>
      <c r="BR61" s="247"/>
      <c r="BS61" s="247"/>
      <c r="BT61" s="247"/>
      <c r="BU61" s="247"/>
      <c r="BV61" s="247"/>
      <c r="BW61" s="247"/>
      <c r="BX61" s="247"/>
      <c r="BY61" s="247"/>
      <c r="BZ61" s="247"/>
      <c r="CA61" s="247"/>
      <c r="CB61" s="247"/>
      <c r="CC61" s="247"/>
      <c r="CD61" s="247"/>
      <c r="CE61" s="247"/>
      <c r="CF61" s="247"/>
      <c r="CG61" s="247"/>
      <c r="CH61" s="247"/>
      <c r="CI61" s="247"/>
      <c r="CJ61" s="247"/>
      <c r="CK61" s="247"/>
      <c r="CL61" s="247"/>
      <c r="CM61" s="247"/>
      <c r="CN61" s="247"/>
      <c r="CO61" s="247"/>
      <c r="CP61" s="247"/>
      <c r="CQ61" s="247"/>
      <c r="CR61" s="247"/>
      <c r="CS61" s="247"/>
      <c r="CT61" s="247"/>
      <c r="CU61" s="247"/>
      <c r="CV61" s="247"/>
      <c r="CW61" s="247"/>
      <c r="CX61" s="247"/>
      <c r="CY61" s="247"/>
      <c r="CZ61" s="247"/>
      <c r="DA61" s="247"/>
      <c r="DB61" s="247"/>
      <c r="DC61" s="247"/>
      <c r="DD61" s="247"/>
      <c r="DE61" s="247"/>
      <c r="DF61" s="247"/>
      <c r="DG61" s="247"/>
      <c r="DH61" s="247"/>
      <c r="DI61" s="247"/>
      <c r="DJ61" s="247"/>
      <c r="DK61" s="247"/>
      <c r="DL61" s="247"/>
      <c r="DM61" s="247"/>
    </row>
    <row r="62" spans="1:7" ht="12.75">
      <c r="A62" s="721"/>
      <c r="B62" s="722"/>
      <c r="C62" s="358"/>
      <c r="D62" s="358"/>
      <c r="E62" s="723"/>
      <c r="F62" s="18"/>
      <c r="G62" s="238"/>
    </row>
    <row r="63" spans="1:7" s="729" customFormat="1" ht="15.75" customHeight="1">
      <c r="A63" s="675">
        <v>23</v>
      </c>
      <c r="B63" s="724" t="str">
        <f>Stavebni!C925</f>
        <v>76662: Výplně otvorů - okna</v>
      </c>
      <c r="C63" s="725"/>
      <c r="D63" s="726"/>
      <c r="E63" s="727"/>
      <c r="F63" s="728"/>
      <c r="G63" s="238">
        <f>Stavebni!H925</f>
        <v>0</v>
      </c>
    </row>
    <row r="64" spans="1:7" s="729" customFormat="1" ht="12.75">
      <c r="A64" s="730"/>
      <c r="B64" s="731"/>
      <c r="C64" s="732"/>
      <c r="D64" s="733"/>
      <c r="E64" s="727"/>
      <c r="F64" s="734"/>
      <c r="G64" s="238"/>
    </row>
    <row r="65" spans="1:7" s="729" customFormat="1" ht="12.75">
      <c r="A65" s="675">
        <v>24</v>
      </c>
      <c r="B65" s="735" t="str">
        <f>Stavebni!C936</f>
        <v>767: Konstrukce zámečnické </v>
      </c>
      <c r="C65" s="725"/>
      <c r="D65" s="726"/>
      <c r="E65" s="727"/>
      <c r="F65" s="728"/>
      <c r="G65" s="238">
        <f>Stavebni!H936</f>
        <v>0</v>
      </c>
    </row>
    <row r="66" spans="1:7" s="729" customFormat="1" ht="12.75">
      <c r="A66" s="730"/>
      <c r="B66" s="731"/>
      <c r="C66" s="732"/>
      <c r="D66" s="733"/>
      <c r="E66" s="727"/>
      <c r="F66" s="734"/>
      <c r="G66" s="238"/>
    </row>
    <row r="67" spans="1:7" ht="12.75">
      <c r="A67" s="675">
        <v>25</v>
      </c>
      <c r="B67" s="736" t="str">
        <f>Stavebni!C963</f>
        <v>768: Ocelové konstrukce </v>
      </c>
      <c r="C67" s="25"/>
      <c r="D67" s="25"/>
      <c r="E67" s="737"/>
      <c r="F67" s="19"/>
      <c r="G67" s="238">
        <f>Stavebni!H963</f>
        <v>0</v>
      </c>
    </row>
    <row r="68" spans="1:117" ht="15.75" customHeight="1">
      <c r="A68" s="738"/>
      <c r="B68" s="739"/>
      <c r="C68" s="26"/>
      <c r="D68" s="8"/>
      <c r="E68" s="16"/>
      <c r="F68" s="17"/>
      <c r="G68" s="238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247"/>
      <c r="BK68" s="247"/>
      <c r="BL68" s="247"/>
      <c r="BM68" s="247"/>
      <c r="BN68" s="247"/>
      <c r="BO68" s="247"/>
      <c r="BP68" s="247"/>
      <c r="BQ68" s="247"/>
      <c r="BR68" s="247"/>
      <c r="BS68" s="247"/>
      <c r="BT68" s="247"/>
      <c r="BU68" s="247"/>
      <c r="BV68" s="247"/>
      <c r="BW68" s="247"/>
      <c r="BX68" s="247"/>
      <c r="BY68" s="247"/>
      <c r="BZ68" s="247"/>
      <c r="CA68" s="247"/>
      <c r="CB68" s="247"/>
      <c r="CC68" s="247"/>
      <c r="CD68" s="247"/>
      <c r="CE68" s="247"/>
      <c r="CF68" s="247"/>
      <c r="CG68" s="247"/>
      <c r="CH68" s="247"/>
      <c r="CI68" s="247"/>
      <c r="CJ68" s="247"/>
      <c r="CK68" s="247"/>
      <c r="CL68" s="247"/>
      <c r="CM68" s="247"/>
      <c r="CN68" s="247"/>
      <c r="CO68" s="247"/>
      <c r="CP68" s="247"/>
      <c r="CQ68" s="247"/>
      <c r="CR68" s="247"/>
      <c r="CS68" s="247"/>
      <c r="CT68" s="247"/>
      <c r="CU68" s="247"/>
      <c r="CV68" s="247"/>
      <c r="CW68" s="247"/>
      <c r="CX68" s="247"/>
      <c r="CY68" s="247"/>
      <c r="CZ68" s="247"/>
      <c r="DA68" s="247"/>
      <c r="DB68" s="247"/>
      <c r="DC68" s="247"/>
      <c r="DD68" s="247"/>
      <c r="DE68" s="247"/>
      <c r="DF68" s="247"/>
      <c r="DG68" s="247"/>
      <c r="DH68" s="247"/>
      <c r="DI68" s="247"/>
      <c r="DJ68" s="247"/>
      <c r="DK68" s="247"/>
      <c r="DL68" s="247"/>
      <c r="DM68" s="247"/>
    </row>
    <row r="69" spans="1:7" ht="12.75">
      <c r="A69" s="675">
        <v>26</v>
      </c>
      <c r="B69" s="736" t="str">
        <f>Stavebni!C982</f>
        <v>OV:Ostatní výrobky </v>
      </c>
      <c r="C69" s="25"/>
      <c r="D69" s="25"/>
      <c r="E69" s="737"/>
      <c r="F69" s="19"/>
      <c r="G69" s="238">
        <f>Stavebni!H982</f>
        <v>0</v>
      </c>
    </row>
    <row r="70" spans="1:7" ht="12.75">
      <c r="A70" s="682"/>
      <c r="B70" s="236"/>
      <c r="C70" s="6"/>
      <c r="D70" s="8"/>
      <c r="E70" s="16"/>
      <c r="F70" s="17"/>
      <c r="G70" s="238"/>
    </row>
    <row r="71" spans="1:7" ht="12.75">
      <c r="A71" s="675">
        <v>27</v>
      </c>
      <c r="B71" s="2" t="str">
        <f>Stavebni!C998</f>
        <v>771: Podlahy z dlaždic </v>
      </c>
      <c r="C71" s="25"/>
      <c r="D71" s="25"/>
      <c r="E71" s="737"/>
      <c r="F71" s="18"/>
      <c r="G71" s="238">
        <f>Stavebni!H998</f>
        <v>0</v>
      </c>
    </row>
    <row r="72" spans="1:7" ht="12.75">
      <c r="A72" s="682"/>
      <c r="B72" s="236"/>
      <c r="C72" s="6"/>
      <c r="D72" s="8"/>
      <c r="E72" s="16"/>
      <c r="F72" s="17"/>
      <c r="G72" s="238"/>
    </row>
    <row r="73" spans="1:7" ht="12.75">
      <c r="A73" s="675">
        <v>28</v>
      </c>
      <c r="B73" s="237" t="str">
        <f>Stavebni!C1014</f>
        <v>773: Podlahy z litého teraca</v>
      </c>
      <c r="C73" s="6"/>
      <c r="D73" s="8"/>
      <c r="E73" s="16"/>
      <c r="F73" s="17"/>
      <c r="G73" s="238">
        <f>Stavebni!H1014</f>
        <v>0</v>
      </c>
    </row>
    <row r="74" spans="1:7" ht="12.75">
      <c r="A74" s="682"/>
      <c r="B74" s="740"/>
      <c r="C74" s="6"/>
      <c r="D74" s="8"/>
      <c r="E74" s="16"/>
      <c r="F74" s="741"/>
      <c r="G74" s="238"/>
    </row>
    <row r="75" spans="1:7" ht="12.75">
      <c r="A75" s="675">
        <v>29</v>
      </c>
      <c r="B75" s="742" t="str">
        <f>Stavebni!C1023</f>
        <v>775: Podlahy dřevěné</v>
      </c>
      <c r="C75" s="25"/>
      <c r="D75" s="25"/>
      <c r="E75" s="737"/>
      <c r="F75" s="19"/>
      <c r="G75" s="238">
        <f>Stavebni!H1023</f>
        <v>0</v>
      </c>
    </row>
    <row r="76" spans="1:7" ht="12.75">
      <c r="A76" s="32"/>
      <c r="B76" s="236"/>
      <c r="C76" s="6"/>
      <c r="D76" s="8"/>
      <c r="E76" s="24"/>
      <c r="F76" s="13"/>
      <c r="G76" s="239"/>
    </row>
    <row r="77" spans="1:7" ht="12.75">
      <c r="A77" s="675">
        <v>30</v>
      </c>
      <c r="B77" s="237" t="str">
        <f>Stavebni!C1047</f>
        <v>776: Podlahy povlakové</v>
      </c>
      <c r="C77" s="6"/>
      <c r="D77" s="8"/>
      <c r="E77" s="16"/>
      <c r="F77" s="17"/>
      <c r="G77" s="238">
        <f>Stavebni!H1047</f>
        <v>0</v>
      </c>
    </row>
    <row r="78" spans="1:7" ht="12.75">
      <c r="A78" s="27"/>
      <c r="B78" s="236"/>
      <c r="C78" s="6"/>
      <c r="D78" s="8"/>
      <c r="E78" s="16"/>
      <c r="F78" s="17"/>
      <c r="G78" s="238"/>
    </row>
    <row r="79" spans="1:7" ht="12.75">
      <c r="A79" s="675">
        <v>31</v>
      </c>
      <c r="B79" s="235" t="str">
        <f>Stavebni!C1061</f>
        <v>781: Obklady keramické</v>
      </c>
      <c r="C79" s="3"/>
      <c r="D79" s="15"/>
      <c r="E79" s="16"/>
      <c r="F79" s="17"/>
      <c r="G79" s="238">
        <f>Stavebni!H1061</f>
        <v>0</v>
      </c>
    </row>
    <row r="80" spans="1:7" ht="12.75">
      <c r="A80" s="27"/>
      <c r="B80" s="236"/>
      <c r="C80" s="6"/>
      <c r="D80" s="8"/>
      <c r="E80" s="16"/>
      <c r="F80" s="17"/>
      <c r="G80" s="238"/>
    </row>
    <row r="81" spans="1:7" ht="12.75">
      <c r="A81" s="675">
        <v>32</v>
      </c>
      <c r="B81" s="235" t="str">
        <f>Stavebni!C1081</f>
        <v>784: Malby </v>
      </c>
      <c r="C81" s="3"/>
      <c r="D81" s="15"/>
      <c r="E81" s="16"/>
      <c r="F81" s="17"/>
      <c r="G81" s="238">
        <f>Stavebni!H1081</f>
        <v>0</v>
      </c>
    </row>
    <row r="82" spans="1:7" s="247" customFormat="1" ht="13.5" thickBot="1">
      <c r="A82" s="39"/>
      <c r="B82" s="234"/>
      <c r="C82" s="40"/>
      <c r="D82" s="41"/>
      <c r="E82" s="41"/>
      <c r="F82" s="42"/>
      <c r="G82" s="240"/>
    </row>
    <row r="83" spans="1:7" s="247" customFormat="1" ht="12.75">
      <c r="A83" s="44"/>
      <c r="B83" s="45"/>
      <c r="C83" s="37"/>
      <c r="D83" s="46"/>
      <c r="E83" s="47"/>
      <c r="F83" s="48"/>
      <c r="G83" s="241"/>
    </row>
    <row r="84" spans="1:7" s="247" customFormat="1" ht="15">
      <c r="A84" s="49"/>
      <c r="B84" s="644" t="s">
        <v>53</v>
      </c>
      <c r="C84" s="50"/>
      <c r="D84" s="51"/>
      <c r="E84" s="51"/>
      <c r="F84" s="52"/>
      <c r="G84" s="241">
        <f>SUM(G17:G82)</f>
        <v>0</v>
      </c>
    </row>
    <row r="85" spans="1:7" s="247" customFormat="1" ht="12.75">
      <c r="A85" s="49"/>
      <c r="B85" s="45"/>
      <c r="C85" s="37"/>
      <c r="D85" s="46"/>
      <c r="E85" s="47"/>
      <c r="F85" s="48"/>
      <c r="G85" s="743"/>
    </row>
  </sheetData>
  <sheetProtection/>
  <mergeCells count="1">
    <mergeCell ref="A14:B14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75" r:id="rId1"/>
  <headerFooter alignWithMargins="0">
    <oddFooter>&amp;C&amp;"Times New Roman,Obyčejné"&amp;12&amp;P&amp;RRaudnitzův dům - bydlení pro seniory_Rozklad ceny -  rekap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N1098"/>
  <sheetViews>
    <sheetView tabSelected="1" view="pageBreakPreview" zoomScale="80" zoomScaleNormal="80" zoomScaleSheetLayoutView="80" zoomScalePageLayoutView="0" workbookViewId="0" topLeftCell="A871">
      <selection activeCell="H904" sqref="H904"/>
    </sheetView>
  </sheetViews>
  <sheetFormatPr defaultColWidth="12.125" defaultRowHeight="12.75"/>
  <cols>
    <col min="1" max="1" width="8.00390625" style="206" customWidth="1"/>
    <col min="2" max="2" width="15.125" style="643" customWidth="1"/>
    <col min="3" max="3" width="61.875" style="375" customWidth="1"/>
    <col min="4" max="4" width="48.75390625" style="361" customWidth="1"/>
    <col min="5" max="5" width="12.75390625" style="362" customWidth="1"/>
    <col min="6" max="6" width="13.875" style="363" customWidth="1"/>
    <col min="7" max="7" width="17.25390625" style="364" customWidth="1"/>
    <col min="8" max="8" width="25.75390625" style="365" customWidth="1"/>
    <col min="9" max="9" width="18.75390625" style="206" customWidth="1"/>
    <col min="10" max="16384" width="12.125" style="206" customWidth="1"/>
  </cols>
  <sheetData>
    <row r="2" spans="2:3" ht="17.25" customHeight="1">
      <c r="B2" s="359"/>
      <c r="C2" s="360" t="s">
        <v>1299</v>
      </c>
    </row>
    <row r="3" spans="2:3" ht="17.25" customHeight="1">
      <c r="B3" s="359"/>
      <c r="C3" s="366"/>
    </row>
    <row r="4" spans="2:8" ht="12.75" customHeight="1">
      <c r="B4" s="367" t="s">
        <v>31</v>
      </c>
      <c r="C4" s="368" t="s">
        <v>92</v>
      </c>
      <c r="D4" s="369"/>
      <c r="E4" s="370"/>
      <c r="F4" s="371"/>
      <c r="H4" s="372"/>
    </row>
    <row r="5" spans="2:8" ht="12.75" customHeight="1">
      <c r="B5" s="367"/>
      <c r="C5" s="368" t="s">
        <v>99</v>
      </c>
      <c r="D5" s="369"/>
      <c r="E5" s="370"/>
      <c r="F5" s="371"/>
      <c r="H5" s="372"/>
    </row>
    <row r="6" spans="2:8" ht="27.75" customHeight="1">
      <c r="B6" s="367" t="s">
        <v>28</v>
      </c>
      <c r="C6" s="373">
        <v>146</v>
      </c>
      <c r="D6" s="369"/>
      <c r="E6" s="370"/>
      <c r="F6" s="371"/>
      <c r="H6" s="372"/>
    </row>
    <row r="7" spans="2:8" ht="12.75" customHeight="1">
      <c r="B7" s="374" t="s">
        <v>29</v>
      </c>
      <c r="C7" s="375" t="s">
        <v>69</v>
      </c>
      <c r="H7" s="376"/>
    </row>
    <row r="8" spans="2:3" ht="26.25" customHeight="1">
      <c r="B8" s="377" t="s">
        <v>30</v>
      </c>
      <c r="C8" s="375" t="s">
        <v>93</v>
      </c>
    </row>
    <row r="9" spans="2:8" ht="20.25" customHeight="1">
      <c r="B9" s="374"/>
      <c r="H9" s="378"/>
    </row>
    <row r="10" spans="2:8" ht="12.75" customHeight="1">
      <c r="B10" s="374" t="s">
        <v>96</v>
      </c>
      <c r="C10" s="375" t="s">
        <v>97</v>
      </c>
      <c r="H10" s="378" t="s">
        <v>20</v>
      </c>
    </row>
    <row r="11" spans="2:8" ht="24.75" customHeight="1">
      <c r="B11" s="377" t="s">
        <v>98</v>
      </c>
      <c r="C11" s="375" t="s">
        <v>100</v>
      </c>
      <c r="H11" s="379" t="s">
        <v>21</v>
      </c>
    </row>
    <row r="12" spans="2:8" ht="12.75" customHeight="1">
      <c r="B12" s="374"/>
      <c r="C12" s="368"/>
      <c r="H12" s="379" t="s">
        <v>22</v>
      </c>
    </row>
    <row r="13" spans="2:8" ht="12.75" customHeight="1">
      <c r="B13" s="374"/>
      <c r="C13" s="368"/>
      <c r="H13" s="379" t="s">
        <v>94</v>
      </c>
    </row>
    <row r="14" spans="2:8" ht="12.75" customHeight="1">
      <c r="B14" s="374"/>
      <c r="C14" s="368"/>
      <c r="H14" s="379"/>
    </row>
    <row r="15" spans="2:8" ht="12.75" customHeight="1" thickBot="1">
      <c r="B15" s="768"/>
      <c r="C15" s="769"/>
      <c r="H15" s="376"/>
    </row>
    <row r="16" spans="1:8" s="218" customFormat="1" ht="34.5" customHeight="1">
      <c r="A16" s="380" t="s">
        <v>95</v>
      </c>
      <c r="B16" s="381" t="s">
        <v>23</v>
      </c>
      <c r="C16" s="381" t="s">
        <v>32</v>
      </c>
      <c r="D16" s="381" t="s">
        <v>33</v>
      </c>
      <c r="E16" s="381" t="s">
        <v>34</v>
      </c>
      <c r="F16" s="381" t="s">
        <v>35</v>
      </c>
      <c r="G16" s="381" t="s">
        <v>36</v>
      </c>
      <c r="H16" s="382" t="s">
        <v>37</v>
      </c>
    </row>
    <row r="17" spans="1:8" s="218" customFormat="1" ht="27" customHeight="1" thickBot="1">
      <c r="A17" s="383">
        <v>1</v>
      </c>
      <c r="B17" s="384">
        <v>2</v>
      </c>
      <c r="C17" s="385">
        <v>3</v>
      </c>
      <c r="D17" s="385">
        <v>4</v>
      </c>
      <c r="E17" s="384">
        <v>5</v>
      </c>
      <c r="F17" s="384">
        <v>6</v>
      </c>
      <c r="G17" s="384">
        <v>7</v>
      </c>
      <c r="H17" s="386">
        <v>8</v>
      </c>
    </row>
    <row r="18" spans="1:8" ht="12.75">
      <c r="A18" s="753"/>
      <c r="B18" s="387"/>
      <c r="C18" s="388" t="s">
        <v>51</v>
      </c>
      <c r="D18" s="389"/>
      <c r="E18" s="390"/>
      <c r="F18" s="391"/>
      <c r="G18" s="392"/>
      <c r="H18" s="393"/>
    </row>
    <row r="19" spans="1:8" ht="12.75">
      <c r="A19" s="754"/>
      <c r="B19" s="394"/>
      <c r="C19" s="395" t="s">
        <v>1412</v>
      </c>
      <c r="D19" s="358"/>
      <c r="E19" s="396"/>
      <c r="F19" s="209"/>
      <c r="G19" s="23"/>
      <c r="H19" s="397">
        <f>SUM(H20:H26)</f>
        <v>0</v>
      </c>
    </row>
    <row r="20" spans="1:8" ht="27.75" customHeight="1">
      <c r="A20" s="754">
        <v>1</v>
      </c>
      <c r="B20" s="352" t="s">
        <v>951</v>
      </c>
      <c r="C20" s="357" t="s">
        <v>954</v>
      </c>
      <c r="D20" s="398" t="s">
        <v>955</v>
      </c>
      <c r="E20" s="399" t="s">
        <v>45</v>
      </c>
      <c r="F20" s="210">
        <f>E22</f>
        <v>1</v>
      </c>
      <c r="G20" s="23"/>
      <c r="H20" s="205">
        <f>F20*G20</f>
        <v>0</v>
      </c>
    </row>
    <row r="21" spans="1:8" s="204" customFormat="1" ht="12">
      <c r="A21" s="755"/>
      <c r="B21" s="400"/>
      <c r="C21" s="401">
        <v>1</v>
      </c>
      <c r="D21" s="402"/>
      <c r="E21" s="403">
        <f>C21</f>
        <v>1</v>
      </c>
      <c r="F21" s="208"/>
      <c r="G21" s="202"/>
      <c r="H21" s="203"/>
    </row>
    <row r="22" spans="1:8" s="204" customFormat="1" ht="12">
      <c r="A22" s="755"/>
      <c r="B22" s="404"/>
      <c r="C22" s="405" t="s">
        <v>39</v>
      </c>
      <c r="D22" s="406"/>
      <c r="E22" s="407">
        <f>SUM(E21:E21)</f>
        <v>1</v>
      </c>
      <c r="F22" s="208"/>
      <c r="G22" s="202"/>
      <c r="H22" s="203"/>
    </row>
    <row r="23" spans="1:8" ht="12.75">
      <c r="A23" s="754"/>
      <c r="B23" s="394"/>
      <c r="C23" s="395"/>
      <c r="D23" s="358"/>
      <c r="E23" s="396"/>
      <c r="F23" s="209"/>
      <c r="G23" s="23"/>
      <c r="H23" s="205"/>
    </row>
    <row r="24" spans="1:8" ht="15" customHeight="1">
      <c r="A24" s="754">
        <v>2</v>
      </c>
      <c r="B24" s="352" t="s">
        <v>953</v>
      </c>
      <c r="C24" s="357" t="s">
        <v>956</v>
      </c>
      <c r="D24" s="398" t="s">
        <v>999</v>
      </c>
      <c r="E24" s="399" t="s">
        <v>45</v>
      </c>
      <c r="F24" s="210">
        <f>E26</f>
        <v>1</v>
      </c>
      <c r="G24" s="23"/>
      <c r="H24" s="205">
        <f>F24*G24</f>
        <v>0</v>
      </c>
    </row>
    <row r="25" spans="1:8" s="204" customFormat="1" ht="12">
      <c r="A25" s="755"/>
      <c r="B25" s="400"/>
      <c r="C25" s="401">
        <v>1</v>
      </c>
      <c r="D25" s="402"/>
      <c r="E25" s="403">
        <f>C25</f>
        <v>1</v>
      </c>
      <c r="F25" s="208"/>
      <c r="G25" s="202"/>
      <c r="H25" s="203"/>
    </row>
    <row r="26" spans="1:8" s="204" customFormat="1" ht="12">
      <c r="A26" s="755"/>
      <c r="B26" s="404"/>
      <c r="C26" s="405" t="s">
        <v>39</v>
      </c>
      <c r="D26" s="406"/>
      <c r="E26" s="407">
        <f>SUM(E25:E25)</f>
        <v>1</v>
      </c>
      <c r="F26" s="208"/>
      <c r="G26" s="202"/>
      <c r="H26" s="203"/>
    </row>
    <row r="27" spans="1:8" ht="12.75">
      <c r="A27" s="754"/>
      <c r="B27" s="394"/>
      <c r="C27" s="395"/>
      <c r="D27" s="358"/>
      <c r="E27" s="396"/>
      <c r="F27" s="209"/>
      <c r="G27" s="23"/>
      <c r="H27" s="205"/>
    </row>
    <row r="28" spans="1:8" ht="12.75">
      <c r="A28" s="754"/>
      <c r="B28" s="394"/>
      <c r="C28" s="395" t="s">
        <v>952</v>
      </c>
      <c r="D28" s="358"/>
      <c r="E28" s="396"/>
      <c r="F28" s="209"/>
      <c r="G28" s="23"/>
      <c r="H28" s="397">
        <f>SUM(H29:H116)</f>
        <v>0</v>
      </c>
    </row>
    <row r="29" spans="1:8" ht="28.5" customHeight="1">
      <c r="A29" s="754">
        <v>1</v>
      </c>
      <c r="B29" s="352" t="s">
        <v>309</v>
      </c>
      <c r="C29" s="357" t="s">
        <v>980</v>
      </c>
      <c r="D29" s="398" t="s">
        <v>1424</v>
      </c>
      <c r="E29" s="399" t="s">
        <v>38</v>
      </c>
      <c r="F29" s="210">
        <f>E43</f>
        <v>8.292774999999999</v>
      </c>
      <c r="G29" s="23"/>
      <c r="H29" s="205">
        <f>F29*G29</f>
        <v>0</v>
      </c>
    </row>
    <row r="30" spans="1:8" s="204" customFormat="1" ht="24">
      <c r="A30" s="755"/>
      <c r="B30" s="408" t="s">
        <v>308</v>
      </c>
      <c r="C30" s="409" t="s">
        <v>310</v>
      </c>
      <c r="D30" s="410"/>
      <c r="E30" s="411">
        <f>(0.78*0.8*0.8)*3</f>
        <v>1.4976000000000003</v>
      </c>
      <c r="F30" s="412"/>
      <c r="G30" s="202"/>
      <c r="H30" s="203"/>
    </row>
    <row r="31" spans="1:8" s="204" customFormat="1" ht="12">
      <c r="A31" s="755"/>
      <c r="B31" s="408"/>
      <c r="C31" s="409" t="s">
        <v>311</v>
      </c>
      <c r="D31" s="410"/>
      <c r="E31" s="411">
        <f>(0.78*0.8*0.975)*1</f>
        <v>0.6084</v>
      </c>
      <c r="F31" s="412"/>
      <c r="G31" s="202"/>
      <c r="H31" s="203"/>
    </row>
    <row r="32" spans="1:8" s="204" customFormat="1" ht="12">
      <c r="A32" s="755"/>
      <c r="B32" s="408"/>
      <c r="C32" s="409" t="s">
        <v>312</v>
      </c>
      <c r="D32" s="410"/>
      <c r="E32" s="411">
        <f>(0.7*0.8*1)*3</f>
        <v>1.6799999999999997</v>
      </c>
      <c r="F32" s="412"/>
      <c r="G32" s="202"/>
      <c r="H32" s="203"/>
    </row>
    <row r="33" spans="1:8" s="204" customFormat="1" ht="12">
      <c r="A33" s="755"/>
      <c r="B33" s="408"/>
      <c r="C33" s="409" t="s">
        <v>313</v>
      </c>
      <c r="D33" s="410"/>
      <c r="E33" s="411">
        <f>(0.7*0.8*0.686)*1</f>
        <v>0.38416</v>
      </c>
      <c r="F33" s="412"/>
      <c r="G33" s="202"/>
      <c r="H33" s="203"/>
    </row>
    <row r="34" spans="1:8" s="204" customFormat="1" ht="12">
      <c r="A34" s="755"/>
      <c r="B34" s="408"/>
      <c r="C34" s="409" t="s">
        <v>314</v>
      </c>
      <c r="D34" s="410"/>
      <c r="E34" s="411">
        <f>(0.745*1.05*1.4)*1</f>
        <v>1.0951499999999998</v>
      </c>
      <c r="F34" s="412"/>
      <c r="G34" s="202"/>
      <c r="H34" s="203"/>
    </row>
    <row r="35" spans="1:8" s="204" customFormat="1" ht="12">
      <c r="A35" s="755"/>
      <c r="B35" s="408"/>
      <c r="C35" s="409" t="s">
        <v>315</v>
      </c>
      <c r="D35" s="410"/>
      <c r="E35" s="411">
        <f>(0.275*1.05*0.6)*1</f>
        <v>0.17325000000000004</v>
      </c>
      <c r="F35" s="412"/>
      <c r="G35" s="202"/>
      <c r="H35" s="203"/>
    </row>
    <row r="36" spans="1:8" s="204" customFormat="1" ht="12">
      <c r="A36" s="755"/>
      <c r="B36" s="408"/>
      <c r="C36" s="409" t="s">
        <v>316</v>
      </c>
      <c r="D36" s="410"/>
      <c r="E36" s="411">
        <f>(0.275*1.05*1)*2</f>
        <v>0.5775000000000001</v>
      </c>
      <c r="F36" s="412"/>
      <c r="G36" s="202"/>
      <c r="H36" s="203"/>
    </row>
    <row r="37" spans="1:8" s="204" customFormat="1" ht="12">
      <c r="A37" s="755"/>
      <c r="B37" s="408"/>
      <c r="C37" s="409" t="s">
        <v>317</v>
      </c>
      <c r="D37" s="410"/>
      <c r="E37" s="411">
        <f>(0.55*1.05*0.706)*1</f>
        <v>0.40771500000000005</v>
      </c>
      <c r="F37" s="412"/>
      <c r="G37" s="202"/>
      <c r="H37" s="203"/>
    </row>
    <row r="38" spans="1:8" s="204" customFormat="1" ht="12">
      <c r="A38" s="755"/>
      <c r="B38" s="408"/>
      <c r="C38" s="409" t="s">
        <v>318</v>
      </c>
      <c r="D38" s="410"/>
      <c r="E38" s="411">
        <f>(0.55*1.05*1)*1</f>
        <v>0.5775000000000001</v>
      </c>
      <c r="F38" s="412"/>
      <c r="G38" s="202"/>
      <c r="H38" s="203"/>
    </row>
    <row r="39" spans="1:8" s="204" customFormat="1" ht="12">
      <c r="A39" s="755"/>
      <c r="B39" s="408"/>
      <c r="C39" s="409" t="s">
        <v>319</v>
      </c>
      <c r="D39" s="410"/>
      <c r="E39" s="411">
        <f>(0.55*1.05*0.7)*1</f>
        <v>0.40425000000000005</v>
      </c>
      <c r="F39" s="412"/>
      <c r="G39" s="202"/>
      <c r="H39" s="203"/>
    </row>
    <row r="40" spans="1:8" s="204" customFormat="1" ht="12">
      <c r="A40" s="755"/>
      <c r="B40" s="408"/>
      <c r="C40" s="409" t="s">
        <v>320</v>
      </c>
      <c r="D40" s="410"/>
      <c r="E40" s="411">
        <f>(0.65*1.05*0.3)*1</f>
        <v>0.20475000000000002</v>
      </c>
      <c r="F40" s="412"/>
      <c r="G40" s="202"/>
      <c r="H40" s="203"/>
    </row>
    <row r="41" spans="1:8" s="204" customFormat="1" ht="12">
      <c r="A41" s="755"/>
      <c r="B41" s="408"/>
      <c r="C41" s="409" t="s">
        <v>321</v>
      </c>
      <c r="D41" s="410"/>
      <c r="E41" s="411">
        <f>(0.65*1.05*1)*1</f>
        <v>0.6825000000000001</v>
      </c>
      <c r="F41" s="412"/>
      <c r="G41" s="202"/>
      <c r="H41" s="203"/>
    </row>
    <row r="42" spans="1:8" s="204" customFormat="1" ht="12">
      <c r="A42" s="755"/>
      <c r="B42" s="408" t="s">
        <v>345</v>
      </c>
      <c r="C42" s="409" t="s">
        <v>346</v>
      </c>
      <c r="D42" s="410"/>
      <c r="E42" s="411">
        <f>(2.42*2.65)*1.1</f>
        <v>7.0543</v>
      </c>
      <c r="F42" s="412"/>
      <c r="G42" s="202"/>
      <c r="H42" s="203"/>
    </row>
    <row r="43" spans="1:8" s="204" customFormat="1" ht="12">
      <c r="A43" s="755"/>
      <c r="B43" s="404"/>
      <c r="C43" s="413" t="s">
        <v>39</v>
      </c>
      <c r="D43" s="406"/>
      <c r="E43" s="414">
        <f>SUM(E30:E41)</f>
        <v>8.292774999999999</v>
      </c>
      <c r="F43" s="208"/>
      <c r="G43" s="202"/>
      <c r="H43" s="203"/>
    </row>
    <row r="44" spans="1:8" ht="12.75">
      <c r="A44" s="754"/>
      <c r="B44" s="394"/>
      <c r="C44" s="395"/>
      <c r="D44" s="358"/>
      <c r="E44" s="396"/>
      <c r="F44" s="209"/>
      <c r="G44" s="23"/>
      <c r="H44" s="205"/>
    </row>
    <row r="45" spans="1:8" ht="27.75" customHeight="1">
      <c r="A45" s="754">
        <v>2</v>
      </c>
      <c r="B45" s="352" t="s">
        <v>442</v>
      </c>
      <c r="C45" s="357" t="s">
        <v>981</v>
      </c>
      <c r="D45" s="398" t="s">
        <v>1424</v>
      </c>
      <c r="E45" s="399" t="s">
        <v>38</v>
      </c>
      <c r="F45" s="210">
        <f>E63</f>
        <v>45.0060895</v>
      </c>
      <c r="G45" s="23"/>
      <c r="H45" s="205">
        <f>F45*G45</f>
        <v>0</v>
      </c>
    </row>
    <row r="46" spans="1:8" s="204" customFormat="1" ht="36">
      <c r="A46" s="755"/>
      <c r="B46" s="415" t="s">
        <v>435</v>
      </c>
      <c r="C46" s="401" t="s">
        <v>444</v>
      </c>
      <c r="D46" s="402"/>
      <c r="E46" s="403">
        <f>(3.921+8.155+4.779+3.488+4.004+0.85+0.75+2.403+5.644)*0.85*0.5</f>
        <v>14.447449999999996</v>
      </c>
      <c r="F46" s="208"/>
      <c r="G46" s="202"/>
      <c r="H46" s="203"/>
    </row>
    <row r="47" spans="1:8" s="204" customFormat="1" ht="12">
      <c r="A47" s="755"/>
      <c r="B47" s="415"/>
      <c r="C47" s="401" t="s">
        <v>445</v>
      </c>
      <c r="D47" s="402"/>
      <c r="E47" s="403">
        <f>(4.779)*0.859*0.5</f>
        <v>2.0525805</v>
      </c>
      <c r="F47" s="208"/>
      <c r="G47" s="202"/>
      <c r="H47" s="203"/>
    </row>
    <row r="48" spans="1:8" s="204" customFormat="1" ht="12">
      <c r="A48" s="755"/>
      <c r="B48" s="415"/>
      <c r="C48" s="401" t="s">
        <v>446</v>
      </c>
      <c r="D48" s="402"/>
      <c r="E48" s="403">
        <f>(4.761-1.298+0.65+0.85+1.4+2.5+0.85+2.95)*0.85*0.65</f>
        <v>6.9963075</v>
      </c>
      <c r="F48" s="208"/>
      <c r="G48" s="202"/>
      <c r="H48" s="203"/>
    </row>
    <row r="49" spans="1:8" s="204" customFormat="1" ht="12">
      <c r="A49" s="755"/>
      <c r="B49" s="415"/>
      <c r="C49" s="401" t="s">
        <v>414</v>
      </c>
      <c r="D49" s="402"/>
      <c r="E49" s="403">
        <f>(0.5)*0.85*1.1</f>
        <v>0.4675</v>
      </c>
      <c r="F49" s="208"/>
      <c r="G49" s="202"/>
      <c r="H49" s="203"/>
    </row>
    <row r="50" spans="1:8" s="204" customFormat="1" ht="12">
      <c r="A50" s="755"/>
      <c r="B50" s="415"/>
      <c r="C50" s="401" t="s">
        <v>447</v>
      </c>
      <c r="D50" s="402"/>
      <c r="E50" s="403">
        <f>(0.85)*0.85*1.1</f>
        <v>0.79475</v>
      </c>
      <c r="F50" s="208"/>
      <c r="G50" s="202"/>
      <c r="H50" s="203"/>
    </row>
    <row r="51" spans="1:8" s="204" customFormat="1" ht="12">
      <c r="A51" s="755"/>
      <c r="B51" s="415"/>
      <c r="C51" s="401" t="s">
        <v>448</v>
      </c>
      <c r="D51" s="402"/>
      <c r="E51" s="403">
        <f>(0.5)*0.85*1.7</f>
        <v>0.7224999999999999</v>
      </c>
      <c r="F51" s="208"/>
      <c r="G51" s="202"/>
      <c r="H51" s="203"/>
    </row>
    <row r="52" spans="1:8" s="204" customFormat="1" ht="12">
      <c r="A52" s="755"/>
      <c r="B52" s="415"/>
      <c r="C52" s="401" t="s">
        <v>448</v>
      </c>
      <c r="D52" s="402"/>
      <c r="E52" s="403">
        <f>(0.5)*0.85*1.7</f>
        <v>0.7224999999999999</v>
      </c>
      <c r="F52" s="208"/>
      <c r="G52" s="202"/>
      <c r="H52" s="203"/>
    </row>
    <row r="53" spans="1:8" s="204" customFormat="1" ht="12">
      <c r="A53" s="755"/>
      <c r="B53" s="415"/>
      <c r="C53" s="401" t="s">
        <v>449</v>
      </c>
      <c r="D53" s="402"/>
      <c r="E53" s="403">
        <f>(0.5)*0.85*2.3</f>
        <v>0.9774999999999999</v>
      </c>
      <c r="F53" s="208"/>
      <c r="G53" s="202"/>
      <c r="H53" s="203"/>
    </row>
    <row r="54" spans="1:8" s="204" customFormat="1" ht="12">
      <c r="A54" s="755"/>
      <c r="B54" s="415"/>
      <c r="C54" s="401" t="s">
        <v>450</v>
      </c>
      <c r="D54" s="402"/>
      <c r="E54" s="403">
        <f>(5.25)*0.85*2.3</f>
        <v>10.263749999999998</v>
      </c>
      <c r="F54" s="208"/>
      <c r="G54" s="202"/>
      <c r="H54" s="203"/>
    </row>
    <row r="55" spans="1:8" s="204" customFormat="1" ht="12">
      <c r="A55" s="755"/>
      <c r="B55" s="415"/>
      <c r="C55" s="401" t="s">
        <v>451</v>
      </c>
      <c r="D55" s="402"/>
      <c r="E55" s="403">
        <f>(1.157)*0.85*2.87</f>
        <v>2.8225015000000004</v>
      </c>
      <c r="F55" s="208"/>
      <c r="G55" s="202"/>
      <c r="H55" s="203"/>
    </row>
    <row r="56" spans="1:8" s="204" customFormat="1" ht="12">
      <c r="A56" s="755"/>
      <c r="B56" s="415"/>
      <c r="C56" s="401" t="s">
        <v>452</v>
      </c>
      <c r="D56" s="402"/>
      <c r="E56" s="403">
        <f>(0.85)*0.85*2.3</f>
        <v>1.6617499999999996</v>
      </c>
      <c r="F56" s="208"/>
      <c r="G56" s="202"/>
      <c r="H56" s="203"/>
    </row>
    <row r="57" spans="1:8" s="204" customFormat="1" ht="12">
      <c r="A57" s="755"/>
      <c r="B57" s="415"/>
      <c r="C57" s="401" t="s">
        <v>453</v>
      </c>
      <c r="D57" s="402"/>
      <c r="E57" s="403">
        <f>(0.5)*0.85*1.8</f>
        <v>0.765</v>
      </c>
      <c r="F57" s="208"/>
      <c r="G57" s="202"/>
      <c r="H57" s="203"/>
    </row>
    <row r="58" spans="1:8" s="204" customFormat="1" ht="12">
      <c r="A58" s="755"/>
      <c r="B58" s="415"/>
      <c r="C58" s="401" t="s">
        <v>453</v>
      </c>
      <c r="D58" s="402"/>
      <c r="E58" s="403">
        <f>(0.5)*0.85*1.8</f>
        <v>0.765</v>
      </c>
      <c r="F58" s="208"/>
      <c r="G58" s="202"/>
      <c r="H58" s="203"/>
    </row>
    <row r="59" spans="1:8" s="204" customFormat="1" ht="12">
      <c r="A59" s="755"/>
      <c r="B59" s="415"/>
      <c r="C59" s="401" t="s">
        <v>454</v>
      </c>
      <c r="D59" s="402"/>
      <c r="E59" s="403">
        <f>(0.5)*0.85*1.3</f>
        <v>0.5525</v>
      </c>
      <c r="F59" s="208"/>
      <c r="G59" s="202"/>
      <c r="H59" s="203"/>
    </row>
    <row r="60" spans="1:8" s="204" customFormat="1" ht="12">
      <c r="A60" s="755"/>
      <c r="B60" s="415"/>
      <c r="C60" s="401" t="s">
        <v>454</v>
      </c>
      <c r="D60" s="402"/>
      <c r="E60" s="403">
        <f>(0.5)*0.85*1.3</f>
        <v>0.5525</v>
      </c>
      <c r="F60" s="208"/>
      <c r="G60" s="202"/>
      <c r="H60" s="203"/>
    </row>
    <row r="61" spans="1:8" s="204" customFormat="1" ht="12">
      <c r="A61" s="755"/>
      <c r="B61" s="415"/>
      <c r="C61" s="401" t="s">
        <v>455</v>
      </c>
      <c r="D61" s="402"/>
      <c r="E61" s="403">
        <f>(0.35)*0.85*0.8</f>
        <v>0.238</v>
      </c>
      <c r="F61" s="208"/>
      <c r="G61" s="202"/>
      <c r="H61" s="203"/>
    </row>
    <row r="62" spans="1:8" s="204" customFormat="1" ht="12">
      <c r="A62" s="755"/>
      <c r="B62" s="415"/>
      <c r="C62" s="401" t="s">
        <v>456</v>
      </c>
      <c r="D62" s="402"/>
      <c r="E62" s="403">
        <f>(0.3)*0.85*0.8</f>
        <v>0.20400000000000001</v>
      </c>
      <c r="F62" s="208"/>
      <c r="G62" s="202"/>
      <c r="H62" s="203"/>
    </row>
    <row r="63" spans="1:8" s="204" customFormat="1" ht="12">
      <c r="A63" s="755"/>
      <c r="B63" s="404"/>
      <c r="C63" s="413" t="s">
        <v>39</v>
      </c>
      <c r="D63" s="406"/>
      <c r="E63" s="414">
        <f>SUM(E46:E62)</f>
        <v>45.0060895</v>
      </c>
      <c r="F63" s="208"/>
      <c r="G63" s="202"/>
      <c r="H63" s="203"/>
    </row>
    <row r="64" spans="1:8" ht="12.75">
      <c r="A64" s="754"/>
      <c r="B64" s="394"/>
      <c r="C64" s="395"/>
      <c r="D64" s="358"/>
      <c r="E64" s="396"/>
      <c r="F64" s="209"/>
      <c r="G64" s="23"/>
      <c r="H64" s="205"/>
    </row>
    <row r="65" spans="1:8" ht="30.75" customHeight="1">
      <c r="A65" s="754">
        <v>3</v>
      </c>
      <c r="B65" s="352" t="s">
        <v>979</v>
      </c>
      <c r="C65" s="357" t="s">
        <v>983</v>
      </c>
      <c r="D65" s="398" t="s">
        <v>1424</v>
      </c>
      <c r="E65" s="399" t="s">
        <v>44</v>
      </c>
      <c r="F65" s="210">
        <f>E67</f>
        <v>137</v>
      </c>
      <c r="G65" s="23"/>
      <c r="H65" s="205">
        <f>F65*G65</f>
        <v>0</v>
      </c>
    </row>
    <row r="66" spans="1:8" s="204" customFormat="1" ht="48">
      <c r="A66" s="755"/>
      <c r="B66" s="415" t="s">
        <v>982</v>
      </c>
      <c r="C66" s="401" t="s">
        <v>988</v>
      </c>
      <c r="D66" s="402"/>
      <c r="E66" s="403">
        <f>(27+72+23+15)</f>
        <v>137</v>
      </c>
      <c r="F66" s="208"/>
      <c r="G66" s="202"/>
      <c r="H66" s="203"/>
    </row>
    <row r="67" spans="1:8" s="204" customFormat="1" ht="12">
      <c r="A67" s="755"/>
      <c r="B67" s="404"/>
      <c r="C67" s="413" t="s">
        <v>39</v>
      </c>
      <c r="D67" s="406"/>
      <c r="E67" s="414">
        <f>SUM(E66:E66)</f>
        <v>137</v>
      </c>
      <c r="F67" s="208"/>
      <c r="G67" s="202"/>
      <c r="H67" s="203"/>
    </row>
    <row r="68" spans="1:8" ht="12.75">
      <c r="A68" s="754"/>
      <c r="B68" s="394"/>
      <c r="C68" s="395"/>
      <c r="D68" s="358"/>
      <c r="E68" s="396"/>
      <c r="F68" s="209"/>
      <c r="G68" s="23"/>
      <c r="H68" s="205"/>
    </row>
    <row r="69" spans="1:8" ht="28.5" customHeight="1">
      <c r="A69" s="754">
        <v>4</v>
      </c>
      <c r="B69" s="352" t="s">
        <v>994</v>
      </c>
      <c r="C69" s="357" t="s">
        <v>995</v>
      </c>
      <c r="D69" s="398" t="s">
        <v>1424</v>
      </c>
      <c r="E69" s="399" t="s">
        <v>38</v>
      </c>
      <c r="F69" s="210">
        <f>E71</f>
        <v>312</v>
      </c>
      <c r="G69" s="23"/>
      <c r="H69" s="205">
        <f>F69*G69</f>
        <v>0</v>
      </c>
    </row>
    <row r="70" spans="1:8" s="204" customFormat="1" ht="12">
      <c r="A70" s="755"/>
      <c r="B70" s="415"/>
      <c r="C70" s="401" t="s">
        <v>1000</v>
      </c>
      <c r="D70" s="402"/>
      <c r="E70" s="403">
        <f>(6*8*3)+(8*7.5*2.8)</f>
        <v>312</v>
      </c>
      <c r="F70" s="208"/>
      <c r="G70" s="202"/>
      <c r="H70" s="203"/>
    </row>
    <row r="71" spans="1:8" s="204" customFormat="1" ht="12">
      <c r="A71" s="755"/>
      <c r="B71" s="404"/>
      <c r="C71" s="413" t="s">
        <v>39</v>
      </c>
      <c r="D71" s="406"/>
      <c r="E71" s="414">
        <f>SUM(E70:E70)</f>
        <v>312</v>
      </c>
      <c r="F71" s="208"/>
      <c r="G71" s="202"/>
      <c r="H71" s="203"/>
    </row>
    <row r="72" spans="1:8" ht="12.75">
      <c r="A72" s="754"/>
      <c r="B72" s="394"/>
      <c r="C72" s="395"/>
      <c r="D72" s="358"/>
      <c r="E72" s="396"/>
      <c r="F72" s="209"/>
      <c r="G72" s="23"/>
      <c r="H72" s="205"/>
    </row>
    <row r="73" spans="1:8" ht="27.75" customHeight="1">
      <c r="A73" s="754">
        <v>5</v>
      </c>
      <c r="B73" s="352" t="s">
        <v>996</v>
      </c>
      <c r="C73" s="357" t="s">
        <v>1476</v>
      </c>
      <c r="D73" s="398" t="s">
        <v>1477</v>
      </c>
      <c r="E73" s="399" t="s">
        <v>45</v>
      </c>
      <c r="F73" s="210">
        <f>E75</f>
        <v>1</v>
      </c>
      <c r="G73" s="23"/>
      <c r="H73" s="205">
        <f>F73*G73</f>
        <v>0</v>
      </c>
    </row>
    <row r="74" spans="1:8" s="204" customFormat="1" ht="12">
      <c r="A74" s="755"/>
      <c r="B74" s="415"/>
      <c r="C74" s="401">
        <v>1</v>
      </c>
      <c r="D74" s="402"/>
      <c r="E74" s="403">
        <f>C74</f>
        <v>1</v>
      </c>
      <c r="F74" s="208"/>
      <c r="G74" s="202"/>
      <c r="H74" s="203"/>
    </row>
    <row r="75" spans="1:8" s="204" customFormat="1" ht="12">
      <c r="A75" s="755"/>
      <c r="B75" s="404"/>
      <c r="C75" s="413" t="s">
        <v>39</v>
      </c>
      <c r="D75" s="406"/>
      <c r="E75" s="414">
        <f>SUM(E74:E74)</f>
        <v>1</v>
      </c>
      <c r="F75" s="208"/>
      <c r="G75" s="202"/>
      <c r="H75" s="203"/>
    </row>
    <row r="76" spans="1:8" ht="12.75">
      <c r="A76" s="754"/>
      <c r="B76" s="394"/>
      <c r="C76" s="395"/>
      <c r="D76" s="358"/>
      <c r="E76" s="396"/>
      <c r="F76" s="209"/>
      <c r="G76" s="23"/>
      <c r="H76" s="205"/>
    </row>
    <row r="77" spans="1:8" ht="29.25" customHeight="1">
      <c r="A77" s="754">
        <v>6</v>
      </c>
      <c r="B77" s="352" t="s">
        <v>997</v>
      </c>
      <c r="C77" s="357" t="s">
        <v>998</v>
      </c>
      <c r="D77" s="398" t="s">
        <v>1424</v>
      </c>
      <c r="E77" s="399" t="s">
        <v>45</v>
      </c>
      <c r="F77" s="210">
        <f>E79</f>
        <v>1</v>
      </c>
      <c r="G77" s="23"/>
      <c r="H77" s="205">
        <f>F77*G77</f>
        <v>0</v>
      </c>
    </row>
    <row r="78" spans="1:8" s="204" customFormat="1" ht="12">
      <c r="A78" s="755"/>
      <c r="B78" s="415"/>
      <c r="C78" s="401">
        <v>1</v>
      </c>
      <c r="D78" s="402"/>
      <c r="E78" s="403">
        <f>C78</f>
        <v>1</v>
      </c>
      <c r="F78" s="208"/>
      <c r="G78" s="202"/>
      <c r="H78" s="203"/>
    </row>
    <row r="79" spans="1:8" s="204" customFormat="1" ht="12">
      <c r="A79" s="755"/>
      <c r="B79" s="404"/>
      <c r="C79" s="413" t="s">
        <v>39</v>
      </c>
      <c r="D79" s="406"/>
      <c r="E79" s="414">
        <f>SUM(E78:E78)</f>
        <v>1</v>
      </c>
      <c r="F79" s="208"/>
      <c r="G79" s="202"/>
      <c r="H79" s="203"/>
    </row>
    <row r="80" spans="1:8" s="204" customFormat="1" ht="12">
      <c r="A80" s="755"/>
      <c r="B80" s="404"/>
      <c r="C80" s="413"/>
      <c r="D80" s="406"/>
      <c r="E80" s="414"/>
      <c r="F80" s="208"/>
      <c r="G80" s="202"/>
      <c r="H80" s="203"/>
    </row>
    <row r="81" spans="1:8" ht="16.5" customHeight="1">
      <c r="A81" s="754">
        <v>7</v>
      </c>
      <c r="B81" s="352" t="s">
        <v>1413</v>
      </c>
      <c r="C81" s="357" t="s">
        <v>1426</v>
      </c>
      <c r="D81" s="336"/>
      <c r="E81" s="416" t="s">
        <v>45</v>
      </c>
      <c r="F81" s="12">
        <f>E83</f>
        <v>1</v>
      </c>
      <c r="G81" s="13"/>
      <c r="H81" s="417">
        <f>F81*G81</f>
        <v>0</v>
      </c>
    </row>
    <row r="82" spans="1:8" s="204" customFormat="1" ht="12">
      <c r="A82" s="755"/>
      <c r="B82" s="415"/>
      <c r="C82" s="401">
        <v>1</v>
      </c>
      <c r="D82" s="402"/>
      <c r="E82" s="403">
        <f>C82</f>
        <v>1</v>
      </c>
      <c r="F82" s="208"/>
      <c r="G82" s="202"/>
      <c r="H82" s="203"/>
    </row>
    <row r="83" spans="1:8" s="204" customFormat="1" ht="12">
      <c r="A83" s="755"/>
      <c r="B83" s="404"/>
      <c r="C83" s="413" t="s">
        <v>39</v>
      </c>
      <c r="D83" s="406"/>
      <c r="E83" s="414">
        <f>SUM(E82:E82)</f>
        <v>1</v>
      </c>
      <c r="F83" s="208"/>
      <c r="G83" s="202"/>
      <c r="H83" s="203"/>
    </row>
    <row r="84" spans="1:8" s="204" customFormat="1" ht="12">
      <c r="A84" s="755"/>
      <c r="B84" s="404"/>
      <c r="C84" s="413"/>
      <c r="D84" s="406"/>
      <c r="E84" s="414"/>
      <c r="F84" s="208"/>
      <c r="G84" s="202"/>
      <c r="H84" s="203"/>
    </row>
    <row r="85" spans="1:8" ht="17.25" customHeight="1">
      <c r="A85" s="754">
        <v>8</v>
      </c>
      <c r="B85" s="352" t="s">
        <v>1414</v>
      </c>
      <c r="C85" s="357" t="s">
        <v>1427</v>
      </c>
      <c r="D85" s="336"/>
      <c r="E85" s="416" t="s">
        <v>45</v>
      </c>
      <c r="F85" s="12">
        <f>E87</f>
        <v>1</v>
      </c>
      <c r="G85" s="13"/>
      <c r="H85" s="417">
        <f>F85*G85</f>
        <v>0</v>
      </c>
    </row>
    <row r="86" spans="1:8" s="204" customFormat="1" ht="12">
      <c r="A86" s="755"/>
      <c r="B86" s="415"/>
      <c r="C86" s="401">
        <v>1</v>
      </c>
      <c r="D86" s="402"/>
      <c r="E86" s="403">
        <f>C86</f>
        <v>1</v>
      </c>
      <c r="F86" s="208"/>
      <c r="G86" s="202"/>
      <c r="H86" s="203"/>
    </row>
    <row r="87" spans="1:8" s="204" customFormat="1" ht="12">
      <c r="A87" s="755"/>
      <c r="B87" s="404"/>
      <c r="C87" s="413" t="s">
        <v>39</v>
      </c>
      <c r="D87" s="406"/>
      <c r="E87" s="414">
        <f>SUM(E86:E86)</f>
        <v>1</v>
      </c>
      <c r="F87" s="208"/>
      <c r="G87" s="202"/>
      <c r="H87" s="203"/>
    </row>
    <row r="88" spans="1:8" s="204" customFormat="1" ht="12">
      <c r="A88" s="755"/>
      <c r="B88" s="404"/>
      <c r="C88" s="413"/>
      <c r="D88" s="406"/>
      <c r="E88" s="414"/>
      <c r="F88" s="208"/>
      <c r="G88" s="202"/>
      <c r="H88" s="203"/>
    </row>
    <row r="89" spans="1:8" ht="19.5" customHeight="1">
      <c r="A89" s="754">
        <v>9</v>
      </c>
      <c r="B89" s="352" t="s">
        <v>1416</v>
      </c>
      <c r="C89" s="357" t="s">
        <v>1415</v>
      </c>
      <c r="D89" s="336"/>
      <c r="E89" s="416" t="s">
        <v>45</v>
      </c>
      <c r="F89" s="12">
        <f>E91</f>
        <v>1</v>
      </c>
      <c r="G89" s="13"/>
      <c r="H89" s="417">
        <f>F89*G89</f>
        <v>0</v>
      </c>
    </row>
    <row r="90" spans="1:8" s="204" customFormat="1" ht="12">
      <c r="A90" s="755"/>
      <c r="B90" s="415"/>
      <c r="C90" s="401">
        <v>1</v>
      </c>
      <c r="D90" s="402"/>
      <c r="E90" s="403">
        <f>C90</f>
        <v>1</v>
      </c>
      <c r="F90" s="208"/>
      <c r="G90" s="202"/>
      <c r="H90" s="203"/>
    </row>
    <row r="91" spans="1:8" s="204" customFormat="1" ht="12">
      <c r="A91" s="755"/>
      <c r="B91" s="404"/>
      <c r="C91" s="413" t="s">
        <v>39</v>
      </c>
      <c r="D91" s="406"/>
      <c r="E91" s="414">
        <f>SUM(E90:E90)</f>
        <v>1</v>
      </c>
      <c r="F91" s="208"/>
      <c r="G91" s="202"/>
      <c r="H91" s="203"/>
    </row>
    <row r="92" spans="1:8" s="204" customFormat="1" ht="12">
      <c r="A92" s="755"/>
      <c r="B92" s="404"/>
      <c r="C92" s="413"/>
      <c r="D92" s="406"/>
      <c r="E92" s="414"/>
      <c r="F92" s="208"/>
      <c r="G92" s="202"/>
      <c r="H92" s="203"/>
    </row>
    <row r="93" spans="1:8" ht="15" customHeight="1">
      <c r="A93" s="754">
        <v>10</v>
      </c>
      <c r="B93" s="352" t="s">
        <v>1417</v>
      </c>
      <c r="C93" s="357" t="s">
        <v>1425</v>
      </c>
      <c r="D93" s="336"/>
      <c r="E93" s="416" t="s">
        <v>45</v>
      </c>
      <c r="F93" s="12">
        <f>E95</f>
        <v>1</v>
      </c>
      <c r="G93" s="13"/>
      <c r="H93" s="417">
        <f>F93*G93</f>
        <v>0</v>
      </c>
    </row>
    <row r="94" spans="1:8" s="204" customFormat="1" ht="12">
      <c r="A94" s="755"/>
      <c r="B94" s="415"/>
      <c r="C94" s="401">
        <v>1</v>
      </c>
      <c r="D94" s="402"/>
      <c r="E94" s="403">
        <f>C94</f>
        <v>1</v>
      </c>
      <c r="F94" s="208"/>
      <c r="G94" s="202"/>
      <c r="H94" s="203"/>
    </row>
    <row r="95" spans="1:8" s="204" customFormat="1" ht="12">
      <c r="A95" s="755"/>
      <c r="B95" s="404"/>
      <c r="C95" s="413" t="s">
        <v>39</v>
      </c>
      <c r="D95" s="406"/>
      <c r="E95" s="414">
        <f>SUM(E94:E94)</f>
        <v>1</v>
      </c>
      <c r="F95" s="208"/>
      <c r="G95" s="202"/>
      <c r="H95" s="203"/>
    </row>
    <row r="96" spans="1:8" s="204" customFormat="1" ht="12">
      <c r="A96" s="755"/>
      <c r="B96" s="404"/>
      <c r="C96" s="413"/>
      <c r="D96" s="406"/>
      <c r="E96" s="414"/>
      <c r="F96" s="208"/>
      <c r="G96" s="202"/>
      <c r="H96" s="203"/>
    </row>
    <row r="97" spans="1:8" ht="30" customHeight="1">
      <c r="A97" s="754">
        <v>11</v>
      </c>
      <c r="B97" s="352" t="s">
        <v>1419</v>
      </c>
      <c r="C97" s="357" t="s">
        <v>1418</v>
      </c>
      <c r="D97" s="336"/>
      <c r="E97" s="416" t="s">
        <v>45</v>
      </c>
      <c r="F97" s="12">
        <f>E99</f>
        <v>1</v>
      </c>
      <c r="G97" s="13"/>
      <c r="H97" s="417">
        <f>F97*G97</f>
        <v>0</v>
      </c>
    </row>
    <row r="98" spans="1:8" s="204" customFormat="1" ht="12">
      <c r="A98" s="755"/>
      <c r="B98" s="415"/>
      <c r="C98" s="401">
        <v>1</v>
      </c>
      <c r="D98" s="402"/>
      <c r="E98" s="403">
        <f>C98</f>
        <v>1</v>
      </c>
      <c r="F98" s="208"/>
      <c r="G98" s="202"/>
      <c r="H98" s="203"/>
    </row>
    <row r="99" spans="1:8" s="204" customFormat="1" ht="12">
      <c r="A99" s="755"/>
      <c r="B99" s="404"/>
      <c r="C99" s="413" t="s">
        <v>39</v>
      </c>
      <c r="D99" s="406"/>
      <c r="E99" s="414">
        <f>SUM(E98:E98)</f>
        <v>1</v>
      </c>
      <c r="F99" s="208"/>
      <c r="G99" s="202"/>
      <c r="H99" s="203"/>
    </row>
    <row r="100" spans="1:8" s="204" customFormat="1" ht="12">
      <c r="A100" s="755"/>
      <c r="B100" s="404"/>
      <c r="C100" s="413"/>
      <c r="D100" s="406"/>
      <c r="E100" s="414"/>
      <c r="F100" s="208"/>
      <c r="G100" s="202"/>
      <c r="H100" s="203"/>
    </row>
    <row r="101" spans="1:8" ht="15.75" customHeight="1">
      <c r="A101" s="754">
        <v>12</v>
      </c>
      <c r="B101" s="352" t="s">
        <v>1421</v>
      </c>
      <c r="C101" s="357" t="s">
        <v>1420</v>
      </c>
      <c r="D101" s="336"/>
      <c r="E101" s="416" t="s">
        <v>45</v>
      </c>
      <c r="F101" s="12">
        <f>E103</f>
        <v>1</v>
      </c>
      <c r="G101" s="13"/>
      <c r="H101" s="417">
        <f>F101*G101</f>
        <v>0</v>
      </c>
    </row>
    <row r="102" spans="1:8" s="204" customFormat="1" ht="12">
      <c r="A102" s="755"/>
      <c r="B102" s="415"/>
      <c r="C102" s="401">
        <v>1</v>
      </c>
      <c r="D102" s="402"/>
      <c r="E102" s="403">
        <f>C102</f>
        <v>1</v>
      </c>
      <c r="F102" s="208"/>
      <c r="G102" s="202"/>
      <c r="H102" s="203"/>
    </row>
    <row r="103" spans="1:8" s="204" customFormat="1" ht="12">
      <c r="A103" s="755"/>
      <c r="B103" s="404"/>
      <c r="C103" s="413" t="s">
        <v>39</v>
      </c>
      <c r="D103" s="406"/>
      <c r="E103" s="414">
        <f>SUM(E102:E102)</f>
        <v>1</v>
      </c>
      <c r="F103" s="208"/>
      <c r="G103" s="202"/>
      <c r="H103" s="203"/>
    </row>
    <row r="104" spans="1:8" s="204" customFormat="1" ht="12">
      <c r="A104" s="755"/>
      <c r="B104" s="404"/>
      <c r="C104" s="413"/>
      <c r="D104" s="406"/>
      <c r="E104" s="414"/>
      <c r="F104" s="208"/>
      <c r="G104" s="202"/>
      <c r="H104" s="203"/>
    </row>
    <row r="105" spans="1:8" ht="18" customHeight="1">
      <c r="A105" s="754">
        <v>13</v>
      </c>
      <c r="B105" s="352" t="s">
        <v>1421</v>
      </c>
      <c r="C105" s="357" t="s">
        <v>1422</v>
      </c>
      <c r="D105" s="336"/>
      <c r="E105" s="416" t="s">
        <v>45</v>
      </c>
      <c r="F105" s="12">
        <f>E107</f>
        <v>1</v>
      </c>
      <c r="G105" s="13"/>
      <c r="H105" s="417">
        <f>F105*G105</f>
        <v>0</v>
      </c>
    </row>
    <row r="106" spans="1:8" s="204" customFormat="1" ht="12">
      <c r="A106" s="755"/>
      <c r="B106" s="415"/>
      <c r="C106" s="401">
        <v>1</v>
      </c>
      <c r="D106" s="402"/>
      <c r="E106" s="403">
        <f>C106</f>
        <v>1</v>
      </c>
      <c r="F106" s="208"/>
      <c r="G106" s="202"/>
      <c r="H106" s="203"/>
    </row>
    <row r="107" spans="1:8" s="204" customFormat="1" ht="12">
      <c r="A107" s="755"/>
      <c r="B107" s="404"/>
      <c r="C107" s="413" t="s">
        <v>39</v>
      </c>
      <c r="D107" s="406"/>
      <c r="E107" s="414">
        <f>SUM(E106:E106)</f>
        <v>1</v>
      </c>
      <c r="F107" s="208"/>
      <c r="G107" s="202"/>
      <c r="H107" s="203"/>
    </row>
    <row r="108" spans="1:8" s="204" customFormat="1" ht="12">
      <c r="A108" s="755"/>
      <c r="B108" s="404"/>
      <c r="C108" s="413"/>
      <c r="D108" s="406"/>
      <c r="E108" s="414"/>
      <c r="F108" s="208"/>
      <c r="G108" s="202"/>
      <c r="H108" s="203"/>
    </row>
    <row r="109" spans="1:8" ht="32.25" customHeight="1">
      <c r="A109" s="754">
        <v>14</v>
      </c>
      <c r="B109" s="352" t="s">
        <v>1423</v>
      </c>
      <c r="C109" s="357" t="s">
        <v>1443</v>
      </c>
      <c r="D109" s="336"/>
      <c r="E109" s="416" t="s">
        <v>45</v>
      </c>
      <c r="F109" s="12">
        <f>E111</f>
        <v>1</v>
      </c>
      <c r="G109" s="13"/>
      <c r="H109" s="417">
        <f>F109*G109</f>
        <v>0</v>
      </c>
    </row>
    <row r="110" spans="1:8" s="204" customFormat="1" ht="12">
      <c r="A110" s="755"/>
      <c r="B110" s="415"/>
      <c r="C110" s="401">
        <v>1</v>
      </c>
      <c r="D110" s="402"/>
      <c r="E110" s="403">
        <f>C110</f>
        <v>1</v>
      </c>
      <c r="F110" s="208"/>
      <c r="G110" s="202"/>
      <c r="H110" s="203"/>
    </row>
    <row r="111" spans="1:8" s="204" customFormat="1" ht="12">
      <c r="A111" s="755"/>
      <c r="B111" s="404"/>
      <c r="C111" s="413" t="s">
        <v>39</v>
      </c>
      <c r="D111" s="406"/>
      <c r="E111" s="414">
        <f>SUM(E110:E110)</f>
        <v>1</v>
      </c>
      <c r="F111" s="208"/>
      <c r="G111" s="202"/>
      <c r="H111" s="203"/>
    </row>
    <row r="112" spans="1:8" ht="12.75">
      <c r="A112" s="754"/>
      <c r="B112" s="394"/>
      <c r="C112" s="395"/>
      <c r="D112" s="358"/>
      <c r="E112" s="396"/>
      <c r="F112" s="209"/>
      <c r="G112" s="23"/>
      <c r="H112" s="205"/>
    </row>
    <row r="113" spans="1:8" ht="32.25" customHeight="1">
      <c r="A113" s="754">
        <v>15</v>
      </c>
      <c r="B113" s="352" t="s">
        <v>1444</v>
      </c>
      <c r="C113" s="357" t="s">
        <v>1445</v>
      </c>
      <c r="D113" s="336"/>
      <c r="E113" s="416" t="s">
        <v>45</v>
      </c>
      <c r="F113" s="12">
        <f>E115</f>
        <v>1</v>
      </c>
      <c r="G113" s="13"/>
      <c r="H113" s="417">
        <f>F113*G113</f>
        <v>0</v>
      </c>
    </row>
    <row r="114" spans="1:8" s="204" customFormat="1" ht="12">
      <c r="A114" s="755"/>
      <c r="B114" s="415"/>
      <c r="C114" s="401">
        <v>1</v>
      </c>
      <c r="D114" s="402"/>
      <c r="E114" s="403">
        <f>C114</f>
        <v>1</v>
      </c>
      <c r="F114" s="208"/>
      <c r="G114" s="202"/>
      <c r="H114" s="203"/>
    </row>
    <row r="115" spans="1:8" s="204" customFormat="1" ht="12">
      <c r="A115" s="755"/>
      <c r="B115" s="404"/>
      <c r="C115" s="413" t="s">
        <v>39</v>
      </c>
      <c r="D115" s="406"/>
      <c r="E115" s="414">
        <f>SUM(E114:E114)</f>
        <v>1</v>
      </c>
      <c r="F115" s="208"/>
      <c r="G115" s="202"/>
      <c r="H115" s="203"/>
    </row>
    <row r="116" spans="1:8" ht="12.75">
      <c r="A116" s="754"/>
      <c r="B116" s="394"/>
      <c r="C116" s="395"/>
      <c r="D116" s="358"/>
      <c r="E116" s="396"/>
      <c r="F116" s="209"/>
      <c r="G116" s="23"/>
      <c r="H116" s="205"/>
    </row>
    <row r="117" spans="1:8" ht="12.75">
      <c r="A117" s="754"/>
      <c r="B117" s="394"/>
      <c r="C117" s="395" t="s">
        <v>1301</v>
      </c>
      <c r="D117" s="358"/>
      <c r="E117" s="396"/>
      <c r="F117" s="209"/>
      <c r="G117" s="23"/>
      <c r="H117" s="397">
        <f>SUM(H118:H164)</f>
        <v>0</v>
      </c>
    </row>
    <row r="118" spans="1:8" ht="52.5" customHeight="1">
      <c r="A118" s="754">
        <v>1</v>
      </c>
      <c r="B118" s="352" t="s">
        <v>347</v>
      </c>
      <c r="C118" s="357" t="s">
        <v>348</v>
      </c>
      <c r="D118" s="398" t="s">
        <v>406</v>
      </c>
      <c r="E118" s="399" t="s">
        <v>38</v>
      </c>
      <c r="F118" s="210">
        <f>E122</f>
        <v>4.562232</v>
      </c>
      <c r="G118" s="23"/>
      <c r="H118" s="205">
        <f>F118*G118</f>
        <v>0</v>
      </c>
    </row>
    <row r="119" spans="1:8" s="204" customFormat="1" ht="24">
      <c r="A119" s="755"/>
      <c r="B119" s="415" t="s">
        <v>308</v>
      </c>
      <c r="C119" s="401" t="s">
        <v>349</v>
      </c>
      <c r="D119" s="402"/>
      <c r="E119" s="403">
        <f>(2.32*2.65)*0.3</f>
        <v>1.8443999999999998</v>
      </c>
      <c r="F119" s="208"/>
      <c r="G119" s="202"/>
      <c r="H119" s="203"/>
    </row>
    <row r="120" spans="1:8" s="204" customFormat="1" ht="36" customHeight="1">
      <c r="A120" s="755"/>
      <c r="B120" s="415" t="s">
        <v>812</v>
      </c>
      <c r="C120" s="401" t="s">
        <v>436</v>
      </c>
      <c r="D120" s="418" t="s">
        <v>438</v>
      </c>
      <c r="E120" s="403">
        <f>(3.55*2.5)*0.3</f>
        <v>2.6625</v>
      </c>
      <c r="F120" s="208"/>
      <c r="G120" s="202"/>
      <c r="H120" s="203"/>
    </row>
    <row r="121" spans="1:8" s="204" customFormat="1" ht="12">
      <c r="A121" s="755"/>
      <c r="B121" s="400" t="s">
        <v>41</v>
      </c>
      <c r="C121" s="419">
        <v>0.03</v>
      </c>
      <c r="D121" s="406"/>
      <c r="E121" s="420">
        <f>E119*C121</f>
        <v>0.05533199999999999</v>
      </c>
      <c r="F121" s="407"/>
      <c r="G121" s="202"/>
      <c r="H121" s="203"/>
    </row>
    <row r="122" spans="1:8" s="204" customFormat="1" ht="12">
      <c r="A122" s="755"/>
      <c r="B122" s="404"/>
      <c r="C122" s="405" t="s">
        <v>39</v>
      </c>
      <c r="D122" s="406"/>
      <c r="E122" s="407">
        <f>SUM(E119:E121)</f>
        <v>4.562232</v>
      </c>
      <c r="F122" s="412"/>
      <c r="G122" s="202"/>
      <c r="H122" s="203"/>
    </row>
    <row r="123" spans="1:8" ht="12.75">
      <c r="A123" s="754"/>
      <c r="B123" s="351"/>
      <c r="C123" s="355"/>
      <c r="D123" s="356"/>
      <c r="E123" s="350"/>
      <c r="F123" s="209"/>
      <c r="G123" s="23"/>
      <c r="H123" s="205"/>
    </row>
    <row r="124" spans="1:8" ht="48" customHeight="1">
      <c r="A124" s="754">
        <v>2</v>
      </c>
      <c r="B124" s="352" t="s">
        <v>405</v>
      </c>
      <c r="C124" s="357" t="s">
        <v>437</v>
      </c>
      <c r="D124" s="398" t="s">
        <v>443</v>
      </c>
      <c r="E124" s="399" t="s">
        <v>38</v>
      </c>
      <c r="F124" s="210">
        <f>E127</f>
        <v>41.4262847685</v>
      </c>
      <c r="G124" s="23"/>
      <c r="H124" s="205">
        <f>F124*G124</f>
        <v>0</v>
      </c>
    </row>
    <row r="125" spans="1:8" s="204" customFormat="1" ht="24" customHeight="1">
      <c r="A125" s="755"/>
      <c r="B125" s="415" t="s">
        <v>435</v>
      </c>
      <c r="C125" s="401" t="s">
        <v>440</v>
      </c>
      <c r="D125" s="418" t="s">
        <v>439</v>
      </c>
      <c r="E125" s="403">
        <f>(10.211*23.585-1.6*2.65)*0.17</f>
        <v>40.21969395</v>
      </c>
      <c r="F125" s="208"/>
      <c r="G125" s="202"/>
      <c r="H125" s="203"/>
    </row>
    <row r="126" spans="1:8" s="204" customFormat="1" ht="12">
      <c r="A126" s="755"/>
      <c r="B126" s="400" t="s">
        <v>41</v>
      </c>
      <c r="C126" s="419">
        <v>0.03</v>
      </c>
      <c r="D126" s="406"/>
      <c r="E126" s="420">
        <f>E125*C126</f>
        <v>1.2065908185</v>
      </c>
      <c r="F126" s="407"/>
      <c r="G126" s="202"/>
      <c r="H126" s="203"/>
    </row>
    <row r="127" spans="1:8" s="204" customFormat="1" ht="12">
      <c r="A127" s="755"/>
      <c r="B127" s="404"/>
      <c r="C127" s="405" t="s">
        <v>39</v>
      </c>
      <c r="D127" s="406"/>
      <c r="E127" s="407">
        <f>SUM(E125:E126)</f>
        <v>41.4262847685</v>
      </c>
      <c r="F127" s="412"/>
      <c r="G127" s="202"/>
      <c r="H127" s="203"/>
    </row>
    <row r="128" spans="1:8" s="204" customFormat="1" ht="12">
      <c r="A128" s="755"/>
      <c r="B128" s="404"/>
      <c r="C128" s="405"/>
      <c r="D128" s="406"/>
      <c r="E128" s="407"/>
      <c r="F128" s="412"/>
      <c r="G128" s="202"/>
      <c r="H128" s="203"/>
    </row>
    <row r="129" spans="1:8" ht="51" customHeight="1">
      <c r="A129" s="754">
        <v>3</v>
      </c>
      <c r="B129" s="421" t="s">
        <v>408</v>
      </c>
      <c r="C129" s="422" t="s">
        <v>409</v>
      </c>
      <c r="D129" s="398" t="s">
        <v>407</v>
      </c>
      <c r="E129" s="399" t="s">
        <v>38</v>
      </c>
      <c r="F129" s="210">
        <f>E148</f>
        <v>38.64374764799998</v>
      </c>
      <c r="G129" s="23"/>
      <c r="H129" s="205">
        <f>F129*G129</f>
        <v>0</v>
      </c>
    </row>
    <row r="130" spans="1:8" s="204" customFormat="1" ht="36">
      <c r="A130" s="755"/>
      <c r="B130" s="415" t="s">
        <v>435</v>
      </c>
      <c r="C130" s="401" t="s">
        <v>412</v>
      </c>
      <c r="D130" s="402"/>
      <c r="E130" s="403">
        <f>(3.921+8.155+4.779+3.488+4.004+0.85+0.75+2.403+5.644)*0.85*0.6</f>
        <v>17.336939999999995</v>
      </c>
      <c r="F130" s="208"/>
      <c r="G130" s="202"/>
      <c r="H130" s="203"/>
    </row>
    <row r="131" spans="1:8" s="204" customFormat="1" ht="12">
      <c r="A131" s="755"/>
      <c r="B131" s="415"/>
      <c r="C131" s="401" t="s">
        <v>410</v>
      </c>
      <c r="D131" s="402"/>
      <c r="E131" s="403">
        <f>(4.779)*0.859*0.6</f>
        <v>2.4630965999999996</v>
      </c>
      <c r="F131" s="208"/>
      <c r="G131" s="202"/>
      <c r="H131" s="203"/>
    </row>
    <row r="132" spans="1:8" s="204" customFormat="1" ht="12">
      <c r="A132" s="755"/>
      <c r="B132" s="415"/>
      <c r="C132" s="401" t="s">
        <v>411</v>
      </c>
      <c r="D132" s="402"/>
      <c r="E132" s="403">
        <f>(4.761-1.298+0.65+0.85+1.4+2.5+0.85+2.95)*0.85*0.77</f>
        <v>8.287933500000001</v>
      </c>
      <c r="F132" s="208"/>
      <c r="G132" s="202"/>
      <c r="H132" s="203"/>
    </row>
    <row r="133" spans="1:8" s="204" customFormat="1" ht="12">
      <c r="A133" s="755"/>
      <c r="B133" s="415"/>
      <c r="C133" s="401" t="s">
        <v>426</v>
      </c>
      <c r="D133" s="402"/>
      <c r="E133" s="403">
        <f>(0.5)*0.85*1.25</f>
        <v>0.53125</v>
      </c>
      <c r="F133" s="208"/>
      <c r="G133" s="202"/>
      <c r="H133" s="203"/>
    </row>
    <row r="134" spans="1:8" s="204" customFormat="1" ht="12">
      <c r="A134" s="755"/>
      <c r="B134" s="415"/>
      <c r="C134" s="401" t="s">
        <v>413</v>
      </c>
      <c r="D134" s="402"/>
      <c r="E134" s="403">
        <f>(0.85)*0.85*0.5</f>
        <v>0.36124999999999996</v>
      </c>
      <c r="F134" s="208"/>
      <c r="G134" s="202"/>
      <c r="H134" s="203"/>
    </row>
    <row r="135" spans="1:8" s="204" customFormat="1" ht="12">
      <c r="A135" s="755"/>
      <c r="B135" s="415"/>
      <c r="C135" s="401" t="s">
        <v>414</v>
      </c>
      <c r="D135" s="402"/>
      <c r="E135" s="403">
        <f>(0.5)*0.85*1.1</f>
        <v>0.4675</v>
      </c>
      <c r="F135" s="208"/>
      <c r="G135" s="202"/>
      <c r="H135" s="203"/>
    </row>
    <row r="136" spans="1:8" s="204" customFormat="1" ht="12">
      <c r="A136" s="755"/>
      <c r="B136" s="415"/>
      <c r="C136" s="401" t="s">
        <v>415</v>
      </c>
      <c r="D136" s="402"/>
      <c r="E136" s="403">
        <f>(0.5)*0.85*0.6</f>
        <v>0.255</v>
      </c>
      <c r="F136" s="208"/>
      <c r="G136" s="202"/>
      <c r="H136" s="203"/>
    </row>
    <row r="137" spans="1:8" s="204" customFormat="1" ht="12">
      <c r="A137" s="755"/>
      <c r="B137" s="415"/>
      <c r="C137" s="401" t="s">
        <v>416</v>
      </c>
      <c r="D137" s="402"/>
      <c r="E137" s="403">
        <f>(0.5)*0.85*1.2</f>
        <v>0.51</v>
      </c>
      <c r="F137" s="208"/>
      <c r="G137" s="202"/>
      <c r="H137" s="203"/>
    </row>
    <row r="138" spans="1:8" s="204" customFormat="1" ht="12">
      <c r="A138" s="755"/>
      <c r="B138" s="415"/>
      <c r="C138" s="401" t="s">
        <v>417</v>
      </c>
      <c r="D138" s="402"/>
      <c r="E138" s="403">
        <f>(5.25)*0.85*0.7</f>
        <v>3.1237499999999994</v>
      </c>
      <c r="F138" s="208"/>
      <c r="G138" s="202"/>
      <c r="H138" s="203"/>
    </row>
    <row r="139" spans="1:8" s="204" customFormat="1" ht="12">
      <c r="A139" s="755"/>
      <c r="B139" s="415"/>
      <c r="C139" s="401" t="s">
        <v>418</v>
      </c>
      <c r="D139" s="402"/>
      <c r="E139" s="403">
        <f>(1.157)*0.85*1.27</f>
        <v>1.2489815</v>
      </c>
      <c r="F139" s="208"/>
      <c r="G139" s="202"/>
      <c r="H139" s="203"/>
    </row>
    <row r="140" spans="1:8" s="204" customFormat="1" ht="12">
      <c r="A140" s="755"/>
      <c r="B140" s="415"/>
      <c r="C140" s="401" t="s">
        <v>419</v>
      </c>
      <c r="D140" s="402"/>
      <c r="E140" s="403">
        <f>(0.85)*0.85*1.2</f>
        <v>0.8669999999999999</v>
      </c>
      <c r="F140" s="208"/>
      <c r="G140" s="202"/>
      <c r="H140" s="203"/>
    </row>
    <row r="141" spans="1:8" s="204" customFormat="1" ht="12">
      <c r="A141" s="755"/>
      <c r="B141" s="415"/>
      <c r="C141" s="401" t="s">
        <v>420</v>
      </c>
      <c r="D141" s="402"/>
      <c r="E141" s="403">
        <f>(0.5)*0.85*0.7</f>
        <v>0.2975</v>
      </c>
      <c r="F141" s="208"/>
      <c r="G141" s="202"/>
      <c r="H141" s="203"/>
    </row>
    <row r="142" spans="1:8" s="204" customFormat="1" ht="12">
      <c r="A142" s="755"/>
      <c r="B142" s="415"/>
      <c r="C142" s="401" t="s">
        <v>416</v>
      </c>
      <c r="D142" s="402"/>
      <c r="E142" s="403">
        <f>(0.5)*0.85*1.2</f>
        <v>0.51</v>
      </c>
      <c r="F142" s="208"/>
      <c r="G142" s="202"/>
      <c r="H142" s="203"/>
    </row>
    <row r="143" spans="1:8" s="204" customFormat="1" ht="12">
      <c r="A143" s="755"/>
      <c r="B143" s="415"/>
      <c r="C143" s="401" t="s">
        <v>420</v>
      </c>
      <c r="D143" s="402"/>
      <c r="E143" s="403">
        <f>(0.5)*0.85*0.7</f>
        <v>0.2975</v>
      </c>
      <c r="F143" s="208"/>
      <c r="G143" s="202"/>
      <c r="H143" s="203"/>
    </row>
    <row r="144" spans="1:8" s="204" customFormat="1" ht="12">
      <c r="A144" s="755"/>
      <c r="B144" s="415"/>
      <c r="C144" s="401" t="s">
        <v>416</v>
      </c>
      <c r="D144" s="402"/>
      <c r="E144" s="403">
        <f>(0.5)*0.85*1.2</f>
        <v>0.51</v>
      </c>
      <c r="F144" s="208"/>
      <c r="G144" s="202"/>
      <c r="H144" s="203"/>
    </row>
    <row r="145" spans="1:8" s="204" customFormat="1" ht="12">
      <c r="A145" s="755"/>
      <c r="B145" s="415"/>
      <c r="C145" s="401" t="s">
        <v>421</v>
      </c>
      <c r="D145" s="402"/>
      <c r="E145" s="403">
        <f>(0.35)*0.85*0.7</f>
        <v>0.20825</v>
      </c>
      <c r="F145" s="208"/>
      <c r="G145" s="202"/>
      <c r="H145" s="203"/>
    </row>
    <row r="146" spans="1:8" s="204" customFormat="1" ht="12">
      <c r="A146" s="755"/>
      <c r="B146" s="415"/>
      <c r="C146" s="401" t="s">
        <v>422</v>
      </c>
      <c r="D146" s="402"/>
      <c r="E146" s="403">
        <f>(0.3)*0.85*0.95</f>
        <v>0.24225</v>
      </c>
      <c r="F146" s="208"/>
      <c r="G146" s="202"/>
      <c r="H146" s="203"/>
    </row>
    <row r="147" spans="1:8" s="204" customFormat="1" ht="12">
      <c r="A147" s="755"/>
      <c r="B147" s="400" t="s">
        <v>41</v>
      </c>
      <c r="C147" s="419">
        <v>0.03</v>
      </c>
      <c r="D147" s="406"/>
      <c r="E147" s="420">
        <f>SUM(E130:E146)*C147</f>
        <v>1.1255460479999995</v>
      </c>
      <c r="F147" s="407"/>
      <c r="G147" s="202"/>
      <c r="H147" s="203"/>
    </row>
    <row r="148" spans="1:8" s="204" customFormat="1" ht="12">
      <c r="A148" s="755"/>
      <c r="B148" s="404"/>
      <c r="C148" s="405" t="s">
        <v>39</v>
      </c>
      <c r="D148" s="406"/>
      <c r="E148" s="407">
        <f>SUM(E130:E147)</f>
        <v>38.64374764799998</v>
      </c>
      <c r="F148" s="412"/>
      <c r="G148" s="202"/>
      <c r="H148" s="203"/>
    </row>
    <row r="149" spans="1:8" s="204" customFormat="1" ht="12">
      <c r="A149" s="755"/>
      <c r="B149" s="404"/>
      <c r="C149" s="405"/>
      <c r="D149" s="406"/>
      <c r="E149" s="407"/>
      <c r="F149" s="412"/>
      <c r="G149" s="202"/>
      <c r="H149" s="203"/>
    </row>
    <row r="150" spans="1:8" ht="42" customHeight="1">
      <c r="A150" s="754">
        <v>4</v>
      </c>
      <c r="B150" s="421" t="s">
        <v>423</v>
      </c>
      <c r="C150" s="422" t="s">
        <v>424</v>
      </c>
      <c r="D150" s="398" t="s">
        <v>425</v>
      </c>
      <c r="E150" s="399" t="s">
        <v>40</v>
      </c>
      <c r="F150" s="210">
        <f>E163</f>
        <v>16.703249999999997</v>
      </c>
      <c r="G150" s="23"/>
      <c r="H150" s="205">
        <f>F150*G150</f>
        <v>0</v>
      </c>
    </row>
    <row r="151" spans="1:8" s="204" customFormat="1" ht="36">
      <c r="A151" s="755"/>
      <c r="B151" s="415" t="s">
        <v>435</v>
      </c>
      <c r="C151" s="401" t="s">
        <v>427</v>
      </c>
      <c r="D151" s="402"/>
      <c r="E151" s="403">
        <f>(0.85)*0.75</f>
        <v>0.6375</v>
      </c>
      <c r="F151" s="208"/>
      <c r="G151" s="202"/>
      <c r="H151" s="203"/>
    </row>
    <row r="152" spans="1:8" s="204" customFormat="1" ht="12">
      <c r="A152" s="755"/>
      <c r="B152" s="415"/>
      <c r="C152" s="401" t="s">
        <v>428</v>
      </c>
      <c r="D152" s="402"/>
      <c r="E152" s="403">
        <f>(0.5)*0.75</f>
        <v>0.375</v>
      </c>
      <c r="F152" s="208"/>
      <c r="G152" s="202"/>
      <c r="H152" s="203"/>
    </row>
    <row r="153" spans="1:8" s="204" customFormat="1" ht="12">
      <c r="A153" s="755"/>
      <c r="B153" s="415"/>
      <c r="C153" s="401" t="s">
        <v>429</v>
      </c>
      <c r="D153" s="402"/>
      <c r="E153" s="403">
        <f>(0.5)*1.25</f>
        <v>0.625</v>
      </c>
      <c r="F153" s="208"/>
      <c r="G153" s="202"/>
      <c r="H153" s="203"/>
    </row>
    <row r="154" spans="1:8" s="204" customFormat="1" ht="12">
      <c r="A154" s="755"/>
      <c r="B154" s="415"/>
      <c r="C154" s="401" t="s">
        <v>429</v>
      </c>
      <c r="D154" s="402"/>
      <c r="E154" s="403">
        <f>(0.5)*1.25</f>
        <v>0.625</v>
      </c>
      <c r="F154" s="208"/>
      <c r="G154" s="202"/>
      <c r="H154" s="203"/>
    </row>
    <row r="155" spans="1:8" s="204" customFormat="1" ht="12">
      <c r="A155" s="755"/>
      <c r="B155" s="415"/>
      <c r="C155" s="401" t="s">
        <v>430</v>
      </c>
      <c r="D155" s="402"/>
      <c r="E155" s="403">
        <f>(5.25)*1.75</f>
        <v>9.1875</v>
      </c>
      <c r="F155" s="208"/>
      <c r="G155" s="202"/>
      <c r="H155" s="203"/>
    </row>
    <row r="156" spans="1:8" s="204" customFormat="1" ht="12">
      <c r="A156" s="755"/>
      <c r="B156" s="415"/>
      <c r="C156" s="401" t="s">
        <v>432</v>
      </c>
      <c r="D156" s="402"/>
      <c r="E156" s="403">
        <f>(1.157)*2.25</f>
        <v>2.60325</v>
      </c>
      <c r="F156" s="208"/>
      <c r="G156" s="202"/>
      <c r="H156" s="203"/>
    </row>
    <row r="157" spans="1:8" s="204" customFormat="1" ht="12">
      <c r="A157" s="755"/>
      <c r="B157" s="415"/>
      <c r="C157" s="401" t="s">
        <v>431</v>
      </c>
      <c r="D157" s="402"/>
      <c r="E157" s="403">
        <f>(0.85)*1.25</f>
        <v>1.0625</v>
      </c>
      <c r="F157" s="208"/>
      <c r="G157" s="202"/>
      <c r="H157" s="203"/>
    </row>
    <row r="158" spans="1:8" s="204" customFormat="1" ht="12">
      <c r="A158" s="755"/>
      <c r="B158" s="415"/>
      <c r="C158" s="401" t="s">
        <v>429</v>
      </c>
      <c r="D158" s="402"/>
      <c r="E158" s="403">
        <f>(0.5)*1.25</f>
        <v>0.625</v>
      </c>
      <c r="F158" s="208"/>
      <c r="G158" s="202"/>
      <c r="H158" s="203"/>
    </row>
    <row r="159" spans="1:8" s="204" customFormat="1" ht="12">
      <c r="A159" s="755"/>
      <c r="B159" s="415"/>
      <c r="C159" s="401" t="s">
        <v>428</v>
      </c>
      <c r="D159" s="402"/>
      <c r="E159" s="403">
        <f>(0.5)*0.75</f>
        <v>0.375</v>
      </c>
      <c r="F159" s="208"/>
      <c r="G159" s="202"/>
      <c r="H159" s="203"/>
    </row>
    <row r="160" spans="1:8" s="204" customFormat="1" ht="12">
      <c r="A160" s="755"/>
      <c r="B160" s="415"/>
      <c r="C160" s="401" t="s">
        <v>428</v>
      </c>
      <c r="D160" s="402"/>
      <c r="E160" s="403">
        <f>(0.5)*0.75</f>
        <v>0.375</v>
      </c>
      <c r="F160" s="208"/>
      <c r="G160" s="202"/>
      <c r="H160" s="203"/>
    </row>
    <row r="161" spans="1:8" s="204" customFormat="1" ht="12">
      <c r="A161" s="755"/>
      <c r="B161" s="415"/>
      <c r="C161" s="401" t="s">
        <v>433</v>
      </c>
      <c r="D161" s="402"/>
      <c r="E161" s="403">
        <f>(0.5)*0.25</f>
        <v>0.125</v>
      </c>
      <c r="F161" s="208"/>
      <c r="G161" s="202"/>
      <c r="H161" s="203"/>
    </row>
    <row r="162" spans="1:8" s="204" customFormat="1" ht="12">
      <c r="A162" s="755"/>
      <c r="B162" s="415"/>
      <c r="C162" s="401" t="s">
        <v>434</v>
      </c>
      <c r="D162" s="402"/>
      <c r="E162" s="403">
        <f>(0.35)*0.25</f>
        <v>0.0875</v>
      </c>
      <c r="F162" s="208"/>
      <c r="G162" s="202"/>
      <c r="H162" s="203"/>
    </row>
    <row r="163" spans="1:8" s="204" customFormat="1" ht="12">
      <c r="A163" s="755"/>
      <c r="B163" s="404"/>
      <c r="C163" s="405" t="s">
        <v>39</v>
      </c>
      <c r="D163" s="406"/>
      <c r="E163" s="407">
        <f>SUM(E151:E162)</f>
        <v>16.703249999999997</v>
      </c>
      <c r="F163" s="412"/>
      <c r="G163" s="202"/>
      <c r="H163" s="203"/>
    </row>
    <row r="164" spans="1:8" s="204" customFormat="1" ht="12">
      <c r="A164" s="755"/>
      <c r="B164" s="404"/>
      <c r="C164" s="405"/>
      <c r="D164" s="406"/>
      <c r="E164" s="407"/>
      <c r="F164" s="412"/>
      <c r="G164" s="202"/>
      <c r="H164" s="203"/>
    </row>
    <row r="165" spans="1:8" ht="25.5" customHeight="1">
      <c r="A165" s="754"/>
      <c r="B165" s="394"/>
      <c r="C165" s="395" t="s">
        <v>1302</v>
      </c>
      <c r="D165" s="423" t="s">
        <v>78</v>
      </c>
      <c r="E165" s="396"/>
      <c r="F165" s="209"/>
      <c r="G165" s="23"/>
      <c r="H165" s="397">
        <f>SUM(H166:H311)</f>
        <v>0</v>
      </c>
    </row>
    <row r="166" spans="1:8" ht="25.5">
      <c r="A166" s="754">
        <v>1</v>
      </c>
      <c r="B166" s="421" t="s">
        <v>294</v>
      </c>
      <c r="C166" s="422" t="s">
        <v>295</v>
      </c>
      <c r="D166" s="423" t="s">
        <v>322</v>
      </c>
      <c r="E166" s="349" t="s">
        <v>38</v>
      </c>
      <c r="F166" s="424">
        <f>E179</f>
        <v>7.378874999999998</v>
      </c>
      <c r="G166" s="23"/>
      <c r="H166" s="205">
        <f>F166*G166</f>
        <v>0</v>
      </c>
    </row>
    <row r="167" spans="1:8" s="204" customFormat="1" ht="24">
      <c r="A167" s="755"/>
      <c r="B167" s="408" t="s">
        <v>308</v>
      </c>
      <c r="C167" s="409" t="s">
        <v>296</v>
      </c>
      <c r="D167" s="410"/>
      <c r="E167" s="411">
        <f>(0.78*0.7*0.8)*3</f>
        <v>1.3104</v>
      </c>
      <c r="F167" s="412"/>
      <c r="G167" s="202"/>
      <c r="H167" s="203"/>
    </row>
    <row r="168" spans="1:8" s="204" customFormat="1" ht="12">
      <c r="A168" s="755"/>
      <c r="B168" s="408"/>
      <c r="C168" s="409" t="s">
        <v>297</v>
      </c>
      <c r="D168" s="410"/>
      <c r="E168" s="411">
        <f>(0.78*0.7*0.975)*1</f>
        <v>0.5323499999999999</v>
      </c>
      <c r="F168" s="412"/>
      <c r="G168" s="202"/>
      <c r="H168" s="203"/>
    </row>
    <row r="169" spans="1:8" s="204" customFormat="1" ht="12">
      <c r="A169" s="755"/>
      <c r="B169" s="408"/>
      <c r="C169" s="409" t="s">
        <v>298</v>
      </c>
      <c r="D169" s="410"/>
      <c r="E169" s="411">
        <f>(0.7*0.7*1)*3</f>
        <v>1.4699999999999998</v>
      </c>
      <c r="F169" s="412"/>
      <c r="G169" s="202"/>
      <c r="H169" s="203"/>
    </row>
    <row r="170" spans="1:8" s="204" customFormat="1" ht="12">
      <c r="A170" s="755"/>
      <c r="B170" s="408"/>
      <c r="C170" s="409" t="s">
        <v>299</v>
      </c>
      <c r="D170" s="410"/>
      <c r="E170" s="411">
        <f>(0.7*0.7*0.686)*1</f>
        <v>0.33614</v>
      </c>
      <c r="F170" s="412"/>
      <c r="G170" s="202"/>
      <c r="H170" s="203"/>
    </row>
    <row r="171" spans="1:8" s="204" customFormat="1" ht="12">
      <c r="A171" s="755"/>
      <c r="B171" s="408"/>
      <c r="C171" s="409" t="s">
        <v>300</v>
      </c>
      <c r="D171" s="410"/>
      <c r="E171" s="411">
        <f>(0.745*0.95*1.4)*1</f>
        <v>0.9908499999999999</v>
      </c>
      <c r="F171" s="412"/>
      <c r="G171" s="202"/>
      <c r="H171" s="203"/>
    </row>
    <row r="172" spans="1:8" s="204" customFormat="1" ht="12">
      <c r="A172" s="755"/>
      <c r="B172" s="408"/>
      <c r="C172" s="409" t="s">
        <v>301</v>
      </c>
      <c r="D172" s="410"/>
      <c r="E172" s="411">
        <f>(0.275*0.95*0.6)*1</f>
        <v>0.15674999999999997</v>
      </c>
      <c r="F172" s="412"/>
      <c r="G172" s="202"/>
      <c r="H172" s="203"/>
    </row>
    <row r="173" spans="1:8" s="204" customFormat="1" ht="12">
      <c r="A173" s="755"/>
      <c r="B173" s="408"/>
      <c r="C173" s="409" t="s">
        <v>302</v>
      </c>
      <c r="D173" s="410"/>
      <c r="E173" s="411">
        <f>(0.275*0.95*1)*2</f>
        <v>0.5225</v>
      </c>
      <c r="F173" s="412"/>
      <c r="G173" s="202"/>
      <c r="H173" s="203"/>
    </row>
    <row r="174" spans="1:8" s="204" customFormat="1" ht="12">
      <c r="A174" s="755"/>
      <c r="B174" s="408"/>
      <c r="C174" s="409" t="s">
        <v>303</v>
      </c>
      <c r="D174" s="410"/>
      <c r="E174" s="411">
        <f>(0.55*0.95*0.706)*1</f>
        <v>0.36888499999999996</v>
      </c>
      <c r="F174" s="412"/>
      <c r="G174" s="202"/>
      <c r="H174" s="203"/>
    </row>
    <row r="175" spans="1:8" s="204" customFormat="1" ht="12">
      <c r="A175" s="755"/>
      <c r="B175" s="408"/>
      <c r="C175" s="409" t="s">
        <v>304</v>
      </c>
      <c r="D175" s="410"/>
      <c r="E175" s="411">
        <f>(0.55*0.95*1)*1</f>
        <v>0.5225</v>
      </c>
      <c r="F175" s="412"/>
      <c r="G175" s="202"/>
      <c r="H175" s="203"/>
    </row>
    <row r="176" spans="1:8" s="204" customFormat="1" ht="12">
      <c r="A176" s="755"/>
      <c r="B176" s="408"/>
      <c r="C176" s="409" t="s">
        <v>305</v>
      </c>
      <c r="D176" s="410"/>
      <c r="E176" s="411">
        <f>(0.55*0.95*0.7)*1</f>
        <v>0.36574999999999996</v>
      </c>
      <c r="F176" s="412"/>
      <c r="G176" s="202"/>
      <c r="H176" s="203"/>
    </row>
    <row r="177" spans="1:8" s="204" customFormat="1" ht="12">
      <c r="A177" s="755"/>
      <c r="B177" s="408"/>
      <c r="C177" s="409" t="s">
        <v>306</v>
      </c>
      <c r="D177" s="410"/>
      <c r="E177" s="411">
        <f>(0.65*0.95*0.3)*1</f>
        <v>0.18524999999999997</v>
      </c>
      <c r="F177" s="412"/>
      <c r="G177" s="202"/>
      <c r="H177" s="203"/>
    </row>
    <row r="178" spans="1:8" s="204" customFormat="1" ht="12">
      <c r="A178" s="755"/>
      <c r="B178" s="408"/>
      <c r="C178" s="409" t="s">
        <v>307</v>
      </c>
      <c r="D178" s="410"/>
      <c r="E178" s="411">
        <f>(0.65*0.95*1)*1</f>
        <v>0.6174999999999999</v>
      </c>
      <c r="F178" s="412"/>
      <c r="G178" s="202"/>
      <c r="H178" s="203"/>
    </row>
    <row r="179" spans="1:8" s="204" customFormat="1" ht="12">
      <c r="A179" s="755"/>
      <c r="B179" s="408"/>
      <c r="C179" s="413" t="s">
        <v>39</v>
      </c>
      <c r="D179" s="406"/>
      <c r="E179" s="414">
        <f>SUM(E167:E178)</f>
        <v>7.378874999999998</v>
      </c>
      <c r="F179" s="412"/>
      <c r="G179" s="202"/>
      <c r="H179" s="203"/>
    </row>
    <row r="180" spans="1:8" s="204" customFormat="1" ht="12">
      <c r="A180" s="755"/>
      <c r="B180" s="408"/>
      <c r="C180" s="425"/>
      <c r="D180" s="410"/>
      <c r="E180" s="426"/>
      <c r="F180" s="412"/>
      <c r="G180" s="202"/>
      <c r="H180" s="203"/>
    </row>
    <row r="181" spans="1:8" ht="25.5">
      <c r="A181" s="754">
        <v>2</v>
      </c>
      <c r="B181" s="421" t="s">
        <v>1268</v>
      </c>
      <c r="C181" s="422" t="s">
        <v>905</v>
      </c>
      <c r="D181" s="423" t="s">
        <v>377</v>
      </c>
      <c r="E181" s="349" t="s">
        <v>40</v>
      </c>
      <c r="F181" s="424">
        <f>E195</f>
        <v>482.62931000000003</v>
      </c>
      <c r="G181" s="23"/>
      <c r="H181" s="205">
        <f>F181*G181</f>
        <v>0</v>
      </c>
    </row>
    <row r="182" spans="1:8" s="204" customFormat="1" ht="24">
      <c r="A182" s="755"/>
      <c r="B182" s="408" t="s">
        <v>308</v>
      </c>
      <c r="C182" s="401" t="s">
        <v>372</v>
      </c>
      <c r="D182" s="410"/>
      <c r="E182" s="403">
        <f>(2.05+0.25+2.16+1.65)*4</f>
        <v>24.439999999999998</v>
      </c>
      <c r="F182" s="412"/>
      <c r="G182" s="202"/>
      <c r="H182" s="203"/>
    </row>
    <row r="183" spans="1:8" s="204" customFormat="1" ht="12">
      <c r="A183" s="755"/>
      <c r="B183" s="415" t="s">
        <v>62</v>
      </c>
      <c r="C183" s="401" t="s">
        <v>373</v>
      </c>
      <c r="D183" s="410"/>
      <c r="E183" s="403">
        <f>-(1.2*2.1)</f>
        <v>-2.52</v>
      </c>
      <c r="F183" s="412"/>
      <c r="G183" s="202"/>
      <c r="H183" s="203"/>
    </row>
    <row r="184" spans="1:8" s="204" customFormat="1" ht="24">
      <c r="A184" s="755"/>
      <c r="B184" s="415" t="s">
        <v>383</v>
      </c>
      <c r="C184" s="401" t="s">
        <v>397</v>
      </c>
      <c r="D184" s="410"/>
      <c r="E184" s="403">
        <f>(2.16+0.25+2.089+0.57+0.18+1.2+0.815)*3.79</f>
        <v>27.530560000000005</v>
      </c>
      <c r="F184" s="412"/>
      <c r="G184" s="202"/>
      <c r="H184" s="203"/>
    </row>
    <row r="185" spans="1:8" s="204" customFormat="1" ht="12">
      <c r="A185" s="755"/>
      <c r="B185" s="415" t="s">
        <v>62</v>
      </c>
      <c r="C185" s="401" t="s">
        <v>373</v>
      </c>
      <c r="D185" s="410"/>
      <c r="E185" s="403">
        <f>-(1.2*2.1)</f>
        <v>-2.52</v>
      </c>
      <c r="F185" s="412"/>
      <c r="G185" s="202"/>
      <c r="H185" s="203"/>
    </row>
    <row r="186" spans="1:8" s="204" customFormat="1" ht="24">
      <c r="A186" s="755"/>
      <c r="B186" s="415" t="s">
        <v>828</v>
      </c>
      <c r="C186" s="401" t="s">
        <v>840</v>
      </c>
      <c r="D186" s="410"/>
      <c r="E186" s="403">
        <f>(5.23+0.25+3.25+0.25+3.09+0.25+1.63+3.09+7.4+4.25+2.5+2.265+0.125+2.75+0.25+3.5+2.5+0.15+5.975+5.25+5.25)*3.25</f>
        <v>192.41625</v>
      </c>
      <c r="F186" s="412"/>
      <c r="G186" s="202"/>
      <c r="H186" s="203"/>
    </row>
    <row r="187" spans="1:8" s="204" customFormat="1" ht="12">
      <c r="A187" s="755"/>
      <c r="B187" s="415" t="s">
        <v>62</v>
      </c>
      <c r="C187" s="401" t="s">
        <v>841</v>
      </c>
      <c r="D187" s="410"/>
      <c r="E187" s="403">
        <f>-(0.8*2.1*1+0.9*2.1*3)</f>
        <v>-7.35</v>
      </c>
      <c r="F187" s="412"/>
      <c r="G187" s="202"/>
      <c r="H187" s="203"/>
    </row>
    <row r="188" spans="1:8" s="204" customFormat="1" ht="12">
      <c r="A188" s="755"/>
      <c r="B188" s="415" t="s">
        <v>43</v>
      </c>
      <c r="C188" s="401" t="s">
        <v>879</v>
      </c>
      <c r="D188" s="410"/>
      <c r="E188" s="427">
        <f>(0.99*3.3)</f>
        <v>3.267</v>
      </c>
      <c r="F188" s="412"/>
      <c r="G188" s="202"/>
      <c r="H188" s="203"/>
    </row>
    <row r="189" spans="1:8" s="204" customFormat="1" ht="12">
      <c r="A189" s="755"/>
      <c r="B189" s="408"/>
      <c r="C189" s="401" t="s">
        <v>890</v>
      </c>
      <c r="D189" s="410"/>
      <c r="E189" s="427">
        <f>(1.79*2.3)</f>
        <v>4.117</v>
      </c>
      <c r="F189" s="412"/>
      <c r="G189" s="202"/>
      <c r="H189" s="203"/>
    </row>
    <row r="190" spans="1:8" s="204" customFormat="1" ht="25.5" customHeight="1">
      <c r="A190" s="755"/>
      <c r="B190" s="415" t="s">
        <v>904</v>
      </c>
      <c r="C190" s="401" t="s">
        <v>907</v>
      </c>
      <c r="D190" s="410"/>
      <c r="E190" s="403">
        <f>(8.175+0.15+2.385+4.125+6.545+0.15+2.25+0.25+1.865+0.25+4.125+0.125+1.45+1.45+1.6+6.275+0.15+2.25+0.25+4.275+6.275+0.15+2.25+0.25+1.765)*3.1</f>
        <v>182.2335</v>
      </c>
      <c r="F190" s="412"/>
      <c r="G190" s="202"/>
      <c r="H190" s="203"/>
    </row>
    <row r="191" spans="1:8" s="204" customFormat="1" ht="12">
      <c r="A191" s="755"/>
      <c r="B191" s="415" t="s">
        <v>62</v>
      </c>
      <c r="C191" s="401" t="s">
        <v>859</v>
      </c>
      <c r="D191" s="410"/>
      <c r="E191" s="403">
        <f>-(0.8*2.1)*5</f>
        <v>-8.4</v>
      </c>
      <c r="F191" s="412"/>
      <c r="G191" s="202"/>
      <c r="H191" s="203"/>
    </row>
    <row r="192" spans="1:8" s="204" customFormat="1" ht="12">
      <c r="A192" s="755"/>
      <c r="B192" s="415" t="s">
        <v>42</v>
      </c>
      <c r="C192" s="401" t="s">
        <v>908</v>
      </c>
      <c r="D192" s="410"/>
      <c r="E192" s="403">
        <f>(1.93+0.15+6.405+0.15+3)*3</f>
        <v>34.905</v>
      </c>
      <c r="F192" s="412"/>
      <c r="G192" s="202"/>
      <c r="H192" s="203"/>
    </row>
    <row r="193" spans="1:8" s="204" customFormat="1" ht="12">
      <c r="A193" s="755"/>
      <c r="B193" s="408"/>
      <c r="C193" s="401" t="s">
        <v>909</v>
      </c>
      <c r="D193" s="410"/>
      <c r="E193" s="403">
        <f>(1.36+1.34+2.165+0.175+4.76+1.5)*3.5</f>
        <v>39.550000000000004</v>
      </c>
      <c r="F193" s="412"/>
      <c r="G193" s="202"/>
      <c r="H193" s="203"/>
    </row>
    <row r="194" spans="1:8" s="204" customFormat="1" ht="12">
      <c r="A194" s="755"/>
      <c r="B194" s="415" t="s">
        <v>62</v>
      </c>
      <c r="C194" s="401" t="s">
        <v>858</v>
      </c>
      <c r="D194" s="410"/>
      <c r="E194" s="403">
        <f>-(0.8*2.1)*3</f>
        <v>-5.040000000000001</v>
      </c>
      <c r="F194" s="412"/>
      <c r="G194" s="202"/>
      <c r="H194" s="203"/>
    </row>
    <row r="195" spans="1:8" s="204" customFormat="1" ht="12">
      <c r="A195" s="755"/>
      <c r="B195" s="408"/>
      <c r="C195" s="413" t="s">
        <v>39</v>
      </c>
      <c r="D195" s="406"/>
      <c r="E195" s="414">
        <f>SUM(E182:E194)</f>
        <v>482.62931000000003</v>
      </c>
      <c r="F195" s="412"/>
      <c r="G195" s="202"/>
      <c r="H195" s="203"/>
    </row>
    <row r="196" spans="1:8" s="204" customFormat="1" ht="12">
      <c r="A196" s="755"/>
      <c r="B196" s="408"/>
      <c r="C196" s="425"/>
      <c r="D196" s="410"/>
      <c r="E196" s="426"/>
      <c r="F196" s="412"/>
      <c r="G196" s="202"/>
      <c r="H196" s="203"/>
    </row>
    <row r="197" spans="1:8" ht="25.5">
      <c r="A197" s="754">
        <v>3</v>
      </c>
      <c r="B197" s="421" t="s">
        <v>375</v>
      </c>
      <c r="C197" s="422" t="s">
        <v>827</v>
      </c>
      <c r="D197" s="423" t="s">
        <v>829</v>
      </c>
      <c r="E197" s="349" t="s">
        <v>40</v>
      </c>
      <c r="F197" s="424">
        <f>E211</f>
        <v>263.668</v>
      </c>
      <c r="G197" s="23"/>
      <c r="H197" s="205">
        <f>F197*G197</f>
        <v>0</v>
      </c>
    </row>
    <row r="198" spans="1:8" s="204" customFormat="1" ht="12">
      <c r="A198" s="755"/>
      <c r="B198" s="415" t="s">
        <v>52</v>
      </c>
      <c r="C198" s="401" t="s">
        <v>376</v>
      </c>
      <c r="D198" s="410"/>
      <c r="E198" s="403">
        <f>(1*3-0.7*2.1)</f>
        <v>1.53</v>
      </c>
      <c r="F198" s="412"/>
      <c r="G198" s="202"/>
      <c r="H198" s="203"/>
    </row>
    <row r="199" spans="1:8" s="204" customFormat="1" ht="24">
      <c r="A199" s="755"/>
      <c r="B199" s="415" t="s">
        <v>828</v>
      </c>
      <c r="C199" s="401" t="s">
        <v>834</v>
      </c>
      <c r="D199" s="410"/>
      <c r="E199" s="403">
        <f>(2.5+2.5+1.2+4.395+3.75+2.8+1.75+0.125+3.25+0.9+1.55+1.55+1+1+4+1.25)*3.5</f>
        <v>117.32</v>
      </c>
      <c r="F199" s="412"/>
      <c r="G199" s="202"/>
      <c r="H199" s="203"/>
    </row>
    <row r="200" spans="1:8" s="204" customFormat="1" ht="12">
      <c r="A200" s="755"/>
      <c r="B200" s="415" t="s">
        <v>62</v>
      </c>
      <c r="C200" s="401" t="s">
        <v>835</v>
      </c>
      <c r="D200" s="410"/>
      <c r="E200" s="403">
        <f>-(0.9*2.1*3+0.8*2.1*7)</f>
        <v>-17.43</v>
      </c>
      <c r="F200" s="412"/>
      <c r="G200" s="202"/>
      <c r="H200" s="203"/>
    </row>
    <row r="201" spans="1:8" s="204" customFormat="1" ht="24">
      <c r="A201" s="755"/>
      <c r="B201" s="415" t="s">
        <v>43</v>
      </c>
      <c r="C201" s="401" t="s">
        <v>860</v>
      </c>
      <c r="D201" s="410"/>
      <c r="E201" s="403">
        <f>(2.225+2.225)*3.3+(1.875+1.1+1.87+1.1)*3.3+(1.375+1.375+1.66+0.125+1.845+0.125)*3.65</f>
        <v>58.04675</v>
      </c>
      <c r="F201" s="412"/>
      <c r="G201" s="202"/>
      <c r="H201" s="203"/>
    </row>
    <row r="202" spans="1:8" s="204" customFormat="1" ht="12">
      <c r="A202" s="755"/>
      <c r="B202" s="415" t="s">
        <v>62</v>
      </c>
      <c r="C202" s="401" t="s">
        <v>861</v>
      </c>
      <c r="D202" s="410"/>
      <c r="E202" s="403">
        <f>-(0.8*2.1)*7</f>
        <v>-11.760000000000002</v>
      </c>
      <c r="F202" s="412"/>
      <c r="G202" s="202"/>
      <c r="H202" s="203"/>
    </row>
    <row r="203" spans="1:8" s="204" customFormat="1" ht="12">
      <c r="A203" s="755"/>
      <c r="B203" s="415" t="s">
        <v>42</v>
      </c>
      <c r="C203" s="401" t="s">
        <v>918</v>
      </c>
      <c r="D203" s="410"/>
      <c r="E203" s="403">
        <f>(1.695+0.15+1.75+1.9+0.15+2.11+2+0.15+1.9)*3.75</f>
        <v>44.26875</v>
      </c>
      <c r="F203" s="412"/>
      <c r="G203" s="202"/>
      <c r="H203" s="203"/>
    </row>
    <row r="204" spans="1:8" s="204" customFormat="1" ht="12">
      <c r="A204" s="755"/>
      <c r="B204" s="415" t="s">
        <v>62</v>
      </c>
      <c r="C204" s="401" t="s">
        <v>858</v>
      </c>
      <c r="D204" s="410"/>
      <c r="E204" s="403">
        <f>-(0.8*2.1)*3</f>
        <v>-5.040000000000001</v>
      </c>
      <c r="F204" s="412"/>
      <c r="G204" s="202"/>
      <c r="H204" s="203"/>
    </row>
    <row r="205" spans="1:8" s="434" customFormat="1" ht="12">
      <c r="A205" s="756"/>
      <c r="B205" s="428"/>
      <c r="C205" s="429" t="s">
        <v>927</v>
      </c>
      <c r="D205" s="430"/>
      <c r="E205" s="431">
        <f>(3+0.15+1.94+1.895+0.15+2.92+0.06)*3.75</f>
        <v>37.93125</v>
      </c>
      <c r="F205" s="432"/>
      <c r="G205" s="432"/>
      <c r="H205" s="433"/>
    </row>
    <row r="206" spans="1:8" s="434" customFormat="1" ht="12">
      <c r="A206" s="756"/>
      <c r="B206" s="428" t="s">
        <v>62</v>
      </c>
      <c r="C206" s="429" t="s">
        <v>863</v>
      </c>
      <c r="D206" s="430"/>
      <c r="E206" s="431">
        <f>-(0.8*2.1)*2</f>
        <v>-3.3600000000000003</v>
      </c>
      <c r="F206" s="432"/>
      <c r="G206" s="432"/>
      <c r="H206" s="433"/>
    </row>
    <row r="207" spans="1:8" s="204" customFormat="1" ht="12">
      <c r="A207" s="755"/>
      <c r="B207" s="408"/>
      <c r="C207" s="401" t="s">
        <v>939</v>
      </c>
      <c r="D207" s="410"/>
      <c r="E207" s="403">
        <f>(5.815+0.575+3.765)*3.75</f>
        <v>38.081250000000004</v>
      </c>
      <c r="F207" s="412"/>
      <c r="G207" s="202"/>
      <c r="H207" s="203"/>
    </row>
    <row r="208" spans="1:8" s="204" customFormat="1" ht="12">
      <c r="A208" s="755"/>
      <c r="B208" s="428" t="s">
        <v>62</v>
      </c>
      <c r="C208" s="401" t="s">
        <v>863</v>
      </c>
      <c r="D208" s="410"/>
      <c r="E208" s="403">
        <f>-(0.8*2.1)*2</f>
        <v>-3.3600000000000003</v>
      </c>
      <c r="F208" s="412"/>
      <c r="G208" s="202"/>
      <c r="H208" s="203"/>
    </row>
    <row r="209" spans="1:8" s="204" customFormat="1" ht="12">
      <c r="A209" s="755"/>
      <c r="B209" s="428"/>
      <c r="C209" s="401" t="s">
        <v>947</v>
      </c>
      <c r="D209" s="410"/>
      <c r="E209" s="403">
        <f>(1.19+0.59+1.1)*3.75</f>
        <v>10.799999999999999</v>
      </c>
      <c r="F209" s="412"/>
      <c r="G209" s="202"/>
      <c r="H209" s="203"/>
    </row>
    <row r="210" spans="1:8" s="204" customFormat="1" ht="12">
      <c r="A210" s="755"/>
      <c r="B210" s="428" t="s">
        <v>62</v>
      </c>
      <c r="C210" s="401" t="s">
        <v>863</v>
      </c>
      <c r="D210" s="410"/>
      <c r="E210" s="403">
        <f>-(0.8*2.1)*2</f>
        <v>-3.3600000000000003</v>
      </c>
      <c r="F210" s="412"/>
      <c r="G210" s="202"/>
      <c r="H210" s="203"/>
    </row>
    <row r="211" spans="1:8" s="204" customFormat="1" ht="12">
      <c r="A211" s="755"/>
      <c r="B211" s="408"/>
      <c r="C211" s="413" t="s">
        <v>39</v>
      </c>
      <c r="D211" s="406"/>
      <c r="E211" s="414">
        <f>SUM(E198:E210)</f>
        <v>263.668</v>
      </c>
      <c r="F211" s="412"/>
      <c r="G211" s="202"/>
      <c r="H211" s="203"/>
    </row>
    <row r="212" spans="1:8" s="204" customFormat="1" ht="12">
      <c r="A212" s="755"/>
      <c r="B212" s="408"/>
      <c r="C212" s="425"/>
      <c r="D212" s="410"/>
      <c r="E212" s="426"/>
      <c r="F212" s="412"/>
      <c r="G212" s="202"/>
      <c r="H212" s="203"/>
    </row>
    <row r="213" spans="1:8" ht="24">
      <c r="A213" s="754">
        <v>4</v>
      </c>
      <c r="B213" s="421" t="s">
        <v>831</v>
      </c>
      <c r="C213" s="422" t="s">
        <v>830</v>
      </c>
      <c r="D213" s="423" t="s">
        <v>829</v>
      </c>
      <c r="E213" s="349" t="s">
        <v>40</v>
      </c>
      <c r="F213" s="424">
        <f>E228</f>
        <v>123.79199999999994</v>
      </c>
      <c r="G213" s="23"/>
      <c r="H213" s="205">
        <f>F213*G213</f>
        <v>0</v>
      </c>
    </row>
    <row r="214" spans="1:8" s="204" customFormat="1" ht="12">
      <c r="A214" s="755"/>
      <c r="B214" s="415" t="s">
        <v>828</v>
      </c>
      <c r="C214" s="401" t="s">
        <v>832</v>
      </c>
      <c r="D214" s="410"/>
      <c r="E214" s="403">
        <f>(5.11)*3.5</f>
        <v>17.885</v>
      </c>
      <c r="F214" s="412"/>
      <c r="G214" s="202"/>
      <c r="H214" s="203"/>
    </row>
    <row r="215" spans="1:8" s="204" customFormat="1" ht="12">
      <c r="A215" s="755"/>
      <c r="B215" s="415" t="s">
        <v>62</v>
      </c>
      <c r="C215" s="401" t="s">
        <v>833</v>
      </c>
      <c r="D215" s="410"/>
      <c r="E215" s="403">
        <f>-(0.9*2.1)</f>
        <v>-1.8900000000000001</v>
      </c>
      <c r="F215" s="412"/>
      <c r="G215" s="202"/>
      <c r="H215" s="203"/>
    </row>
    <row r="216" spans="1:8" s="204" customFormat="1" ht="12">
      <c r="A216" s="755"/>
      <c r="B216" s="415" t="s">
        <v>43</v>
      </c>
      <c r="C216" s="401" t="s">
        <v>862</v>
      </c>
      <c r="D216" s="410"/>
      <c r="E216" s="427">
        <f>(1.615+0.125+2.025+4.16)*3.3</f>
        <v>26.152499999999996</v>
      </c>
      <c r="F216" s="412"/>
      <c r="G216" s="202"/>
      <c r="H216" s="203"/>
    </row>
    <row r="217" spans="1:8" s="204" customFormat="1" ht="12">
      <c r="A217" s="755"/>
      <c r="B217" s="415"/>
      <c r="C217" s="401" t="s">
        <v>874</v>
      </c>
      <c r="D217" s="410"/>
      <c r="E217" s="427">
        <f>(4.82+4.82+1.75)*3.5</f>
        <v>39.865</v>
      </c>
      <c r="F217" s="412"/>
      <c r="G217" s="202"/>
      <c r="H217" s="203"/>
    </row>
    <row r="218" spans="1:8" s="204" customFormat="1" ht="12">
      <c r="A218" s="755"/>
      <c r="B218" s="415"/>
      <c r="C218" s="401" t="s">
        <v>877</v>
      </c>
      <c r="D218" s="410"/>
      <c r="E218" s="427">
        <f>(1.51+3.84+2.305)*3.5</f>
        <v>26.792499999999997</v>
      </c>
      <c r="F218" s="412"/>
      <c r="G218" s="202"/>
      <c r="H218" s="203"/>
    </row>
    <row r="219" spans="1:8" s="204" customFormat="1" ht="12">
      <c r="A219" s="755"/>
      <c r="B219" s="415"/>
      <c r="C219" s="401" t="s">
        <v>881</v>
      </c>
      <c r="D219" s="410"/>
      <c r="E219" s="427">
        <f>(3.21+2.44)*3.6</f>
        <v>20.340000000000003</v>
      </c>
      <c r="F219" s="412"/>
      <c r="G219" s="202"/>
      <c r="H219" s="203"/>
    </row>
    <row r="220" spans="1:8" s="204" customFormat="1" ht="12">
      <c r="A220" s="755"/>
      <c r="B220" s="415"/>
      <c r="C220" s="401" t="s">
        <v>898</v>
      </c>
      <c r="D220" s="410"/>
      <c r="E220" s="427">
        <f>(2.34+1.46+1.24)*3.6</f>
        <v>18.144000000000002</v>
      </c>
      <c r="F220" s="412"/>
      <c r="G220" s="202"/>
      <c r="H220" s="203"/>
    </row>
    <row r="221" spans="1:8" s="204" customFormat="1" ht="12">
      <c r="A221" s="755"/>
      <c r="B221" s="415" t="s">
        <v>62</v>
      </c>
      <c r="C221" s="401" t="s">
        <v>863</v>
      </c>
      <c r="D221" s="410"/>
      <c r="E221" s="427">
        <f>-(0.8*2.1)*2</f>
        <v>-3.3600000000000003</v>
      </c>
      <c r="F221" s="412"/>
      <c r="G221" s="202"/>
      <c r="H221" s="203"/>
    </row>
    <row r="222" spans="1:8" s="204" customFormat="1" ht="12">
      <c r="A222" s="755"/>
      <c r="B222" s="408"/>
      <c r="C222" s="401" t="s">
        <v>875</v>
      </c>
      <c r="D222" s="410"/>
      <c r="E222" s="427">
        <f>-(2.605*2.1*2+0.8*2.1)</f>
        <v>-12.621</v>
      </c>
      <c r="F222" s="412"/>
      <c r="G222" s="202"/>
      <c r="H222" s="203"/>
    </row>
    <row r="223" spans="1:8" s="204" customFormat="1" ht="12">
      <c r="A223" s="755"/>
      <c r="B223" s="408"/>
      <c r="C223" s="401" t="s">
        <v>878</v>
      </c>
      <c r="D223" s="410"/>
      <c r="E223" s="427">
        <f>-(0.8*2.1*3)</f>
        <v>-5.040000000000001</v>
      </c>
      <c r="F223" s="412"/>
      <c r="G223" s="202"/>
      <c r="H223" s="203"/>
    </row>
    <row r="224" spans="1:8" s="204" customFormat="1" ht="12">
      <c r="A224" s="755"/>
      <c r="B224" s="408"/>
      <c r="C224" s="401" t="s">
        <v>882</v>
      </c>
      <c r="D224" s="410"/>
      <c r="E224" s="427">
        <f>-(0.88*2.2)</f>
        <v>-1.9360000000000002</v>
      </c>
      <c r="F224" s="412"/>
      <c r="G224" s="202"/>
      <c r="H224" s="203"/>
    </row>
    <row r="225" spans="1:8" s="204" customFormat="1" ht="12">
      <c r="A225" s="755"/>
      <c r="B225" s="408"/>
      <c r="C225" s="401" t="s">
        <v>863</v>
      </c>
      <c r="D225" s="410"/>
      <c r="E225" s="427">
        <f>-(0.8*2.1)*2</f>
        <v>-3.3600000000000003</v>
      </c>
      <c r="F225" s="412"/>
      <c r="G225" s="202"/>
      <c r="H225" s="203"/>
    </row>
    <row r="226" spans="1:8" s="204" customFormat="1" ht="12">
      <c r="A226" s="755"/>
      <c r="B226" s="415" t="s">
        <v>42</v>
      </c>
      <c r="C226" s="401" t="s">
        <v>946</v>
      </c>
      <c r="D226" s="410"/>
      <c r="E226" s="403">
        <f>(1.2*3.75)</f>
        <v>4.5</v>
      </c>
      <c r="F226" s="412"/>
      <c r="G226" s="202"/>
      <c r="H226" s="203"/>
    </row>
    <row r="227" spans="1:8" s="204" customFormat="1" ht="12">
      <c r="A227" s="755"/>
      <c r="B227" s="415" t="s">
        <v>62</v>
      </c>
      <c r="C227" s="401" t="s">
        <v>857</v>
      </c>
      <c r="D227" s="410"/>
      <c r="E227" s="403">
        <f>-(0.8*2.1)*1</f>
        <v>-1.6800000000000002</v>
      </c>
      <c r="F227" s="412"/>
      <c r="G227" s="202"/>
      <c r="H227" s="203"/>
    </row>
    <row r="228" spans="1:8" s="204" customFormat="1" ht="12">
      <c r="A228" s="755"/>
      <c r="B228" s="408"/>
      <c r="C228" s="413" t="s">
        <v>39</v>
      </c>
      <c r="D228" s="406"/>
      <c r="E228" s="414">
        <f>SUM(E214:E227)</f>
        <v>123.79199999999994</v>
      </c>
      <c r="F228" s="412"/>
      <c r="G228" s="202"/>
      <c r="H228" s="203"/>
    </row>
    <row r="229" spans="1:8" s="204" customFormat="1" ht="12">
      <c r="A229" s="755"/>
      <c r="B229" s="408"/>
      <c r="C229" s="425"/>
      <c r="D229" s="410"/>
      <c r="E229" s="426"/>
      <c r="F229" s="412"/>
      <c r="G229" s="202"/>
      <c r="H229" s="203"/>
    </row>
    <row r="230" spans="1:8" ht="25.5">
      <c r="A230" s="754">
        <v>5</v>
      </c>
      <c r="B230" s="421" t="s">
        <v>836</v>
      </c>
      <c r="C230" s="422" t="s">
        <v>837</v>
      </c>
      <c r="D230" s="423" t="s">
        <v>829</v>
      </c>
      <c r="E230" s="349" t="s">
        <v>40</v>
      </c>
      <c r="F230" s="424">
        <f>E235</f>
        <v>27.696000000000005</v>
      </c>
      <c r="G230" s="23"/>
      <c r="H230" s="205">
        <f>F230*G230</f>
        <v>0</v>
      </c>
    </row>
    <row r="231" spans="1:8" s="204" customFormat="1" ht="12">
      <c r="A231" s="755"/>
      <c r="B231" s="415" t="s">
        <v>828</v>
      </c>
      <c r="C231" s="401" t="s">
        <v>838</v>
      </c>
      <c r="D231" s="410"/>
      <c r="E231" s="403">
        <f>(5.23)*3.25</f>
        <v>16.997500000000002</v>
      </c>
      <c r="F231" s="412"/>
      <c r="G231" s="202"/>
      <c r="H231" s="203"/>
    </row>
    <row r="232" spans="1:8" s="204" customFormat="1" ht="12">
      <c r="A232" s="755"/>
      <c r="B232" s="415" t="s">
        <v>62</v>
      </c>
      <c r="C232" s="401" t="s">
        <v>839</v>
      </c>
      <c r="D232" s="410"/>
      <c r="E232" s="403">
        <f>-(0.8*2.1)</f>
        <v>-1.6800000000000002</v>
      </c>
      <c r="F232" s="412"/>
      <c r="G232" s="202"/>
      <c r="H232" s="203"/>
    </row>
    <row r="233" spans="1:8" s="204" customFormat="1" ht="12">
      <c r="A233" s="755"/>
      <c r="B233" s="415" t="s">
        <v>904</v>
      </c>
      <c r="C233" s="401" t="s">
        <v>913</v>
      </c>
      <c r="D233" s="410"/>
      <c r="E233" s="403">
        <f>(4.535)*3.1</f>
        <v>14.0585</v>
      </c>
      <c r="F233" s="412"/>
      <c r="G233" s="202"/>
      <c r="H233" s="203"/>
    </row>
    <row r="234" spans="1:8" s="204" customFormat="1" ht="12">
      <c r="A234" s="755"/>
      <c r="B234" s="415" t="s">
        <v>62</v>
      </c>
      <c r="C234" s="401" t="s">
        <v>839</v>
      </c>
      <c r="D234" s="410"/>
      <c r="E234" s="403">
        <f>-(0.8*2.1)</f>
        <v>-1.6800000000000002</v>
      </c>
      <c r="F234" s="412"/>
      <c r="G234" s="202"/>
      <c r="H234" s="203"/>
    </row>
    <row r="235" spans="1:8" s="204" customFormat="1" ht="12">
      <c r="A235" s="755"/>
      <c r="B235" s="415"/>
      <c r="C235" s="405" t="s">
        <v>39</v>
      </c>
      <c r="D235" s="406"/>
      <c r="E235" s="407">
        <f>SUM(E231:E234)</f>
        <v>27.696000000000005</v>
      </c>
      <c r="F235" s="412"/>
      <c r="G235" s="202"/>
      <c r="H235" s="203"/>
    </row>
    <row r="236" spans="1:8" ht="12.75">
      <c r="A236" s="754"/>
      <c r="B236" s="435"/>
      <c r="C236" s="395"/>
      <c r="D236" s="358"/>
      <c r="E236" s="396"/>
      <c r="F236" s="209"/>
      <c r="G236" s="23"/>
      <c r="H236" s="205"/>
    </row>
    <row r="237" spans="1:8" ht="25.5">
      <c r="A237" s="754">
        <v>6</v>
      </c>
      <c r="B237" s="421" t="s">
        <v>844</v>
      </c>
      <c r="C237" s="422" t="s">
        <v>845</v>
      </c>
      <c r="D237" s="423" t="s">
        <v>847</v>
      </c>
      <c r="E237" s="349" t="s">
        <v>40</v>
      </c>
      <c r="F237" s="424">
        <f>E239</f>
        <v>3.3811999999999998</v>
      </c>
      <c r="G237" s="23"/>
      <c r="H237" s="205">
        <f>F237*G237</f>
        <v>0</v>
      </c>
    </row>
    <row r="238" spans="1:8" s="204" customFormat="1" ht="12">
      <c r="A238" s="755"/>
      <c r="B238" s="415" t="s">
        <v>828</v>
      </c>
      <c r="C238" s="401" t="s">
        <v>846</v>
      </c>
      <c r="D238" s="410"/>
      <c r="E238" s="403">
        <f>(4.26+0.34+1.72)*0.535</f>
        <v>3.3811999999999998</v>
      </c>
      <c r="F238" s="412"/>
      <c r="G238" s="202"/>
      <c r="H238" s="203"/>
    </row>
    <row r="239" spans="1:8" s="204" customFormat="1" ht="12">
      <c r="A239" s="755"/>
      <c r="B239" s="415"/>
      <c r="C239" s="405" t="s">
        <v>39</v>
      </c>
      <c r="D239" s="406"/>
      <c r="E239" s="407">
        <f>SUM(E238:E238)</f>
        <v>3.3811999999999998</v>
      </c>
      <c r="F239" s="412"/>
      <c r="G239" s="202"/>
      <c r="H239" s="203"/>
    </row>
    <row r="240" spans="1:8" s="204" customFormat="1" ht="12">
      <c r="A240" s="755"/>
      <c r="B240" s="415"/>
      <c r="C240" s="425"/>
      <c r="D240" s="410"/>
      <c r="E240" s="426"/>
      <c r="F240" s="412"/>
      <c r="G240" s="202"/>
      <c r="H240" s="203"/>
    </row>
    <row r="241" spans="1:8" ht="25.5">
      <c r="A241" s="754">
        <v>7</v>
      </c>
      <c r="B241" s="421" t="s">
        <v>849</v>
      </c>
      <c r="C241" s="422" t="s">
        <v>848</v>
      </c>
      <c r="D241" s="423" t="s">
        <v>847</v>
      </c>
      <c r="E241" s="349" t="s">
        <v>40</v>
      </c>
      <c r="F241" s="424">
        <f>E243</f>
        <v>46.433899999999994</v>
      </c>
      <c r="G241" s="23"/>
      <c r="H241" s="205">
        <f>F241*G241</f>
        <v>0</v>
      </c>
    </row>
    <row r="242" spans="1:8" s="204" customFormat="1" ht="12">
      <c r="A242" s="755"/>
      <c r="B242" s="415" t="s">
        <v>828</v>
      </c>
      <c r="C242" s="401" t="s">
        <v>850</v>
      </c>
      <c r="D242" s="410"/>
      <c r="E242" s="403">
        <f>(1*0.65+11.25*0.7+24.595*0.75+11.19*0.685+18.15*0.65)</f>
        <v>46.433899999999994</v>
      </c>
      <c r="F242" s="412"/>
      <c r="G242" s="202"/>
      <c r="H242" s="203"/>
    </row>
    <row r="243" spans="1:8" s="204" customFormat="1" ht="12">
      <c r="A243" s="755"/>
      <c r="B243" s="415"/>
      <c r="C243" s="405" t="s">
        <v>39</v>
      </c>
      <c r="D243" s="406"/>
      <c r="E243" s="407">
        <f>E242</f>
        <v>46.433899999999994</v>
      </c>
      <c r="F243" s="412"/>
      <c r="G243" s="202"/>
      <c r="H243" s="203"/>
    </row>
    <row r="244" spans="1:8" s="204" customFormat="1" ht="12">
      <c r="A244" s="755"/>
      <c r="B244" s="415"/>
      <c r="C244" s="425"/>
      <c r="D244" s="410"/>
      <c r="E244" s="426"/>
      <c r="F244" s="412"/>
      <c r="G244" s="202"/>
      <c r="H244" s="203"/>
    </row>
    <row r="245" spans="1:8" ht="24">
      <c r="A245" s="754">
        <v>8</v>
      </c>
      <c r="B245" s="421" t="s">
        <v>851</v>
      </c>
      <c r="C245" s="422" t="s">
        <v>852</v>
      </c>
      <c r="D245" s="423" t="s">
        <v>1029</v>
      </c>
      <c r="E245" s="349" t="s">
        <v>45</v>
      </c>
      <c r="F245" s="424">
        <f>E247</f>
        <v>1</v>
      </c>
      <c r="G245" s="23"/>
      <c r="H245" s="205">
        <f>F245*G245</f>
        <v>0</v>
      </c>
    </row>
    <row r="246" spans="1:8" s="204" customFormat="1" ht="12">
      <c r="A246" s="755"/>
      <c r="B246" s="415" t="s">
        <v>828</v>
      </c>
      <c r="C246" s="401">
        <v>1</v>
      </c>
      <c r="D246" s="410"/>
      <c r="E246" s="403">
        <f>C246</f>
        <v>1</v>
      </c>
      <c r="F246" s="412"/>
      <c r="G246" s="202"/>
      <c r="H246" s="203"/>
    </row>
    <row r="247" spans="1:8" s="204" customFormat="1" ht="12">
      <c r="A247" s="755"/>
      <c r="B247" s="415"/>
      <c r="C247" s="405" t="s">
        <v>39</v>
      </c>
      <c r="D247" s="406"/>
      <c r="E247" s="407">
        <f>E246</f>
        <v>1</v>
      </c>
      <c r="F247" s="412"/>
      <c r="G247" s="202"/>
      <c r="H247" s="203"/>
    </row>
    <row r="248" spans="1:8" s="204" customFormat="1" ht="12">
      <c r="A248" s="755"/>
      <c r="B248" s="415"/>
      <c r="C248" s="425"/>
      <c r="D248" s="410"/>
      <c r="E248" s="426"/>
      <c r="F248" s="412"/>
      <c r="G248" s="202"/>
      <c r="H248" s="203"/>
    </row>
    <row r="249" spans="1:8" ht="12.75">
      <c r="A249" s="754">
        <v>9</v>
      </c>
      <c r="B249" s="421" t="s">
        <v>853</v>
      </c>
      <c r="C249" s="422" t="s">
        <v>854</v>
      </c>
      <c r="D249" s="423" t="s">
        <v>855</v>
      </c>
      <c r="E249" s="349" t="s">
        <v>45</v>
      </c>
      <c r="F249" s="424">
        <f>E251</f>
        <v>1</v>
      </c>
      <c r="G249" s="23"/>
      <c r="H249" s="205">
        <f>F249*G249</f>
        <v>0</v>
      </c>
    </row>
    <row r="250" spans="1:8" s="204" customFormat="1" ht="12">
      <c r="A250" s="755"/>
      <c r="B250" s="415" t="s">
        <v>856</v>
      </c>
      <c r="C250" s="401">
        <v>1</v>
      </c>
      <c r="D250" s="410"/>
      <c r="E250" s="403">
        <f>C250</f>
        <v>1</v>
      </c>
      <c r="F250" s="412"/>
      <c r="G250" s="202"/>
      <c r="H250" s="203"/>
    </row>
    <row r="251" spans="1:8" s="204" customFormat="1" ht="12">
      <c r="A251" s="755"/>
      <c r="B251" s="415"/>
      <c r="C251" s="405" t="s">
        <v>39</v>
      </c>
      <c r="D251" s="406"/>
      <c r="E251" s="407">
        <f>E250</f>
        <v>1</v>
      </c>
      <c r="F251" s="412"/>
      <c r="G251" s="202"/>
      <c r="H251" s="203"/>
    </row>
    <row r="252" spans="1:8" s="204" customFormat="1" ht="12">
      <c r="A252" s="755"/>
      <c r="B252" s="415"/>
      <c r="C252" s="425"/>
      <c r="D252" s="410"/>
      <c r="E252" s="426"/>
      <c r="F252" s="412"/>
      <c r="G252" s="202"/>
      <c r="H252" s="203"/>
    </row>
    <row r="253" spans="1:8" ht="38.25">
      <c r="A253" s="754">
        <v>10</v>
      </c>
      <c r="B253" s="421" t="s">
        <v>868</v>
      </c>
      <c r="C253" s="422" t="s">
        <v>948</v>
      </c>
      <c r="D253" s="423" t="s">
        <v>867</v>
      </c>
      <c r="E253" s="349" t="s">
        <v>38</v>
      </c>
      <c r="F253" s="424">
        <f>E291</f>
        <v>34.5353065</v>
      </c>
      <c r="G253" s="23"/>
      <c r="H253" s="205">
        <f>F253*G253</f>
        <v>0</v>
      </c>
    </row>
    <row r="254" spans="1:8" s="204" customFormat="1" ht="12">
      <c r="A254" s="755"/>
      <c r="B254" s="415" t="s">
        <v>52</v>
      </c>
      <c r="C254" s="401" t="s">
        <v>374</v>
      </c>
      <c r="D254" s="410"/>
      <c r="E254" s="427">
        <f>(1.48*0.6)*3</f>
        <v>2.664</v>
      </c>
      <c r="F254" s="412"/>
      <c r="G254" s="202"/>
      <c r="H254" s="203"/>
    </row>
    <row r="255" spans="1:8" s="204" customFormat="1" ht="12">
      <c r="A255" s="755"/>
      <c r="B255" s="415" t="s">
        <v>828</v>
      </c>
      <c r="C255" s="401" t="s">
        <v>899</v>
      </c>
      <c r="D255" s="410"/>
      <c r="E255" s="403">
        <f>(1.4*3.3)*0.67</f>
        <v>3.0953999999999997</v>
      </c>
      <c r="F255" s="412"/>
      <c r="G255" s="202"/>
      <c r="H255" s="203"/>
    </row>
    <row r="256" spans="1:8" ht="12.75">
      <c r="A256" s="755"/>
      <c r="B256" s="415" t="s">
        <v>43</v>
      </c>
      <c r="C256" s="401" t="s">
        <v>869</v>
      </c>
      <c r="D256" s="410"/>
      <c r="E256" s="403">
        <f>(0.87*2)*0.33</f>
        <v>0.5742</v>
      </c>
      <c r="F256" s="412"/>
      <c r="G256" s="202"/>
      <c r="H256" s="203"/>
    </row>
    <row r="257" spans="1:8" ht="12.75">
      <c r="A257" s="755"/>
      <c r="B257" s="415"/>
      <c r="C257" s="401" t="s">
        <v>870</v>
      </c>
      <c r="D257" s="410"/>
      <c r="E257" s="403">
        <f>(0.4*3)*0.15</f>
        <v>0.18000000000000002</v>
      </c>
      <c r="F257" s="412"/>
      <c r="G257" s="202"/>
      <c r="H257" s="203"/>
    </row>
    <row r="258" spans="1:8" ht="12.75">
      <c r="A258" s="755"/>
      <c r="B258" s="415"/>
      <c r="C258" s="401" t="s">
        <v>871</v>
      </c>
      <c r="D258" s="410"/>
      <c r="E258" s="403">
        <f>(1.04*3.5)*0.45</f>
        <v>1.6380000000000001</v>
      </c>
      <c r="F258" s="412"/>
      <c r="G258" s="202"/>
      <c r="H258" s="203"/>
    </row>
    <row r="259" spans="1:8" ht="12.75">
      <c r="A259" s="755"/>
      <c r="B259" s="415"/>
      <c r="C259" s="401" t="s">
        <v>872</v>
      </c>
      <c r="D259" s="410"/>
      <c r="E259" s="403">
        <f>(0.55*0.55)*0.25</f>
        <v>0.07562500000000001</v>
      </c>
      <c r="F259" s="412"/>
      <c r="G259" s="202"/>
      <c r="H259" s="203"/>
    </row>
    <row r="260" spans="1:8" ht="12.75">
      <c r="A260" s="755"/>
      <c r="B260" s="415"/>
      <c r="C260" s="401" t="s">
        <v>873</v>
      </c>
      <c r="D260" s="410"/>
      <c r="E260" s="403">
        <f>(0.4*3)*0.25*2</f>
        <v>0.6000000000000001</v>
      </c>
      <c r="F260" s="412"/>
      <c r="G260" s="202"/>
      <c r="H260" s="203"/>
    </row>
    <row r="261" spans="1:8" ht="12.75">
      <c r="A261" s="755"/>
      <c r="B261" s="415"/>
      <c r="C261" s="401" t="s">
        <v>876</v>
      </c>
      <c r="D261" s="410"/>
      <c r="E261" s="403">
        <f>(0.95*1.99)*0.89</f>
        <v>1.682545</v>
      </c>
      <c r="F261" s="412"/>
      <c r="G261" s="202"/>
      <c r="H261" s="203"/>
    </row>
    <row r="262" spans="1:8" ht="12.75">
      <c r="A262" s="755"/>
      <c r="B262" s="415"/>
      <c r="C262" s="401" t="s">
        <v>880</v>
      </c>
      <c r="D262" s="410"/>
      <c r="E262" s="403">
        <f>(0.35*3)*0.15</f>
        <v>0.15749999999999997</v>
      </c>
      <c r="F262" s="412"/>
      <c r="G262" s="202"/>
      <c r="H262" s="203"/>
    </row>
    <row r="263" spans="1:8" ht="12.75">
      <c r="A263" s="755"/>
      <c r="B263" s="415"/>
      <c r="C263" s="401" t="s">
        <v>891</v>
      </c>
      <c r="D263" s="410"/>
      <c r="E263" s="403">
        <f>(0.625*2.65)*0.27</f>
        <v>0.4471875</v>
      </c>
      <c r="F263" s="412"/>
      <c r="G263" s="202"/>
      <c r="H263" s="203"/>
    </row>
    <row r="264" spans="1:8" ht="12.75">
      <c r="A264" s="755"/>
      <c r="B264" s="415"/>
      <c r="C264" s="401" t="s">
        <v>892</v>
      </c>
      <c r="D264" s="410"/>
      <c r="E264" s="403">
        <f>(1.2*3.3)*0.16</f>
        <v>0.6335999999999999</v>
      </c>
      <c r="F264" s="412"/>
      <c r="G264" s="202"/>
      <c r="H264" s="203"/>
    </row>
    <row r="265" spans="1:8" ht="12.75">
      <c r="A265" s="755"/>
      <c r="B265" s="415"/>
      <c r="C265" s="401" t="s">
        <v>893</v>
      </c>
      <c r="D265" s="410"/>
      <c r="E265" s="403">
        <f>(0.745*3)*0.6</f>
        <v>1.341</v>
      </c>
      <c r="F265" s="412"/>
      <c r="G265" s="202"/>
      <c r="H265" s="203"/>
    </row>
    <row r="266" spans="1:8" ht="12.75">
      <c r="A266" s="755"/>
      <c r="B266" s="415"/>
      <c r="C266" s="401" t="s">
        <v>894</v>
      </c>
      <c r="D266" s="410"/>
      <c r="E266" s="403">
        <f>(0.7*2.5)*0.3</f>
        <v>0.525</v>
      </c>
      <c r="F266" s="412"/>
      <c r="G266" s="202"/>
      <c r="H266" s="203"/>
    </row>
    <row r="267" spans="1:8" ht="12.75">
      <c r="A267" s="755"/>
      <c r="B267" s="415"/>
      <c r="C267" s="401" t="s">
        <v>895</v>
      </c>
      <c r="D267" s="410"/>
      <c r="E267" s="403">
        <f>(0.3*3.3)*0.3</f>
        <v>0.29699999999999993</v>
      </c>
      <c r="F267" s="412"/>
      <c r="G267" s="202"/>
      <c r="H267" s="203"/>
    </row>
    <row r="268" spans="1:8" ht="12.75">
      <c r="A268" s="755"/>
      <c r="B268" s="415"/>
      <c r="C268" s="401" t="s">
        <v>896</v>
      </c>
      <c r="D268" s="410"/>
      <c r="E268" s="403">
        <f>(1.33*2.5)*0.15</f>
        <v>0.49875</v>
      </c>
      <c r="F268" s="412"/>
      <c r="G268" s="202"/>
      <c r="H268" s="203"/>
    </row>
    <row r="269" spans="1:8" ht="12.75">
      <c r="A269" s="755"/>
      <c r="B269" s="415"/>
      <c r="C269" s="401" t="s">
        <v>897</v>
      </c>
      <c r="D269" s="410"/>
      <c r="E269" s="403">
        <f>(1.2*3.5)*0.54</f>
        <v>2.2680000000000002</v>
      </c>
      <c r="F269" s="412"/>
      <c r="G269" s="202"/>
      <c r="H269" s="203"/>
    </row>
    <row r="270" spans="1:8" ht="12.75">
      <c r="A270" s="755"/>
      <c r="B270" s="415"/>
      <c r="C270" s="401" t="s">
        <v>900</v>
      </c>
      <c r="D270" s="410"/>
      <c r="E270" s="403">
        <f>(1.05*3.3)*0.34</f>
        <v>1.1781000000000001</v>
      </c>
      <c r="F270" s="412"/>
      <c r="G270" s="202"/>
      <c r="H270" s="203"/>
    </row>
    <row r="271" spans="1:8" ht="12.75">
      <c r="A271" s="755"/>
      <c r="B271" s="415"/>
      <c r="C271" s="401" t="s">
        <v>901</v>
      </c>
      <c r="D271" s="410"/>
      <c r="E271" s="403">
        <f>(0.8*3.3)*0.2</f>
        <v>0.528</v>
      </c>
      <c r="F271" s="412"/>
      <c r="G271" s="202"/>
      <c r="H271" s="203"/>
    </row>
    <row r="272" spans="1:8" ht="12.75">
      <c r="A272" s="755"/>
      <c r="B272" s="415"/>
      <c r="C272" s="401" t="s">
        <v>902</v>
      </c>
      <c r="D272" s="410"/>
      <c r="E272" s="403">
        <f>(0.87*3.5)*0.55</f>
        <v>1.6747500000000002</v>
      </c>
      <c r="F272" s="412"/>
      <c r="G272" s="202"/>
      <c r="H272" s="203"/>
    </row>
    <row r="273" spans="1:8" ht="12.75">
      <c r="A273" s="755"/>
      <c r="B273" s="415"/>
      <c r="C273" s="401" t="s">
        <v>903</v>
      </c>
      <c r="D273" s="410"/>
      <c r="E273" s="403">
        <f>(0.505*3.4)*0.49</f>
        <v>0.8413299999999999</v>
      </c>
      <c r="F273" s="412"/>
      <c r="G273" s="202"/>
      <c r="H273" s="203"/>
    </row>
    <row r="274" spans="1:8" ht="12.75">
      <c r="A274" s="755"/>
      <c r="B274" s="415" t="s">
        <v>904</v>
      </c>
      <c r="C274" s="401" t="s">
        <v>917</v>
      </c>
      <c r="D274" s="410"/>
      <c r="E274" s="427">
        <f>(4.08*3.2)*0.25</f>
        <v>3.2640000000000002</v>
      </c>
      <c r="F274" s="412"/>
      <c r="G274" s="202"/>
      <c r="H274" s="203"/>
    </row>
    <row r="275" spans="1:8" ht="12.75">
      <c r="A275" s="755"/>
      <c r="B275" s="415" t="s">
        <v>42</v>
      </c>
      <c r="C275" s="401" t="s">
        <v>919</v>
      </c>
      <c r="D275" s="410"/>
      <c r="E275" s="403">
        <f>(1.05*3.75)*0.69</f>
        <v>2.716875</v>
      </c>
      <c r="F275" s="412"/>
      <c r="G275" s="202"/>
      <c r="H275" s="203"/>
    </row>
    <row r="276" spans="1:8" ht="12.75">
      <c r="A276" s="755"/>
      <c r="B276" s="415"/>
      <c r="C276" s="401" t="s">
        <v>930</v>
      </c>
      <c r="D276" s="410"/>
      <c r="E276" s="403">
        <f>(1.1*2.75)*0.25</f>
        <v>0.7562500000000001</v>
      </c>
      <c r="F276" s="412"/>
      <c r="G276" s="202"/>
      <c r="H276" s="203"/>
    </row>
    <row r="277" spans="1:8" ht="12.75">
      <c r="A277" s="755"/>
      <c r="B277" s="415"/>
      <c r="C277" s="401" t="s">
        <v>930</v>
      </c>
      <c r="D277" s="410"/>
      <c r="E277" s="403">
        <f>(1.1*2.75)*0.25</f>
        <v>0.7562500000000001</v>
      </c>
      <c r="F277" s="412"/>
      <c r="G277" s="202"/>
      <c r="H277" s="203"/>
    </row>
    <row r="278" spans="1:8" ht="12.75">
      <c r="A278" s="755"/>
      <c r="B278" s="415" t="s">
        <v>62</v>
      </c>
      <c r="C278" s="401" t="s">
        <v>863</v>
      </c>
      <c r="D278" s="410"/>
      <c r="E278" s="403">
        <f>-(0.8*2.1)*2</f>
        <v>-3.3600000000000003</v>
      </c>
      <c r="F278" s="412"/>
      <c r="G278" s="202"/>
      <c r="H278" s="203"/>
    </row>
    <row r="279" spans="1:8" ht="12.75">
      <c r="A279" s="755"/>
      <c r="B279" s="415"/>
      <c r="C279" s="401" t="s">
        <v>931</v>
      </c>
      <c r="D279" s="410"/>
      <c r="E279" s="403">
        <f>(0.3*1.5)*0.2</f>
        <v>0.09</v>
      </c>
      <c r="F279" s="412"/>
      <c r="G279" s="202"/>
      <c r="H279" s="203"/>
    </row>
    <row r="280" spans="1:8" ht="12.75">
      <c r="A280" s="755"/>
      <c r="B280" s="415"/>
      <c r="C280" s="401" t="s">
        <v>932</v>
      </c>
      <c r="D280" s="410"/>
      <c r="E280" s="403">
        <f>(1.03*3)*0.25</f>
        <v>0.7725</v>
      </c>
      <c r="F280" s="412"/>
      <c r="G280" s="202"/>
      <c r="H280" s="203"/>
    </row>
    <row r="281" spans="1:8" ht="12.75">
      <c r="A281" s="755"/>
      <c r="B281" s="415"/>
      <c r="C281" s="401" t="s">
        <v>933</v>
      </c>
      <c r="D281" s="410"/>
      <c r="E281" s="403">
        <f>(0.6*3)*0.57</f>
        <v>1.0259999999999998</v>
      </c>
      <c r="F281" s="412"/>
      <c r="G281" s="202"/>
      <c r="H281" s="203"/>
    </row>
    <row r="282" spans="1:8" ht="12.75">
      <c r="A282" s="755"/>
      <c r="B282" s="415"/>
      <c r="C282" s="401" t="s">
        <v>934</v>
      </c>
      <c r="D282" s="410"/>
      <c r="E282" s="403">
        <f>(1.3*3)*0.15</f>
        <v>0.5850000000000001</v>
      </c>
      <c r="F282" s="412"/>
      <c r="G282" s="202"/>
      <c r="H282" s="203"/>
    </row>
    <row r="283" spans="1:8" ht="12.75">
      <c r="A283" s="755"/>
      <c r="B283" s="415"/>
      <c r="C283" s="401" t="s">
        <v>935</v>
      </c>
      <c r="D283" s="410"/>
      <c r="E283" s="403">
        <f>(0.8*3)*0.525</f>
        <v>1.2600000000000002</v>
      </c>
      <c r="F283" s="412"/>
      <c r="G283" s="202"/>
      <c r="H283" s="203"/>
    </row>
    <row r="284" spans="1:8" ht="12.75">
      <c r="A284" s="755"/>
      <c r="B284" s="415"/>
      <c r="C284" s="401" t="s">
        <v>936</v>
      </c>
      <c r="D284" s="410"/>
      <c r="E284" s="403">
        <f>(0.895*1.1)*0.4</f>
        <v>0.3938000000000001</v>
      </c>
      <c r="F284" s="412"/>
      <c r="G284" s="202"/>
      <c r="H284" s="203"/>
    </row>
    <row r="285" spans="1:8" ht="12.75">
      <c r="A285" s="755"/>
      <c r="B285" s="415"/>
      <c r="C285" s="401" t="s">
        <v>937</v>
      </c>
      <c r="D285" s="410"/>
      <c r="E285" s="403">
        <f>(0.75*3)*0.2</f>
        <v>0.45</v>
      </c>
      <c r="F285" s="412"/>
      <c r="G285" s="202"/>
      <c r="H285" s="203"/>
    </row>
    <row r="286" spans="1:8" ht="12.75">
      <c r="A286" s="755"/>
      <c r="B286" s="415"/>
      <c r="C286" s="401" t="s">
        <v>938</v>
      </c>
      <c r="D286" s="410"/>
      <c r="E286" s="403">
        <f>(0.4*3)*0.2</f>
        <v>0.24000000000000005</v>
      </c>
      <c r="F286" s="412"/>
      <c r="G286" s="202"/>
      <c r="H286" s="203"/>
    </row>
    <row r="287" spans="1:8" ht="12.75">
      <c r="A287" s="755"/>
      <c r="B287" s="415"/>
      <c r="C287" s="401" t="s">
        <v>944</v>
      </c>
      <c r="D287" s="410"/>
      <c r="E287" s="403">
        <f>(0.91*2.53)*0.28</f>
        <v>0.644644</v>
      </c>
      <c r="F287" s="412"/>
      <c r="G287" s="202"/>
      <c r="H287" s="203"/>
    </row>
    <row r="288" spans="1:8" ht="12.75">
      <c r="A288" s="755"/>
      <c r="B288" s="415"/>
      <c r="C288" s="401" t="s">
        <v>945</v>
      </c>
      <c r="D288" s="410"/>
      <c r="E288" s="403">
        <f>(0.7*3.75)*0.2</f>
        <v>0.525</v>
      </c>
      <c r="F288" s="412"/>
      <c r="G288" s="202"/>
      <c r="H288" s="203"/>
    </row>
    <row r="289" spans="1:8" ht="12.75">
      <c r="A289" s="755"/>
      <c r="B289" s="415" t="s">
        <v>42</v>
      </c>
      <c r="C289" s="401" t="s">
        <v>949</v>
      </c>
      <c r="D289" s="410"/>
      <c r="E289" s="403">
        <f>(1.1*3.75)*0.71</f>
        <v>2.92875</v>
      </c>
      <c r="F289" s="412"/>
      <c r="G289" s="202"/>
      <c r="H289" s="203"/>
    </row>
    <row r="290" spans="1:8" ht="12.75">
      <c r="A290" s="755"/>
      <c r="B290" s="415"/>
      <c r="C290" s="401" t="s">
        <v>950</v>
      </c>
      <c r="D290" s="410"/>
      <c r="E290" s="403">
        <f>(0.25*3.5)*0.67</f>
        <v>0.58625</v>
      </c>
      <c r="F290" s="412"/>
      <c r="G290" s="202"/>
      <c r="H290" s="203"/>
    </row>
    <row r="291" spans="1:8" ht="12.75">
      <c r="A291" s="755"/>
      <c r="B291" s="415"/>
      <c r="C291" s="405" t="s">
        <v>39</v>
      </c>
      <c r="D291" s="406"/>
      <c r="E291" s="407">
        <f>SUM(E254:E290)</f>
        <v>34.5353065</v>
      </c>
      <c r="F291" s="412"/>
      <c r="G291" s="202"/>
      <c r="H291" s="203"/>
    </row>
    <row r="292" spans="1:8" ht="12.75">
      <c r="A292" s="754"/>
      <c r="B292" s="435"/>
      <c r="C292" s="355"/>
      <c r="D292" s="356"/>
      <c r="E292" s="350"/>
      <c r="F292" s="209"/>
      <c r="G292" s="23"/>
      <c r="H292" s="205"/>
    </row>
    <row r="293" spans="1:8" ht="25.5">
      <c r="A293" s="754">
        <v>11</v>
      </c>
      <c r="B293" s="352" t="s">
        <v>75</v>
      </c>
      <c r="C293" s="357" t="s">
        <v>1267</v>
      </c>
      <c r="D293" s="423" t="s">
        <v>74</v>
      </c>
      <c r="E293" s="349" t="s">
        <v>45</v>
      </c>
      <c r="F293" s="424">
        <f>E296</f>
        <v>1</v>
      </c>
      <c r="G293" s="23"/>
      <c r="H293" s="205">
        <f>F293*G293</f>
        <v>0</v>
      </c>
    </row>
    <row r="294" spans="1:8" s="204" customFormat="1" ht="12">
      <c r="A294" s="755"/>
      <c r="B294" s="415"/>
      <c r="C294" s="401">
        <v>1</v>
      </c>
      <c r="D294" s="410"/>
      <c r="E294" s="403">
        <f>C294</f>
        <v>1</v>
      </c>
      <c r="F294" s="412"/>
      <c r="G294" s="202"/>
      <c r="H294" s="203"/>
    </row>
    <row r="295" spans="1:8" s="204" customFormat="1" ht="12">
      <c r="A295" s="755"/>
      <c r="B295" s="415"/>
      <c r="C295" s="401"/>
      <c r="D295" s="410"/>
      <c r="E295" s="403"/>
      <c r="F295" s="412"/>
      <c r="G295" s="202"/>
      <c r="H295" s="203"/>
    </row>
    <row r="296" spans="1:8" s="204" customFormat="1" ht="12">
      <c r="A296" s="755"/>
      <c r="B296" s="415"/>
      <c r="C296" s="405" t="s">
        <v>39</v>
      </c>
      <c r="D296" s="406"/>
      <c r="E296" s="407">
        <f>SUM(E294:E295)</f>
        <v>1</v>
      </c>
      <c r="F296" s="412"/>
      <c r="G296" s="202"/>
      <c r="H296" s="203"/>
    </row>
    <row r="297" spans="1:8" ht="12.75">
      <c r="A297" s="754"/>
      <c r="B297" s="435"/>
      <c r="C297" s="355"/>
      <c r="D297" s="356"/>
      <c r="E297" s="350"/>
      <c r="F297" s="209"/>
      <c r="G297" s="23"/>
      <c r="H297" s="205"/>
    </row>
    <row r="298" spans="1:8" ht="26.25" customHeight="1">
      <c r="A298" s="754">
        <v>12</v>
      </c>
      <c r="B298" s="352" t="s">
        <v>350</v>
      </c>
      <c r="C298" s="357" t="s">
        <v>352</v>
      </c>
      <c r="D298" s="398" t="s">
        <v>351</v>
      </c>
      <c r="E298" s="349" t="s">
        <v>38</v>
      </c>
      <c r="F298" s="424">
        <f>E304</f>
        <v>3.1796512</v>
      </c>
      <c r="G298" s="23"/>
      <c r="H298" s="205">
        <f>F298*G298</f>
        <v>0</v>
      </c>
    </row>
    <row r="299" spans="1:8" s="204" customFormat="1" ht="24">
      <c r="A299" s="755"/>
      <c r="B299" s="408" t="s">
        <v>308</v>
      </c>
      <c r="C299" s="409" t="s">
        <v>353</v>
      </c>
      <c r="D299" s="436"/>
      <c r="E299" s="411">
        <f>(0.2+1.69+0.43)*0.41*1.1</f>
        <v>1.04632</v>
      </c>
      <c r="F299" s="208"/>
      <c r="G299" s="202"/>
      <c r="H299" s="203"/>
    </row>
    <row r="300" spans="1:8" s="204" customFormat="1" ht="12">
      <c r="A300" s="755"/>
      <c r="B300" s="408"/>
      <c r="C300" s="409" t="s">
        <v>354</v>
      </c>
      <c r="D300" s="436"/>
      <c r="E300" s="411">
        <f>(0.2+1.69+0.43)*0.3*1.1</f>
        <v>0.7656000000000001</v>
      </c>
      <c r="F300" s="208"/>
      <c r="G300" s="202"/>
      <c r="H300" s="203"/>
    </row>
    <row r="301" spans="1:8" s="204" customFormat="1" ht="12">
      <c r="A301" s="755"/>
      <c r="B301" s="408"/>
      <c r="C301" s="409" t="s">
        <v>355</v>
      </c>
      <c r="D301" s="436"/>
      <c r="E301" s="411">
        <f>(1.84*0.2)*1.1</f>
        <v>0.4048000000000001</v>
      </c>
      <c r="F301" s="208"/>
      <c r="G301" s="202"/>
      <c r="H301" s="203"/>
    </row>
    <row r="302" spans="1:8" s="204" customFormat="1" ht="12">
      <c r="A302" s="755"/>
      <c r="B302" s="408"/>
      <c r="C302" s="409" t="s">
        <v>356</v>
      </c>
      <c r="D302" s="436"/>
      <c r="E302" s="411">
        <f>(1.84*0.43)*1.1</f>
        <v>0.8703200000000001</v>
      </c>
      <c r="F302" s="208"/>
      <c r="G302" s="202"/>
      <c r="H302" s="203"/>
    </row>
    <row r="303" spans="1:8" s="204" customFormat="1" ht="15" customHeight="1">
      <c r="A303" s="755"/>
      <c r="B303" s="437" t="s">
        <v>41</v>
      </c>
      <c r="C303" s="438">
        <v>0.03</v>
      </c>
      <c r="D303" s="406"/>
      <c r="E303" s="439">
        <f>SUM(E299:E302)*C303</f>
        <v>0.09261119999999999</v>
      </c>
      <c r="F303" s="440"/>
      <c r="G303" s="202"/>
      <c r="H303" s="203"/>
    </row>
    <row r="304" spans="1:8" s="204" customFormat="1" ht="15" customHeight="1">
      <c r="A304" s="755"/>
      <c r="B304" s="437"/>
      <c r="C304" s="413" t="s">
        <v>39</v>
      </c>
      <c r="D304" s="406"/>
      <c r="E304" s="414">
        <f>SUM(E299:E303)</f>
        <v>3.1796512</v>
      </c>
      <c r="F304" s="440"/>
      <c r="G304" s="202"/>
      <c r="H304" s="203"/>
    </row>
    <row r="305" spans="1:8" ht="12.75">
      <c r="A305" s="754"/>
      <c r="B305" s="435"/>
      <c r="C305" s="395"/>
      <c r="D305" s="358"/>
      <c r="E305" s="396"/>
      <c r="F305" s="209"/>
      <c r="G305" s="23"/>
      <c r="H305" s="205"/>
    </row>
    <row r="306" spans="1:8" ht="24" customHeight="1">
      <c r="A306" s="754">
        <v>13</v>
      </c>
      <c r="B306" s="352" t="s">
        <v>822</v>
      </c>
      <c r="C306" s="357" t="s">
        <v>824</v>
      </c>
      <c r="D306" s="398" t="s">
        <v>825</v>
      </c>
      <c r="E306" s="349" t="s">
        <v>38</v>
      </c>
      <c r="F306" s="424">
        <f>E310</f>
        <v>15.084761999999998</v>
      </c>
      <c r="G306" s="23"/>
      <c r="H306" s="205">
        <f>F306*G306</f>
        <v>0</v>
      </c>
    </row>
    <row r="307" spans="1:8" s="204" customFormat="1" ht="24">
      <c r="A307" s="755"/>
      <c r="B307" s="415" t="s">
        <v>823</v>
      </c>
      <c r="C307" s="401" t="s">
        <v>826</v>
      </c>
      <c r="D307" s="436"/>
      <c r="E307" s="403">
        <f>(3.05+3.05+1.6+1.6)*0.2*8.39-(1.2*2*2)*0.2</f>
        <v>14.645399999999999</v>
      </c>
      <c r="F307" s="208"/>
      <c r="G307" s="202"/>
      <c r="H307" s="203"/>
    </row>
    <row r="308" spans="1:8" s="204" customFormat="1" ht="12">
      <c r="A308" s="755"/>
      <c r="B308" s="408"/>
      <c r="C308" s="409"/>
      <c r="D308" s="436"/>
      <c r="E308" s="411"/>
      <c r="F308" s="208"/>
      <c r="G308" s="202"/>
      <c r="H308" s="203"/>
    </row>
    <row r="309" spans="1:8" s="204" customFormat="1" ht="15" customHeight="1">
      <c r="A309" s="755"/>
      <c r="B309" s="437" t="s">
        <v>41</v>
      </c>
      <c r="C309" s="438">
        <v>0.03</v>
      </c>
      <c r="D309" s="406"/>
      <c r="E309" s="439">
        <f>SUM(E307:E308)*C309</f>
        <v>0.4393619999999999</v>
      </c>
      <c r="F309" s="440"/>
      <c r="G309" s="202"/>
      <c r="H309" s="203"/>
    </row>
    <row r="310" spans="1:8" s="204" customFormat="1" ht="15" customHeight="1">
      <c r="A310" s="755"/>
      <c r="B310" s="437"/>
      <c r="C310" s="413" t="s">
        <v>39</v>
      </c>
      <c r="D310" s="406"/>
      <c r="E310" s="414">
        <f>SUM(E307:E309)</f>
        <v>15.084761999999998</v>
      </c>
      <c r="F310" s="440"/>
      <c r="G310" s="202"/>
      <c r="H310" s="203"/>
    </row>
    <row r="311" spans="1:8" ht="12.75">
      <c r="A311" s="754"/>
      <c r="B311" s="435"/>
      <c r="C311" s="395"/>
      <c r="D311" s="358"/>
      <c r="E311" s="396"/>
      <c r="F311" s="209"/>
      <c r="G311" s="23"/>
      <c r="H311" s="205"/>
    </row>
    <row r="312" spans="1:8" ht="12.75">
      <c r="A312" s="754"/>
      <c r="B312" s="441"/>
      <c r="C312" s="395" t="s">
        <v>1303</v>
      </c>
      <c r="D312" s="442"/>
      <c r="E312" s="396"/>
      <c r="F312" s="209"/>
      <c r="G312" s="23"/>
      <c r="H312" s="397">
        <f>SUM(H313:H494)</f>
        <v>0</v>
      </c>
    </row>
    <row r="313" spans="1:8" ht="28.5" customHeight="1">
      <c r="A313" s="754">
        <v>1</v>
      </c>
      <c r="B313" s="352" t="s">
        <v>813</v>
      </c>
      <c r="C313" s="357" t="s">
        <v>814</v>
      </c>
      <c r="D313" s="398" t="s">
        <v>378</v>
      </c>
      <c r="E313" s="349" t="s">
        <v>38</v>
      </c>
      <c r="F313" s="424">
        <f>E317</f>
        <v>1.2566</v>
      </c>
      <c r="G313" s="23"/>
      <c r="H313" s="205">
        <f>F313*G313</f>
        <v>0</v>
      </c>
    </row>
    <row r="314" spans="1:8" s="204" customFormat="1" ht="24">
      <c r="A314" s="755"/>
      <c r="B314" s="400" t="s">
        <v>815</v>
      </c>
      <c r="C314" s="401" t="s">
        <v>816</v>
      </c>
      <c r="D314" s="402"/>
      <c r="E314" s="403">
        <f>(2*3.05)*0.2</f>
        <v>1.22</v>
      </c>
      <c r="F314" s="208"/>
      <c r="G314" s="202"/>
      <c r="H314" s="203"/>
    </row>
    <row r="315" spans="1:8" s="204" customFormat="1" ht="12">
      <c r="A315" s="755"/>
      <c r="B315" s="400"/>
      <c r="C315" s="401"/>
      <c r="D315" s="402"/>
      <c r="E315" s="403"/>
      <c r="F315" s="208"/>
      <c r="G315" s="202"/>
      <c r="H315" s="203"/>
    </row>
    <row r="316" spans="1:8" s="204" customFormat="1" ht="12">
      <c r="A316" s="755"/>
      <c r="B316" s="400" t="s">
        <v>41</v>
      </c>
      <c r="C316" s="419">
        <v>0.03</v>
      </c>
      <c r="D316" s="406"/>
      <c r="E316" s="420">
        <f>SUM(E314:E315)*C316</f>
        <v>0.0366</v>
      </c>
      <c r="F316" s="407"/>
      <c r="G316" s="202"/>
      <c r="H316" s="203"/>
    </row>
    <row r="317" spans="1:8" s="204" customFormat="1" ht="12">
      <c r="A317" s="755"/>
      <c r="B317" s="400"/>
      <c r="C317" s="405" t="s">
        <v>39</v>
      </c>
      <c r="D317" s="406"/>
      <c r="E317" s="407">
        <f>SUM(E314:E316)</f>
        <v>1.2566</v>
      </c>
      <c r="F317" s="443"/>
      <c r="G317" s="202"/>
      <c r="H317" s="203"/>
    </row>
    <row r="318" spans="1:8" ht="12.75">
      <c r="A318" s="754"/>
      <c r="B318" s="441"/>
      <c r="C318" s="395"/>
      <c r="D318" s="442"/>
      <c r="E318" s="396"/>
      <c r="F318" s="209"/>
      <c r="G318" s="23"/>
      <c r="H318" s="205"/>
    </row>
    <row r="319" spans="1:8" ht="40.5" customHeight="1">
      <c r="A319" s="754">
        <v>2</v>
      </c>
      <c r="B319" s="421" t="s">
        <v>817</v>
      </c>
      <c r="C319" s="422" t="s">
        <v>818</v>
      </c>
      <c r="D319" s="398" t="s">
        <v>1010</v>
      </c>
      <c r="E319" s="349" t="s">
        <v>38</v>
      </c>
      <c r="F319" s="424">
        <f>E323</f>
        <v>2.5487671875</v>
      </c>
      <c r="G319" s="23"/>
      <c r="H319" s="205">
        <f>F319*G319</f>
        <v>0</v>
      </c>
    </row>
    <row r="320" spans="1:8" s="204" customFormat="1" ht="36">
      <c r="A320" s="755"/>
      <c r="B320" s="400" t="s">
        <v>820</v>
      </c>
      <c r="C320" s="401" t="s">
        <v>821</v>
      </c>
      <c r="D320" s="402"/>
      <c r="E320" s="403">
        <f>(3.5*1.25)*0.16+(0.1725*0.285/2*1.25)*20</f>
        <v>1.31453125</v>
      </c>
      <c r="F320" s="208"/>
      <c r="G320" s="202"/>
      <c r="H320" s="203"/>
    </row>
    <row r="321" spans="1:8" s="204" customFormat="1" ht="12">
      <c r="A321" s="755"/>
      <c r="B321" s="400" t="s">
        <v>819</v>
      </c>
      <c r="C321" s="401" t="s">
        <v>906</v>
      </c>
      <c r="D321" s="402"/>
      <c r="E321" s="403">
        <f>(1.45*5)*0.16</f>
        <v>1.16</v>
      </c>
      <c r="F321" s="208"/>
      <c r="G321" s="202"/>
      <c r="H321" s="203"/>
    </row>
    <row r="322" spans="1:8" s="204" customFormat="1" ht="12">
      <c r="A322" s="755"/>
      <c r="B322" s="400" t="s">
        <v>41</v>
      </c>
      <c r="C322" s="419">
        <v>0.03</v>
      </c>
      <c r="D322" s="406"/>
      <c r="E322" s="420">
        <f>SUM(E320:E321)*C322</f>
        <v>0.0742359375</v>
      </c>
      <c r="F322" s="407"/>
      <c r="G322" s="202"/>
      <c r="H322" s="203"/>
    </row>
    <row r="323" spans="1:8" s="204" customFormat="1" ht="12">
      <c r="A323" s="755"/>
      <c r="B323" s="400"/>
      <c r="C323" s="405" t="s">
        <v>39</v>
      </c>
      <c r="D323" s="406"/>
      <c r="E323" s="407">
        <f>SUM(E320:E322)</f>
        <v>2.5487671875</v>
      </c>
      <c r="F323" s="443"/>
      <c r="G323" s="202"/>
      <c r="H323" s="203"/>
    </row>
    <row r="324" spans="1:8" ht="12.75">
      <c r="A324" s="754"/>
      <c r="B324" s="441"/>
      <c r="C324" s="395"/>
      <c r="D324" s="442"/>
      <c r="E324" s="396"/>
      <c r="F324" s="209"/>
      <c r="G324" s="23"/>
      <c r="H324" s="205"/>
    </row>
    <row r="325" spans="1:8" ht="28.5" customHeight="1">
      <c r="A325" s="754">
        <v>3</v>
      </c>
      <c r="B325" s="421" t="s">
        <v>1011</v>
      </c>
      <c r="C325" s="422" t="s">
        <v>1012</v>
      </c>
      <c r="D325" s="398" t="s">
        <v>1013</v>
      </c>
      <c r="E325" s="349" t="s">
        <v>45</v>
      </c>
      <c r="F325" s="424">
        <f>E327</f>
        <v>1</v>
      </c>
      <c r="G325" s="23"/>
      <c r="H325" s="205">
        <f>F325*G325</f>
        <v>0</v>
      </c>
    </row>
    <row r="326" spans="1:8" s="204" customFormat="1" ht="12">
      <c r="A326" s="755"/>
      <c r="B326" s="400"/>
      <c r="C326" s="401">
        <v>1</v>
      </c>
      <c r="D326" s="402"/>
      <c r="E326" s="403">
        <f>C326</f>
        <v>1</v>
      </c>
      <c r="F326" s="208"/>
      <c r="G326" s="202"/>
      <c r="H326" s="203"/>
    </row>
    <row r="327" spans="1:8" s="204" customFormat="1" ht="12">
      <c r="A327" s="755"/>
      <c r="B327" s="400"/>
      <c r="C327" s="405" t="s">
        <v>39</v>
      </c>
      <c r="D327" s="406"/>
      <c r="E327" s="407">
        <f>SUM(E326:E326)</f>
        <v>1</v>
      </c>
      <c r="F327" s="443"/>
      <c r="G327" s="202"/>
      <c r="H327" s="203"/>
    </row>
    <row r="328" spans="1:8" ht="12.75">
      <c r="A328" s="754"/>
      <c r="B328" s="441"/>
      <c r="C328" s="395"/>
      <c r="D328" s="442"/>
      <c r="E328" s="396"/>
      <c r="F328" s="209"/>
      <c r="G328" s="23"/>
      <c r="H328" s="205"/>
    </row>
    <row r="329" spans="1:8" ht="28.5" customHeight="1">
      <c r="A329" s="754">
        <v>4</v>
      </c>
      <c r="B329" s="421" t="s">
        <v>1014</v>
      </c>
      <c r="C329" s="422" t="s">
        <v>1015</v>
      </c>
      <c r="D329" s="398" t="s">
        <v>1013</v>
      </c>
      <c r="E329" s="349" t="s">
        <v>45</v>
      </c>
      <c r="F329" s="424">
        <f>E331</f>
        <v>1</v>
      </c>
      <c r="G329" s="23"/>
      <c r="H329" s="205">
        <f>F329*G329</f>
        <v>0</v>
      </c>
    </row>
    <row r="330" spans="1:8" s="204" customFormat="1" ht="12">
      <c r="A330" s="755"/>
      <c r="B330" s="400"/>
      <c r="C330" s="401">
        <v>1</v>
      </c>
      <c r="D330" s="402"/>
      <c r="E330" s="403">
        <f>C330</f>
        <v>1</v>
      </c>
      <c r="F330" s="208"/>
      <c r="G330" s="202"/>
      <c r="H330" s="203"/>
    </row>
    <row r="331" spans="1:8" s="204" customFormat="1" ht="12">
      <c r="A331" s="755"/>
      <c r="B331" s="400"/>
      <c r="C331" s="405" t="s">
        <v>39</v>
      </c>
      <c r="D331" s="406"/>
      <c r="E331" s="407">
        <f>SUM(E330:E330)</f>
        <v>1</v>
      </c>
      <c r="F331" s="443"/>
      <c r="G331" s="202"/>
      <c r="H331" s="203"/>
    </row>
    <row r="332" spans="1:8" ht="12.75">
      <c r="A332" s="754"/>
      <c r="B332" s="441"/>
      <c r="C332" s="395"/>
      <c r="D332" s="442"/>
      <c r="E332" s="396"/>
      <c r="F332" s="209"/>
      <c r="G332" s="23"/>
      <c r="H332" s="205"/>
    </row>
    <row r="333" spans="1:8" ht="28.5" customHeight="1">
      <c r="A333" s="754">
        <v>5</v>
      </c>
      <c r="B333" s="421" t="s">
        <v>1111</v>
      </c>
      <c r="C333" s="422" t="s">
        <v>1113</v>
      </c>
      <c r="D333" s="398" t="s">
        <v>1112</v>
      </c>
      <c r="E333" s="349" t="s">
        <v>45</v>
      </c>
      <c r="F333" s="424">
        <f>E335</f>
        <v>1</v>
      </c>
      <c r="G333" s="23"/>
      <c r="H333" s="205">
        <f>F333*G333</f>
        <v>0</v>
      </c>
    </row>
    <row r="334" spans="1:8" s="204" customFormat="1" ht="12">
      <c r="A334" s="755"/>
      <c r="B334" s="400"/>
      <c r="C334" s="401">
        <v>1</v>
      </c>
      <c r="D334" s="402"/>
      <c r="E334" s="403">
        <f>C334</f>
        <v>1</v>
      </c>
      <c r="F334" s="208"/>
      <c r="G334" s="202"/>
      <c r="H334" s="203"/>
    </row>
    <row r="335" spans="1:8" s="204" customFormat="1" ht="12">
      <c r="A335" s="755"/>
      <c r="B335" s="400"/>
      <c r="C335" s="405" t="s">
        <v>39</v>
      </c>
      <c r="D335" s="406"/>
      <c r="E335" s="407">
        <f>SUM(E334:E334)</f>
        <v>1</v>
      </c>
      <c r="F335" s="443"/>
      <c r="G335" s="202"/>
      <c r="H335" s="203"/>
    </row>
    <row r="336" spans="1:8" ht="12.75">
      <c r="A336" s="754"/>
      <c r="B336" s="441"/>
      <c r="C336" s="395"/>
      <c r="D336" s="442"/>
      <c r="E336" s="396"/>
      <c r="F336" s="209"/>
      <c r="G336" s="23"/>
      <c r="H336" s="205"/>
    </row>
    <row r="337" spans="1:8" ht="27.75" customHeight="1">
      <c r="A337" s="754">
        <v>6</v>
      </c>
      <c r="B337" s="352" t="s">
        <v>323</v>
      </c>
      <c r="C337" s="357" t="s">
        <v>324</v>
      </c>
      <c r="D337" s="398" t="s">
        <v>326</v>
      </c>
      <c r="E337" s="349" t="s">
        <v>45</v>
      </c>
      <c r="F337" s="424">
        <f>E339</f>
        <v>1</v>
      </c>
      <c r="G337" s="23"/>
      <c r="H337" s="205">
        <f>F337*G337</f>
        <v>0</v>
      </c>
    </row>
    <row r="338" spans="1:8" s="204" customFormat="1" ht="24">
      <c r="A338" s="755"/>
      <c r="B338" s="408" t="s">
        <v>308</v>
      </c>
      <c r="C338" s="409">
        <v>1</v>
      </c>
      <c r="D338" s="402"/>
      <c r="E338" s="411">
        <f>C338</f>
        <v>1</v>
      </c>
      <c r="F338" s="208"/>
      <c r="G338" s="202"/>
      <c r="H338" s="203"/>
    </row>
    <row r="339" spans="1:8" s="204" customFormat="1" ht="12">
      <c r="A339" s="755"/>
      <c r="B339" s="437"/>
      <c r="C339" s="413" t="s">
        <v>39</v>
      </c>
      <c r="D339" s="406"/>
      <c r="E339" s="414">
        <f>SUM(E338:E338)</f>
        <v>1</v>
      </c>
      <c r="F339" s="443"/>
      <c r="G339" s="202"/>
      <c r="H339" s="203"/>
    </row>
    <row r="340" spans="1:8" ht="12.75">
      <c r="A340" s="754"/>
      <c r="B340" s="441"/>
      <c r="C340" s="395"/>
      <c r="D340" s="444"/>
      <c r="E340" s="396"/>
      <c r="F340" s="209"/>
      <c r="G340" s="23"/>
      <c r="H340" s="205"/>
    </row>
    <row r="341" spans="1:8" ht="21.75" customHeight="1">
      <c r="A341" s="754">
        <v>7</v>
      </c>
      <c r="B341" s="352" t="s">
        <v>325</v>
      </c>
      <c r="C341" s="357" t="s">
        <v>324</v>
      </c>
      <c r="D341" s="398" t="s">
        <v>329</v>
      </c>
      <c r="E341" s="349" t="s">
        <v>45</v>
      </c>
      <c r="F341" s="424">
        <f>E343</f>
        <v>1</v>
      </c>
      <c r="G341" s="23"/>
      <c r="H341" s="205">
        <f>F341*G341</f>
        <v>0</v>
      </c>
    </row>
    <row r="342" spans="1:8" s="204" customFormat="1" ht="24">
      <c r="A342" s="755"/>
      <c r="B342" s="408" t="s">
        <v>308</v>
      </c>
      <c r="C342" s="409">
        <v>1</v>
      </c>
      <c r="D342" s="402"/>
      <c r="E342" s="411">
        <f>C342</f>
        <v>1</v>
      </c>
      <c r="F342" s="208"/>
      <c r="G342" s="202"/>
      <c r="H342" s="203"/>
    </row>
    <row r="343" spans="1:8" s="204" customFormat="1" ht="12">
      <c r="A343" s="755"/>
      <c r="B343" s="437"/>
      <c r="C343" s="413" t="s">
        <v>39</v>
      </c>
      <c r="D343" s="406"/>
      <c r="E343" s="414">
        <f>SUM(E342:E342)</f>
        <v>1</v>
      </c>
      <c r="F343" s="443"/>
      <c r="G343" s="202"/>
      <c r="H343" s="203"/>
    </row>
    <row r="344" spans="1:8" ht="12.75">
      <c r="A344" s="754"/>
      <c r="B344" s="441"/>
      <c r="C344" s="395"/>
      <c r="D344" s="444"/>
      <c r="E344" s="396"/>
      <c r="F344" s="209"/>
      <c r="G344" s="23"/>
      <c r="H344" s="205"/>
    </row>
    <row r="345" spans="1:8" ht="27.75" customHeight="1">
      <c r="A345" s="754">
        <v>8</v>
      </c>
      <c r="B345" s="352" t="s">
        <v>327</v>
      </c>
      <c r="C345" s="357" t="s">
        <v>328</v>
      </c>
      <c r="D345" s="398" t="s">
        <v>378</v>
      </c>
      <c r="E345" s="349" t="s">
        <v>40</v>
      </c>
      <c r="F345" s="424">
        <f>E347</f>
        <v>2.6449999999999996</v>
      </c>
      <c r="G345" s="23"/>
      <c r="H345" s="205">
        <f>F345*G345</f>
        <v>0</v>
      </c>
    </row>
    <row r="346" spans="1:8" s="204" customFormat="1" ht="24">
      <c r="A346" s="755"/>
      <c r="B346" s="408" t="s">
        <v>308</v>
      </c>
      <c r="C346" s="409" t="s">
        <v>330</v>
      </c>
      <c r="D346" s="402"/>
      <c r="E346" s="445">
        <f>1.15*2.3</f>
        <v>2.6449999999999996</v>
      </c>
      <c r="F346" s="208"/>
      <c r="G346" s="202"/>
      <c r="H346" s="203"/>
    </row>
    <row r="347" spans="1:8" s="204" customFormat="1" ht="12">
      <c r="A347" s="755"/>
      <c r="B347" s="437"/>
      <c r="C347" s="413" t="s">
        <v>39</v>
      </c>
      <c r="D347" s="406"/>
      <c r="E347" s="414">
        <f>SUM(E346:E346)</f>
        <v>2.6449999999999996</v>
      </c>
      <c r="F347" s="443"/>
      <c r="G347" s="202"/>
      <c r="H347" s="203"/>
    </row>
    <row r="348" spans="1:8" ht="12.75">
      <c r="A348" s="754"/>
      <c r="B348" s="441"/>
      <c r="C348" s="395"/>
      <c r="D348" s="444"/>
      <c r="E348" s="396"/>
      <c r="F348" s="209"/>
      <c r="G348" s="23"/>
      <c r="H348" s="205"/>
    </row>
    <row r="349" spans="1:8" ht="54" customHeight="1">
      <c r="A349" s="754">
        <v>9</v>
      </c>
      <c r="B349" s="352" t="s">
        <v>331</v>
      </c>
      <c r="C349" s="357" t="s">
        <v>390</v>
      </c>
      <c r="D349" s="398" t="s">
        <v>712</v>
      </c>
      <c r="E349" s="349" t="s">
        <v>45</v>
      </c>
      <c r="F349" s="424">
        <f>E351</f>
        <v>1</v>
      </c>
      <c r="G349" s="23"/>
      <c r="H349" s="205">
        <f>F349*G349</f>
        <v>0</v>
      </c>
    </row>
    <row r="350" spans="1:8" s="204" customFormat="1" ht="24">
      <c r="A350" s="755"/>
      <c r="B350" s="408" t="s">
        <v>308</v>
      </c>
      <c r="C350" s="409">
        <v>1</v>
      </c>
      <c r="D350" s="402"/>
      <c r="E350" s="411">
        <f>C350</f>
        <v>1</v>
      </c>
      <c r="F350" s="208"/>
      <c r="G350" s="202"/>
      <c r="H350" s="203"/>
    </row>
    <row r="351" spans="1:8" s="204" customFormat="1" ht="12">
      <c r="A351" s="755"/>
      <c r="B351" s="437"/>
      <c r="C351" s="413" t="s">
        <v>39</v>
      </c>
      <c r="D351" s="406"/>
      <c r="E351" s="414">
        <f>SUM(E350:E350)</f>
        <v>1</v>
      </c>
      <c r="F351" s="443"/>
      <c r="G351" s="202"/>
      <c r="H351" s="203"/>
    </row>
    <row r="352" spans="1:8" ht="12.75">
      <c r="A352" s="754"/>
      <c r="B352" s="441"/>
      <c r="C352" s="395"/>
      <c r="D352" s="442"/>
      <c r="E352" s="396"/>
      <c r="F352" s="209"/>
      <c r="G352" s="23"/>
      <c r="H352" s="205"/>
    </row>
    <row r="353" spans="1:8" ht="33.75" customHeight="1">
      <c r="A353" s="754">
        <v>10</v>
      </c>
      <c r="B353" s="352" t="s">
        <v>386</v>
      </c>
      <c r="C353" s="357" t="s">
        <v>387</v>
      </c>
      <c r="D353" s="398" t="s">
        <v>388</v>
      </c>
      <c r="E353" s="349" t="s">
        <v>45</v>
      </c>
      <c r="F353" s="424">
        <f>E355</f>
        <v>1</v>
      </c>
      <c r="G353" s="23"/>
      <c r="H353" s="205">
        <f>F353*G353</f>
        <v>0</v>
      </c>
    </row>
    <row r="354" spans="1:8" s="204" customFormat="1" ht="24">
      <c r="A354" s="755"/>
      <c r="B354" s="415" t="s">
        <v>383</v>
      </c>
      <c r="C354" s="409">
        <v>1</v>
      </c>
      <c r="D354" s="402"/>
      <c r="E354" s="411">
        <f>C354</f>
        <v>1</v>
      </c>
      <c r="F354" s="208"/>
      <c r="G354" s="202"/>
      <c r="H354" s="203"/>
    </row>
    <row r="355" spans="1:8" s="204" customFormat="1" ht="12">
      <c r="A355" s="755"/>
      <c r="B355" s="437"/>
      <c r="C355" s="413" t="s">
        <v>39</v>
      </c>
      <c r="D355" s="406"/>
      <c r="E355" s="414">
        <f>SUM(E354:E354)</f>
        <v>1</v>
      </c>
      <c r="F355" s="443"/>
      <c r="G355" s="202"/>
      <c r="H355" s="203"/>
    </row>
    <row r="356" spans="1:8" ht="12.75">
      <c r="A356" s="754"/>
      <c r="B356" s="441"/>
      <c r="C356" s="395"/>
      <c r="D356" s="444"/>
      <c r="E356" s="396"/>
      <c r="F356" s="209"/>
      <c r="G356" s="23"/>
      <c r="H356" s="205"/>
    </row>
    <row r="357" spans="1:8" ht="54" customHeight="1">
      <c r="A357" s="754">
        <v>11</v>
      </c>
      <c r="B357" s="352" t="s">
        <v>389</v>
      </c>
      <c r="C357" s="357" t="s">
        <v>391</v>
      </c>
      <c r="D357" s="398" t="s">
        <v>713</v>
      </c>
      <c r="E357" s="349" t="s">
        <v>45</v>
      </c>
      <c r="F357" s="424">
        <f>E359</f>
        <v>1</v>
      </c>
      <c r="G357" s="23"/>
      <c r="H357" s="205">
        <f>F357*G357</f>
        <v>0</v>
      </c>
    </row>
    <row r="358" spans="1:8" s="204" customFormat="1" ht="24">
      <c r="A358" s="755"/>
      <c r="B358" s="415" t="s">
        <v>383</v>
      </c>
      <c r="C358" s="409">
        <v>1</v>
      </c>
      <c r="D358" s="402"/>
      <c r="E358" s="411">
        <f>C358</f>
        <v>1</v>
      </c>
      <c r="F358" s="208"/>
      <c r="G358" s="202"/>
      <c r="H358" s="203"/>
    </row>
    <row r="359" spans="1:8" s="204" customFormat="1" ht="12">
      <c r="A359" s="755"/>
      <c r="B359" s="437"/>
      <c r="C359" s="413" t="s">
        <v>39</v>
      </c>
      <c r="D359" s="406"/>
      <c r="E359" s="414">
        <f>SUM(E358:E358)</f>
        <v>1</v>
      </c>
      <c r="F359" s="443"/>
      <c r="G359" s="202"/>
      <c r="H359" s="203"/>
    </row>
    <row r="360" spans="1:8" ht="12.75">
      <c r="A360" s="754"/>
      <c r="B360" s="441"/>
      <c r="C360" s="395"/>
      <c r="D360" s="442"/>
      <c r="E360" s="396"/>
      <c r="F360" s="209"/>
      <c r="G360" s="23"/>
      <c r="H360" s="205"/>
    </row>
    <row r="361" spans="1:8" ht="51" customHeight="1">
      <c r="A361" s="754">
        <v>12</v>
      </c>
      <c r="B361" s="352" t="s">
        <v>402</v>
      </c>
      <c r="C361" s="357" t="s">
        <v>403</v>
      </c>
      <c r="D361" s="398" t="s">
        <v>716</v>
      </c>
      <c r="E361" s="349" t="s">
        <v>45</v>
      </c>
      <c r="F361" s="424">
        <f>E363</f>
        <v>1</v>
      </c>
      <c r="G361" s="23"/>
      <c r="H361" s="205">
        <f>F361*G361</f>
        <v>0</v>
      </c>
    </row>
    <row r="362" spans="1:8" s="204" customFormat="1" ht="24">
      <c r="A362" s="755"/>
      <c r="B362" s="415" t="s">
        <v>400</v>
      </c>
      <c r="C362" s="409">
        <v>1</v>
      </c>
      <c r="D362" s="402"/>
      <c r="E362" s="411">
        <f>C362</f>
        <v>1</v>
      </c>
      <c r="F362" s="208"/>
      <c r="G362" s="202"/>
      <c r="H362" s="203"/>
    </row>
    <row r="363" spans="1:8" s="204" customFormat="1" ht="12">
      <c r="A363" s="755"/>
      <c r="B363" s="437"/>
      <c r="C363" s="413" t="s">
        <v>39</v>
      </c>
      <c r="D363" s="406"/>
      <c r="E363" s="414">
        <f>SUM(E362:E362)</f>
        <v>1</v>
      </c>
      <c r="F363" s="443"/>
      <c r="G363" s="202"/>
      <c r="H363" s="203"/>
    </row>
    <row r="364" spans="1:8" ht="12.75">
      <c r="A364" s="754"/>
      <c r="B364" s="441"/>
      <c r="C364" s="395"/>
      <c r="D364" s="442"/>
      <c r="E364" s="396"/>
      <c r="F364" s="209"/>
      <c r="G364" s="23"/>
      <c r="H364" s="205"/>
    </row>
    <row r="365" spans="1:8" ht="39" customHeight="1">
      <c r="A365" s="754">
        <v>13</v>
      </c>
      <c r="B365" s="352" t="s">
        <v>711</v>
      </c>
      <c r="C365" s="357" t="s">
        <v>717</v>
      </c>
      <c r="D365" s="398" t="s">
        <v>714</v>
      </c>
      <c r="E365" s="349" t="s">
        <v>45</v>
      </c>
      <c r="F365" s="424">
        <f>E367</f>
        <v>1</v>
      </c>
      <c r="G365" s="23"/>
      <c r="H365" s="205">
        <f>F365*G365</f>
        <v>0</v>
      </c>
    </row>
    <row r="366" spans="1:8" s="204" customFormat="1" ht="24">
      <c r="A366" s="755"/>
      <c r="B366" s="415" t="s">
        <v>715</v>
      </c>
      <c r="C366" s="409">
        <v>1</v>
      </c>
      <c r="D366" s="402"/>
      <c r="E366" s="411">
        <f>C366</f>
        <v>1</v>
      </c>
      <c r="F366" s="208"/>
      <c r="G366" s="202"/>
      <c r="H366" s="203"/>
    </row>
    <row r="367" spans="1:8" s="204" customFormat="1" ht="12">
      <c r="A367" s="755"/>
      <c r="B367" s="437"/>
      <c r="C367" s="413" t="s">
        <v>39</v>
      </c>
      <c r="D367" s="406"/>
      <c r="E367" s="414">
        <f>SUM(E366:E366)</f>
        <v>1</v>
      </c>
      <c r="F367" s="443"/>
      <c r="G367" s="202"/>
      <c r="H367" s="203"/>
    </row>
    <row r="368" spans="1:8" ht="12.75">
      <c r="A368" s="754"/>
      <c r="B368" s="441"/>
      <c r="C368" s="395"/>
      <c r="D368" s="442"/>
      <c r="E368" s="396"/>
      <c r="F368" s="209"/>
      <c r="G368" s="23"/>
      <c r="H368" s="205"/>
    </row>
    <row r="369" spans="1:8" ht="39" customHeight="1">
      <c r="A369" s="754">
        <v>14</v>
      </c>
      <c r="B369" s="352" t="s">
        <v>718</v>
      </c>
      <c r="C369" s="357" t="s">
        <v>720</v>
      </c>
      <c r="D369" s="398" t="s">
        <v>714</v>
      </c>
      <c r="E369" s="349" t="s">
        <v>45</v>
      </c>
      <c r="F369" s="424">
        <f>E371</f>
        <v>1</v>
      </c>
      <c r="G369" s="23"/>
      <c r="H369" s="205">
        <f>F369*G369</f>
        <v>0</v>
      </c>
    </row>
    <row r="370" spans="1:8" s="204" customFormat="1" ht="24">
      <c r="A370" s="755"/>
      <c r="B370" s="415" t="s">
        <v>719</v>
      </c>
      <c r="C370" s="409">
        <v>1</v>
      </c>
      <c r="D370" s="402"/>
      <c r="E370" s="411">
        <f>C370</f>
        <v>1</v>
      </c>
      <c r="F370" s="208"/>
      <c r="G370" s="202"/>
      <c r="H370" s="203"/>
    </row>
    <row r="371" spans="1:8" s="204" customFormat="1" ht="12">
      <c r="A371" s="755"/>
      <c r="B371" s="437"/>
      <c r="C371" s="413" t="s">
        <v>39</v>
      </c>
      <c r="D371" s="406"/>
      <c r="E371" s="414">
        <f>SUM(E370:E370)</f>
        <v>1</v>
      </c>
      <c r="F371" s="443"/>
      <c r="G371" s="202"/>
      <c r="H371" s="203"/>
    </row>
    <row r="372" spans="1:8" ht="12.75">
      <c r="A372" s="754"/>
      <c r="B372" s="441"/>
      <c r="C372" s="395"/>
      <c r="D372" s="442"/>
      <c r="E372" s="396"/>
      <c r="F372" s="209"/>
      <c r="G372" s="23"/>
      <c r="H372" s="205"/>
    </row>
    <row r="373" spans="1:8" ht="37.5" customHeight="1">
      <c r="A373" s="754">
        <v>15</v>
      </c>
      <c r="B373" s="352" t="s">
        <v>721</v>
      </c>
      <c r="C373" s="357" t="s">
        <v>723</v>
      </c>
      <c r="D373" s="398" t="s">
        <v>714</v>
      </c>
      <c r="E373" s="349" t="s">
        <v>45</v>
      </c>
      <c r="F373" s="424">
        <f>E375</f>
        <v>1</v>
      </c>
      <c r="G373" s="23"/>
      <c r="H373" s="205">
        <f>F373*G373</f>
        <v>0</v>
      </c>
    </row>
    <row r="374" spans="1:8" s="204" customFormat="1" ht="24">
      <c r="A374" s="755"/>
      <c r="B374" s="415" t="s">
        <v>722</v>
      </c>
      <c r="C374" s="409">
        <v>1</v>
      </c>
      <c r="D374" s="402"/>
      <c r="E374" s="411">
        <f>C374</f>
        <v>1</v>
      </c>
      <c r="F374" s="208"/>
      <c r="G374" s="202"/>
      <c r="H374" s="203"/>
    </row>
    <row r="375" spans="1:8" s="204" customFormat="1" ht="12">
      <c r="A375" s="755"/>
      <c r="B375" s="437"/>
      <c r="C375" s="413" t="s">
        <v>39</v>
      </c>
      <c r="D375" s="406"/>
      <c r="E375" s="414">
        <f>SUM(E374:E374)</f>
        <v>1</v>
      </c>
      <c r="F375" s="443"/>
      <c r="G375" s="202"/>
      <c r="H375" s="203"/>
    </row>
    <row r="376" spans="1:8" ht="12.75">
      <c r="A376" s="754"/>
      <c r="B376" s="441"/>
      <c r="C376" s="395"/>
      <c r="D376" s="442"/>
      <c r="E376" s="396"/>
      <c r="F376" s="209"/>
      <c r="G376" s="23"/>
      <c r="H376" s="205"/>
    </row>
    <row r="377" spans="1:8" ht="53.25" customHeight="1">
      <c r="A377" s="754">
        <v>16</v>
      </c>
      <c r="B377" s="352" t="s">
        <v>724</v>
      </c>
      <c r="C377" s="357" t="s">
        <v>723</v>
      </c>
      <c r="D377" s="398" t="s">
        <v>714</v>
      </c>
      <c r="E377" s="349" t="s">
        <v>45</v>
      </c>
      <c r="F377" s="424">
        <f>E379</f>
        <v>1</v>
      </c>
      <c r="G377" s="23"/>
      <c r="H377" s="205">
        <f>F377*G377</f>
        <v>0</v>
      </c>
    </row>
    <row r="378" spans="1:8" s="204" customFormat="1" ht="24">
      <c r="A378" s="755"/>
      <c r="B378" s="415" t="s">
        <v>725</v>
      </c>
      <c r="C378" s="409">
        <v>1</v>
      </c>
      <c r="D378" s="402"/>
      <c r="E378" s="411">
        <f>C378</f>
        <v>1</v>
      </c>
      <c r="F378" s="208"/>
      <c r="G378" s="202"/>
      <c r="H378" s="203"/>
    </row>
    <row r="379" spans="1:8" s="204" customFormat="1" ht="12">
      <c r="A379" s="755"/>
      <c r="B379" s="437"/>
      <c r="C379" s="413" t="s">
        <v>39</v>
      </c>
      <c r="D379" s="406"/>
      <c r="E379" s="414">
        <f>SUM(E378:E378)</f>
        <v>1</v>
      </c>
      <c r="F379" s="443"/>
      <c r="G379" s="202"/>
      <c r="H379" s="203"/>
    </row>
    <row r="380" spans="1:8" ht="12.75">
      <c r="A380" s="754"/>
      <c r="B380" s="441"/>
      <c r="C380" s="395"/>
      <c r="D380" s="442"/>
      <c r="E380" s="396"/>
      <c r="F380" s="209"/>
      <c r="G380" s="23"/>
      <c r="H380" s="205"/>
    </row>
    <row r="381" spans="1:8" ht="37.5" customHeight="1">
      <c r="A381" s="754">
        <v>17</v>
      </c>
      <c r="B381" s="352" t="s">
        <v>726</v>
      </c>
      <c r="C381" s="357" t="s">
        <v>727</v>
      </c>
      <c r="D381" s="398" t="s">
        <v>714</v>
      </c>
      <c r="E381" s="349" t="s">
        <v>45</v>
      </c>
      <c r="F381" s="424">
        <f>E383</f>
        <v>1</v>
      </c>
      <c r="G381" s="23"/>
      <c r="H381" s="205">
        <f>F381*G381</f>
        <v>0</v>
      </c>
    </row>
    <row r="382" spans="1:8" s="204" customFormat="1" ht="24">
      <c r="A382" s="755"/>
      <c r="B382" s="415" t="s">
        <v>728</v>
      </c>
      <c r="C382" s="409">
        <v>1</v>
      </c>
      <c r="D382" s="402"/>
      <c r="E382" s="411">
        <f>C382</f>
        <v>1</v>
      </c>
      <c r="F382" s="208"/>
      <c r="G382" s="202"/>
      <c r="H382" s="203"/>
    </row>
    <row r="383" spans="1:8" s="204" customFormat="1" ht="12">
      <c r="A383" s="755"/>
      <c r="B383" s="437"/>
      <c r="C383" s="413" t="s">
        <v>39</v>
      </c>
      <c r="D383" s="406"/>
      <c r="E383" s="414">
        <f>SUM(E382:E382)</f>
        <v>1</v>
      </c>
      <c r="F383" s="443"/>
      <c r="G383" s="202"/>
      <c r="H383" s="203"/>
    </row>
    <row r="384" spans="1:8" ht="12.75">
      <c r="A384" s="754"/>
      <c r="B384" s="441"/>
      <c r="C384" s="395"/>
      <c r="D384" s="442"/>
      <c r="E384" s="396"/>
      <c r="F384" s="209"/>
      <c r="G384" s="23"/>
      <c r="H384" s="205"/>
    </row>
    <row r="385" spans="1:8" ht="38.25" customHeight="1">
      <c r="A385" s="754">
        <v>18</v>
      </c>
      <c r="B385" s="352" t="s">
        <v>729</v>
      </c>
      <c r="C385" s="357" t="s">
        <v>717</v>
      </c>
      <c r="D385" s="398" t="s">
        <v>714</v>
      </c>
      <c r="E385" s="349" t="s">
        <v>45</v>
      </c>
      <c r="F385" s="424">
        <f>E387</f>
        <v>1</v>
      </c>
      <c r="G385" s="23"/>
      <c r="H385" s="205">
        <f>F385*G385</f>
        <v>0</v>
      </c>
    </row>
    <row r="386" spans="1:8" s="204" customFormat="1" ht="24">
      <c r="A386" s="755"/>
      <c r="B386" s="415" t="s">
        <v>730</v>
      </c>
      <c r="C386" s="409">
        <v>1</v>
      </c>
      <c r="D386" s="402"/>
      <c r="E386" s="411">
        <f>C386</f>
        <v>1</v>
      </c>
      <c r="F386" s="208"/>
      <c r="G386" s="202"/>
      <c r="H386" s="203"/>
    </row>
    <row r="387" spans="1:8" s="204" customFormat="1" ht="12">
      <c r="A387" s="755"/>
      <c r="B387" s="437"/>
      <c r="C387" s="413" t="s">
        <v>39</v>
      </c>
      <c r="D387" s="406"/>
      <c r="E387" s="414">
        <f>SUM(E386:E386)</f>
        <v>1</v>
      </c>
      <c r="F387" s="443"/>
      <c r="G387" s="202"/>
      <c r="H387" s="203"/>
    </row>
    <row r="388" spans="1:8" ht="12.75">
      <c r="A388" s="754"/>
      <c r="B388" s="441"/>
      <c r="C388" s="395"/>
      <c r="D388" s="442"/>
      <c r="E388" s="396"/>
      <c r="F388" s="209"/>
      <c r="G388" s="23"/>
      <c r="H388" s="205"/>
    </row>
    <row r="389" spans="1:8" ht="37.5" customHeight="1">
      <c r="A389" s="754">
        <v>19</v>
      </c>
      <c r="B389" s="352" t="s">
        <v>731</v>
      </c>
      <c r="C389" s="357" t="s">
        <v>717</v>
      </c>
      <c r="D389" s="398" t="s">
        <v>714</v>
      </c>
      <c r="E389" s="349" t="s">
        <v>45</v>
      </c>
      <c r="F389" s="424">
        <f>E391</f>
        <v>2</v>
      </c>
      <c r="G389" s="23"/>
      <c r="H389" s="205">
        <f>F389*G389</f>
        <v>0</v>
      </c>
    </row>
    <row r="390" spans="1:8" s="204" customFormat="1" ht="24">
      <c r="A390" s="755"/>
      <c r="B390" s="415" t="s">
        <v>732</v>
      </c>
      <c r="C390" s="409">
        <v>2</v>
      </c>
      <c r="D390" s="402"/>
      <c r="E390" s="411">
        <f>C390</f>
        <v>2</v>
      </c>
      <c r="F390" s="208"/>
      <c r="G390" s="202"/>
      <c r="H390" s="203"/>
    </row>
    <row r="391" spans="1:8" s="204" customFormat="1" ht="12">
      <c r="A391" s="755"/>
      <c r="B391" s="437"/>
      <c r="C391" s="413" t="s">
        <v>39</v>
      </c>
      <c r="D391" s="406"/>
      <c r="E391" s="414">
        <f>SUM(E390:E390)</f>
        <v>2</v>
      </c>
      <c r="F391" s="443"/>
      <c r="G391" s="202"/>
      <c r="H391" s="203"/>
    </row>
    <row r="392" spans="1:8" ht="12.75">
      <c r="A392" s="754"/>
      <c r="B392" s="441"/>
      <c r="C392" s="395"/>
      <c r="D392" s="442"/>
      <c r="E392" s="396"/>
      <c r="F392" s="209"/>
      <c r="G392" s="23"/>
      <c r="H392" s="205"/>
    </row>
    <row r="393" spans="1:8" ht="35.25" customHeight="1">
      <c r="A393" s="754">
        <v>20</v>
      </c>
      <c r="B393" s="352" t="s">
        <v>733</v>
      </c>
      <c r="C393" s="357" t="s">
        <v>734</v>
      </c>
      <c r="D393" s="398" t="s">
        <v>714</v>
      </c>
      <c r="E393" s="349" t="s">
        <v>45</v>
      </c>
      <c r="F393" s="424">
        <f>E395</f>
        <v>1</v>
      </c>
      <c r="G393" s="23"/>
      <c r="H393" s="205">
        <f>F393*G393</f>
        <v>0</v>
      </c>
    </row>
    <row r="394" spans="1:8" s="204" customFormat="1" ht="24">
      <c r="A394" s="755"/>
      <c r="B394" s="415" t="s">
        <v>732</v>
      </c>
      <c r="C394" s="409">
        <v>1</v>
      </c>
      <c r="D394" s="402"/>
      <c r="E394" s="411">
        <f>C394</f>
        <v>1</v>
      </c>
      <c r="F394" s="208"/>
      <c r="G394" s="202"/>
      <c r="H394" s="203"/>
    </row>
    <row r="395" spans="1:8" s="204" customFormat="1" ht="12">
      <c r="A395" s="755"/>
      <c r="B395" s="437"/>
      <c r="C395" s="413" t="s">
        <v>39</v>
      </c>
      <c r="D395" s="406"/>
      <c r="E395" s="414">
        <f>SUM(E394:E394)</f>
        <v>1</v>
      </c>
      <c r="F395" s="443"/>
      <c r="G395" s="202"/>
      <c r="H395" s="203"/>
    </row>
    <row r="396" spans="1:8" ht="12.75">
      <c r="A396" s="754"/>
      <c r="B396" s="441"/>
      <c r="C396" s="395"/>
      <c r="D396" s="442"/>
      <c r="E396" s="396"/>
      <c r="F396" s="209"/>
      <c r="G396" s="23"/>
      <c r="H396" s="205"/>
    </row>
    <row r="397" spans="1:8" ht="36" customHeight="1">
      <c r="A397" s="754">
        <v>21</v>
      </c>
      <c r="B397" s="352" t="s">
        <v>735</v>
      </c>
      <c r="C397" s="357" t="s">
        <v>736</v>
      </c>
      <c r="D397" s="398" t="s">
        <v>714</v>
      </c>
      <c r="E397" s="349" t="s">
        <v>45</v>
      </c>
      <c r="F397" s="424">
        <f>E399</f>
        <v>1</v>
      </c>
      <c r="G397" s="23"/>
      <c r="H397" s="205">
        <f>F397*G397</f>
        <v>0</v>
      </c>
    </row>
    <row r="398" spans="1:8" s="204" customFormat="1" ht="24">
      <c r="A398" s="755"/>
      <c r="B398" s="415" t="s">
        <v>737</v>
      </c>
      <c r="C398" s="409">
        <v>1</v>
      </c>
      <c r="D398" s="402"/>
      <c r="E398" s="411">
        <f>C398</f>
        <v>1</v>
      </c>
      <c r="F398" s="208"/>
      <c r="G398" s="202"/>
      <c r="H398" s="203"/>
    </row>
    <row r="399" spans="1:8" s="204" customFormat="1" ht="12">
      <c r="A399" s="755"/>
      <c r="B399" s="437"/>
      <c r="C399" s="413" t="s">
        <v>39</v>
      </c>
      <c r="D399" s="406"/>
      <c r="E399" s="414">
        <f>SUM(E398:E398)</f>
        <v>1</v>
      </c>
      <c r="F399" s="443"/>
      <c r="G399" s="202"/>
      <c r="H399" s="203"/>
    </row>
    <row r="400" spans="1:8" ht="12.75">
      <c r="A400" s="754"/>
      <c r="B400" s="441"/>
      <c r="C400" s="395"/>
      <c r="D400" s="442"/>
      <c r="E400" s="396"/>
      <c r="F400" s="209"/>
      <c r="G400" s="23"/>
      <c r="H400" s="205"/>
    </row>
    <row r="401" spans="1:8" ht="37.5" customHeight="1">
      <c r="A401" s="754">
        <v>22</v>
      </c>
      <c r="B401" s="352" t="s">
        <v>738</v>
      </c>
      <c r="C401" s="357" t="s">
        <v>739</v>
      </c>
      <c r="D401" s="398" t="s">
        <v>714</v>
      </c>
      <c r="E401" s="349" t="s">
        <v>45</v>
      </c>
      <c r="F401" s="424">
        <f>E403</f>
        <v>1</v>
      </c>
      <c r="G401" s="23"/>
      <c r="H401" s="205">
        <f>F401*G401</f>
        <v>0</v>
      </c>
    </row>
    <row r="402" spans="1:8" s="204" customFormat="1" ht="24">
      <c r="A402" s="755"/>
      <c r="B402" s="415" t="s">
        <v>740</v>
      </c>
      <c r="C402" s="409">
        <v>1</v>
      </c>
      <c r="D402" s="402"/>
      <c r="E402" s="411">
        <f>C402</f>
        <v>1</v>
      </c>
      <c r="F402" s="208"/>
      <c r="G402" s="202"/>
      <c r="H402" s="203"/>
    </row>
    <row r="403" spans="1:8" s="204" customFormat="1" ht="12">
      <c r="A403" s="755"/>
      <c r="B403" s="437"/>
      <c r="C403" s="413" t="s">
        <v>39</v>
      </c>
      <c r="D403" s="406"/>
      <c r="E403" s="414">
        <f>SUM(E402:E402)</f>
        <v>1</v>
      </c>
      <c r="F403" s="443"/>
      <c r="G403" s="202"/>
      <c r="H403" s="203"/>
    </row>
    <row r="404" spans="1:8" ht="12.75">
      <c r="A404" s="754"/>
      <c r="B404" s="441"/>
      <c r="C404" s="395"/>
      <c r="D404" s="442"/>
      <c r="E404" s="396"/>
      <c r="F404" s="209"/>
      <c r="G404" s="23"/>
      <c r="H404" s="205"/>
    </row>
    <row r="405" spans="1:8" ht="38.25" customHeight="1">
      <c r="A405" s="754">
        <v>23</v>
      </c>
      <c r="B405" s="352" t="s">
        <v>741</v>
      </c>
      <c r="C405" s="357" t="s">
        <v>742</v>
      </c>
      <c r="D405" s="398" t="s">
        <v>714</v>
      </c>
      <c r="E405" s="349" t="s">
        <v>45</v>
      </c>
      <c r="F405" s="424">
        <f>E407</f>
        <v>1</v>
      </c>
      <c r="G405" s="23"/>
      <c r="H405" s="205">
        <f>F405*G405</f>
        <v>0</v>
      </c>
    </row>
    <row r="406" spans="1:8" s="204" customFormat="1" ht="24">
      <c r="A406" s="755"/>
      <c r="B406" s="415" t="s">
        <v>743</v>
      </c>
      <c r="C406" s="409">
        <v>1</v>
      </c>
      <c r="D406" s="402"/>
      <c r="E406" s="411">
        <f>C406</f>
        <v>1</v>
      </c>
      <c r="F406" s="208"/>
      <c r="G406" s="202"/>
      <c r="H406" s="203"/>
    </row>
    <row r="407" spans="1:8" s="204" customFormat="1" ht="12">
      <c r="A407" s="755"/>
      <c r="B407" s="437"/>
      <c r="C407" s="413" t="s">
        <v>39</v>
      </c>
      <c r="D407" s="406"/>
      <c r="E407" s="414">
        <f>SUM(E406:E406)</f>
        <v>1</v>
      </c>
      <c r="F407" s="443"/>
      <c r="G407" s="202"/>
      <c r="H407" s="203"/>
    </row>
    <row r="408" spans="1:8" ht="12.75">
      <c r="A408" s="754"/>
      <c r="B408" s="441"/>
      <c r="C408" s="395"/>
      <c r="D408" s="442"/>
      <c r="E408" s="396"/>
      <c r="F408" s="209"/>
      <c r="G408" s="23"/>
      <c r="H408" s="205"/>
    </row>
    <row r="409" spans="1:8" ht="38.25" customHeight="1">
      <c r="A409" s="754">
        <v>24</v>
      </c>
      <c r="B409" s="352" t="s">
        <v>744</v>
      </c>
      <c r="C409" s="357" t="s">
        <v>746</v>
      </c>
      <c r="D409" s="398" t="s">
        <v>714</v>
      </c>
      <c r="E409" s="349" t="s">
        <v>45</v>
      </c>
      <c r="F409" s="424">
        <f>E411</f>
        <v>1</v>
      </c>
      <c r="G409" s="23"/>
      <c r="H409" s="205">
        <f>F409*G409</f>
        <v>0</v>
      </c>
    </row>
    <row r="410" spans="1:8" s="204" customFormat="1" ht="24">
      <c r="A410" s="755"/>
      <c r="B410" s="415" t="s">
        <v>745</v>
      </c>
      <c r="C410" s="409">
        <v>1</v>
      </c>
      <c r="D410" s="402"/>
      <c r="E410" s="411">
        <f>C410</f>
        <v>1</v>
      </c>
      <c r="F410" s="208"/>
      <c r="G410" s="202"/>
      <c r="H410" s="203"/>
    </row>
    <row r="411" spans="1:8" s="204" customFormat="1" ht="12">
      <c r="A411" s="755"/>
      <c r="B411" s="437"/>
      <c r="C411" s="413" t="s">
        <v>39</v>
      </c>
      <c r="D411" s="406"/>
      <c r="E411" s="414">
        <f>SUM(E410:E410)</f>
        <v>1</v>
      </c>
      <c r="F411" s="443"/>
      <c r="G411" s="202"/>
      <c r="H411" s="203"/>
    </row>
    <row r="412" spans="1:8" ht="12.75">
      <c r="A412" s="754"/>
      <c r="B412" s="441"/>
      <c r="C412" s="395"/>
      <c r="D412" s="442"/>
      <c r="E412" s="396"/>
      <c r="F412" s="209"/>
      <c r="G412" s="23"/>
      <c r="H412" s="205"/>
    </row>
    <row r="413" spans="1:8" ht="38.25" customHeight="1">
      <c r="A413" s="754">
        <v>25</v>
      </c>
      <c r="B413" s="352" t="s">
        <v>747</v>
      </c>
      <c r="C413" s="357" t="s">
        <v>748</v>
      </c>
      <c r="D413" s="398" t="s">
        <v>714</v>
      </c>
      <c r="E413" s="349" t="s">
        <v>45</v>
      </c>
      <c r="F413" s="424">
        <f>E415</f>
        <v>1</v>
      </c>
      <c r="G413" s="23"/>
      <c r="H413" s="205">
        <f>F413*G413</f>
        <v>0</v>
      </c>
    </row>
    <row r="414" spans="1:8" s="204" customFormat="1" ht="24">
      <c r="A414" s="755"/>
      <c r="B414" s="415" t="s">
        <v>749</v>
      </c>
      <c r="C414" s="409">
        <v>1</v>
      </c>
      <c r="D414" s="402"/>
      <c r="E414" s="411">
        <f>C414</f>
        <v>1</v>
      </c>
      <c r="F414" s="208"/>
      <c r="G414" s="202"/>
      <c r="H414" s="203"/>
    </row>
    <row r="415" spans="1:8" s="204" customFormat="1" ht="12">
      <c r="A415" s="755"/>
      <c r="B415" s="437"/>
      <c r="C415" s="413" t="s">
        <v>39</v>
      </c>
      <c r="D415" s="406"/>
      <c r="E415" s="414">
        <f>SUM(E414:E414)</f>
        <v>1</v>
      </c>
      <c r="F415" s="443"/>
      <c r="G415" s="202"/>
      <c r="H415" s="203"/>
    </row>
    <row r="416" spans="1:8" ht="12.75">
      <c r="A416" s="754"/>
      <c r="B416" s="441"/>
      <c r="C416" s="395"/>
      <c r="D416" s="442"/>
      <c r="E416" s="396"/>
      <c r="F416" s="209"/>
      <c r="G416" s="23"/>
      <c r="H416" s="205"/>
    </row>
    <row r="417" spans="1:8" ht="39" customHeight="1">
      <c r="A417" s="754">
        <v>26</v>
      </c>
      <c r="B417" s="352" t="s">
        <v>750</v>
      </c>
      <c r="C417" s="357" t="s">
        <v>751</v>
      </c>
      <c r="D417" s="398" t="s">
        <v>714</v>
      </c>
      <c r="E417" s="349" t="s">
        <v>45</v>
      </c>
      <c r="F417" s="424">
        <f>E419</f>
        <v>1</v>
      </c>
      <c r="G417" s="23"/>
      <c r="H417" s="205">
        <f>F417*G417</f>
        <v>0</v>
      </c>
    </row>
    <row r="418" spans="1:8" s="204" customFormat="1" ht="24">
      <c r="A418" s="755"/>
      <c r="B418" s="415" t="s">
        <v>749</v>
      </c>
      <c r="C418" s="409">
        <v>1</v>
      </c>
      <c r="D418" s="402"/>
      <c r="E418" s="411">
        <f>C418</f>
        <v>1</v>
      </c>
      <c r="F418" s="208"/>
      <c r="G418" s="202"/>
      <c r="H418" s="203"/>
    </row>
    <row r="419" spans="1:8" s="204" customFormat="1" ht="12">
      <c r="A419" s="755"/>
      <c r="B419" s="437"/>
      <c r="C419" s="413" t="s">
        <v>39</v>
      </c>
      <c r="D419" s="406"/>
      <c r="E419" s="414">
        <f>SUM(E418:E418)</f>
        <v>1</v>
      </c>
      <c r="F419" s="443"/>
      <c r="G419" s="202"/>
      <c r="H419" s="203"/>
    </row>
    <row r="420" spans="1:8" ht="12.75">
      <c r="A420" s="754"/>
      <c r="B420" s="441"/>
      <c r="C420" s="395"/>
      <c r="D420" s="442"/>
      <c r="E420" s="396"/>
      <c r="F420" s="209"/>
      <c r="G420" s="23"/>
      <c r="H420" s="205"/>
    </row>
    <row r="421" spans="1:8" ht="38.25" customHeight="1">
      <c r="A421" s="754">
        <v>27</v>
      </c>
      <c r="B421" s="352" t="s">
        <v>752</v>
      </c>
      <c r="C421" s="357" t="s">
        <v>717</v>
      </c>
      <c r="D421" s="398" t="s">
        <v>714</v>
      </c>
      <c r="E421" s="349" t="s">
        <v>45</v>
      </c>
      <c r="F421" s="424">
        <f>E423</f>
        <v>13</v>
      </c>
      <c r="G421" s="23"/>
      <c r="H421" s="205">
        <f>F421*G421</f>
        <v>0</v>
      </c>
    </row>
    <row r="422" spans="1:8" s="204" customFormat="1" ht="24">
      <c r="A422" s="755"/>
      <c r="B422" s="415" t="s">
        <v>753</v>
      </c>
      <c r="C422" s="409">
        <v>13</v>
      </c>
      <c r="D422" s="402"/>
      <c r="E422" s="411">
        <f>C422</f>
        <v>13</v>
      </c>
      <c r="F422" s="208"/>
      <c r="G422" s="202"/>
      <c r="H422" s="203"/>
    </row>
    <row r="423" spans="1:8" s="204" customFormat="1" ht="12">
      <c r="A423" s="755"/>
      <c r="B423" s="437"/>
      <c r="C423" s="413" t="s">
        <v>39</v>
      </c>
      <c r="D423" s="406"/>
      <c r="E423" s="414">
        <f>SUM(E422:E422)</f>
        <v>13</v>
      </c>
      <c r="F423" s="443"/>
      <c r="G423" s="202"/>
      <c r="H423" s="203"/>
    </row>
    <row r="424" spans="1:8" ht="12.75">
      <c r="A424" s="754"/>
      <c r="B424" s="441"/>
      <c r="C424" s="395"/>
      <c r="D424" s="442"/>
      <c r="E424" s="396"/>
      <c r="F424" s="209"/>
      <c r="G424" s="23"/>
      <c r="H424" s="205"/>
    </row>
    <row r="425" spans="1:8" ht="36" customHeight="1">
      <c r="A425" s="754">
        <v>28</v>
      </c>
      <c r="B425" s="352" t="s">
        <v>754</v>
      </c>
      <c r="C425" s="357" t="s">
        <v>755</v>
      </c>
      <c r="D425" s="398" t="s">
        <v>714</v>
      </c>
      <c r="E425" s="349" t="s">
        <v>45</v>
      </c>
      <c r="F425" s="424">
        <f>E427</f>
        <v>1</v>
      </c>
      <c r="G425" s="23"/>
      <c r="H425" s="205">
        <f>F425*G425</f>
        <v>0</v>
      </c>
    </row>
    <row r="426" spans="1:8" s="204" customFormat="1" ht="24">
      <c r="A426" s="755"/>
      <c r="B426" s="415" t="s">
        <v>753</v>
      </c>
      <c r="C426" s="409">
        <v>1</v>
      </c>
      <c r="D426" s="402"/>
      <c r="E426" s="411">
        <f>C426</f>
        <v>1</v>
      </c>
      <c r="F426" s="208"/>
      <c r="G426" s="202"/>
      <c r="H426" s="203"/>
    </row>
    <row r="427" spans="1:8" s="204" customFormat="1" ht="12">
      <c r="A427" s="755"/>
      <c r="B427" s="437"/>
      <c r="C427" s="413" t="s">
        <v>39</v>
      </c>
      <c r="D427" s="406"/>
      <c r="E427" s="414">
        <f>SUM(E426:E426)</f>
        <v>1</v>
      </c>
      <c r="F427" s="443"/>
      <c r="G427" s="202"/>
      <c r="H427" s="203"/>
    </row>
    <row r="428" spans="1:8" ht="12.75">
      <c r="A428" s="754"/>
      <c r="B428" s="441"/>
      <c r="C428" s="395"/>
      <c r="D428" s="442"/>
      <c r="E428" s="396"/>
      <c r="F428" s="209"/>
      <c r="G428" s="23"/>
      <c r="H428" s="205"/>
    </row>
    <row r="429" spans="1:8" ht="39" customHeight="1">
      <c r="A429" s="754">
        <v>29</v>
      </c>
      <c r="B429" s="352" t="s">
        <v>756</v>
      </c>
      <c r="C429" s="357" t="s">
        <v>757</v>
      </c>
      <c r="D429" s="398" t="s">
        <v>714</v>
      </c>
      <c r="E429" s="349" t="s">
        <v>45</v>
      </c>
      <c r="F429" s="424">
        <f>E431</f>
        <v>1</v>
      </c>
      <c r="G429" s="23"/>
      <c r="H429" s="205">
        <f>F429*G429</f>
        <v>0</v>
      </c>
    </row>
    <row r="430" spans="1:8" s="204" customFormat="1" ht="24">
      <c r="A430" s="755"/>
      <c r="B430" s="415" t="s">
        <v>758</v>
      </c>
      <c r="C430" s="409">
        <v>1</v>
      </c>
      <c r="D430" s="402"/>
      <c r="E430" s="411">
        <f>C430</f>
        <v>1</v>
      </c>
      <c r="F430" s="208"/>
      <c r="G430" s="202"/>
      <c r="H430" s="203"/>
    </row>
    <row r="431" spans="1:8" s="204" customFormat="1" ht="12">
      <c r="A431" s="755"/>
      <c r="B431" s="437"/>
      <c r="C431" s="413" t="s">
        <v>39</v>
      </c>
      <c r="D431" s="406"/>
      <c r="E431" s="414">
        <f>SUM(E430:E430)</f>
        <v>1</v>
      </c>
      <c r="F431" s="443"/>
      <c r="G431" s="202"/>
      <c r="H431" s="203"/>
    </row>
    <row r="432" spans="1:8" ht="12.75">
      <c r="A432" s="754"/>
      <c r="B432" s="441"/>
      <c r="C432" s="395"/>
      <c r="D432" s="442"/>
      <c r="E432" s="396"/>
      <c r="F432" s="209"/>
      <c r="G432" s="23"/>
      <c r="H432" s="205"/>
    </row>
    <row r="433" spans="1:8" ht="39" customHeight="1">
      <c r="A433" s="754">
        <v>30</v>
      </c>
      <c r="B433" s="352" t="s">
        <v>759</v>
      </c>
      <c r="C433" s="357" t="s">
        <v>760</v>
      </c>
      <c r="D433" s="398" t="s">
        <v>714</v>
      </c>
      <c r="E433" s="349" t="s">
        <v>45</v>
      </c>
      <c r="F433" s="424">
        <f>E435</f>
        <v>1</v>
      </c>
      <c r="G433" s="23"/>
      <c r="H433" s="205">
        <f>F433*G433</f>
        <v>0</v>
      </c>
    </row>
    <row r="434" spans="1:8" s="204" customFormat="1" ht="24">
      <c r="A434" s="755"/>
      <c r="B434" s="415" t="s">
        <v>761</v>
      </c>
      <c r="C434" s="409">
        <v>1</v>
      </c>
      <c r="D434" s="402"/>
      <c r="E434" s="411">
        <f>C434</f>
        <v>1</v>
      </c>
      <c r="F434" s="208"/>
      <c r="G434" s="202"/>
      <c r="H434" s="203"/>
    </row>
    <row r="435" spans="1:8" s="204" customFormat="1" ht="12">
      <c r="A435" s="755"/>
      <c r="B435" s="437"/>
      <c r="C435" s="413" t="s">
        <v>39</v>
      </c>
      <c r="D435" s="406"/>
      <c r="E435" s="414">
        <f>SUM(E434:E434)</f>
        <v>1</v>
      </c>
      <c r="F435" s="443"/>
      <c r="G435" s="202"/>
      <c r="H435" s="203"/>
    </row>
    <row r="436" spans="1:8" ht="12.75">
      <c r="A436" s="754"/>
      <c r="B436" s="441"/>
      <c r="C436" s="395"/>
      <c r="D436" s="442"/>
      <c r="E436" s="396"/>
      <c r="F436" s="209"/>
      <c r="G436" s="23"/>
      <c r="H436" s="205"/>
    </row>
    <row r="437" spans="1:8" ht="39" customHeight="1">
      <c r="A437" s="754">
        <v>31</v>
      </c>
      <c r="B437" s="352" t="s">
        <v>762</v>
      </c>
      <c r="C437" s="357" t="s">
        <v>763</v>
      </c>
      <c r="D437" s="398" t="s">
        <v>714</v>
      </c>
      <c r="E437" s="349" t="s">
        <v>45</v>
      </c>
      <c r="F437" s="424">
        <f>E439</f>
        <v>1</v>
      </c>
      <c r="G437" s="23"/>
      <c r="H437" s="205">
        <f>F437*G437</f>
        <v>0</v>
      </c>
    </row>
    <row r="438" spans="1:8" s="204" customFormat="1" ht="24">
      <c r="A438" s="755"/>
      <c r="B438" s="415" t="s">
        <v>764</v>
      </c>
      <c r="C438" s="409">
        <v>1</v>
      </c>
      <c r="D438" s="402"/>
      <c r="E438" s="411">
        <f>C438</f>
        <v>1</v>
      </c>
      <c r="F438" s="208"/>
      <c r="G438" s="202"/>
      <c r="H438" s="203"/>
    </row>
    <row r="439" spans="1:8" s="204" customFormat="1" ht="12">
      <c r="A439" s="755"/>
      <c r="B439" s="437"/>
      <c r="C439" s="413" t="s">
        <v>39</v>
      </c>
      <c r="D439" s="406"/>
      <c r="E439" s="414">
        <f>SUM(E438:E438)</f>
        <v>1</v>
      </c>
      <c r="F439" s="443"/>
      <c r="G439" s="202"/>
      <c r="H439" s="203"/>
    </row>
    <row r="440" spans="1:8" ht="12.75">
      <c r="A440" s="754"/>
      <c r="B440" s="441"/>
      <c r="C440" s="395"/>
      <c r="D440" s="442"/>
      <c r="E440" s="396"/>
      <c r="F440" s="209"/>
      <c r="G440" s="23"/>
      <c r="H440" s="205"/>
    </row>
    <row r="441" spans="1:8" ht="39" customHeight="1">
      <c r="A441" s="754">
        <v>32</v>
      </c>
      <c r="B441" s="352" t="s">
        <v>765</v>
      </c>
      <c r="C441" s="357" t="s">
        <v>766</v>
      </c>
      <c r="D441" s="398" t="s">
        <v>714</v>
      </c>
      <c r="E441" s="349" t="s">
        <v>45</v>
      </c>
      <c r="F441" s="424">
        <f>E443</f>
        <v>1</v>
      </c>
      <c r="G441" s="23"/>
      <c r="H441" s="205">
        <f>F441*G441</f>
        <v>0</v>
      </c>
    </row>
    <row r="442" spans="1:8" s="204" customFormat="1" ht="24">
      <c r="A442" s="755"/>
      <c r="B442" s="415" t="s">
        <v>767</v>
      </c>
      <c r="C442" s="409">
        <v>1</v>
      </c>
      <c r="D442" s="402"/>
      <c r="E442" s="411">
        <f>C442</f>
        <v>1</v>
      </c>
      <c r="F442" s="208"/>
      <c r="G442" s="202"/>
      <c r="H442" s="203"/>
    </row>
    <row r="443" spans="1:8" s="204" customFormat="1" ht="12">
      <c r="A443" s="755"/>
      <c r="B443" s="437"/>
      <c r="C443" s="413" t="s">
        <v>39</v>
      </c>
      <c r="D443" s="406"/>
      <c r="E443" s="414">
        <f>SUM(E442:E442)</f>
        <v>1</v>
      </c>
      <c r="F443" s="443"/>
      <c r="G443" s="202"/>
      <c r="H443" s="203"/>
    </row>
    <row r="444" spans="1:8" ht="12.75">
      <c r="A444" s="754"/>
      <c r="B444" s="441"/>
      <c r="C444" s="395"/>
      <c r="D444" s="442"/>
      <c r="E444" s="396"/>
      <c r="F444" s="209"/>
      <c r="G444" s="23"/>
      <c r="H444" s="205"/>
    </row>
    <row r="445" spans="1:8" ht="38.25" customHeight="1">
      <c r="A445" s="754">
        <v>33</v>
      </c>
      <c r="B445" s="352" t="s">
        <v>768</v>
      </c>
      <c r="C445" s="357" t="s">
        <v>769</v>
      </c>
      <c r="D445" s="398" t="s">
        <v>714</v>
      </c>
      <c r="E445" s="349" t="s">
        <v>45</v>
      </c>
      <c r="F445" s="424">
        <f>E447</f>
        <v>1</v>
      </c>
      <c r="G445" s="23"/>
      <c r="H445" s="205">
        <f>F445*G445</f>
        <v>0</v>
      </c>
    </row>
    <row r="446" spans="1:8" s="204" customFormat="1" ht="24">
      <c r="A446" s="755"/>
      <c r="B446" s="415" t="s">
        <v>770</v>
      </c>
      <c r="C446" s="409">
        <v>1</v>
      </c>
      <c r="D446" s="402"/>
      <c r="E446" s="411">
        <f>C446</f>
        <v>1</v>
      </c>
      <c r="F446" s="208"/>
      <c r="G446" s="202"/>
      <c r="H446" s="203"/>
    </row>
    <row r="447" spans="1:8" s="204" customFormat="1" ht="12">
      <c r="A447" s="755"/>
      <c r="B447" s="437"/>
      <c r="C447" s="413" t="s">
        <v>39</v>
      </c>
      <c r="D447" s="406"/>
      <c r="E447" s="414">
        <f>SUM(E446:E446)</f>
        <v>1</v>
      </c>
      <c r="F447" s="443"/>
      <c r="G447" s="202"/>
      <c r="H447" s="203"/>
    </row>
    <row r="448" spans="1:8" ht="12.75">
      <c r="A448" s="754"/>
      <c r="B448" s="441"/>
      <c r="C448" s="395"/>
      <c r="D448" s="442"/>
      <c r="E448" s="396"/>
      <c r="F448" s="209"/>
      <c r="G448" s="23"/>
      <c r="H448" s="205"/>
    </row>
    <row r="449" spans="1:8" ht="39" customHeight="1">
      <c r="A449" s="754">
        <v>34</v>
      </c>
      <c r="B449" s="352" t="s">
        <v>771</v>
      </c>
      <c r="C449" s="357" t="s">
        <v>772</v>
      </c>
      <c r="D449" s="398" t="s">
        <v>714</v>
      </c>
      <c r="E449" s="349" t="s">
        <v>45</v>
      </c>
      <c r="F449" s="424">
        <f>E451</f>
        <v>1</v>
      </c>
      <c r="G449" s="23"/>
      <c r="H449" s="205">
        <f>F449*G449</f>
        <v>0</v>
      </c>
    </row>
    <row r="450" spans="1:8" s="204" customFormat="1" ht="24">
      <c r="A450" s="755"/>
      <c r="B450" s="415" t="s">
        <v>770</v>
      </c>
      <c r="C450" s="409">
        <v>1</v>
      </c>
      <c r="D450" s="402"/>
      <c r="E450" s="411">
        <f>C450</f>
        <v>1</v>
      </c>
      <c r="F450" s="208"/>
      <c r="G450" s="202"/>
      <c r="H450" s="203"/>
    </row>
    <row r="451" spans="1:8" s="204" customFormat="1" ht="12">
      <c r="A451" s="755"/>
      <c r="B451" s="437"/>
      <c r="C451" s="413" t="s">
        <v>39</v>
      </c>
      <c r="D451" s="406"/>
      <c r="E451" s="414">
        <f>SUM(E450:E450)</f>
        <v>1</v>
      </c>
      <c r="F451" s="443"/>
      <c r="G451" s="202"/>
      <c r="H451" s="203"/>
    </row>
    <row r="452" spans="1:8" ht="12.75">
      <c r="A452" s="754"/>
      <c r="B452" s="441"/>
      <c r="C452" s="395"/>
      <c r="D452" s="442"/>
      <c r="E452" s="396"/>
      <c r="F452" s="209"/>
      <c r="G452" s="23"/>
      <c r="H452" s="205"/>
    </row>
    <row r="453" spans="1:8" ht="38.25" customHeight="1">
      <c r="A453" s="754">
        <v>35</v>
      </c>
      <c r="B453" s="352" t="s">
        <v>773</v>
      </c>
      <c r="C453" s="357" t="s">
        <v>774</v>
      </c>
      <c r="D453" s="398" t="s">
        <v>714</v>
      </c>
      <c r="E453" s="349" t="s">
        <v>45</v>
      </c>
      <c r="F453" s="424">
        <f>E455</f>
        <v>2</v>
      </c>
      <c r="G453" s="23"/>
      <c r="H453" s="205">
        <f>F453*G453</f>
        <v>0</v>
      </c>
    </row>
    <row r="454" spans="1:8" s="204" customFormat="1" ht="24">
      <c r="A454" s="755"/>
      <c r="B454" s="415" t="s">
        <v>775</v>
      </c>
      <c r="C454" s="409">
        <v>2</v>
      </c>
      <c r="D454" s="402"/>
      <c r="E454" s="411">
        <f>C454</f>
        <v>2</v>
      </c>
      <c r="F454" s="208"/>
      <c r="G454" s="202"/>
      <c r="H454" s="203"/>
    </row>
    <row r="455" spans="1:8" s="204" customFormat="1" ht="12">
      <c r="A455" s="755"/>
      <c r="B455" s="437"/>
      <c r="C455" s="413" t="s">
        <v>39</v>
      </c>
      <c r="D455" s="406"/>
      <c r="E455" s="414">
        <f>SUM(E454:E454)</f>
        <v>2</v>
      </c>
      <c r="F455" s="443"/>
      <c r="G455" s="202"/>
      <c r="H455" s="203"/>
    </row>
    <row r="456" spans="1:8" ht="12.75">
      <c r="A456" s="754"/>
      <c r="B456" s="441"/>
      <c r="C456" s="395"/>
      <c r="D456" s="442"/>
      <c r="E456" s="396"/>
      <c r="F456" s="209"/>
      <c r="G456" s="23"/>
      <c r="H456" s="205"/>
    </row>
    <row r="457" spans="1:8" ht="39" customHeight="1">
      <c r="A457" s="754">
        <v>36</v>
      </c>
      <c r="B457" s="352" t="s">
        <v>776</v>
      </c>
      <c r="C457" s="357" t="s">
        <v>777</v>
      </c>
      <c r="D457" s="398" t="s">
        <v>714</v>
      </c>
      <c r="E457" s="349" t="s">
        <v>45</v>
      </c>
      <c r="F457" s="424">
        <f>E459</f>
        <v>1</v>
      </c>
      <c r="G457" s="23"/>
      <c r="H457" s="205">
        <f>F457*G457</f>
        <v>0</v>
      </c>
    </row>
    <row r="458" spans="1:8" s="204" customFormat="1" ht="24">
      <c r="A458" s="755"/>
      <c r="B458" s="415" t="s">
        <v>778</v>
      </c>
      <c r="C458" s="409">
        <v>1</v>
      </c>
      <c r="D458" s="402"/>
      <c r="E458" s="411">
        <f>C458</f>
        <v>1</v>
      </c>
      <c r="F458" s="208"/>
      <c r="G458" s="202"/>
      <c r="H458" s="203"/>
    </row>
    <row r="459" spans="1:8" s="204" customFormat="1" ht="12">
      <c r="A459" s="755"/>
      <c r="B459" s="437"/>
      <c r="C459" s="413" t="s">
        <v>39</v>
      </c>
      <c r="D459" s="406"/>
      <c r="E459" s="414">
        <f>SUM(E458:E458)</f>
        <v>1</v>
      </c>
      <c r="F459" s="443"/>
      <c r="G459" s="202"/>
      <c r="H459" s="203"/>
    </row>
    <row r="460" spans="1:8" ht="12.75">
      <c r="A460" s="754"/>
      <c r="B460" s="441"/>
      <c r="C460" s="395"/>
      <c r="D460" s="442"/>
      <c r="E460" s="396"/>
      <c r="F460" s="209"/>
      <c r="G460" s="23"/>
      <c r="H460" s="205"/>
    </row>
    <row r="461" spans="1:8" ht="39" customHeight="1">
      <c r="A461" s="754">
        <v>37</v>
      </c>
      <c r="B461" s="352" t="s">
        <v>779</v>
      </c>
      <c r="C461" s="357" t="s">
        <v>780</v>
      </c>
      <c r="D461" s="398" t="s">
        <v>714</v>
      </c>
      <c r="E461" s="349" t="s">
        <v>45</v>
      </c>
      <c r="F461" s="424">
        <f>E463</f>
        <v>1</v>
      </c>
      <c r="G461" s="23"/>
      <c r="H461" s="205">
        <f>F461*G461</f>
        <v>0</v>
      </c>
    </row>
    <row r="462" spans="1:8" s="204" customFormat="1" ht="24">
      <c r="A462" s="755"/>
      <c r="B462" s="415" t="s">
        <v>781</v>
      </c>
      <c r="C462" s="409">
        <v>1</v>
      </c>
      <c r="D462" s="402"/>
      <c r="E462" s="411">
        <f>C462</f>
        <v>1</v>
      </c>
      <c r="F462" s="208"/>
      <c r="G462" s="202"/>
      <c r="H462" s="203"/>
    </row>
    <row r="463" spans="1:8" s="204" customFormat="1" ht="12">
      <c r="A463" s="755"/>
      <c r="B463" s="437"/>
      <c r="C463" s="413" t="s">
        <v>39</v>
      </c>
      <c r="D463" s="406"/>
      <c r="E463" s="414">
        <f>SUM(E462:E462)</f>
        <v>1</v>
      </c>
      <c r="F463" s="443"/>
      <c r="G463" s="202"/>
      <c r="H463" s="203"/>
    </row>
    <row r="464" spans="1:8" ht="12.75">
      <c r="A464" s="754"/>
      <c r="B464" s="441"/>
      <c r="C464" s="395"/>
      <c r="D464" s="442"/>
      <c r="E464" s="396"/>
      <c r="F464" s="209"/>
      <c r="G464" s="23"/>
      <c r="H464" s="205"/>
    </row>
    <row r="465" spans="1:8" ht="39" customHeight="1">
      <c r="A465" s="754">
        <v>38</v>
      </c>
      <c r="B465" s="352" t="s">
        <v>782</v>
      </c>
      <c r="C465" s="357" t="s">
        <v>783</v>
      </c>
      <c r="D465" s="398" t="s">
        <v>714</v>
      </c>
      <c r="E465" s="349" t="s">
        <v>45</v>
      </c>
      <c r="F465" s="424">
        <f>E467</f>
        <v>1</v>
      </c>
      <c r="G465" s="23"/>
      <c r="H465" s="205">
        <f>F465*G465</f>
        <v>0</v>
      </c>
    </row>
    <row r="466" spans="1:8" s="204" customFormat="1" ht="24">
      <c r="A466" s="755"/>
      <c r="B466" s="415" t="s">
        <v>781</v>
      </c>
      <c r="C466" s="409">
        <v>1</v>
      </c>
      <c r="D466" s="402"/>
      <c r="E466" s="411">
        <f>C466</f>
        <v>1</v>
      </c>
      <c r="F466" s="208"/>
      <c r="G466" s="202"/>
      <c r="H466" s="203"/>
    </row>
    <row r="467" spans="1:8" s="204" customFormat="1" ht="12">
      <c r="A467" s="755"/>
      <c r="B467" s="437"/>
      <c r="C467" s="413" t="s">
        <v>39</v>
      </c>
      <c r="D467" s="406"/>
      <c r="E467" s="414">
        <f>SUM(E466:E466)</f>
        <v>1</v>
      </c>
      <c r="F467" s="443"/>
      <c r="G467" s="202"/>
      <c r="H467" s="203"/>
    </row>
    <row r="468" spans="1:8" ht="12.75">
      <c r="A468" s="754"/>
      <c r="B468" s="441"/>
      <c r="C468" s="395"/>
      <c r="D468" s="442"/>
      <c r="E468" s="396"/>
      <c r="F468" s="209"/>
      <c r="G468" s="23"/>
      <c r="H468" s="205"/>
    </row>
    <row r="469" spans="1:8" ht="41.25" customHeight="1">
      <c r="A469" s="754">
        <v>39</v>
      </c>
      <c r="B469" s="352" t="s">
        <v>784</v>
      </c>
      <c r="C469" s="357" t="s">
        <v>785</v>
      </c>
      <c r="D469" s="398" t="s">
        <v>714</v>
      </c>
      <c r="E469" s="349" t="s">
        <v>45</v>
      </c>
      <c r="F469" s="424">
        <f>E471</f>
        <v>1</v>
      </c>
      <c r="G469" s="23"/>
      <c r="H469" s="205">
        <f>F469*G469</f>
        <v>0</v>
      </c>
    </row>
    <row r="470" spans="1:8" s="204" customFormat="1" ht="24">
      <c r="A470" s="755"/>
      <c r="B470" s="415" t="s">
        <v>781</v>
      </c>
      <c r="C470" s="409">
        <v>1</v>
      </c>
      <c r="D470" s="402"/>
      <c r="E470" s="411">
        <f>C470</f>
        <v>1</v>
      </c>
      <c r="F470" s="208"/>
      <c r="G470" s="202"/>
      <c r="H470" s="203"/>
    </row>
    <row r="471" spans="1:8" s="204" customFormat="1" ht="12">
      <c r="A471" s="755"/>
      <c r="B471" s="437"/>
      <c r="C471" s="413" t="s">
        <v>39</v>
      </c>
      <c r="D471" s="406"/>
      <c r="E471" s="414">
        <f>SUM(E470:E470)</f>
        <v>1</v>
      </c>
      <c r="F471" s="443"/>
      <c r="G471" s="202"/>
      <c r="H471" s="203"/>
    </row>
    <row r="472" spans="1:8" ht="12.75">
      <c r="A472" s="754"/>
      <c r="B472" s="441"/>
      <c r="C472" s="395"/>
      <c r="D472" s="442"/>
      <c r="E472" s="396"/>
      <c r="F472" s="209"/>
      <c r="G472" s="23"/>
      <c r="H472" s="205"/>
    </row>
    <row r="473" spans="1:8" ht="39" customHeight="1">
      <c r="A473" s="754">
        <v>40</v>
      </c>
      <c r="B473" s="352" t="s">
        <v>786</v>
      </c>
      <c r="C473" s="357" t="s">
        <v>787</v>
      </c>
      <c r="D473" s="398" t="s">
        <v>714</v>
      </c>
      <c r="E473" s="349" t="s">
        <v>45</v>
      </c>
      <c r="F473" s="424">
        <f>E475</f>
        <v>1</v>
      </c>
      <c r="G473" s="23"/>
      <c r="H473" s="205">
        <f>F473*G473</f>
        <v>0</v>
      </c>
    </row>
    <row r="474" spans="1:8" s="204" customFormat="1" ht="24">
      <c r="A474" s="755"/>
      <c r="B474" s="415" t="s">
        <v>781</v>
      </c>
      <c r="C474" s="409">
        <v>1</v>
      </c>
      <c r="D474" s="402"/>
      <c r="E474" s="411">
        <f>C474</f>
        <v>1</v>
      </c>
      <c r="F474" s="208"/>
      <c r="G474" s="202"/>
      <c r="H474" s="203"/>
    </row>
    <row r="475" spans="1:8" s="204" customFormat="1" ht="12">
      <c r="A475" s="755"/>
      <c r="B475" s="437"/>
      <c r="C475" s="413" t="s">
        <v>39</v>
      </c>
      <c r="D475" s="406"/>
      <c r="E475" s="414">
        <f>SUM(E474:E474)</f>
        <v>1</v>
      </c>
      <c r="F475" s="443"/>
      <c r="G475" s="202"/>
      <c r="H475" s="203"/>
    </row>
    <row r="476" spans="1:8" ht="12.75">
      <c r="A476" s="754"/>
      <c r="B476" s="441"/>
      <c r="C476" s="395"/>
      <c r="D476" s="442"/>
      <c r="E476" s="396"/>
      <c r="F476" s="209"/>
      <c r="G476" s="23"/>
      <c r="H476" s="205"/>
    </row>
    <row r="477" spans="1:8" ht="40.5" customHeight="1">
      <c r="A477" s="754">
        <v>41</v>
      </c>
      <c r="B477" s="352" t="s">
        <v>788</v>
      </c>
      <c r="C477" s="357" t="s">
        <v>717</v>
      </c>
      <c r="D477" s="398" t="s">
        <v>714</v>
      </c>
      <c r="E477" s="349" t="s">
        <v>45</v>
      </c>
      <c r="F477" s="424">
        <f>E479</f>
        <v>1</v>
      </c>
      <c r="G477" s="23"/>
      <c r="H477" s="205">
        <f>F477*G477</f>
        <v>0</v>
      </c>
    </row>
    <row r="478" spans="1:8" s="204" customFormat="1" ht="24">
      <c r="A478" s="755"/>
      <c r="B478" s="415" t="s">
        <v>789</v>
      </c>
      <c r="C478" s="409">
        <v>1</v>
      </c>
      <c r="D478" s="402"/>
      <c r="E478" s="411">
        <f>C478</f>
        <v>1</v>
      </c>
      <c r="F478" s="208"/>
      <c r="G478" s="202"/>
      <c r="H478" s="203"/>
    </row>
    <row r="479" spans="1:8" s="204" customFormat="1" ht="12">
      <c r="A479" s="755"/>
      <c r="B479" s="437"/>
      <c r="C479" s="413" t="s">
        <v>39</v>
      </c>
      <c r="D479" s="406"/>
      <c r="E479" s="414">
        <f>SUM(E478:E478)</f>
        <v>1</v>
      </c>
      <c r="F479" s="443"/>
      <c r="G479" s="202"/>
      <c r="H479" s="203"/>
    </row>
    <row r="480" spans="1:8" ht="12.75">
      <c r="A480" s="754"/>
      <c r="B480" s="441"/>
      <c r="C480" s="395"/>
      <c r="D480" s="442"/>
      <c r="E480" s="396"/>
      <c r="F480" s="209"/>
      <c r="G480" s="23"/>
      <c r="H480" s="205"/>
    </row>
    <row r="481" spans="1:8" ht="29.25" customHeight="1">
      <c r="A481" s="754">
        <v>42</v>
      </c>
      <c r="B481" s="352">
        <v>410000001</v>
      </c>
      <c r="C481" s="357" t="s">
        <v>379</v>
      </c>
      <c r="D481" s="398" t="s">
        <v>380</v>
      </c>
      <c r="E481" s="349" t="s">
        <v>38</v>
      </c>
      <c r="F481" s="424">
        <f>E493</f>
        <v>10.944747812499998</v>
      </c>
      <c r="G481" s="23"/>
      <c r="H481" s="205">
        <f>F481*G481</f>
        <v>0</v>
      </c>
    </row>
    <row r="482" spans="1:8" s="204" customFormat="1" ht="24">
      <c r="A482" s="755"/>
      <c r="B482" s="408" t="s">
        <v>308</v>
      </c>
      <c r="C482" s="401" t="s">
        <v>381</v>
      </c>
      <c r="D482" s="402"/>
      <c r="E482" s="403">
        <f>(2.05+0.25+2.16+1.65)*0.25*0.25</f>
        <v>0.38187499999999996</v>
      </c>
      <c r="F482" s="208"/>
      <c r="G482" s="202"/>
      <c r="H482" s="203"/>
    </row>
    <row r="483" spans="1:8" s="204" customFormat="1" ht="24">
      <c r="A483" s="755"/>
      <c r="B483" s="415" t="s">
        <v>383</v>
      </c>
      <c r="C483" s="401" t="s">
        <v>398</v>
      </c>
      <c r="D483" s="410"/>
      <c r="E483" s="427">
        <f>(2.16+0.25+2.089+0.57+0.18+1.2+0.815)*0.25*0.25</f>
        <v>0.45400000000000007</v>
      </c>
      <c r="F483" s="412"/>
      <c r="G483" s="202"/>
      <c r="H483" s="203"/>
    </row>
    <row r="484" spans="1:8" s="204" customFormat="1" ht="24">
      <c r="A484" s="755"/>
      <c r="B484" s="415" t="s">
        <v>400</v>
      </c>
      <c r="C484" s="401" t="s">
        <v>404</v>
      </c>
      <c r="D484" s="410"/>
      <c r="E484" s="403">
        <f>(2.55+2.55+2.16+2.16)*0.25*0.25</f>
        <v>0.58875</v>
      </c>
      <c r="F484" s="412"/>
      <c r="G484" s="202"/>
      <c r="H484" s="203"/>
    </row>
    <row r="485" spans="1:8" s="204" customFormat="1" ht="24">
      <c r="A485" s="755"/>
      <c r="B485" s="415" t="s">
        <v>828</v>
      </c>
      <c r="C485" s="401" t="s">
        <v>842</v>
      </c>
      <c r="D485" s="410"/>
      <c r="E485" s="403">
        <f>(5.23+0.25+3.25+0.25+3.09+0.25+1.63+3.09+7.4+4.25+2.5+2.265+0.125+2.75+0.25+3.5+2.5+0.15+5.975+5.25+5.25)*0.25*0.25</f>
        <v>3.7003125</v>
      </c>
      <c r="F485" s="412"/>
      <c r="G485" s="202"/>
      <c r="H485" s="203"/>
    </row>
    <row r="486" spans="1:8" s="204" customFormat="1" ht="12">
      <c r="A486" s="755"/>
      <c r="B486" s="415" t="s">
        <v>828</v>
      </c>
      <c r="C486" s="401" t="s">
        <v>843</v>
      </c>
      <c r="D486" s="410"/>
      <c r="E486" s="403">
        <f>(5.23)*0.175*0.25</f>
        <v>0.2288125</v>
      </c>
      <c r="F486" s="412"/>
      <c r="G486" s="202"/>
      <c r="H486" s="203"/>
    </row>
    <row r="487" spans="1:8" s="204" customFormat="1" ht="12">
      <c r="A487" s="755"/>
      <c r="B487" s="415" t="s">
        <v>828</v>
      </c>
      <c r="C487" s="401" t="s">
        <v>843</v>
      </c>
      <c r="D487" s="410"/>
      <c r="E487" s="403">
        <f>(5.23)*0.175*0.25</f>
        <v>0.2288125</v>
      </c>
      <c r="F487" s="412"/>
      <c r="G487" s="202"/>
      <c r="H487" s="203"/>
    </row>
    <row r="488" spans="1:8" s="204" customFormat="1" ht="39.75" customHeight="1">
      <c r="A488" s="755"/>
      <c r="B488" s="415" t="s">
        <v>904</v>
      </c>
      <c r="C488" s="401" t="s">
        <v>910</v>
      </c>
      <c r="D488" s="410"/>
      <c r="E488" s="403">
        <f>(8.175+0.15+2.385+4.125+6.545+0.15+2.25+0.25+1.865+0.25+4.125+0.125+1.45+1.45+1.6+6.275+0.15+2.25+0.25+4.275+6.275+0.15+2.25+0.25+1.765)*0.25*0.25</f>
        <v>3.6740625</v>
      </c>
      <c r="F488" s="412"/>
      <c r="G488" s="202"/>
      <c r="H488" s="203"/>
    </row>
    <row r="489" spans="1:8" s="204" customFormat="1" ht="12">
      <c r="A489" s="755"/>
      <c r="B489" s="415" t="s">
        <v>904</v>
      </c>
      <c r="C489" s="401" t="s">
        <v>914</v>
      </c>
      <c r="D489" s="410"/>
      <c r="E489" s="403">
        <f>(4.535)*0.175*0.25</f>
        <v>0.19840625</v>
      </c>
      <c r="F489" s="412"/>
      <c r="G489" s="202"/>
      <c r="H489" s="203"/>
    </row>
    <row r="490" spans="1:8" s="204" customFormat="1" ht="12">
      <c r="A490" s="755"/>
      <c r="B490" s="415" t="s">
        <v>42</v>
      </c>
      <c r="C490" s="401" t="s">
        <v>911</v>
      </c>
      <c r="D490" s="410"/>
      <c r="E490" s="403">
        <f>(1.93+0.15+6.405+0.15+3)*0.25*0.25</f>
        <v>0.7271875</v>
      </c>
      <c r="F490" s="412"/>
      <c r="G490" s="202"/>
      <c r="H490" s="203"/>
    </row>
    <row r="491" spans="1:8" s="204" customFormat="1" ht="12">
      <c r="A491" s="755"/>
      <c r="B491" s="408"/>
      <c r="C491" s="401" t="s">
        <v>912</v>
      </c>
      <c r="D491" s="410"/>
      <c r="E491" s="403">
        <f>(2.165+0.175+4.76)*0.25*0.25</f>
        <v>0.44375</v>
      </c>
      <c r="F491" s="412"/>
      <c r="G491" s="202"/>
      <c r="H491" s="203"/>
    </row>
    <row r="492" spans="1:8" s="204" customFormat="1" ht="12">
      <c r="A492" s="755"/>
      <c r="B492" s="400" t="s">
        <v>41</v>
      </c>
      <c r="C492" s="419">
        <v>0.03</v>
      </c>
      <c r="D492" s="406"/>
      <c r="E492" s="403">
        <f>SUM(E482:E491)*C492</f>
        <v>0.31877906249999993</v>
      </c>
      <c r="F492" s="412"/>
      <c r="G492" s="446"/>
      <c r="H492" s="447"/>
    </row>
    <row r="493" spans="1:8" s="204" customFormat="1" ht="12">
      <c r="A493" s="755"/>
      <c r="B493" s="400"/>
      <c r="C493" s="405" t="s">
        <v>39</v>
      </c>
      <c r="D493" s="406"/>
      <c r="E493" s="407">
        <f>SUM(E482:E492)</f>
        <v>10.944747812499998</v>
      </c>
      <c r="F493" s="443"/>
      <c r="G493" s="202"/>
      <c r="H493" s="203"/>
    </row>
    <row r="494" spans="1:8" ht="12.75">
      <c r="A494" s="754"/>
      <c r="B494" s="448"/>
      <c r="C494" s="355"/>
      <c r="D494" s="356"/>
      <c r="E494" s="350"/>
      <c r="F494" s="424"/>
      <c r="G494" s="23"/>
      <c r="H494" s="205"/>
    </row>
    <row r="495" spans="1:8" ht="12.75">
      <c r="A495" s="754"/>
      <c r="B495" s="449"/>
      <c r="C495" s="395" t="s">
        <v>1304</v>
      </c>
      <c r="D495" s="249" t="s">
        <v>79</v>
      </c>
      <c r="E495" s="396"/>
      <c r="F495" s="209"/>
      <c r="G495" s="23"/>
      <c r="H495" s="397">
        <f>SUM(H496:H508)</f>
        <v>0</v>
      </c>
    </row>
    <row r="496" spans="1:8" ht="36">
      <c r="A496" s="754">
        <v>1</v>
      </c>
      <c r="B496" s="352" t="s">
        <v>1095</v>
      </c>
      <c r="C496" s="353" t="s">
        <v>1096</v>
      </c>
      <c r="D496" s="398" t="s">
        <v>1097</v>
      </c>
      <c r="E496" s="399" t="s">
        <v>40</v>
      </c>
      <c r="F496" s="210">
        <f>E498</f>
        <v>38</v>
      </c>
      <c r="G496" s="23"/>
      <c r="H496" s="205">
        <f>F496*G496</f>
        <v>0</v>
      </c>
    </row>
    <row r="497" spans="1:8" s="434" customFormat="1" ht="12">
      <c r="A497" s="756"/>
      <c r="B497" s="428"/>
      <c r="C497" s="429" t="s">
        <v>1098</v>
      </c>
      <c r="D497" s="450"/>
      <c r="E497" s="431">
        <f>(10*3.8)</f>
        <v>38</v>
      </c>
      <c r="F497" s="432"/>
      <c r="G497" s="432"/>
      <c r="H497" s="433"/>
    </row>
    <row r="498" spans="1:8" s="204" customFormat="1" ht="12">
      <c r="A498" s="755"/>
      <c r="B498" s="404"/>
      <c r="C498" s="413" t="s">
        <v>39</v>
      </c>
      <c r="D498" s="406"/>
      <c r="E498" s="414">
        <f>SUM(E497:E497)</f>
        <v>38</v>
      </c>
      <c r="F498" s="208"/>
      <c r="G498" s="202"/>
      <c r="H498" s="203"/>
    </row>
    <row r="499" spans="1:8" ht="12.75">
      <c r="A499" s="754"/>
      <c r="B499" s="451"/>
      <c r="C499" s="452"/>
      <c r="D499" s="354"/>
      <c r="E499" s="349"/>
      <c r="F499" s="207"/>
      <c r="G499" s="23"/>
      <c r="H499" s="205"/>
    </row>
    <row r="500" spans="1:8" ht="25.5">
      <c r="A500" s="754">
        <v>2</v>
      </c>
      <c r="B500" s="352" t="s">
        <v>1099</v>
      </c>
      <c r="C500" s="353" t="s">
        <v>1100</v>
      </c>
      <c r="D500" s="398" t="s">
        <v>1101</v>
      </c>
      <c r="E500" s="399" t="s">
        <v>40</v>
      </c>
      <c r="F500" s="210">
        <f>E504</f>
        <v>588.506695</v>
      </c>
      <c r="G500" s="23"/>
      <c r="H500" s="205">
        <f>F500*G500</f>
        <v>0</v>
      </c>
    </row>
    <row r="501" spans="1:8" s="434" customFormat="1" ht="12">
      <c r="A501" s="756"/>
      <c r="B501" s="428" t="s">
        <v>1102</v>
      </c>
      <c r="C501" s="429" t="s">
        <v>1107</v>
      </c>
      <c r="D501" s="450"/>
      <c r="E501" s="431">
        <f>(16.5*15)</f>
        <v>247.5</v>
      </c>
      <c r="F501" s="432"/>
      <c r="G501" s="432"/>
      <c r="H501" s="433"/>
    </row>
    <row r="502" spans="1:8" s="434" customFormat="1" ht="12">
      <c r="A502" s="756"/>
      <c r="B502" s="428" t="s">
        <v>1103</v>
      </c>
      <c r="C502" s="429" t="s">
        <v>1105</v>
      </c>
      <c r="D502" s="450"/>
      <c r="E502" s="431">
        <f>(15.5*17)</f>
        <v>263.5</v>
      </c>
      <c r="F502" s="432"/>
      <c r="G502" s="432"/>
      <c r="H502" s="433"/>
    </row>
    <row r="503" spans="1:8" s="434" customFormat="1" ht="12">
      <c r="A503" s="756"/>
      <c r="B503" s="428" t="s">
        <v>1104</v>
      </c>
      <c r="C503" s="429" t="s">
        <v>1106</v>
      </c>
      <c r="D503" s="450"/>
      <c r="E503" s="431">
        <f>(4.215*0.87+4.23*0.85+4.28*0.87+4.89*6.425+4.87*6.45)*1.05</f>
        <v>77.50669500000001</v>
      </c>
      <c r="F503" s="432"/>
      <c r="G503" s="432"/>
      <c r="H503" s="433"/>
    </row>
    <row r="504" spans="1:8" s="204" customFormat="1" ht="12">
      <c r="A504" s="755"/>
      <c r="B504" s="404"/>
      <c r="C504" s="413" t="s">
        <v>39</v>
      </c>
      <c r="D504" s="406"/>
      <c r="E504" s="414">
        <f>SUM(E501:E503)</f>
        <v>588.506695</v>
      </c>
      <c r="F504" s="208"/>
      <c r="G504" s="202"/>
      <c r="H504" s="203"/>
    </row>
    <row r="505" spans="1:8" ht="12.75">
      <c r="A505" s="754"/>
      <c r="B505" s="451"/>
      <c r="C505" s="452"/>
      <c r="D505" s="354"/>
      <c r="E505" s="349"/>
      <c r="F505" s="207"/>
      <c r="G505" s="23"/>
      <c r="H505" s="205"/>
    </row>
    <row r="506" spans="1:8" ht="36">
      <c r="A506" s="754">
        <v>3</v>
      </c>
      <c r="B506" s="352" t="s">
        <v>1108</v>
      </c>
      <c r="C506" s="353" t="s">
        <v>1109</v>
      </c>
      <c r="D506" s="398" t="s">
        <v>1110</v>
      </c>
      <c r="E506" s="399" t="s">
        <v>45</v>
      </c>
      <c r="F506" s="210">
        <f>E508</f>
        <v>1</v>
      </c>
      <c r="G506" s="23"/>
      <c r="H506" s="205">
        <f>F506*G506</f>
        <v>0</v>
      </c>
    </row>
    <row r="507" spans="1:8" s="434" customFormat="1" ht="12">
      <c r="A507" s="756"/>
      <c r="B507" s="428"/>
      <c r="C507" s="429">
        <v>1</v>
      </c>
      <c r="D507" s="450"/>
      <c r="E507" s="431">
        <f>C507</f>
        <v>1</v>
      </c>
      <c r="F507" s="432"/>
      <c r="G507" s="432"/>
      <c r="H507" s="433"/>
    </row>
    <row r="508" spans="1:8" s="204" customFormat="1" ht="12">
      <c r="A508" s="755"/>
      <c r="B508" s="404"/>
      <c r="C508" s="413" t="s">
        <v>39</v>
      </c>
      <c r="D508" s="406"/>
      <c r="E508" s="414">
        <f>SUM(E507:E507)</f>
        <v>1</v>
      </c>
      <c r="F508" s="208"/>
      <c r="G508" s="202"/>
      <c r="H508" s="203"/>
    </row>
    <row r="509" spans="1:8" ht="12.75">
      <c r="A509" s="754"/>
      <c r="B509" s="451"/>
      <c r="C509" s="452"/>
      <c r="D509" s="354"/>
      <c r="E509" s="349"/>
      <c r="F509" s="207"/>
      <c r="G509" s="23"/>
      <c r="H509" s="205"/>
    </row>
    <row r="510" spans="1:8" ht="12.75">
      <c r="A510" s="754"/>
      <c r="B510" s="449"/>
      <c r="C510" s="395" t="s">
        <v>1305</v>
      </c>
      <c r="D510" s="356"/>
      <c r="E510" s="396"/>
      <c r="F510" s="209"/>
      <c r="G510" s="23"/>
      <c r="H510" s="397">
        <f>SUM(H511:H547)</f>
        <v>0</v>
      </c>
    </row>
    <row r="511" spans="1:8" ht="36">
      <c r="A511" s="754">
        <v>1</v>
      </c>
      <c r="B511" s="352" t="s">
        <v>338</v>
      </c>
      <c r="C511" s="353" t="s">
        <v>1074</v>
      </c>
      <c r="D511" s="398" t="s">
        <v>1075</v>
      </c>
      <c r="E511" s="399" t="s">
        <v>40</v>
      </c>
      <c r="F511" s="210">
        <f>E516</f>
        <v>1184.1976</v>
      </c>
      <c r="G511" s="23"/>
      <c r="H511" s="205">
        <f>F511*G511</f>
        <v>0</v>
      </c>
    </row>
    <row r="512" spans="1:8" s="204" customFormat="1" ht="12">
      <c r="A512" s="755"/>
      <c r="B512" s="453"/>
      <c r="C512" s="429" t="s">
        <v>292</v>
      </c>
      <c r="D512" s="402"/>
      <c r="E512" s="445"/>
      <c r="F512" s="208"/>
      <c r="G512" s="202"/>
      <c r="H512" s="203"/>
    </row>
    <row r="513" spans="1:8" s="434" customFormat="1" ht="12">
      <c r="A513" s="756"/>
      <c r="B513" s="428" t="s">
        <v>52</v>
      </c>
      <c r="C513" s="429">
        <f>'Legenda místností'!D17*1.2</f>
        <v>253.70759999999999</v>
      </c>
      <c r="D513" s="450"/>
      <c r="E513" s="431">
        <f>C513</f>
        <v>253.70759999999999</v>
      </c>
      <c r="F513" s="432"/>
      <c r="G513" s="432"/>
      <c r="H513" s="433"/>
    </row>
    <row r="514" spans="1:8" s="434" customFormat="1" ht="12">
      <c r="A514" s="756"/>
      <c r="B514" s="428" t="s">
        <v>43</v>
      </c>
      <c r="C514" s="429">
        <f>'Legenda místností'!W89*1.2-'Legenda místností'!D91</f>
        <v>463.9099999999998</v>
      </c>
      <c r="D514" s="450"/>
      <c r="E514" s="431">
        <f>C514</f>
        <v>463.9099999999998</v>
      </c>
      <c r="F514" s="432"/>
      <c r="G514" s="432"/>
      <c r="H514" s="433"/>
    </row>
    <row r="515" spans="1:8" s="434" customFormat="1" ht="12">
      <c r="A515" s="756"/>
      <c r="B515" s="428" t="s">
        <v>42</v>
      </c>
      <c r="C515" s="429">
        <f>'Legenda místností'!W186-'Legenda místností'!D188</f>
        <v>466.58000000000004</v>
      </c>
      <c r="D515" s="450"/>
      <c r="E515" s="431">
        <f>C515</f>
        <v>466.58000000000004</v>
      </c>
      <c r="F515" s="432"/>
      <c r="G515" s="432"/>
      <c r="H515" s="433"/>
    </row>
    <row r="516" spans="1:8" s="204" customFormat="1" ht="12">
      <c r="A516" s="755"/>
      <c r="B516" s="404"/>
      <c r="C516" s="413" t="s">
        <v>39</v>
      </c>
      <c r="D516" s="406"/>
      <c r="E516" s="414">
        <f>SUM(E512:E515)</f>
        <v>1184.1976</v>
      </c>
      <c r="F516" s="208"/>
      <c r="G516" s="202"/>
      <c r="H516" s="203"/>
    </row>
    <row r="517" spans="1:8" ht="12.75">
      <c r="A517" s="754"/>
      <c r="B517" s="451"/>
      <c r="C517" s="452"/>
      <c r="D517" s="354"/>
      <c r="E517" s="349"/>
      <c r="F517" s="207"/>
      <c r="G517" s="23"/>
      <c r="H517" s="205"/>
    </row>
    <row r="518" spans="1:8" ht="25.5">
      <c r="A518" s="754">
        <v>2</v>
      </c>
      <c r="B518" s="352" t="s">
        <v>339</v>
      </c>
      <c r="C518" s="353" t="s">
        <v>1080</v>
      </c>
      <c r="D518" s="398" t="s">
        <v>1082</v>
      </c>
      <c r="E518" s="399" t="s">
        <v>40</v>
      </c>
      <c r="F518" s="210">
        <f>E522</f>
        <v>442.56000000000006</v>
      </c>
      <c r="G518" s="23"/>
      <c r="H518" s="205">
        <f>F518*G518</f>
        <v>0</v>
      </c>
    </row>
    <row r="519" spans="1:8" s="204" customFormat="1" ht="12">
      <c r="A519" s="755"/>
      <c r="B519" s="453"/>
      <c r="C519" s="429" t="s">
        <v>292</v>
      </c>
      <c r="D519" s="402"/>
      <c r="E519" s="445"/>
      <c r="F519" s="208"/>
      <c r="G519" s="202"/>
      <c r="H519" s="203"/>
    </row>
    <row r="520" spans="1:8" s="434" customFormat="1" ht="12">
      <c r="A520" s="756"/>
      <c r="B520" s="428" t="s">
        <v>43</v>
      </c>
      <c r="C520" s="429">
        <f>'Legenda místností'!D91</f>
        <v>220.51000000000005</v>
      </c>
      <c r="D520" s="450"/>
      <c r="E520" s="431">
        <f>C520</f>
        <v>220.51000000000005</v>
      </c>
      <c r="F520" s="432"/>
      <c r="G520" s="432"/>
      <c r="H520" s="433"/>
    </row>
    <row r="521" spans="1:8" s="434" customFormat="1" ht="12">
      <c r="A521" s="756"/>
      <c r="B521" s="428" t="s">
        <v>42</v>
      </c>
      <c r="C521" s="429">
        <f>'Legenda místností'!D188</f>
        <v>222.04999999999998</v>
      </c>
      <c r="D521" s="450"/>
      <c r="E521" s="431">
        <f>C521</f>
        <v>222.04999999999998</v>
      </c>
      <c r="F521" s="432"/>
      <c r="G521" s="432"/>
      <c r="H521" s="433"/>
    </row>
    <row r="522" spans="1:8" s="204" customFormat="1" ht="12">
      <c r="A522" s="755"/>
      <c r="B522" s="404"/>
      <c r="C522" s="413" t="s">
        <v>39</v>
      </c>
      <c r="D522" s="406"/>
      <c r="E522" s="414">
        <f>SUM(E519:E521)</f>
        <v>442.56000000000006</v>
      </c>
      <c r="F522" s="208"/>
      <c r="G522" s="202"/>
      <c r="H522" s="203"/>
    </row>
    <row r="523" spans="1:8" ht="12.75">
      <c r="A523" s="754"/>
      <c r="B523" s="451"/>
      <c r="C523" s="452"/>
      <c r="D523" s="354"/>
      <c r="E523" s="349"/>
      <c r="F523" s="207"/>
      <c r="G523" s="23"/>
      <c r="H523" s="205"/>
    </row>
    <row r="524" spans="1:8" ht="25.5">
      <c r="A524" s="754">
        <v>3</v>
      </c>
      <c r="B524" s="352" t="s">
        <v>1078</v>
      </c>
      <c r="C524" s="353" t="s">
        <v>1077</v>
      </c>
      <c r="D524" s="398" t="s">
        <v>1076</v>
      </c>
      <c r="E524" s="399" t="s">
        <v>40</v>
      </c>
      <c r="F524" s="210">
        <f>E529</f>
        <v>3572.603100000001</v>
      </c>
      <c r="G524" s="23"/>
      <c r="H524" s="205">
        <f>F524*G524</f>
        <v>0</v>
      </c>
    </row>
    <row r="525" spans="1:8" s="204" customFormat="1" ht="12">
      <c r="A525" s="755"/>
      <c r="B525" s="453"/>
      <c r="C525" s="429" t="s">
        <v>292</v>
      </c>
      <c r="D525" s="402"/>
      <c r="E525" s="445"/>
      <c r="F525" s="208"/>
      <c r="G525" s="202"/>
      <c r="H525" s="203"/>
    </row>
    <row r="526" spans="1:8" s="434" customFormat="1" ht="12">
      <c r="A526" s="756"/>
      <c r="B526" s="428" t="s">
        <v>52</v>
      </c>
      <c r="C526" s="429">
        <f>'Legenda místností'!T17</f>
        <v>637.6800000000001</v>
      </c>
      <c r="D526" s="450"/>
      <c r="E526" s="431">
        <f>C526</f>
        <v>637.6800000000001</v>
      </c>
      <c r="F526" s="432"/>
      <c r="G526" s="432"/>
      <c r="H526" s="433"/>
    </row>
    <row r="527" spans="1:8" s="434" customFormat="1" ht="12">
      <c r="A527" s="756"/>
      <c r="B527" s="428" t="s">
        <v>43</v>
      </c>
      <c r="C527" s="429">
        <f>'Legenda místností'!N89</f>
        <v>1501.8366000000003</v>
      </c>
      <c r="D527" s="450"/>
      <c r="E527" s="431">
        <f>C527</f>
        <v>1501.8366000000003</v>
      </c>
      <c r="F527" s="432"/>
      <c r="G527" s="432"/>
      <c r="H527" s="433"/>
    </row>
    <row r="528" spans="1:8" s="434" customFormat="1" ht="12">
      <c r="A528" s="756"/>
      <c r="B528" s="428" t="s">
        <v>42</v>
      </c>
      <c r="C528" s="429">
        <f>'Legenda místností'!N186</f>
        <v>1433.0865000000006</v>
      </c>
      <c r="D528" s="450"/>
      <c r="E528" s="431">
        <f>C528</f>
        <v>1433.0865000000006</v>
      </c>
      <c r="F528" s="432"/>
      <c r="G528" s="432"/>
      <c r="H528" s="433"/>
    </row>
    <row r="529" spans="1:8" s="204" customFormat="1" ht="12">
      <c r="A529" s="755"/>
      <c r="B529" s="404"/>
      <c r="C529" s="413" t="s">
        <v>39</v>
      </c>
      <c r="D529" s="406"/>
      <c r="E529" s="414">
        <f>SUM(E525:E528)</f>
        <v>3572.603100000001</v>
      </c>
      <c r="F529" s="208"/>
      <c r="G529" s="202"/>
      <c r="H529" s="203"/>
    </row>
    <row r="530" spans="1:8" ht="12.75">
      <c r="A530" s="754"/>
      <c r="B530" s="451"/>
      <c r="C530" s="452"/>
      <c r="D530" s="354"/>
      <c r="E530" s="349"/>
      <c r="F530" s="207"/>
      <c r="G530" s="23"/>
      <c r="H530" s="205"/>
    </row>
    <row r="531" spans="1:8" ht="25.5">
      <c r="A531" s="754">
        <v>4</v>
      </c>
      <c r="B531" s="352" t="s">
        <v>1079</v>
      </c>
      <c r="C531" s="353" t="s">
        <v>1081</v>
      </c>
      <c r="D531" s="398" t="s">
        <v>1082</v>
      </c>
      <c r="E531" s="399" t="s">
        <v>40</v>
      </c>
      <c r="F531" s="210">
        <f>E536</f>
        <v>2390.55014</v>
      </c>
      <c r="G531" s="23"/>
      <c r="H531" s="205">
        <f>F531*G531</f>
        <v>0</v>
      </c>
    </row>
    <row r="532" spans="1:8" s="204" customFormat="1" ht="12">
      <c r="A532" s="755"/>
      <c r="B532" s="453"/>
      <c r="C532" s="429" t="s">
        <v>292</v>
      </c>
      <c r="D532" s="402"/>
      <c r="E532" s="445"/>
      <c r="F532" s="208"/>
      <c r="G532" s="202"/>
      <c r="H532" s="203"/>
    </row>
    <row r="533" spans="1:8" s="204" customFormat="1" ht="12">
      <c r="A533" s="755"/>
      <c r="B533" s="428" t="s">
        <v>52</v>
      </c>
      <c r="C533" s="429">
        <f>'Legenda místností'!Q6</f>
        <v>99.554</v>
      </c>
      <c r="D533" s="402"/>
      <c r="E533" s="403">
        <f>C533</f>
        <v>99.554</v>
      </c>
      <c r="F533" s="208"/>
      <c r="G533" s="202"/>
      <c r="H533" s="203"/>
    </row>
    <row r="534" spans="1:8" s="434" customFormat="1" ht="12">
      <c r="A534" s="756"/>
      <c r="B534" s="428" t="s">
        <v>43</v>
      </c>
      <c r="C534" s="429">
        <f>'Legenda místností'!O89</f>
        <v>772.8108999999997</v>
      </c>
      <c r="D534" s="450"/>
      <c r="E534" s="431">
        <f>C534</f>
        <v>772.8108999999997</v>
      </c>
      <c r="F534" s="432"/>
      <c r="G534" s="432"/>
      <c r="H534" s="433"/>
    </row>
    <row r="535" spans="1:8" s="434" customFormat="1" ht="12">
      <c r="A535" s="756"/>
      <c r="B535" s="428" t="s">
        <v>42</v>
      </c>
      <c r="C535" s="429">
        <f>'Legenda místností'!O186</f>
        <v>1518.18524</v>
      </c>
      <c r="D535" s="450"/>
      <c r="E535" s="431">
        <f>C535</f>
        <v>1518.18524</v>
      </c>
      <c r="F535" s="432"/>
      <c r="G535" s="432"/>
      <c r="H535" s="433"/>
    </row>
    <row r="536" spans="1:8" s="204" customFormat="1" ht="12">
      <c r="A536" s="755"/>
      <c r="B536" s="404"/>
      <c r="C536" s="413" t="s">
        <v>39</v>
      </c>
      <c r="D536" s="406"/>
      <c r="E536" s="414">
        <f>SUM(E533:E535)</f>
        <v>2390.55014</v>
      </c>
      <c r="F536" s="208"/>
      <c r="G536" s="202"/>
      <c r="H536" s="203"/>
    </row>
    <row r="537" spans="1:8" ht="12.75">
      <c r="A537" s="754"/>
      <c r="B537" s="451"/>
      <c r="C537" s="452"/>
      <c r="D537" s="354"/>
      <c r="E537" s="349"/>
      <c r="F537" s="207"/>
      <c r="G537" s="23"/>
      <c r="H537" s="205"/>
    </row>
    <row r="538" spans="1:8" ht="24">
      <c r="A538" s="754">
        <v>5</v>
      </c>
      <c r="B538" s="352" t="s">
        <v>1083</v>
      </c>
      <c r="C538" s="353" t="s">
        <v>1479</v>
      </c>
      <c r="D538" s="398" t="s">
        <v>1082</v>
      </c>
      <c r="E538" s="399" t="s">
        <v>45</v>
      </c>
      <c r="F538" s="210">
        <f>E540</f>
        <v>1</v>
      </c>
      <c r="G538" s="23"/>
      <c r="H538" s="205">
        <f>F538*G538</f>
        <v>0</v>
      </c>
    </row>
    <row r="539" spans="1:8" s="434" customFormat="1" ht="12">
      <c r="A539" s="756"/>
      <c r="B539" s="428"/>
      <c r="C539" s="429">
        <v>1</v>
      </c>
      <c r="D539" s="450"/>
      <c r="E539" s="431">
        <f>C539</f>
        <v>1</v>
      </c>
      <c r="F539" s="432"/>
      <c r="G539" s="432"/>
      <c r="H539" s="433"/>
    </row>
    <row r="540" spans="1:8" s="204" customFormat="1" ht="12">
      <c r="A540" s="755"/>
      <c r="B540" s="404"/>
      <c r="C540" s="413" t="s">
        <v>39</v>
      </c>
      <c r="D540" s="406"/>
      <c r="E540" s="414">
        <f>SUM(E539:E539)</f>
        <v>1</v>
      </c>
      <c r="F540" s="208"/>
      <c r="G540" s="202"/>
      <c r="H540" s="203"/>
    </row>
    <row r="541" spans="1:8" ht="12.75">
      <c r="A541" s="754"/>
      <c r="B541" s="451"/>
      <c r="C541" s="452"/>
      <c r="D541" s="354"/>
      <c r="E541" s="349"/>
      <c r="F541" s="207"/>
      <c r="G541" s="23"/>
      <c r="H541" s="205"/>
    </row>
    <row r="542" spans="1:8" ht="12.75">
      <c r="A542" s="754">
        <v>6</v>
      </c>
      <c r="B542" s="352" t="s">
        <v>1478</v>
      </c>
      <c r="C542" s="353" t="s">
        <v>1084</v>
      </c>
      <c r="D542" s="398" t="s">
        <v>1085</v>
      </c>
      <c r="E542" s="399" t="s">
        <v>40</v>
      </c>
      <c r="F542" s="210">
        <f>E546</f>
        <v>1006.684</v>
      </c>
      <c r="G542" s="23"/>
      <c r="H542" s="205">
        <f>F542*G542</f>
        <v>0</v>
      </c>
    </row>
    <row r="543" spans="1:8" s="204" customFormat="1" ht="12">
      <c r="A543" s="755"/>
      <c r="B543" s="453"/>
      <c r="C543" s="429" t="s">
        <v>292</v>
      </c>
      <c r="D543" s="402"/>
      <c r="E543" s="445"/>
      <c r="F543" s="208"/>
      <c r="G543" s="202"/>
      <c r="H543" s="203"/>
    </row>
    <row r="544" spans="1:8" s="434" customFormat="1" ht="12">
      <c r="A544" s="756"/>
      <c r="B544" s="428" t="s">
        <v>43</v>
      </c>
      <c r="C544" s="429">
        <f>'Legenda místností'!Q89+'Legenda místností'!P89</f>
        <v>553.829</v>
      </c>
      <c r="D544" s="450"/>
      <c r="E544" s="431">
        <f>C544</f>
        <v>553.829</v>
      </c>
      <c r="F544" s="432"/>
      <c r="G544" s="432"/>
      <c r="H544" s="433"/>
    </row>
    <row r="545" spans="1:8" s="434" customFormat="1" ht="12">
      <c r="A545" s="756"/>
      <c r="B545" s="428" t="s">
        <v>42</v>
      </c>
      <c r="C545" s="429">
        <f>'Legenda místností'!Q186+'Legenda místností'!P186</f>
        <v>452.855</v>
      </c>
      <c r="D545" s="450"/>
      <c r="E545" s="431">
        <f>C545</f>
        <v>452.855</v>
      </c>
      <c r="F545" s="432"/>
      <c r="G545" s="432"/>
      <c r="H545" s="433"/>
    </row>
    <row r="546" spans="1:8" s="204" customFormat="1" ht="12">
      <c r="A546" s="755"/>
      <c r="B546" s="404"/>
      <c r="C546" s="413" t="s">
        <v>39</v>
      </c>
      <c r="D546" s="406"/>
      <c r="E546" s="414">
        <f>SUM(E544:E545)</f>
        <v>1006.684</v>
      </c>
      <c r="F546" s="208"/>
      <c r="G546" s="202"/>
      <c r="H546" s="203"/>
    </row>
    <row r="547" spans="1:8" ht="12.75">
      <c r="A547" s="754"/>
      <c r="B547" s="451"/>
      <c r="C547" s="452"/>
      <c r="D547" s="354"/>
      <c r="E547" s="349"/>
      <c r="F547" s="207"/>
      <c r="G547" s="23"/>
      <c r="H547" s="205"/>
    </row>
    <row r="548" spans="1:8" ht="12.75">
      <c r="A548" s="754"/>
      <c r="B548" s="454"/>
      <c r="C548" s="395" t="s">
        <v>1306</v>
      </c>
      <c r="D548" s="354"/>
      <c r="E548" s="349"/>
      <c r="F548" s="207"/>
      <c r="G548" s="23"/>
      <c r="H548" s="397">
        <f>SUM(H549:H552)</f>
        <v>0</v>
      </c>
    </row>
    <row r="549" spans="1:8" ht="48.75" customHeight="1">
      <c r="A549" s="754">
        <v>1</v>
      </c>
      <c r="B549" s="455" t="s">
        <v>1088</v>
      </c>
      <c r="C549" s="353" t="s">
        <v>1093</v>
      </c>
      <c r="D549" s="398" t="s">
        <v>1089</v>
      </c>
      <c r="E549" s="349" t="s">
        <v>45</v>
      </c>
      <c r="F549" s="424">
        <f>E551</f>
        <v>1</v>
      </c>
      <c r="G549" s="23"/>
      <c r="H549" s="205">
        <f>F549*G549</f>
        <v>0</v>
      </c>
    </row>
    <row r="550" spans="1:8" s="204" customFormat="1" ht="12">
      <c r="A550" s="755"/>
      <c r="B550" s="456"/>
      <c r="C550" s="401">
        <v>1</v>
      </c>
      <c r="D550" s="402"/>
      <c r="E550" s="403">
        <f>C550</f>
        <v>1</v>
      </c>
      <c r="F550" s="412"/>
      <c r="G550" s="202"/>
      <c r="H550" s="203"/>
    </row>
    <row r="551" spans="1:8" s="204" customFormat="1" ht="12">
      <c r="A551" s="755"/>
      <c r="B551" s="404"/>
      <c r="C551" s="405" t="s">
        <v>39</v>
      </c>
      <c r="D551" s="406"/>
      <c r="E551" s="407">
        <f>SUM(E550:E550)</f>
        <v>1</v>
      </c>
      <c r="F551" s="208"/>
      <c r="G551" s="202"/>
      <c r="H551" s="203"/>
    </row>
    <row r="552" spans="1:8" ht="12.75">
      <c r="A552" s="754"/>
      <c r="B552" s="351"/>
      <c r="C552" s="355"/>
      <c r="D552" s="356"/>
      <c r="E552" s="350"/>
      <c r="F552" s="207"/>
      <c r="G552" s="23"/>
      <c r="H552" s="205"/>
    </row>
    <row r="553" spans="1:8" ht="12.75">
      <c r="A553" s="754"/>
      <c r="B553" s="454"/>
      <c r="C553" s="395" t="s">
        <v>1307</v>
      </c>
      <c r="D553" s="354"/>
      <c r="E553" s="349"/>
      <c r="F553" s="207"/>
      <c r="G553" s="23"/>
      <c r="H553" s="397">
        <f>SUM(H554:H574)</f>
        <v>0</v>
      </c>
    </row>
    <row r="554" spans="1:8" ht="12.75">
      <c r="A554" s="754">
        <v>1</v>
      </c>
      <c r="B554" s="352" t="s">
        <v>333</v>
      </c>
      <c r="C554" s="353" t="s">
        <v>334</v>
      </c>
      <c r="D554" s="398" t="s">
        <v>335</v>
      </c>
      <c r="E554" s="399" t="s">
        <v>40</v>
      </c>
      <c r="F554" s="210">
        <f>E557</f>
        <v>211.423</v>
      </c>
      <c r="G554" s="23"/>
      <c r="H554" s="205">
        <f>F554*G554</f>
        <v>0</v>
      </c>
    </row>
    <row r="555" spans="1:8" s="204" customFormat="1" ht="12">
      <c r="A555" s="755"/>
      <c r="B555" s="453"/>
      <c r="C555" s="429" t="s">
        <v>292</v>
      </c>
      <c r="D555" s="402"/>
      <c r="E555" s="445"/>
      <c r="F555" s="208"/>
      <c r="G555" s="202"/>
      <c r="H555" s="203"/>
    </row>
    <row r="556" spans="1:8" s="434" customFormat="1" ht="12">
      <c r="A556" s="756"/>
      <c r="B556" s="428" t="s">
        <v>52</v>
      </c>
      <c r="C556" s="429">
        <f>'Legenda místností'!D17</f>
        <v>211.423</v>
      </c>
      <c r="D556" s="430"/>
      <c r="E556" s="431">
        <f>C556</f>
        <v>211.423</v>
      </c>
      <c r="F556" s="432"/>
      <c r="G556" s="432"/>
      <c r="H556" s="433"/>
    </row>
    <row r="557" spans="1:8" s="204" customFormat="1" ht="12">
      <c r="A557" s="755"/>
      <c r="B557" s="404"/>
      <c r="C557" s="413" t="s">
        <v>39</v>
      </c>
      <c r="D557" s="406"/>
      <c r="E557" s="414">
        <f>SUM(E555:E556)</f>
        <v>211.423</v>
      </c>
      <c r="F557" s="208"/>
      <c r="G557" s="202"/>
      <c r="H557" s="203"/>
    </row>
    <row r="558" spans="1:8" ht="12.75">
      <c r="A558" s="754"/>
      <c r="B558" s="451"/>
      <c r="C558" s="452"/>
      <c r="D558" s="354"/>
      <c r="E558" s="349"/>
      <c r="F558" s="207"/>
      <c r="G558" s="23"/>
      <c r="H558" s="205"/>
    </row>
    <row r="559" spans="1:8" ht="25.5">
      <c r="A559" s="754">
        <v>2</v>
      </c>
      <c r="B559" s="352" t="s">
        <v>336</v>
      </c>
      <c r="C559" s="353" t="s">
        <v>1094</v>
      </c>
      <c r="D559" s="398" t="s">
        <v>337</v>
      </c>
      <c r="E559" s="399" t="s">
        <v>45</v>
      </c>
      <c r="F559" s="210">
        <f>E561</f>
        <v>1</v>
      </c>
      <c r="G559" s="23"/>
      <c r="H559" s="205">
        <f>F559*G559</f>
        <v>0</v>
      </c>
    </row>
    <row r="560" spans="1:8" s="434" customFormat="1" ht="12">
      <c r="A560" s="756"/>
      <c r="B560" s="428"/>
      <c r="C560" s="429">
        <v>1</v>
      </c>
      <c r="D560" s="430"/>
      <c r="E560" s="431">
        <f>C560</f>
        <v>1</v>
      </c>
      <c r="F560" s="432"/>
      <c r="G560" s="432"/>
      <c r="H560" s="433"/>
    </row>
    <row r="561" spans="1:8" s="204" customFormat="1" ht="12">
      <c r="A561" s="755"/>
      <c r="B561" s="404"/>
      <c r="C561" s="413" t="s">
        <v>39</v>
      </c>
      <c r="D561" s="406"/>
      <c r="E561" s="414">
        <f>SUM(E560:E560)</f>
        <v>1</v>
      </c>
      <c r="F561" s="208"/>
      <c r="G561" s="202"/>
      <c r="H561" s="203"/>
    </row>
    <row r="562" spans="1:8" ht="12.75">
      <c r="A562" s="754"/>
      <c r="B562" s="451"/>
      <c r="C562" s="452"/>
      <c r="D562" s="354"/>
      <c r="E562" s="349"/>
      <c r="F562" s="207"/>
      <c r="G562" s="23"/>
      <c r="H562" s="205"/>
    </row>
    <row r="563" spans="1:8" ht="25.5">
      <c r="A563" s="754">
        <v>3</v>
      </c>
      <c r="B563" s="352" t="s">
        <v>1038</v>
      </c>
      <c r="C563" s="353" t="s">
        <v>1039</v>
      </c>
      <c r="D563" s="398" t="s">
        <v>18</v>
      </c>
      <c r="E563" s="399" t="s">
        <v>40</v>
      </c>
      <c r="F563" s="210">
        <f>E567</f>
        <v>932.2900000000002</v>
      </c>
      <c r="G563" s="23"/>
      <c r="H563" s="205">
        <f>F563*G563</f>
        <v>0</v>
      </c>
    </row>
    <row r="564" spans="1:8" s="204" customFormat="1" ht="26.25" customHeight="1">
      <c r="A564" s="755"/>
      <c r="B564" s="428" t="s">
        <v>976</v>
      </c>
      <c r="C564" s="429">
        <f>'Legenda místností'!D17-'Legenda místností'!D16</f>
        <v>190.51</v>
      </c>
      <c r="D564" s="430"/>
      <c r="E564" s="403">
        <v>190.51</v>
      </c>
      <c r="F564" s="457"/>
      <c r="G564" s="458"/>
      <c r="H564" s="459"/>
    </row>
    <row r="565" spans="1:8" s="204" customFormat="1" ht="27.75" customHeight="1">
      <c r="A565" s="755"/>
      <c r="B565" s="428" t="s">
        <v>977</v>
      </c>
      <c r="C565" s="429">
        <f>'Legenda místností'!D186</f>
        <v>960.83</v>
      </c>
      <c r="D565" s="430"/>
      <c r="E565" s="403">
        <v>963.83</v>
      </c>
      <c r="F565" s="457"/>
      <c r="G565" s="458"/>
      <c r="H565" s="459"/>
    </row>
    <row r="566" spans="1:8" s="204" customFormat="1" ht="37.5" customHeight="1">
      <c r="A566" s="755"/>
      <c r="B566" s="428" t="s">
        <v>978</v>
      </c>
      <c r="C566" s="429">
        <f>'Legenda místností'!D188</f>
        <v>222.04999999999998</v>
      </c>
      <c r="D566" s="430"/>
      <c r="E566" s="403">
        <v>-222.04999999999998</v>
      </c>
      <c r="F566" s="457"/>
      <c r="G566" s="458"/>
      <c r="H566" s="459"/>
    </row>
    <row r="567" spans="1:8" s="204" customFormat="1" ht="12">
      <c r="A567" s="755"/>
      <c r="B567" s="404"/>
      <c r="C567" s="413" t="s">
        <v>39</v>
      </c>
      <c r="D567" s="406"/>
      <c r="E567" s="414">
        <f>SUM(E564:E566)</f>
        <v>932.2900000000002</v>
      </c>
      <c r="F567" s="208"/>
      <c r="G567" s="202"/>
      <c r="H567" s="203"/>
    </row>
    <row r="568" spans="1:8" ht="12.75">
      <c r="A568" s="754"/>
      <c r="B568" s="451"/>
      <c r="C568" s="452"/>
      <c r="D568" s="354"/>
      <c r="E568" s="349"/>
      <c r="F568" s="207"/>
      <c r="G568" s="23"/>
      <c r="H568" s="205"/>
    </row>
    <row r="569" spans="1:8" ht="12.75">
      <c r="A569" s="754">
        <v>4</v>
      </c>
      <c r="B569" s="352" t="s">
        <v>1269</v>
      </c>
      <c r="C569" s="357" t="s">
        <v>1270</v>
      </c>
      <c r="D569" s="398" t="s">
        <v>1272</v>
      </c>
      <c r="E569" s="399" t="s">
        <v>40</v>
      </c>
      <c r="F569" s="210">
        <f>E572</f>
        <v>824.0599999999997</v>
      </c>
      <c r="G569" s="23"/>
      <c r="H569" s="205">
        <f>F569*G569</f>
        <v>0</v>
      </c>
    </row>
    <row r="570" spans="1:8" s="434" customFormat="1" ht="12">
      <c r="A570" s="756"/>
      <c r="B570" s="428"/>
      <c r="C570" s="429" t="s">
        <v>292</v>
      </c>
      <c r="D570" s="430"/>
      <c r="E570" s="431"/>
      <c r="F570" s="432"/>
      <c r="G570" s="432"/>
      <c r="H570" s="433"/>
    </row>
    <row r="571" spans="1:8" s="434" customFormat="1" ht="12">
      <c r="A571" s="756"/>
      <c r="B571" s="428" t="s">
        <v>43</v>
      </c>
      <c r="C571" s="429">
        <f>'Legenda místností'!D89</f>
        <v>824.0599999999997</v>
      </c>
      <c r="D571" s="430"/>
      <c r="E571" s="431">
        <f>C571</f>
        <v>824.0599999999997</v>
      </c>
      <c r="F571" s="432"/>
      <c r="G571" s="432"/>
      <c r="H571" s="433"/>
    </row>
    <row r="572" spans="1:8" s="204" customFormat="1" ht="12">
      <c r="A572" s="755"/>
      <c r="B572" s="404"/>
      <c r="C572" s="405" t="s">
        <v>39</v>
      </c>
      <c r="D572" s="406"/>
      <c r="E572" s="407">
        <f>SUM(E570:E571)</f>
        <v>824.0599999999997</v>
      </c>
      <c r="F572" s="208"/>
      <c r="G572" s="202"/>
      <c r="H572" s="203"/>
    </row>
    <row r="573" spans="1:8" s="204" customFormat="1" ht="12">
      <c r="A573" s="755"/>
      <c r="B573" s="460"/>
      <c r="C573" s="425"/>
      <c r="D573" s="461"/>
      <c r="E573" s="462"/>
      <c r="F573" s="208"/>
      <c r="G573" s="202"/>
      <c r="H573" s="203"/>
    </row>
    <row r="574" spans="1:8" ht="12.75">
      <c r="A574" s="754">
        <v>5</v>
      </c>
      <c r="B574" s="352" t="s">
        <v>1269</v>
      </c>
      <c r="C574" s="357" t="s">
        <v>1271</v>
      </c>
      <c r="D574" s="398" t="s">
        <v>1272</v>
      </c>
      <c r="E574" s="399" t="s">
        <v>40</v>
      </c>
      <c r="F574" s="210">
        <f>E577</f>
        <v>960.83</v>
      </c>
      <c r="G574" s="23"/>
      <c r="H574" s="205">
        <f>F574*G574</f>
        <v>0</v>
      </c>
    </row>
    <row r="575" spans="1:8" s="434" customFormat="1" ht="12">
      <c r="A575" s="756"/>
      <c r="B575" s="428"/>
      <c r="C575" s="429" t="s">
        <v>292</v>
      </c>
      <c r="D575" s="430"/>
      <c r="E575" s="431"/>
      <c r="F575" s="432"/>
      <c r="G575" s="432"/>
      <c r="H575" s="433"/>
    </row>
    <row r="576" spans="1:8" s="434" customFormat="1" ht="12">
      <c r="A576" s="756"/>
      <c r="B576" s="428" t="s">
        <v>42</v>
      </c>
      <c r="C576" s="429">
        <f>'Legenda místností'!D186</f>
        <v>960.83</v>
      </c>
      <c r="D576" s="430"/>
      <c r="E576" s="431">
        <f>C576</f>
        <v>960.83</v>
      </c>
      <c r="F576" s="432"/>
      <c r="G576" s="432"/>
      <c r="H576" s="433"/>
    </row>
    <row r="577" spans="1:8" s="204" customFormat="1" ht="12">
      <c r="A577" s="755"/>
      <c r="B577" s="404"/>
      <c r="C577" s="405" t="s">
        <v>39</v>
      </c>
      <c r="D577" s="406"/>
      <c r="E577" s="407">
        <f>SUM(E575:E576)</f>
        <v>960.83</v>
      </c>
      <c r="F577" s="208"/>
      <c r="G577" s="202"/>
      <c r="H577" s="203"/>
    </row>
    <row r="578" spans="1:8" s="204" customFormat="1" ht="12">
      <c r="A578" s="755"/>
      <c r="B578" s="460"/>
      <c r="C578" s="425"/>
      <c r="D578" s="461"/>
      <c r="E578" s="462"/>
      <c r="F578" s="208"/>
      <c r="G578" s="202"/>
      <c r="H578" s="203"/>
    </row>
    <row r="579" spans="1:8" ht="12.75">
      <c r="A579" s="754"/>
      <c r="B579" s="454"/>
      <c r="C579" s="395" t="s">
        <v>1308</v>
      </c>
      <c r="D579" s="354"/>
      <c r="E579" s="349"/>
      <c r="F579" s="207"/>
      <c r="G579" s="23"/>
      <c r="H579" s="397">
        <f>SUM(H580:H583)</f>
        <v>0</v>
      </c>
    </row>
    <row r="580" spans="1:8" ht="24">
      <c r="A580" s="754">
        <v>1</v>
      </c>
      <c r="B580" s="455" t="s">
        <v>989</v>
      </c>
      <c r="C580" s="353" t="s">
        <v>990</v>
      </c>
      <c r="D580" s="423" t="s">
        <v>992</v>
      </c>
      <c r="E580" s="349" t="s">
        <v>44</v>
      </c>
      <c r="F580" s="424">
        <f>E582</f>
        <v>94</v>
      </c>
      <c r="G580" s="23"/>
      <c r="H580" s="205">
        <f>F580*G580</f>
        <v>0</v>
      </c>
    </row>
    <row r="581" spans="1:8" s="204" customFormat="1" ht="48">
      <c r="A581" s="755"/>
      <c r="B581" s="456" t="s">
        <v>993</v>
      </c>
      <c r="C581" s="401" t="s">
        <v>991</v>
      </c>
      <c r="D581" s="402"/>
      <c r="E581" s="403">
        <f>(48+26+16+4)</f>
        <v>94</v>
      </c>
      <c r="F581" s="412"/>
      <c r="G581" s="202"/>
      <c r="H581" s="203"/>
    </row>
    <row r="582" spans="1:8" s="204" customFormat="1" ht="12">
      <c r="A582" s="755"/>
      <c r="B582" s="404"/>
      <c r="C582" s="405" t="s">
        <v>39</v>
      </c>
      <c r="D582" s="406"/>
      <c r="E582" s="407">
        <f>SUM(E581:E581)</f>
        <v>94</v>
      </c>
      <c r="F582" s="208"/>
      <c r="G582" s="202"/>
      <c r="H582" s="203"/>
    </row>
    <row r="583" spans="1:8" s="204" customFormat="1" ht="12">
      <c r="A583" s="755"/>
      <c r="B583" s="404"/>
      <c r="C583" s="405"/>
      <c r="D583" s="406"/>
      <c r="E583" s="407"/>
      <c r="F583" s="208"/>
      <c r="G583" s="202"/>
      <c r="H583" s="203"/>
    </row>
    <row r="584" spans="1:8" ht="12.75">
      <c r="A584" s="754"/>
      <c r="B584" s="463"/>
      <c r="C584" s="395" t="s">
        <v>1428</v>
      </c>
      <c r="D584" s="354"/>
      <c r="E584" s="349"/>
      <c r="F584" s="207"/>
      <c r="G584" s="23"/>
      <c r="H584" s="397">
        <f>SUM(H585:H715)</f>
        <v>0</v>
      </c>
    </row>
    <row r="585" spans="1:8" ht="12.75">
      <c r="A585" s="754">
        <v>1</v>
      </c>
      <c r="B585" s="464" t="s">
        <v>1276</v>
      </c>
      <c r="C585" s="465" t="s">
        <v>46</v>
      </c>
      <c r="D585" s="398" t="s">
        <v>1274</v>
      </c>
      <c r="E585" s="466" t="s">
        <v>45</v>
      </c>
      <c r="F585" s="424">
        <f>E587</f>
        <v>1</v>
      </c>
      <c r="G585" s="23"/>
      <c r="H585" s="205">
        <f>F585*G585</f>
        <v>0</v>
      </c>
    </row>
    <row r="586" spans="1:8" s="204" customFormat="1" ht="12">
      <c r="A586" s="755"/>
      <c r="B586" s="467"/>
      <c r="C586" s="468">
        <v>1</v>
      </c>
      <c r="D586" s="461"/>
      <c r="E586" s="469">
        <f>C586</f>
        <v>1</v>
      </c>
      <c r="F586" s="208"/>
      <c r="G586" s="202"/>
      <c r="H586" s="203"/>
    </row>
    <row r="587" spans="1:8" s="204" customFormat="1" ht="12">
      <c r="A587" s="755"/>
      <c r="B587" s="470"/>
      <c r="C587" s="405" t="s">
        <v>39</v>
      </c>
      <c r="D587" s="406"/>
      <c r="E587" s="407">
        <f>SUM(E586:E586)</f>
        <v>1</v>
      </c>
      <c r="F587" s="208"/>
      <c r="G587" s="202"/>
      <c r="H587" s="203"/>
    </row>
    <row r="588" spans="1:8" ht="12.75">
      <c r="A588" s="754"/>
      <c r="B588" s="471"/>
      <c r="C588" s="465"/>
      <c r="D588" s="354"/>
      <c r="E588" s="466"/>
      <c r="F588" s="207"/>
      <c r="G588" s="23"/>
      <c r="H588" s="205"/>
    </row>
    <row r="589" spans="1:8" ht="12.75">
      <c r="A589" s="754">
        <v>2</v>
      </c>
      <c r="B589" s="464" t="s">
        <v>1277</v>
      </c>
      <c r="C589" s="465" t="s">
        <v>1273</v>
      </c>
      <c r="D589" s="354"/>
      <c r="E589" s="466" t="s">
        <v>45</v>
      </c>
      <c r="F589" s="424">
        <f>E591</f>
        <v>1</v>
      </c>
      <c r="G589" s="23"/>
      <c r="H589" s="205">
        <f>F589*G589</f>
        <v>0</v>
      </c>
    </row>
    <row r="590" spans="1:8" s="204" customFormat="1" ht="12">
      <c r="A590" s="755"/>
      <c r="B590" s="467"/>
      <c r="C590" s="468">
        <v>1</v>
      </c>
      <c r="D590" s="461"/>
      <c r="E590" s="469">
        <f>C590</f>
        <v>1</v>
      </c>
      <c r="F590" s="208"/>
      <c r="G590" s="202"/>
      <c r="H590" s="203"/>
    </row>
    <row r="591" spans="1:8" s="204" customFormat="1" ht="12">
      <c r="A591" s="755"/>
      <c r="B591" s="472"/>
      <c r="C591" s="405" t="s">
        <v>39</v>
      </c>
      <c r="D591" s="406"/>
      <c r="E591" s="407">
        <f>E590</f>
        <v>1</v>
      </c>
      <c r="F591" s="208"/>
      <c r="G591" s="202"/>
      <c r="H591" s="203"/>
    </row>
    <row r="592" spans="1:8" ht="12.75">
      <c r="A592" s="754"/>
      <c r="B592" s="471"/>
      <c r="C592" s="465"/>
      <c r="D592" s="354"/>
      <c r="E592" s="466"/>
      <c r="F592" s="207"/>
      <c r="G592" s="23"/>
      <c r="H592" s="205"/>
    </row>
    <row r="593" spans="1:8" ht="12.75">
      <c r="A593" s="754">
        <v>3</v>
      </c>
      <c r="B593" s="464" t="s">
        <v>1277</v>
      </c>
      <c r="C593" s="465" t="s">
        <v>47</v>
      </c>
      <c r="D593" s="354"/>
      <c r="E593" s="466" t="s">
        <v>45</v>
      </c>
      <c r="F593" s="424">
        <f>E595</f>
        <v>1</v>
      </c>
      <c r="G593" s="23"/>
      <c r="H593" s="205">
        <f>F593*G593</f>
        <v>0</v>
      </c>
    </row>
    <row r="594" spans="1:8" s="204" customFormat="1" ht="12">
      <c r="A594" s="755"/>
      <c r="B594" s="467"/>
      <c r="C594" s="468">
        <v>1</v>
      </c>
      <c r="D594" s="461"/>
      <c r="E594" s="469">
        <f>C594</f>
        <v>1</v>
      </c>
      <c r="F594" s="208"/>
      <c r="G594" s="202"/>
      <c r="H594" s="203"/>
    </row>
    <row r="595" spans="1:8" s="204" customFormat="1" ht="12">
      <c r="A595" s="755"/>
      <c r="B595" s="472"/>
      <c r="C595" s="405" t="s">
        <v>39</v>
      </c>
      <c r="D595" s="406"/>
      <c r="E595" s="407">
        <f>E594</f>
        <v>1</v>
      </c>
      <c r="F595" s="208"/>
      <c r="G595" s="202"/>
      <c r="H595" s="203"/>
    </row>
    <row r="596" spans="1:8" ht="12.75">
      <c r="A596" s="754"/>
      <c r="B596" s="471"/>
      <c r="C596" s="465"/>
      <c r="D596" s="354"/>
      <c r="E596" s="466"/>
      <c r="F596" s="207"/>
      <c r="G596" s="23"/>
      <c r="H596" s="205"/>
    </row>
    <row r="597" spans="1:8" ht="12.75">
      <c r="A597" s="754">
        <v>4</v>
      </c>
      <c r="B597" s="464" t="s">
        <v>1277</v>
      </c>
      <c r="C597" s="465" t="s">
        <v>48</v>
      </c>
      <c r="D597" s="398" t="s">
        <v>1275</v>
      </c>
      <c r="E597" s="466" t="s">
        <v>45</v>
      </c>
      <c r="F597" s="424">
        <f>E599</f>
        <v>1</v>
      </c>
      <c r="G597" s="23"/>
      <c r="H597" s="205">
        <f>F597*G597</f>
        <v>0</v>
      </c>
    </row>
    <row r="598" spans="1:8" s="204" customFormat="1" ht="13.5" customHeight="1">
      <c r="A598" s="755"/>
      <c r="B598" s="473"/>
      <c r="C598" s="474">
        <v>1</v>
      </c>
      <c r="D598" s="461"/>
      <c r="E598" s="403">
        <f>C598</f>
        <v>1</v>
      </c>
      <c r="F598" s="208"/>
      <c r="G598" s="202"/>
      <c r="H598" s="203"/>
    </row>
    <row r="599" spans="1:8" s="204" customFormat="1" ht="15.75" customHeight="1">
      <c r="A599" s="755"/>
      <c r="B599" s="473"/>
      <c r="C599" s="405" t="s">
        <v>39</v>
      </c>
      <c r="D599" s="406"/>
      <c r="E599" s="407">
        <f>SUM(E598:E598)</f>
        <v>1</v>
      </c>
      <c r="F599" s="208"/>
      <c r="G599" s="202"/>
      <c r="H599" s="203"/>
    </row>
    <row r="600" spans="1:8" ht="15.75" customHeight="1">
      <c r="A600" s="754"/>
      <c r="B600" s="441"/>
      <c r="C600" s="475"/>
      <c r="D600" s="354"/>
      <c r="E600" s="476"/>
      <c r="F600" s="207"/>
      <c r="G600" s="23"/>
      <c r="H600" s="205"/>
    </row>
    <row r="601" spans="1:8" ht="12.75">
      <c r="A601" s="754">
        <v>5</v>
      </c>
      <c r="B601" s="421" t="s">
        <v>63</v>
      </c>
      <c r="C601" s="422" t="s">
        <v>5</v>
      </c>
      <c r="D601" s="354"/>
      <c r="E601" s="466" t="s">
        <v>40</v>
      </c>
      <c r="F601" s="424">
        <f>E606</f>
        <v>1996.3129999999996</v>
      </c>
      <c r="G601" s="23"/>
      <c r="H601" s="205">
        <f>F601*G601</f>
        <v>0</v>
      </c>
    </row>
    <row r="602" spans="1:8" s="204" customFormat="1" ht="12">
      <c r="A602" s="755"/>
      <c r="B602" s="453"/>
      <c r="C602" s="429" t="s">
        <v>292</v>
      </c>
      <c r="D602" s="402"/>
      <c r="E602" s="445"/>
      <c r="F602" s="208"/>
      <c r="G602" s="202"/>
      <c r="H602" s="203"/>
    </row>
    <row r="603" spans="1:8" s="204" customFormat="1" ht="12">
      <c r="A603" s="755"/>
      <c r="B603" s="428" t="s">
        <v>52</v>
      </c>
      <c r="C603" s="429">
        <f>'Legenda místností'!D17</f>
        <v>211.423</v>
      </c>
      <c r="D603" s="402"/>
      <c r="E603" s="411">
        <f>C603</f>
        <v>211.423</v>
      </c>
      <c r="F603" s="208"/>
      <c r="G603" s="202"/>
      <c r="H603" s="203"/>
    </row>
    <row r="604" spans="1:8" s="204" customFormat="1" ht="12">
      <c r="A604" s="755"/>
      <c r="B604" s="428" t="s">
        <v>43</v>
      </c>
      <c r="C604" s="429">
        <f>'Legenda místností'!D89</f>
        <v>824.0599999999997</v>
      </c>
      <c r="D604" s="402"/>
      <c r="E604" s="411">
        <f>C604</f>
        <v>824.0599999999997</v>
      </c>
      <c r="F604" s="208"/>
      <c r="G604" s="202"/>
      <c r="H604" s="203"/>
    </row>
    <row r="605" spans="1:8" s="204" customFormat="1" ht="12">
      <c r="A605" s="755"/>
      <c r="B605" s="428" t="s">
        <v>42</v>
      </c>
      <c r="C605" s="429">
        <f>'Legenda místností'!D186</f>
        <v>960.83</v>
      </c>
      <c r="D605" s="402"/>
      <c r="E605" s="411">
        <f>C605</f>
        <v>960.83</v>
      </c>
      <c r="F605" s="208"/>
      <c r="G605" s="202"/>
      <c r="H605" s="203"/>
    </row>
    <row r="606" spans="1:8" s="204" customFormat="1" ht="12">
      <c r="A606" s="755"/>
      <c r="B606" s="477"/>
      <c r="C606" s="413" t="s">
        <v>39</v>
      </c>
      <c r="D606" s="406"/>
      <c r="E606" s="414">
        <f>SUM(E603:E605)</f>
        <v>1996.3129999999996</v>
      </c>
      <c r="F606" s="208"/>
      <c r="G606" s="202"/>
      <c r="H606" s="203"/>
    </row>
    <row r="607" spans="1:8" ht="12.75">
      <c r="A607" s="754"/>
      <c r="B607" s="478"/>
      <c r="C607" s="355"/>
      <c r="D607" s="356"/>
      <c r="E607" s="350"/>
      <c r="F607" s="207"/>
      <c r="G607" s="23"/>
      <c r="H607" s="205"/>
    </row>
    <row r="608" spans="1:8" ht="38.25">
      <c r="A608" s="754">
        <v>6</v>
      </c>
      <c r="B608" s="455" t="s">
        <v>6</v>
      </c>
      <c r="C608" s="353" t="s">
        <v>1451</v>
      </c>
      <c r="D608" s="398" t="s">
        <v>342</v>
      </c>
      <c r="E608" s="399" t="s">
        <v>45</v>
      </c>
      <c r="F608" s="210">
        <f>E610</f>
        <v>1</v>
      </c>
      <c r="G608" s="23"/>
      <c r="H608" s="205">
        <f>F608*G608</f>
        <v>0</v>
      </c>
    </row>
    <row r="609" spans="1:8" s="204" customFormat="1" ht="12">
      <c r="A609" s="755"/>
      <c r="B609" s="408"/>
      <c r="C609" s="429">
        <v>1</v>
      </c>
      <c r="D609" s="479"/>
      <c r="E609" s="431">
        <f>C609</f>
        <v>1</v>
      </c>
      <c r="F609" s="480"/>
      <c r="G609" s="481"/>
      <c r="H609" s="482"/>
    </row>
    <row r="610" spans="1:8" s="204" customFormat="1" ht="12">
      <c r="A610" s="755"/>
      <c r="B610" s="483"/>
      <c r="C610" s="413" t="s">
        <v>39</v>
      </c>
      <c r="D610" s="484"/>
      <c r="E610" s="414">
        <f>SUM(E609)</f>
        <v>1</v>
      </c>
      <c r="F610" s="480"/>
      <c r="G610" s="481"/>
      <c r="H610" s="482"/>
    </row>
    <row r="611" spans="1:8" ht="12.75">
      <c r="A611" s="754"/>
      <c r="B611" s="463"/>
      <c r="C611" s="395"/>
      <c r="D611" s="354"/>
      <c r="E611" s="349"/>
      <c r="F611" s="207"/>
      <c r="G611" s="23"/>
      <c r="H611" s="205"/>
    </row>
    <row r="612" spans="1:8" ht="25.5">
      <c r="A612" s="754">
        <v>7</v>
      </c>
      <c r="B612" s="455" t="s">
        <v>7</v>
      </c>
      <c r="C612" s="353" t="s">
        <v>1450</v>
      </c>
      <c r="D612" s="398" t="s">
        <v>1456</v>
      </c>
      <c r="E612" s="399" t="s">
        <v>45</v>
      </c>
      <c r="F612" s="210">
        <f>E614</f>
        <v>1</v>
      </c>
      <c r="G612" s="23"/>
      <c r="H612" s="205">
        <f>F612*G612</f>
        <v>0</v>
      </c>
    </row>
    <row r="613" spans="1:8" s="204" customFormat="1" ht="12">
      <c r="A613" s="755"/>
      <c r="B613" s="437"/>
      <c r="C613" s="409">
        <v>1</v>
      </c>
      <c r="D613" s="402"/>
      <c r="E613" s="411">
        <f>C613</f>
        <v>1</v>
      </c>
      <c r="F613" s="208"/>
      <c r="G613" s="202"/>
      <c r="H613" s="203"/>
    </row>
    <row r="614" spans="1:8" s="204" customFormat="1" ht="12">
      <c r="A614" s="755"/>
      <c r="B614" s="404"/>
      <c r="C614" s="413" t="s">
        <v>39</v>
      </c>
      <c r="D614" s="406"/>
      <c r="E614" s="414">
        <f>SUM(E613:E613)</f>
        <v>1</v>
      </c>
      <c r="F614" s="208"/>
      <c r="G614" s="202"/>
      <c r="H614" s="203"/>
    </row>
    <row r="615" spans="1:8" s="204" customFormat="1" ht="12">
      <c r="A615" s="755"/>
      <c r="B615" s="485"/>
      <c r="C615" s="425"/>
      <c r="D615" s="410"/>
      <c r="E615" s="426"/>
      <c r="F615" s="412"/>
      <c r="G615" s="202"/>
      <c r="H615" s="203"/>
    </row>
    <row r="616" spans="1:8" ht="12.75">
      <c r="A616" s="754">
        <v>8</v>
      </c>
      <c r="B616" s="421" t="s">
        <v>8</v>
      </c>
      <c r="C616" s="422" t="s">
        <v>343</v>
      </c>
      <c r="D616" s="398" t="s">
        <v>342</v>
      </c>
      <c r="E616" s="399" t="s">
        <v>40</v>
      </c>
      <c r="F616" s="210">
        <f>E618</f>
        <v>6.412999999999999</v>
      </c>
      <c r="G616" s="23"/>
      <c r="H616" s="205">
        <f>F616*G616</f>
        <v>0</v>
      </c>
    </row>
    <row r="617" spans="1:8" s="204" customFormat="1" ht="24">
      <c r="A617" s="755"/>
      <c r="B617" s="408" t="s">
        <v>308</v>
      </c>
      <c r="C617" s="409" t="s">
        <v>344</v>
      </c>
      <c r="D617" s="402"/>
      <c r="E617" s="445">
        <f>(2.42*2.65)</f>
        <v>6.412999999999999</v>
      </c>
      <c r="F617" s="208"/>
      <c r="G617" s="202"/>
      <c r="H617" s="203"/>
    </row>
    <row r="618" spans="1:8" s="204" customFormat="1" ht="12">
      <c r="A618" s="755"/>
      <c r="B618" s="404"/>
      <c r="C618" s="413" t="s">
        <v>39</v>
      </c>
      <c r="D618" s="406"/>
      <c r="E618" s="414">
        <f>SUM(E617:E617)</f>
        <v>6.412999999999999</v>
      </c>
      <c r="F618" s="208"/>
      <c r="G618" s="202"/>
      <c r="H618" s="203"/>
    </row>
    <row r="619" spans="1:8" s="204" customFormat="1" ht="12">
      <c r="A619" s="755"/>
      <c r="B619" s="404"/>
      <c r="C619" s="413"/>
      <c r="D619" s="406"/>
      <c r="E619" s="414"/>
      <c r="F619" s="208"/>
      <c r="G619" s="202"/>
      <c r="H619" s="203"/>
    </row>
    <row r="620" spans="1:8" ht="12.75">
      <c r="A620" s="754">
        <v>9</v>
      </c>
      <c r="B620" s="421" t="s">
        <v>9</v>
      </c>
      <c r="C620" s="353" t="s">
        <v>384</v>
      </c>
      <c r="D620" s="398" t="s">
        <v>342</v>
      </c>
      <c r="E620" s="399" t="s">
        <v>40</v>
      </c>
      <c r="F620" s="210">
        <f>E622</f>
        <v>12.672469</v>
      </c>
      <c r="G620" s="23"/>
      <c r="H620" s="205">
        <f>F620*G620</f>
        <v>0</v>
      </c>
    </row>
    <row r="621" spans="1:8" s="204" customFormat="1" ht="24">
      <c r="A621" s="755"/>
      <c r="B621" s="415" t="s">
        <v>383</v>
      </c>
      <c r="C621" s="401" t="s">
        <v>385</v>
      </c>
      <c r="D621" s="479" t="s">
        <v>293</v>
      </c>
      <c r="E621" s="403">
        <f>(3.713*3.413)</f>
        <v>12.672469</v>
      </c>
      <c r="F621" s="208"/>
      <c r="G621" s="202"/>
      <c r="H621" s="203"/>
    </row>
    <row r="622" spans="1:8" s="204" customFormat="1" ht="12">
      <c r="A622" s="755"/>
      <c r="B622" s="404"/>
      <c r="C622" s="413" t="s">
        <v>39</v>
      </c>
      <c r="D622" s="406"/>
      <c r="E622" s="414">
        <f>E621</f>
        <v>12.672469</v>
      </c>
      <c r="F622" s="208"/>
      <c r="G622" s="202"/>
      <c r="H622" s="203"/>
    </row>
    <row r="623" spans="1:8" s="204" customFormat="1" ht="12">
      <c r="A623" s="755"/>
      <c r="B623" s="404"/>
      <c r="C623" s="413"/>
      <c r="D623" s="406"/>
      <c r="E623" s="414"/>
      <c r="F623" s="208"/>
      <c r="G623" s="202"/>
      <c r="H623" s="203"/>
    </row>
    <row r="624" spans="1:8" ht="12.75">
      <c r="A624" s="754">
        <v>10</v>
      </c>
      <c r="B624" s="421" t="s">
        <v>10</v>
      </c>
      <c r="C624" s="353" t="s">
        <v>399</v>
      </c>
      <c r="D624" s="398" t="s">
        <v>342</v>
      </c>
      <c r="E624" s="399" t="s">
        <v>40</v>
      </c>
      <c r="F624" s="210">
        <f>E626</f>
        <v>7.56</v>
      </c>
      <c r="G624" s="23"/>
      <c r="H624" s="205">
        <f>F624*G624</f>
        <v>0</v>
      </c>
    </row>
    <row r="625" spans="1:8" s="204" customFormat="1" ht="24">
      <c r="A625" s="755"/>
      <c r="B625" s="415" t="s">
        <v>400</v>
      </c>
      <c r="C625" s="401" t="s">
        <v>401</v>
      </c>
      <c r="D625" s="479" t="s">
        <v>293</v>
      </c>
      <c r="E625" s="403">
        <f>(2.7*2.8)</f>
        <v>7.56</v>
      </c>
      <c r="F625" s="208"/>
      <c r="G625" s="202"/>
      <c r="H625" s="203"/>
    </row>
    <row r="626" spans="1:8" s="204" customFormat="1" ht="12">
      <c r="A626" s="755"/>
      <c r="B626" s="404"/>
      <c r="C626" s="413" t="s">
        <v>39</v>
      </c>
      <c r="D626" s="406"/>
      <c r="E626" s="414">
        <f>E625</f>
        <v>7.56</v>
      </c>
      <c r="F626" s="208"/>
      <c r="G626" s="202"/>
      <c r="H626" s="203"/>
    </row>
    <row r="627" spans="1:8" s="204" customFormat="1" ht="12">
      <c r="A627" s="755"/>
      <c r="B627" s="404"/>
      <c r="C627" s="413"/>
      <c r="D627" s="406"/>
      <c r="E627" s="414"/>
      <c r="F627" s="208"/>
      <c r="G627" s="202"/>
      <c r="H627" s="203"/>
    </row>
    <row r="628" spans="1:8" ht="25.5">
      <c r="A628" s="754">
        <v>11</v>
      </c>
      <c r="B628" s="421" t="s">
        <v>11</v>
      </c>
      <c r="C628" s="353" t="s">
        <v>441</v>
      </c>
      <c r="D628" s="398"/>
      <c r="E628" s="399" t="s">
        <v>45</v>
      </c>
      <c r="F628" s="210">
        <f>E630</f>
        <v>1</v>
      </c>
      <c r="G628" s="23"/>
      <c r="H628" s="205">
        <f>F628*G628</f>
        <v>0</v>
      </c>
    </row>
    <row r="629" spans="1:8" s="204" customFormat="1" ht="36">
      <c r="A629" s="755"/>
      <c r="B629" s="415" t="s">
        <v>435</v>
      </c>
      <c r="C629" s="401">
        <v>1</v>
      </c>
      <c r="D629" s="479"/>
      <c r="E629" s="403">
        <f>C629</f>
        <v>1</v>
      </c>
      <c r="F629" s="208"/>
      <c r="G629" s="202"/>
      <c r="H629" s="203"/>
    </row>
    <row r="630" spans="1:8" s="204" customFormat="1" ht="12">
      <c r="A630" s="755"/>
      <c r="B630" s="404"/>
      <c r="C630" s="413" t="s">
        <v>39</v>
      </c>
      <c r="D630" s="406"/>
      <c r="E630" s="414">
        <f>E629</f>
        <v>1</v>
      </c>
      <c r="F630" s="208"/>
      <c r="G630" s="202"/>
      <c r="H630" s="203"/>
    </row>
    <row r="631" spans="1:8" s="204" customFormat="1" ht="12">
      <c r="A631" s="755"/>
      <c r="B631" s="404"/>
      <c r="C631" s="413"/>
      <c r="D631" s="406"/>
      <c r="E631" s="414"/>
      <c r="F631" s="208"/>
      <c r="G631" s="202"/>
      <c r="H631" s="203"/>
    </row>
    <row r="632" spans="1:8" ht="27.75" customHeight="1">
      <c r="A632" s="754">
        <v>12</v>
      </c>
      <c r="B632" s="421" t="s">
        <v>12</v>
      </c>
      <c r="C632" s="353" t="s">
        <v>1040</v>
      </c>
      <c r="D632" s="398" t="s">
        <v>18</v>
      </c>
      <c r="E632" s="399" t="s">
        <v>40</v>
      </c>
      <c r="F632" s="210">
        <f>E634</f>
        <v>254.76104999999998</v>
      </c>
      <c r="G632" s="23"/>
      <c r="H632" s="205">
        <f>F632*G632</f>
        <v>0</v>
      </c>
    </row>
    <row r="633" spans="1:8" s="204" customFormat="1" ht="36">
      <c r="A633" s="755"/>
      <c r="B633" s="415" t="s">
        <v>435</v>
      </c>
      <c r="C633" s="401" t="s">
        <v>457</v>
      </c>
      <c r="D633" s="479"/>
      <c r="E633" s="403">
        <f>(10.655*23.91)</f>
        <v>254.76104999999998</v>
      </c>
      <c r="F633" s="208"/>
      <c r="G633" s="202"/>
      <c r="H633" s="203"/>
    </row>
    <row r="634" spans="1:8" s="204" customFormat="1" ht="12">
      <c r="A634" s="755"/>
      <c r="B634" s="404"/>
      <c r="C634" s="413" t="s">
        <v>39</v>
      </c>
      <c r="D634" s="406"/>
      <c r="E634" s="414">
        <f>E633</f>
        <v>254.76104999999998</v>
      </c>
      <c r="F634" s="208"/>
      <c r="G634" s="202"/>
      <c r="H634" s="203"/>
    </row>
    <row r="635" spans="1:8" s="204" customFormat="1" ht="12">
      <c r="A635" s="755"/>
      <c r="B635" s="404"/>
      <c r="C635" s="413"/>
      <c r="D635" s="406"/>
      <c r="E635" s="414"/>
      <c r="F635" s="208"/>
      <c r="G635" s="202"/>
      <c r="H635" s="203"/>
    </row>
    <row r="636" spans="1:8" ht="24.75" customHeight="1">
      <c r="A636" s="754">
        <v>13</v>
      </c>
      <c r="B636" s="421" t="s">
        <v>13</v>
      </c>
      <c r="C636" s="353" t="s">
        <v>458</v>
      </c>
      <c r="D636" s="398" t="s">
        <v>1457</v>
      </c>
      <c r="E636" s="399" t="s">
        <v>45</v>
      </c>
      <c r="F636" s="210">
        <f>E638</f>
        <v>1</v>
      </c>
      <c r="G636" s="23"/>
      <c r="H636" s="205">
        <f>F636*G636</f>
        <v>0</v>
      </c>
    </row>
    <row r="637" spans="1:8" s="204" customFormat="1" ht="36">
      <c r="A637" s="755"/>
      <c r="B637" s="415" t="s">
        <v>435</v>
      </c>
      <c r="C637" s="401">
        <v>1</v>
      </c>
      <c r="D637" s="479"/>
      <c r="E637" s="403">
        <f>C637</f>
        <v>1</v>
      </c>
      <c r="F637" s="208"/>
      <c r="G637" s="202"/>
      <c r="H637" s="203"/>
    </row>
    <row r="638" spans="1:8" s="204" customFormat="1" ht="12">
      <c r="A638" s="755"/>
      <c r="B638" s="404"/>
      <c r="C638" s="413" t="s">
        <v>39</v>
      </c>
      <c r="D638" s="406"/>
      <c r="E638" s="414">
        <f>E637</f>
        <v>1</v>
      </c>
      <c r="F638" s="208"/>
      <c r="G638" s="202"/>
      <c r="H638" s="203"/>
    </row>
    <row r="639" spans="1:8" s="204" customFormat="1" ht="12">
      <c r="A639" s="755"/>
      <c r="B639" s="404"/>
      <c r="C639" s="413"/>
      <c r="D639" s="406"/>
      <c r="E639" s="414"/>
      <c r="F639" s="208"/>
      <c r="G639" s="202"/>
      <c r="H639" s="203"/>
    </row>
    <row r="640" spans="1:8" ht="39" customHeight="1">
      <c r="A640" s="754">
        <v>14</v>
      </c>
      <c r="B640" s="455" t="s">
        <v>14</v>
      </c>
      <c r="C640" s="353" t="s">
        <v>1041</v>
      </c>
      <c r="D640" s="398" t="s">
        <v>1452</v>
      </c>
      <c r="E640" s="399" t="s">
        <v>40</v>
      </c>
      <c r="F640" s="210">
        <f>E644</f>
        <v>413.0399999999997</v>
      </c>
      <c r="G640" s="23"/>
      <c r="H640" s="205">
        <f>F640*G640</f>
        <v>0</v>
      </c>
    </row>
    <row r="641" spans="1:8" s="204" customFormat="1" ht="26.25" customHeight="1">
      <c r="A641" s="755"/>
      <c r="B641" s="428" t="s">
        <v>971</v>
      </c>
      <c r="C641" s="429">
        <f>'Legenda místností'!D89</f>
        <v>824.0599999999997</v>
      </c>
      <c r="D641" s="430"/>
      <c r="E641" s="403">
        <f>C641</f>
        <v>824.0599999999997</v>
      </c>
      <c r="F641" s="457"/>
      <c r="G641" s="458"/>
      <c r="H641" s="459"/>
    </row>
    <row r="642" spans="1:8" s="204" customFormat="1" ht="27.75" customHeight="1">
      <c r="A642" s="755"/>
      <c r="B642" s="428" t="s">
        <v>972</v>
      </c>
      <c r="C642" s="429">
        <f>'Legenda místností'!D17-'Legenda místností'!D16</f>
        <v>190.51</v>
      </c>
      <c r="D642" s="430"/>
      <c r="E642" s="403">
        <f>-C642</f>
        <v>-190.51</v>
      </c>
      <c r="F642" s="457"/>
      <c r="G642" s="458"/>
      <c r="H642" s="459"/>
    </row>
    <row r="643" spans="1:8" s="204" customFormat="1" ht="37.5" customHeight="1">
      <c r="A643" s="755"/>
      <c r="B643" s="428" t="s">
        <v>973</v>
      </c>
      <c r="C643" s="429">
        <f>'Legenda místností'!D91</f>
        <v>220.51000000000005</v>
      </c>
      <c r="D643" s="430"/>
      <c r="E643" s="403">
        <f>-C643</f>
        <v>-220.51000000000005</v>
      </c>
      <c r="F643" s="457"/>
      <c r="G643" s="458"/>
      <c r="H643" s="459"/>
    </row>
    <row r="644" spans="1:8" s="204" customFormat="1" ht="12">
      <c r="A644" s="755"/>
      <c r="B644" s="486"/>
      <c r="C644" s="405" t="s">
        <v>39</v>
      </c>
      <c r="D644" s="487"/>
      <c r="E644" s="407">
        <f>SUM(E641:E643)</f>
        <v>413.0399999999997</v>
      </c>
      <c r="F644" s="457"/>
      <c r="G644" s="458"/>
      <c r="H644" s="459"/>
    </row>
    <row r="645" spans="1:8" s="204" customFormat="1" ht="12">
      <c r="A645" s="755"/>
      <c r="B645" s="470"/>
      <c r="C645" s="425"/>
      <c r="D645" s="461"/>
      <c r="E645" s="462"/>
      <c r="F645" s="208"/>
      <c r="G645" s="202"/>
      <c r="H645" s="203"/>
    </row>
    <row r="646" spans="1:8" ht="39" customHeight="1">
      <c r="A646" s="754">
        <v>15</v>
      </c>
      <c r="B646" s="455" t="s">
        <v>15</v>
      </c>
      <c r="C646" s="353" t="s">
        <v>1042</v>
      </c>
      <c r="D646" s="398" t="s">
        <v>1452</v>
      </c>
      <c r="E646" s="399" t="s">
        <v>40</v>
      </c>
      <c r="F646" s="210">
        <f>E650</f>
        <v>929.2900000000002</v>
      </c>
      <c r="G646" s="23"/>
      <c r="H646" s="205">
        <f>F646*G646</f>
        <v>0</v>
      </c>
    </row>
    <row r="647" spans="1:8" s="204" customFormat="1" ht="26.25" customHeight="1">
      <c r="A647" s="755"/>
      <c r="B647" s="428" t="s">
        <v>976</v>
      </c>
      <c r="C647" s="429">
        <f>'Legenda místností'!D17-'Legenda místností'!D16</f>
        <v>190.51</v>
      </c>
      <c r="D647" s="430"/>
      <c r="E647" s="403">
        <f>C647</f>
        <v>190.51</v>
      </c>
      <c r="F647" s="457"/>
      <c r="G647" s="458"/>
      <c r="H647" s="459"/>
    </row>
    <row r="648" spans="1:8" s="204" customFormat="1" ht="27.75" customHeight="1">
      <c r="A648" s="755"/>
      <c r="B648" s="428" t="s">
        <v>977</v>
      </c>
      <c r="C648" s="429">
        <f>'Legenda místností'!D186</f>
        <v>960.83</v>
      </c>
      <c r="D648" s="430"/>
      <c r="E648" s="403">
        <f>C648</f>
        <v>960.83</v>
      </c>
      <c r="F648" s="457"/>
      <c r="G648" s="458"/>
      <c r="H648" s="459"/>
    </row>
    <row r="649" spans="1:8" s="204" customFormat="1" ht="37.5" customHeight="1">
      <c r="A649" s="755"/>
      <c r="B649" s="428" t="s">
        <v>978</v>
      </c>
      <c r="C649" s="429">
        <f>'Legenda místností'!D188</f>
        <v>222.04999999999998</v>
      </c>
      <c r="D649" s="430"/>
      <c r="E649" s="403">
        <f>-C649</f>
        <v>-222.04999999999998</v>
      </c>
      <c r="F649" s="457"/>
      <c r="G649" s="458"/>
      <c r="H649" s="459"/>
    </row>
    <row r="650" spans="1:9" s="204" customFormat="1" ht="12">
      <c r="A650" s="755"/>
      <c r="B650" s="486"/>
      <c r="C650" s="405" t="s">
        <v>39</v>
      </c>
      <c r="D650" s="487"/>
      <c r="E650" s="407">
        <f>SUM(E647:E649)</f>
        <v>929.2900000000002</v>
      </c>
      <c r="F650" s="457"/>
      <c r="G650" s="458"/>
      <c r="H650" s="459"/>
      <c r="I650" s="488"/>
    </row>
    <row r="651" spans="1:8" s="204" customFormat="1" ht="12">
      <c r="A651" s="755"/>
      <c r="B651" s="470"/>
      <c r="C651" s="425"/>
      <c r="D651" s="461"/>
      <c r="E651" s="462"/>
      <c r="F651" s="208"/>
      <c r="G651" s="202"/>
      <c r="H651" s="203"/>
    </row>
    <row r="652" spans="1:8" ht="12.75">
      <c r="A652" s="754">
        <v>16</v>
      </c>
      <c r="B652" s="455" t="s">
        <v>1453</v>
      </c>
      <c r="C652" s="353" t="s">
        <v>1458</v>
      </c>
      <c r="D652" s="398" t="s">
        <v>18</v>
      </c>
      <c r="E652" s="399" t="s">
        <v>45</v>
      </c>
      <c r="F652" s="210">
        <f>E654</f>
        <v>1</v>
      </c>
      <c r="G652" s="23"/>
      <c r="H652" s="205">
        <f>F652*G652</f>
        <v>0</v>
      </c>
    </row>
    <row r="653" spans="1:8" s="204" customFormat="1" ht="12">
      <c r="A653" s="755"/>
      <c r="B653" s="400"/>
      <c r="C653" s="401">
        <v>1</v>
      </c>
      <c r="D653" s="402"/>
      <c r="E653" s="403">
        <f>C653</f>
        <v>1</v>
      </c>
      <c r="F653" s="208"/>
      <c r="G653" s="202"/>
      <c r="H653" s="203"/>
    </row>
    <row r="654" spans="1:8" s="204" customFormat="1" ht="12">
      <c r="A654" s="755"/>
      <c r="B654" s="404"/>
      <c r="C654" s="405" t="s">
        <v>39</v>
      </c>
      <c r="D654" s="406"/>
      <c r="E654" s="407">
        <f>SUM(E653:E653)</f>
        <v>1</v>
      </c>
      <c r="F654" s="208"/>
      <c r="G654" s="202"/>
      <c r="H654" s="203"/>
    </row>
    <row r="655" spans="1:8" s="204" customFormat="1" ht="12">
      <c r="A655" s="755"/>
      <c r="B655" s="485"/>
      <c r="C655" s="425"/>
      <c r="D655" s="410"/>
      <c r="E655" s="426"/>
      <c r="F655" s="412"/>
      <c r="G655" s="202"/>
      <c r="H655" s="203"/>
    </row>
    <row r="656" spans="1:8" ht="12.75">
      <c r="A656" s="754">
        <v>17</v>
      </c>
      <c r="B656" s="352" t="s">
        <v>1454</v>
      </c>
      <c r="C656" s="357" t="s">
        <v>1459</v>
      </c>
      <c r="D656" s="398" t="s">
        <v>1455</v>
      </c>
      <c r="E656" s="399" t="s">
        <v>45</v>
      </c>
      <c r="F656" s="210">
        <f>E658</f>
        <v>1</v>
      </c>
      <c r="G656" s="23"/>
      <c r="H656" s="205">
        <f>F656*G656</f>
        <v>0</v>
      </c>
    </row>
    <row r="657" spans="1:8" s="204" customFormat="1" ht="12">
      <c r="A657" s="755"/>
      <c r="B657" s="400"/>
      <c r="C657" s="401">
        <v>1</v>
      </c>
      <c r="D657" s="402"/>
      <c r="E657" s="403">
        <f>C657</f>
        <v>1</v>
      </c>
      <c r="F657" s="208"/>
      <c r="G657" s="202"/>
      <c r="H657" s="203"/>
    </row>
    <row r="658" spans="1:8" s="204" customFormat="1" ht="12">
      <c r="A658" s="755"/>
      <c r="B658" s="404"/>
      <c r="C658" s="405" t="s">
        <v>39</v>
      </c>
      <c r="D658" s="406"/>
      <c r="E658" s="407">
        <f>SUM(E657:E657)</f>
        <v>1</v>
      </c>
      <c r="F658" s="208"/>
      <c r="G658" s="202"/>
      <c r="H658" s="203"/>
    </row>
    <row r="659" spans="1:8" s="204" customFormat="1" ht="12">
      <c r="A659" s="755"/>
      <c r="B659" s="404"/>
      <c r="C659" s="405"/>
      <c r="D659" s="406"/>
      <c r="E659" s="407"/>
      <c r="F659" s="208"/>
      <c r="G659" s="202"/>
      <c r="H659" s="203"/>
    </row>
    <row r="660" spans="1:8" ht="12.75">
      <c r="A660" s="754">
        <v>18</v>
      </c>
      <c r="B660" s="352" t="s">
        <v>19</v>
      </c>
      <c r="C660" s="357" t="s">
        <v>1460</v>
      </c>
      <c r="D660" s="398" t="s">
        <v>76</v>
      </c>
      <c r="E660" s="399" t="s">
        <v>45</v>
      </c>
      <c r="F660" s="210">
        <f>E662</f>
        <v>1</v>
      </c>
      <c r="G660" s="23"/>
      <c r="H660" s="205">
        <f>F660*G660</f>
        <v>0</v>
      </c>
    </row>
    <row r="661" spans="1:8" s="204" customFormat="1" ht="12">
      <c r="A661" s="755"/>
      <c r="B661" s="428"/>
      <c r="C661" s="429">
        <v>1</v>
      </c>
      <c r="D661" s="489"/>
      <c r="E661" s="403">
        <f>C661</f>
        <v>1</v>
      </c>
      <c r="F661" s="457"/>
      <c r="G661" s="458"/>
      <c r="H661" s="459"/>
    </row>
    <row r="662" spans="1:8" s="204" customFormat="1" ht="12">
      <c r="A662" s="755"/>
      <c r="B662" s="404"/>
      <c r="C662" s="405" t="s">
        <v>39</v>
      </c>
      <c r="D662" s="406"/>
      <c r="E662" s="407">
        <f>SUM(E661:E661)</f>
        <v>1</v>
      </c>
      <c r="F662" s="208"/>
      <c r="G662" s="202"/>
      <c r="H662" s="203"/>
    </row>
    <row r="663" spans="1:8" s="204" customFormat="1" ht="12">
      <c r="A663" s="755"/>
      <c r="B663" s="404"/>
      <c r="C663" s="405"/>
      <c r="D663" s="406"/>
      <c r="E663" s="407"/>
      <c r="F663" s="208"/>
      <c r="G663" s="202"/>
      <c r="H663" s="203"/>
    </row>
    <row r="664" spans="1:8" ht="25.5">
      <c r="A664" s="754">
        <v>19</v>
      </c>
      <c r="B664" s="455" t="s">
        <v>1461</v>
      </c>
      <c r="C664" s="353" t="s">
        <v>1462</v>
      </c>
      <c r="D664" s="354"/>
      <c r="E664" s="399" t="s">
        <v>45</v>
      </c>
      <c r="F664" s="210">
        <f>E666</f>
        <v>1</v>
      </c>
      <c r="G664" s="23"/>
      <c r="H664" s="205">
        <f>F664*G664</f>
        <v>0</v>
      </c>
    </row>
    <row r="665" spans="1:8" s="204" customFormat="1" ht="12">
      <c r="A665" s="755"/>
      <c r="B665" s="400"/>
      <c r="C665" s="401">
        <v>1</v>
      </c>
      <c r="D665" s="402"/>
      <c r="E665" s="403">
        <f>C665</f>
        <v>1</v>
      </c>
      <c r="F665" s="208"/>
      <c r="G665" s="202"/>
      <c r="H665" s="203"/>
    </row>
    <row r="666" spans="1:8" s="204" customFormat="1" ht="12">
      <c r="A666" s="755"/>
      <c r="B666" s="404"/>
      <c r="C666" s="405" t="s">
        <v>39</v>
      </c>
      <c r="D666" s="406"/>
      <c r="E666" s="407">
        <f>SUM(E665:E665)</f>
        <v>1</v>
      </c>
      <c r="F666" s="208"/>
      <c r="G666" s="202"/>
      <c r="H666" s="203"/>
    </row>
    <row r="667" spans="1:8" s="204" customFormat="1" ht="12">
      <c r="A667" s="755"/>
      <c r="B667" s="404"/>
      <c r="C667" s="405"/>
      <c r="D667" s="406"/>
      <c r="E667" s="407"/>
      <c r="F667" s="208"/>
      <c r="G667" s="202"/>
      <c r="H667" s="203"/>
    </row>
    <row r="668" spans="1:8" s="493" customFormat="1" ht="12.75">
      <c r="A668" s="757">
        <v>20</v>
      </c>
      <c r="B668" s="455" t="s">
        <v>16</v>
      </c>
      <c r="C668" s="490" t="s">
        <v>1464</v>
      </c>
      <c r="D668" s="491"/>
      <c r="E668" s="492" t="s">
        <v>45</v>
      </c>
      <c r="F668" s="214">
        <f>E670</f>
        <v>1</v>
      </c>
      <c r="G668" s="23"/>
      <c r="H668" s="215">
        <f>F668*G668</f>
        <v>0</v>
      </c>
    </row>
    <row r="669" spans="1:8" s="204" customFormat="1" ht="12">
      <c r="A669" s="755"/>
      <c r="B669" s="400"/>
      <c r="C669" s="401">
        <v>1</v>
      </c>
      <c r="D669" s="402"/>
      <c r="E669" s="403">
        <f>C669</f>
        <v>1</v>
      </c>
      <c r="F669" s="208"/>
      <c r="G669" s="202"/>
      <c r="H669" s="203"/>
    </row>
    <row r="670" spans="1:8" s="204" customFormat="1" ht="12">
      <c r="A670" s="755"/>
      <c r="B670" s="404"/>
      <c r="C670" s="405" t="s">
        <v>39</v>
      </c>
      <c r="D670" s="406"/>
      <c r="E670" s="407">
        <f>E669</f>
        <v>1</v>
      </c>
      <c r="F670" s="208"/>
      <c r="G670" s="202"/>
      <c r="H670" s="203"/>
    </row>
    <row r="671" spans="1:8" s="204" customFormat="1" ht="12">
      <c r="A671" s="755"/>
      <c r="B671" s="404"/>
      <c r="C671" s="405"/>
      <c r="D671" s="406"/>
      <c r="E671" s="407"/>
      <c r="F671" s="208"/>
      <c r="G671" s="202"/>
      <c r="H671" s="203"/>
    </row>
    <row r="672" spans="1:8" s="493" customFormat="1" ht="12.75">
      <c r="A672" s="757">
        <v>21</v>
      </c>
      <c r="B672" s="455" t="s">
        <v>1463</v>
      </c>
      <c r="C672" s="490" t="s">
        <v>1466</v>
      </c>
      <c r="D672" s="491"/>
      <c r="E672" s="492" t="s">
        <v>45</v>
      </c>
      <c r="F672" s="214">
        <f>E674</f>
        <v>1</v>
      </c>
      <c r="G672" s="23"/>
      <c r="H672" s="215">
        <f>F672*G672</f>
        <v>0</v>
      </c>
    </row>
    <row r="673" spans="1:8" s="204" customFormat="1" ht="12">
      <c r="A673" s="755"/>
      <c r="B673" s="400"/>
      <c r="C673" s="401">
        <v>1</v>
      </c>
      <c r="D673" s="402"/>
      <c r="E673" s="403">
        <f>C673</f>
        <v>1</v>
      </c>
      <c r="F673" s="208"/>
      <c r="G673" s="202"/>
      <c r="H673" s="203"/>
    </row>
    <row r="674" spans="1:8" s="204" customFormat="1" ht="12">
      <c r="A674" s="755"/>
      <c r="B674" s="404"/>
      <c r="C674" s="405" t="s">
        <v>39</v>
      </c>
      <c r="D674" s="406"/>
      <c r="E674" s="407">
        <f>E673</f>
        <v>1</v>
      </c>
      <c r="F674" s="208"/>
      <c r="G674" s="202"/>
      <c r="H674" s="203"/>
    </row>
    <row r="675" spans="1:8" s="204" customFormat="1" ht="12">
      <c r="A675" s="755"/>
      <c r="B675" s="404"/>
      <c r="C675" s="405"/>
      <c r="D675" s="406"/>
      <c r="E675" s="407"/>
      <c r="F675" s="208"/>
      <c r="G675" s="202"/>
      <c r="H675" s="203"/>
    </row>
    <row r="676" spans="1:8" s="493" customFormat="1" ht="43.5" customHeight="1">
      <c r="A676" s="757">
        <v>22</v>
      </c>
      <c r="B676" s="455" t="s">
        <v>1465</v>
      </c>
      <c r="C676" s="490" t="s">
        <v>4</v>
      </c>
      <c r="D676" s="491"/>
      <c r="E676" s="492" t="s">
        <v>45</v>
      </c>
      <c r="F676" s="214">
        <f>E678</f>
        <v>1</v>
      </c>
      <c r="G676" s="23"/>
      <c r="H676" s="215">
        <f>F676*G676</f>
        <v>0</v>
      </c>
    </row>
    <row r="677" spans="1:8" s="204" customFormat="1" ht="12">
      <c r="A677" s="755"/>
      <c r="B677" s="400"/>
      <c r="C677" s="401">
        <v>1</v>
      </c>
      <c r="D677" s="402"/>
      <c r="E677" s="403">
        <f>C677</f>
        <v>1</v>
      </c>
      <c r="F677" s="208"/>
      <c r="G677" s="202"/>
      <c r="H677" s="203"/>
    </row>
    <row r="678" spans="1:8" s="204" customFormat="1" ht="12">
      <c r="A678" s="755"/>
      <c r="B678" s="404"/>
      <c r="C678" s="405" t="s">
        <v>39</v>
      </c>
      <c r="D678" s="406"/>
      <c r="E678" s="407">
        <f>E677</f>
        <v>1</v>
      </c>
      <c r="F678" s="208"/>
      <c r="G678" s="202"/>
      <c r="H678" s="203"/>
    </row>
    <row r="679" spans="1:8" s="204" customFormat="1" ht="12">
      <c r="A679" s="755"/>
      <c r="B679" s="404"/>
      <c r="C679" s="405"/>
      <c r="D679" s="406"/>
      <c r="E679" s="407"/>
      <c r="F679" s="208"/>
      <c r="G679" s="202"/>
      <c r="H679" s="203"/>
    </row>
    <row r="680" spans="1:8" s="246" customFormat="1" ht="13.5" customHeight="1">
      <c r="A680" s="754">
        <v>23</v>
      </c>
      <c r="B680" s="259">
        <v>997221121</v>
      </c>
      <c r="C680" s="336" t="s">
        <v>1429</v>
      </c>
      <c r="D680" s="336"/>
      <c r="E680" s="8" t="s">
        <v>45</v>
      </c>
      <c r="F680" s="22">
        <f>E682</f>
        <v>1</v>
      </c>
      <c r="G680" s="23"/>
      <c r="H680" s="494">
        <f>F680*G680</f>
        <v>0</v>
      </c>
    </row>
    <row r="681" spans="1:8" s="246" customFormat="1" ht="13.5" customHeight="1">
      <c r="A681" s="754"/>
      <c r="B681" s="495"/>
      <c r="C681" s="495">
        <v>1</v>
      </c>
      <c r="D681" s="496"/>
      <c r="E681" s="497">
        <f>C681</f>
        <v>1</v>
      </c>
      <c r="F681" s="20"/>
      <c r="G681" s="17"/>
      <c r="H681" s="494"/>
    </row>
    <row r="682" spans="1:9" s="246" customFormat="1" ht="13.5" customHeight="1">
      <c r="A682" s="754"/>
      <c r="B682" s="498"/>
      <c r="C682" s="405" t="s">
        <v>39</v>
      </c>
      <c r="D682" s="499"/>
      <c r="E682" s="500">
        <f>SUM(E681:E681)</f>
        <v>1</v>
      </c>
      <c r="F682" s="20"/>
      <c r="G682" s="17"/>
      <c r="H682" s="494"/>
      <c r="I682" s="247"/>
    </row>
    <row r="683" spans="1:8" s="246" customFormat="1" ht="12.75">
      <c r="A683" s="754"/>
      <c r="B683" s="259"/>
      <c r="C683" s="355"/>
      <c r="D683" s="336"/>
      <c r="E683" s="501"/>
      <c r="F683" s="20"/>
      <c r="G683" s="17"/>
      <c r="H683" s="494"/>
    </row>
    <row r="684" spans="1:9" s="246" customFormat="1" ht="12.75">
      <c r="A684" s="754">
        <v>24</v>
      </c>
      <c r="B684" s="502">
        <v>997221611</v>
      </c>
      <c r="C684" s="353" t="s">
        <v>54</v>
      </c>
      <c r="D684" s="503"/>
      <c r="E684" s="8" t="s">
        <v>45</v>
      </c>
      <c r="F684" s="22">
        <f>E686</f>
        <v>1</v>
      </c>
      <c r="G684" s="23"/>
      <c r="H684" s="494">
        <f>F684*G684</f>
        <v>0</v>
      </c>
      <c r="I684" s="247"/>
    </row>
    <row r="685" spans="1:9" s="246" customFormat="1" ht="12.75">
      <c r="A685" s="754"/>
      <c r="B685" s="504"/>
      <c r="C685" s="495">
        <v>1</v>
      </c>
      <c r="D685" s="496"/>
      <c r="E685" s="497">
        <f>C685</f>
        <v>1</v>
      </c>
      <c r="F685" s="22"/>
      <c r="G685" s="17"/>
      <c r="H685" s="494"/>
      <c r="I685" s="247"/>
    </row>
    <row r="686" spans="1:9" s="246" customFormat="1" ht="12.75">
      <c r="A686" s="754"/>
      <c r="B686" s="502"/>
      <c r="C686" s="405" t="s">
        <v>39</v>
      </c>
      <c r="D686" s="499"/>
      <c r="E686" s="500">
        <f>SUM(E685:E685)</f>
        <v>1</v>
      </c>
      <c r="F686" s="22"/>
      <c r="G686" s="17"/>
      <c r="H686" s="494"/>
      <c r="I686" s="247"/>
    </row>
    <row r="687" spans="1:9" s="246" customFormat="1" ht="12.75">
      <c r="A687" s="754"/>
      <c r="B687" s="502"/>
      <c r="C687" s="353"/>
      <c r="D687" s="503"/>
      <c r="E687" s="11"/>
      <c r="F687" s="22"/>
      <c r="G687" s="17"/>
      <c r="H687" s="494"/>
      <c r="I687" s="247"/>
    </row>
    <row r="688" spans="1:9" s="246" customFormat="1" ht="12.75">
      <c r="A688" s="754">
        <v>25</v>
      </c>
      <c r="B688" s="502">
        <v>997221561</v>
      </c>
      <c r="C688" s="505" t="s">
        <v>1430</v>
      </c>
      <c r="D688" s="398" t="s">
        <v>1435</v>
      </c>
      <c r="E688" s="8" t="s">
        <v>45</v>
      </c>
      <c r="F688" s="22">
        <f>E690</f>
        <v>1</v>
      </c>
      <c r="G688" s="23"/>
      <c r="H688" s="494">
        <f>F688*G688</f>
        <v>0</v>
      </c>
      <c r="I688" s="247"/>
    </row>
    <row r="689" spans="1:9" s="246" customFormat="1" ht="12.75">
      <c r="A689" s="754"/>
      <c r="B689" s="504"/>
      <c r="C689" s="495">
        <v>1</v>
      </c>
      <c r="D689" s="496"/>
      <c r="E689" s="497">
        <f>C689</f>
        <v>1</v>
      </c>
      <c r="F689" s="22"/>
      <c r="G689" s="17"/>
      <c r="H689" s="494"/>
      <c r="I689" s="247"/>
    </row>
    <row r="690" spans="1:9" s="246" customFormat="1" ht="12.75">
      <c r="A690" s="754"/>
      <c r="B690" s="502"/>
      <c r="C690" s="405" t="s">
        <v>39</v>
      </c>
      <c r="D690" s="499"/>
      <c r="E690" s="500">
        <f>SUM(E689:E689)</f>
        <v>1</v>
      </c>
      <c r="F690" s="22"/>
      <c r="G690" s="17"/>
      <c r="H690" s="494"/>
      <c r="I690" s="247"/>
    </row>
    <row r="691" spans="1:9" s="246" customFormat="1" ht="12.75">
      <c r="A691" s="754"/>
      <c r="B691" s="502"/>
      <c r="C691" s="506"/>
      <c r="D691" s="507"/>
      <c r="E691" s="508"/>
      <c r="F691" s="22"/>
      <c r="G691" s="17"/>
      <c r="H691" s="494"/>
      <c r="I691" s="247"/>
    </row>
    <row r="692" spans="1:9" s="246" customFormat="1" ht="12.75">
      <c r="A692" s="754">
        <v>26</v>
      </c>
      <c r="B692" s="502">
        <v>997221569</v>
      </c>
      <c r="C692" s="505" t="s">
        <v>55</v>
      </c>
      <c r="D692" s="503"/>
      <c r="E692" s="8" t="s">
        <v>45</v>
      </c>
      <c r="F692" s="22">
        <f>E694</f>
        <v>1</v>
      </c>
      <c r="G692" s="23"/>
      <c r="H692" s="494">
        <f>F692*G692</f>
        <v>0</v>
      </c>
      <c r="I692" s="247"/>
    </row>
    <row r="693" spans="1:9" s="246" customFormat="1" ht="12.75">
      <c r="A693" s="754"/>
      <c r="B693" s="504"/>
      <c r="C693" s="495">
        <v>1</v>
      </c>
      <c r="D693" s="496"/>
      <c r="E693" s="497">
        <f>C693</f>
        <v>1</v>
      </c>
      <c r="F693" s="22"/>
      <c r="G693" s="17"/>
      <c r="H693" s="494"/>
      <c r="I693" s="247"/>
    </row>
    <row r="694" spans="1:9" s="246" customFormat="1" ht="12.75">
      <c r="A694" s="754"/>
      <c r="B694" s="502"/>
      <c r="C694" s="405" t="s">
        <v>39</v>
      </c>
      <c r="D694" s="499"/>
      <c r="E694" s="500">
        <f>SUM(E693:E693)</f>
        <v>1</v>
      </c>
      <c r="F694" s="22"/>
      <c r="G694" s="17"/>
      <c r="H694" s="494"/>
      <c r="I694" s="247"/>
    </row>
    <row r="695" spans="1:9" s="246" customFormat="1" ht="12.75">
      <c r="A695" s="754"/>
      <c r="B695" s="502"/>
      <c r="C695" s="506"/>
      <c r="D695" s="507"/>
      <c r="E695" s="508"/>
      <c r="F695" s="22"/>
      <c r="G695" s="17"/>
      <c r="H695" s="494"/>
      <c r="I695" s="247"/>
    </row>
    <row r="696" spans="1:9" s="246" customFormat="1" ht="12.75">
      <c r="A696" s="754"/>
      <c r="B696" s="502"/>
      <c r="C696" s="506"/>
      <c r="D696" s="507"/>
      <c r="E696" s="508"/>
      <c r="F696" s="22"/>
      <c r="G696" s="17"/>
      <c r="H696" s="494"/>
      <c r="I696" s="247"/>
    </row>
    <row r="697" spans="1:9" s="246" customFormat="1" ht="12.75">
      <c r="A697" s="754">
        <v>27</v>
      </c>
      <c r="B697" s="502">
        <v>997013801</v>
      </c>
      <c r="C697" s="505" t="s">
        <v>1431</v>
      </c>
      <c r="D697" s="503"/>
      <c r="E697" s="8" t="s">
        <v>45</v>
      </c>
      <c r="F697" s="22">
        <f>E699</f>
        <v>1</v>
      </c>
      <c r="G697" s="23"/>
      <c r="H697" s="494">
        <f>F697*G697</f>
        <v>0</v>
      </c>
      <c r="I697" s="247"/>
    </row>
    <row r="698" spans="1:9" s="246" customFormat="1" ht="12.75">
      <c r="A698" s="754"/>
      <c r="B698" s="504"/>
      <c r="C698" s="495">
        <v>1</v>
      </c>
      <c r="D698" s="496"/>
      <c r="E698" s="497">
        <f>C698</f>
        <v>1</v>
      </c>
      <c r="F698" s="509"/>
      <c r="G698" s="17"/>
      <c r="H698" s="494"/>
      <c r="I698" s="247"/>
    </row>
    <row r="699" spans="1:9" s="246" customFormat="1" ht="12.75">
      <c r="A699" s="754"/>
      <c r="B699" s="502"/>
      <c r="C699" s="405" t="s">
        <v>39</v>
      </c>
      <c r="D699" s="499"/>
      <c r="E699" s="500">
        <f>SUM(E698:E698)</f>
        <v>1</v>
      </c>
      <c r="F699" s="509"/>
      <c r="G699" s="17"/>
      <c r="H699" s="494"/>
      <c r="I699" s="247"/>
    </row>
    <row r="700" spans="1:9" s="246" customFormat="1" ht="12.75">
      <c r="A700" s="754"/>
      <c r="B700" s="502"/>
      <c r="C700" s="506"/>
      <c r="D700" s="507"/>
      <c r="E700" s="508"/>
      <c r="F700" s="509"/>
      <c r="G700" s="17"/>
      <c r="H700" s="494"/>
      <c r="I700" s="247"/>
    </row>
    <row r="701" spans="1:9" s="246" customFormat="1" ht="25.5">
      <c r="A701" s="754">
        <v>28</v>
      </c>
      <c r="B701" s="421" t="s">
        <v>1436</v>
      </c>
      <c r="C701" s="422" t="s">
        <v>1437</v>
      </c>
      <c r="D701" s="336"/>
      <c r="E701" s="8" t="s">
        <v>45</v>
      </c>
      <c r="F701" s="22">
        <f>E703</f>
        <v>1</v>
      </c>
      <c r="G701" s="23"/>
      <c r="H701" s="494">
        <f>F701*G701</f>
        <v>0</v>
      </c>
      <c r="I701" s="247"/>
    </row>
    <row r="702" spans="1:9" s="246" customFormat="1" ht="13.5" customHeight="1">
      <c r="A702" s="754"/>
      <c r="B702" s="510"/>
      <c r="C702" s="495">
        <v>1</v>
      </c>
      <c r="D702" s="496"/>
      <c r="E702" s="497">
        <f>C702</f>
        <v>1</v>
      </c>
      <c r="F702" s="20"/>
      <c r="G702" s="17"/>
      <c r="H702" s="494"/>
      <c r="I702" s="247"/>
    </row>
    <row r="703" spans="1:9" s="246" customFormat="1" ht="13.5" customHeight="1">
      <c r="A703" s="754"/>
      <c r="B703" s="441"/>
      <c r="C703" s="405" t="s">
        <v>39</v>
      </c>
      <c r="D703" s="499"/>
      <c r="E703" s="500">
        <f>SUM(E702:E702)</f>
        <v>1</v>
      </c>
      <c r="F703" s="20"/>
      <c r="G703" s="17"/>
      <c r="H703" s="494"/>
      <c r="I703" s="247"/>
    </row>
    <row r="704" spans="1:9" s="246" customFormat="1" ht="13.5" customHeight="1">
      <c r="A704" s="754"/>
      <c r="B704" s="336"/>
      <c r="C704" s="259"/>
      <c r="D704" s="511"/>
      <c r="E704" s="15"/>
      <c r="F704" s="20"/>
      <c r="G704" s="17"/>
      <c r="H704" s="494"/>
      <c r="I704" s="247"/>
    </row>
    <row r="705" spans="1:9" s="246" customFormat="1" ht="13.5" customHeight="1">
      <c r="A705" s="754">
        <v>29</v>
      </c>
      <c r="B705" s="357">
        <v>997013501</v>
      </c>
      <c r="C705" s="259" t="s">
        <v>1432</v>
      </c>
      <c r="D705" s="512"/>
      <c r="E705" s="8" t="s">
        <v>45</v>
      </c>
      <c r="F705" s="22">
        <f>E707</f>
        <v>1</v>
      </c>
      <c r="G705" s="23"/>
      <c r="H705" s="494">
        <f>F705*G705</f>
        <v>0</v>
      </c>
      <c r="I705" s="247"/>
    </row>
    <row r="706" spans="1:9" s="246" customFormat="1" ht="13.5" customHeight="1">
      <c r="A706" s="754"/>
      <c r="B706" s="504"/>
      <c r="C706" s="495">
        <v>1</v>
      </c>
      <c r="D706" s="496"/>
      <c r="E706" s="497">
        <f>C706</f>
        <v>1</v>
      </c>
      <c r="F706" s="20"/>
      <c r="G706" s="17"/>
      <c r="H706" s="494"/>
      <c r="I706" s="247"/>
    </row>
    <row r="707" spans="1:9" s="246" customFormat="1" ht="13.5" customHeight="1">
      <c r="A707" s="754"/>
      <c r="B707" s="336"/>
      <c r="C707" s="405" t="s">
        <v>39</v>
      </c>
      <c r="D707" s="499"/>
      <c r="E707" s="500">
        <f>SUM(E706:E706)</f>
        <v>1</v>
      </c>
      <c r="F707" s="20"/>
      <c r="G707" s="17"/>
      <c r="H707" s="494"/>
      <c r="I707" s="247"/>
    </row>
    <row r="708" spans="1:9" s="246" customFormat="1" ht="13.5" customHeight="1">
      <c r="A708" s="754"/>
      <c r="B708" s="336"/>
      <c r="C708" s="259"/>
      <c r="D708" s="511"/>
      <c r="E708" s="15"/>
      <c r="F708" s="20"/>
      <c r="G708" s="17"/>
      <c r="H708" s="494"/>
      <c r="I708" s="247"/>
    </row>
    <row r="709" spans="1:9" s="246" customFormat="1" ht="13.5" customHeight="1">
      <c r="A709" s="754">
        <v>30</v>
      </c>
      <c r="B709" s="357">
        <v>997013509</v>
      </c>
      <c r="C709" s="259" t="s">
        <v>1433</v>
      </c>
      <c r="D709" s="503"/>
      <c r="E709" s="8" t="s">
        <v>45</v>
      </c>
      <c r="F709" s="22">
        <f>E711</f>
        <v>1</v>
      </c>
      <c r="G709" s="23"/>
      <c r="H709" s="494">
        <f>F709*G709</f>
        <v>0</v>
      </c>
      <c r="I709" s="247"/>
    </row>
    <row r="710" spans="1:9" s="246" customFormat="1" ht="13.5" customHeight="1">
      <c r="A710" s="754"/>
      <c r="B710" s="504"/>
      <c r="C710" s="495">
        <v>1</v>
      </c>
      <c r="D710" s="496"/>
      <c r="E710" s="497">
        <f>C710</f>
        <v>1</v>
      </c>
      <c r="F710" s="20"/>
      <c r="G710" s="17"/>
      <c r="H710" s="494"/>
      <c r="I710" s="247"/>
    </row>
    <row r="711" spans="1:9" s="246" customFormat="1" ht="13.5" customHeight="1">
      <c r="A711" s="754"/>
      <c r="B711" s="336"/>
      <c r="C711" s="405" t="s">
        <v>39</v>
      </c>
      <c r="D711" s="499"/>
      <c r="E711" s="500">
        <f>SUM(E710:E710)</f>
        <v>1</v>
      </c>
      <c r="F711" s="20"/>
      <c r="G711" s="17"/>
      <c r="H711" s="494"/>
      <c r="I711" s="247"/>
    </row>
    <row r="712" spans="1:9" s="246" customFormat="1" ht="13.5" customHeight="1">
      <c r="A712" s="754"/>
      <c r="B712" s="336"/>
      <c r="C712" s="259"/>
      <c r="D712" s="511"/>
      <c r="E712" s="15"/>
      <c r="F712" s="20"/>
      <c r="G712" s="17"/>
      <c r="H712" s="494"/>
      <c r="I712" s="247"/>
    </row>
    <row r="713" spans="1:9" s="246" customFormat="1" ht="13.5" customHeight="1">
      <c r="A713" s="754">
        <v>31</v>
      </c>
      <c r="B713" s="336">
        <v>997013831</v>
      </c>
      <c r="C713" s="259" t="s">
        <v>1434</v>
      </c>
      <c r="D713" s="512"/>
      <c r="E713" s="8" t="s">
        <v>45</v>
      </c>
      <c r="F713" s="22">
        <f>E715</f>
        <v>1</v>
      </c>
      <c r="G713" s="23"/>
      <c r="H713" s="494">
        <f>F713*G713</f>
        <v>0</v>
      </c>
      <c r="I713" s="247"/>
    </row>
    <row r="714" spans="1:9" s="246" customFormat="1" ht="13.5" customHeight="1">
      <c r="A714" s="754"/>
      <c r="B714" s="504"/>
      <c r="C714" s="495">
        <v>1</v>
      </c>
      <c r="D714" s="496"/>
      <c r="E714" s="497">
        <f>C714</f>
        <v>1</v>
      </c>
      <c r="F714" s="20"/>
      <c r="G714" s="17"/>
      <c r="H714" s="494"/>
      <c r="I714" s="247"/>
    </row>
    <row r="715" spans="1:9" s="246" customFormat="1" ht="13.5" customHeight="1">
      <c r="A715" s="754"/>
      <c r="B715" s="258"/>
      <c r="C715" s="405" t="s">
        <v>39</v>
      </c>
      <c r="D715" s="499"/>
      <c r="E715" s="500">
        <f>SUM(E714:E714)</f>
        <v>1</v>
      </c>
      <c r="F715" s="20"/>
      <c r="G715" s="17"/>
      <c r="H715" s="494"/>
      <c r="I715" s="247"/>
    </row>
    <row r="716" spans="1:8" ht="12.75">
      <c r="A716" s="754"/>
      <c r="B716" s="513"/>
      <c r="C716" s="395"/>
      <c r="D716" s="354"/>
      <c r="E716" s="349"/>
      <c r="F716" s="207"/>
      <c r="G716" s="23"/>
      <c r="H716" s="205"/>
    </row>
    <row r="717" spans="1:8" ht="12.75">
      <c r="A717" s="754"/>
      <c r="B717" s="514"/>
      <c r="C717" s="395" t="s">
        <v>1309</v>
      </c>
      <c r="D717" s="354"/>
      <c r="E717" s="349"/>
      <c r="F717" s="207"/>
      <c r="G717" s="23"/>
      <c r="H717" s="397">
        <f>H718</f>
        <v>0</v>
      </c>
    </row>
    <row r="718" spans="1:8" ht="12.75">
      <c r="A718" s="754">
        <v>1</v>
      </c>
      <c r="B718" s="422" t="s">
        <v>1217</v>
      </c>
      <c r="C718" s="422" t="s">
        <v>1218</v>
      </c>
      <c r="D718" s="354"/>
      <c r="E718" s="466" t="s">
        <v>45</v>
      </c>
      <c r="F718" s="424">
        <f>E720</f>
        <v>1</v>
      </c>
      <c r="G718" s="23"/>
      <c r="H718" s="205">
        <f>F718*G718</f>
        <v>0</v>
      </c>
    </row>
    <row r="719" spans="1:8" s="204" customFormat="1" ht="12">
      <c r="A719" s="755"/>
      <c r="B719" s="400"/>
      <c r="C719" s="401">
        <v>1</v>
      </c>
      <c r="D719" s="402"/>
      <c r="E719" s="403">
        <f>C719</f>
        <v>1</v>
      </c>
      <c r="F719" s="208"/>
      <c r="G719" s="202"/>
      <c r="H719" s="203"/>
    </row>
    <row r="720" spans="1:8" s="204" customFormat="1" ht="12">
      <c r="A720" s="755"/>
      <c r="B720" s="404"/>
      <c r="C720" s="405" t="s">
        <v>39</v>
      </c>
      <c r="D720" s="406"/>
      <c r="E720" s="407">
        <f>E719</f>
        <v>1</v>
      </c>
      <c r="F720" s="208"/>
      <c r="G720" s="202"/>
      <c r="H720" s="203"/>
    </row>
    <row r="721" spans="1:8" ht="12.75">
      <c r="A721" s="754"/>
      <c r="B721" s="454"/>
      <c r="C721" s="465"/>
      <c r="D721" s="354"/>
      <c r="E721" s="466"/>
      <c r="F721" s="424"/>
      <c r="G721" s="23"/>
      <c r="H721" s="205"/>
    </row>
    <row r="722" spans="1:8" ht="12.75">
      <c r="A722" s="754"/>
      <c r="B722" s="454"/>
      <c r="C722" s="353" t="s">
        <v>49</v>
      </c>
      <c r="D722" s="354"/>
      <c r="E722" s="349"/>
      <c r="F722" s="207"/>
      <c r="G722" s="23"/>
      <c r="H722" s="205"/>
    </row>
    <row r="723" spans="1:8" ht="12.75">
      <c r="A723" s="754"/>
      <c r="B723" s="454"/>
      <c r="C723" s="395" t="s">
        <v>57</v>
      </c>
      <c r="D723" s="515" t="s">
        <v>1220</v>
      </c>
      <c r="E723" s="349"/>
      <c r="F723" s="207"/>
      <c r="G723" s="23"/>
      <c r="H723" s="397">
        <f>SUM(H724:H754)</f>
        <v>0</v>
      </c>
    </row>
    <row r="724" spans="1:8" ht="25.5">
      <c r="A724" s="754">
        <v>1</v>
      </c>
      <c r="B724" s="352" t="s">
        <v>357</v>
      </c>
      <c r="C724" s="357" t="s">
        <v>358</v>
      </c>
      <c r="D724" s="398" t="s">
        <v>361</v>
      </c>
      <c r="E724" s="399" t="s">
        <v>40</v>
      </c>
      <c r="F724" s="210">
        <f>E726</f>
        <v>21.058</v>
      </c>
      <c r="G724" s="23"/>
      <c r="H724" s="205">
        <f>F724*G724</f>
        <v>0</v>
      </c>
    </row>
    <row r="725" spans="1:8" s="204" customFormat="1" ht="35.25" customHeight="1">
      <c r="A725" s="755"/>
      <c r="B725" s="408" t="s">
        <v>359</v>
      </c>
      <c r="C725" s="409" t="s">
        <v>360</v>
      </c>
      <c r="D725" s="516"/>
      <c r="E725" s="445">
        <f>(2.32*2.65)+(2.65+2.65+2.32+2.32)*1.5</f>
        <v>21.058</v>
      </c>
      <c r="F725" s="480"/>
      <c r="G725" s="481"/>
      <c r="H725" s="482"/>
    </row>
    <row r="726" spans="1:8" s="204" customFormat="1" ht="12">
      <c r="A726" s="755"/>
      <c r="B726" s="404"/>
      <c r="C726" s="413" t="s">
        <v>39</v>
      </c>
      <c r="D726" s="406"/>
      <c r="E726" s="414">
        <f>SUM(E725:E725)</f>
        <v>21.058</v>
      </c>
      <c r="F726" s="208"/>
      <c r="G726" s="202"/>
      <c r="H726" s="203"/>
    </row>
    <row r="727" spans="1:8" s="204" customFormat="1" ht="12">
      <c r="A727" s="755"/>
      <c r="B727" s="404"/>
      <c r="C727" s="413"/>
      <c r="D727" s="406"/>
      <c r="E727" s="414"/>
      <c r="F727" s="208"/>
      <c r="G727" s="202"/>
      <c r="H727" s="203"/>
    </row>
    <row r="728" spans="1:8" ht="29.25" customHeight="1">
      <c r="A728" s="754">
        <v>2</v>
      </c>
      <c r="B728" s="352" t="s">
        <v>984</v>
      </c>
      <c r="C728" s="357" t="s">
        <v>985</v>
      </c>
      <c r="D728" s="398" t="s">
        <v>986</v>
      </c>
      <c r="E728" s="399" t="s">
        <v>44</v>
      </c>
      <c r="F728" s="210">
        <f>E730</f>
        <v>122.8</v>
      </c>
      <c r="G728" s="23"/>
      <c r="H728" s="205">
        <f>F728*G728</f>
        <v>0</v>
      </c>
    </row>
    <row r="729" spans="1:8" s="204" customFormat="1" ht="48">
      <c r="A729" s="755"/>
      <c r="B729" s="415" t="s">
        <v>982</v>
      </c>
      <c r="C729" s="401" t="s">
        <v>987</v>
      </c>
      <c r="D729" s="402"/>
      <c r="E729" s="403">
        <f>(25.2+70.1+12.5+15)</f>
        <v>122.8</v>
      </c>
      <c r="F729" s="208"/>
      <c r="G729" s="202"/>
      <c r="H729" s="203"/>
    </row>
    <row r="730" spans="1:8" s="204" customFormat="1" ht="12">
      <c r="A730" s="755"/>
      <c r="B730" s="404"/>
      <c r="C730" s="413" t="s">
        <v>39</v>
      </c>
      <c r="D730" s="406"/>
      <c r="E730" s="414">
        <f>SUM(E729:E729)</f>
        <v>122.8</v>
      </c>
      <c r="F730" s="208"/>
      <c r="G730" s="202"/>
      <c r="H730" s="203"/>
    </row>
    <row r="731" spans="1:8" ht="12.75">
      <c r="A731" s="754"/>
      <c r="B731" s="394"/>
      <c r="C731" s="395"/>
      <c r="D731" s="358"/>
      <c r="E731" s="396"/>
      <c r="F731" s="209"/>
      <c r="G731" s="23"/>
      <c r="H731" s="205"/>
    </row>
    <row r="732" spans="1:8" ht="13.5" customHeight="1">
      <c r="A732" s="754">
        <v>3</v>
      </c>
      <c r="B732" s="352" t="s">
        <v>1001</v>
      </c>
      <c r="C732" s="357" t="s">
        <v>1002</v>
      </c>
      <c r="D732" s="398" t="s">
        <v>18</v>
      </c>
      <c r="E732" s="399" t="s">
        <v>45</v>
      </c>
      <c r="F732" s="210">
        <f>E734</f>
        <v>1</v>
      </c>
      <c r="G732" s="23"/>
      <c r="H732" s="205">
        <f>F732*G732</f>
        <v>0</v>
      </c>
    </row>
    <row r="733" spans="1:8" s="204" customFormat="1" ht="12">
      <c r="A733" s="755"/>
      <c r="B733" s="415"/>
      <c r="C733" s="401">
        <v>1</v>
      </c>
      <c r="D733" s="402"/>
      <c r="E733" s="403">
        <f>C733</f>
        <v>1</v>
      </c>
      <c r="F733" s="208"/>
      <c r="G733" s="202"/>
      <c r="H733" s="203"/>
    </row>
    <row r="734" spans="1:8" s="204" customFormat="1" ht="12">
      <c r="A734" s="755"/>
      <c r="B734" s="404"/>
      <c r="C734" s="413" t="s">
        <v>39</v>
      </c>
      <c r="D734" s="406"/>
      <c r="E734" s="414">
        <f>SUM(E733:E733)</f>
        <v>1</v>
      </c>
      <c r="F734" s="208"/>
      <c r="G734" s="202"/>
      <c r="H734" s="203"/>
    </row>
    <row r="735" spans="1:8" ht="12.75">
      <c r="A735" s="754"/>
      <c r="B735" s="394"/>
      <c r="C735" s="395"/>
      <c r="D735" s="358"/>
      <c r="E735" s="396"/>
      <c r="F735" s="209"/>
      <c r="G735" s="23"/>
      <c r="H735" s="205"/>
    </row>
    <row r="736" spans="1:8" ht="27" customHeight="1">
      <c r="A736" s="754">
        <v>4</v>
      </c>
      <c r="B736" s="352" t="s">
        <v>1003</v>
      </c>
      <c r="C736" s="357" t="s">
        <v>1004</v>
      </c>
      <c r="D736" s="398" t="s">
        <v>1005</v>
      </c>
      <c r="E736" s="399" t="s">
        <v>40</v>
      </c>
      <c r="F736" s="210">
        <f>E740</f>
        <v>355.3999999999997</v>
      </c>
      <c r="G736" s="23"/>
      <c r="H736" s="205">
        <f>F736*G736</f>
        <v>0</v>
      </c>
    </row>
    <row r="737" spans="1:8" s="204" customFormat="1" ht="26.25" customHeight="1">
      <c r="A737" s="755"/>
      <c r="B737" s="428" t="s">
        <v>971</v>
      </c>
      <c r="C737" s="429">
        <v>766.4199999999997</v>
      </c>
      <c r="D737" s="430"/>
      <c r="E737" s="403">
        <v>766.4199999999997</v>
      </c>
      <c r="F737" s="457"/>
      <c r="G737" s="458"/>
      <c r="H737" s="459"/>
    </row>
    <row r="738" spans="1:8" s="204" customFormat="1" ht="27.75" customHeight="1">
      <c r="A738" s="755"/>
      <c r="B738" s="428" t="s">
        <v>972</v>
      </c>
      <c r="C738" s="429">
        <v>190.51</v>
      </c>
      <c r="D738" s="430"/>
      <c r="E738" s="403">
        <v>-190.51</v>
      </c>
      <c r="F738" s="457"/>
      <c r="G738" s="458"/>
      <c r="H738" s="459"/>
    </row>
    <row r="739" spans="1:8" s="204" customFormat="1" ht="37.5" customHeight="1">
      <c r="A739" s="755"/>
      <c r="B739" s="428" t="s">
        <v>973</v>
      </c>
      <c r="C739" s="429">
        <v>220.51000000000005</v>
      </c>
      <c r="D739" s="430"/>
      <c r="E739" s="403">
        <v>-220.51000000000005</v>
      </c>
      <c r="F739" s="457"/>
      <c r="G739" s="458"/>
      <c r="H739" s="459"/>
    </row>
    <row r="740" spans="1:8" s="204" customFormat="1" ht="12">
      <c r="A740" s="755"/>
      <c r="B740" s="404"/>
      <c r="C740" s="413" t="s">
        <v>39</v>
      </c>
      <c r="D740" s="406"/>
      <c r="E740" s="414">
        <f>SUM(E737:E739)</f>
        <v>355.3999999999997</v>
      </c>
      <c r="F740" s="208"/>
      <c r="G740" s="202"/>
      <c r="H740" s="203"/>
    </row>
    <row r="741" spans="1:8" ht="12.75">
      <c r="A741" s="754"/>
      <c r="B741" s="394"/>
      <c r="C741" s="395"/>
      <c r="D741" s="358"/>
      <c r="E741" s="396"/>
      <c r="F741" s="209"/>
      <c r="G741" s="23"/>
      <c r="H741" s="205"/>
    </row>
    <row r="742" spans="1:8" ht="24">
      <c r="A742" s="754">
        <v>5</v>
      </c>
      <c r="B742" s="455" t="s">
        <v>1061</v>
      </c>
      <c r="C742" s="353" t="s">
        <v>1066</v>
      </c>
      <c r="D742" s="398" t="s">
        <v>1062</v>
      </c>
      <c r="E742" s="399" t="s">
        <v>40</v>
      </c>
      <c r="F742" s="210">
        <f>E746</f>
        <v>166.45</v>
      </c>
      <c r="G742" s="23"/>
      <c r="H742" s="205">
        <f>F742*G742</f>
        <v>0</v>
      </c>
    </row>
    <row r="743" spans="1:8" s="434" customFormat="1" ht="12">
      <c r="A743" s="756"/>
      <c r="B743" s="428"/>
      <c r="C743" s="429" t="s">
        <v>292</v>
      </c>
      <c r="D743" s="430"/>
      <c r="E743" s="431"/>
      <c r="F743" s="432"/>
      <c r="G743" s="432"/>
      <c r="H743" s="433"/>
    </row>
    <row r="744" spans="1:8" s="434" customFormat="1" ht="12">
      <c r="A744" s="756"/>
      <c r="B744" s="428" t="s">
        <v>43</v>
      </c>
      <c r="C744" s="429">
        <f>'Legenda místností'!S89</f>
        <v>64.18</v>
      </c>
      <c r="D744" s="430"/>
      <c r="E744" s="431">
        <f>C744</f>
        <v>64.18</v>
      </c>
      <c r="F744" s="432"/>
      <c r="G744" s="432"/>
      <c r="H744" s="433"/>
    </row>
    <row r="745" spans="1:8" s="434" customFormat="1" ht="12">
      <c r="A745" s="756"/>
      <c r="B745" s="428" t="s">
        <v>42</v>
      </c>
      <c r="C745" s="429">
        <f>'Legenda místností'!S186</f>
        <v>102.27</v>
      </c>
      <c r="D745" s="430"/>
      <c r="E745" s="431">
        <f>C745</f>
        <v>102.27</v>
      </c>
      <c r="F745" s="432"/>
      <c r="G745" s="432"/>
      <c r="H745" s="433"/>
    </row>
    <row r="746" spans="1:8" s="204" customFormat="1" ht="12">
      <c r="A746" s="755"/>
      <c r="B746" s="404"/>
      <c r="C746" s="405" t="s">
        <v>39</v>
      </c>
      <c r="D746" s="406"/>
      <c r="E746" s="407">
        <f>SUM(E743:E745)</f>
        <v>166.45</v>
      </c>
      <c r="F746" s="208"/>
      <c r="G746" s="202"/>
      <c r="H746" s="203"/>
    </row>
    <row r="747" spans="1:8" s="204" customFormat="1" ht="12">
      <c r="A747" s="755"/>
      <c r="B747" s="404"/>
      <c r="C747" s="405"/>
      <c r="D747" s="406"/>
      <c r="E747" s="407"/>
      <c r="F747" s="208"/>
      <c r="G747" s="202"/>
      <c r="H747" s="203"/>
    </row>
    <row r="748" spans="1:8" ht="24">
      <c r="A748" s="754">
        <v>6</v>
      </c>
      <c r="B748" s="455" t="s">
        <v>1063</v>
      </c>
      <c r="C748" s="353" t="s">
        <v>1064</v>
      </c>
      <c r="D748" s="398" t="s">
        <v>1065</v>
      </c>
      <c r="E748" s="399" t="s">
        <v>40</v>
      </c>
      <c r="F748" s="210">
        <f>E752</f>
        <v>158.718</v>
      </c>
      <c r="G748" s="23"/>
      <c r="H748" s="205">
        <f>F748*G748</f>
        <v>0</v>
      </c>
    </row>
    <row r="749" spans="1:8" s="204" customFormat="1" ht="12">
      <c r="A749" s="755"/>
      <c r="B749" s="428"/>
      <c r="C749" s="429" t="s">
        <v>292</v>
      </c>
      <c r="D749" s="430"/>
      <c r="E749" s="431"/>
      <c r="F749" s="208"/>
      <c r="G749" s="202"/>
      <c r="H749" s="203"/>
    </row>
    <row r="750" spans="1:8" s="204" customFormat="1" ht="12">
      <c r="A750" s="755"/>
      <c r="B750" s="428" t="s">
        <v>43</v>
      </c>
      <c r="C750" s="429">
        <f>'Legenda místností'!R89</f>
        <v>50.257999999999996</v>
      </c>
      <c r="D750" s="430"/>
      <c r="E750" s="431">
        <f>C750</f>
        <v>50.257999999999996</v>
      </c>
      <c r="F750" s="208"/>
      <c r="G750" s="202"/>
      <c r="H750" s="203"/>
    </row>
    <row r="751" spans="1:8" s="204" customFormat="1" ht="12">
      <c r="A751" s="755"/>
      <c r="B751" s="428" t="s">
        <v>42</v>
      </c>
      <c r="C751" s="429">
        <f>'Legenda místností'!R186</f>
        <v>108.46</v>
      </c>
      <c r="D751" s="430"/>
      <c r="E751" s="431">
        <f>C751</f>
        <v>108.46</v>
      </c>
      <c r="F751" s="208"/>
      <c r="G751" s="202"/>
      <c r="H751" s="203"/>
    </row>
    <row r="752" spans="1:8" s="204" customFormat="1" ht="12">
      <c r="A752" s="755"/>
      <c r="B752" s="404"/>
      <c r="C752" s="405" t="s">
        <v>39</v>
      </c>
      <c r="D752" s="406"/>
      <c r="E752" s="407">
        <f>SUM(E749:E751)</f>
        <v>158.718</v>
      </c>
      <c r="F752" s="208"/>
      <c r="G752" s="202"/>
      <c r="H752" s="203"/>
    </row>
    <row r="753" spans="1:8" ht="12.75">
      <c r="A753" s="754"/>
      <c r="B753" s="351"/>
      <c r="C753" s="355"/>
      <c r="D753" s="356"/>
      <c r="E753" s="350"/>
      <c r="F753" s="207"/>
      <c r="G753" s="23"/>
      <c r="H753" s="205"/>
    </row>
    <row r="754" spans="1:8" ht="25.5">
      <c r="A754" s="754">
        <v>7</v>
      </c>
      <c r="B754" s="421" t="s">
        <v>59</v>
      </c>
      <c r="C754" s="422" t="s">
        <v>1067</v>
      </c>
      <c r="D754" s="517"/>
      <c r="E754" s="518" t="s">
        <v>50</v>
      </c>
      <c r="F754" s="210">
        <f>SUM(H724:H753)/100</f>
        <v>0</v>
      </c>
      <c r="G754" s="23"/>
      <c r="H754" s="205">
        <f>F754*G754</f>
        <v>0</v>
      </c>
    </row>
    <row r="755" spans="1:8" ht="12.75">
      <c r="A755" s="754"/>
      <c r="B755" s="471"/>
      <c r="C755" s="395"/>
      <c r="D755" s="354"/>
      <c r="E755" s="349"/>
      <c r="F755" s="207"/>
      <c r="G755" s="23"/>
      <c r="H755" s="205"/>
    </row>
    <row r="756" spans="1:8" ht="12.75">
      <c r="A756" s="754"/>
      <c r="B756" s="454"/>
      <c r="C756" s="395" t="s">
        <v>58</v>
      </c>
      <c r="D756" s="515" t="s">
        <v>1220</v>
      </c>
      <c r="E756" s="349"/>
      <c r="F756" s="207"/>
      <c r="G756" s="23"/>
      <c r="H756" s="397">
        <f>SUM(H757:H770)</f>
        <v>0</v>
      </c>
    </row>
    <row r="757" spans="1:8" ht="24">
      <c r="A757" s="754">
        <v>1</v>
      </c>
      <c r="B757" s="352" t="s">
        <v>1245</v>
      </c>
      <c r="C757" s="519" t="s">
        <v>1247</v>
      </c>
      <c r="D757" s="398" t="s">
        <v>1278</v>
      </c>
      <c r="E757" s="520" t="s">
        <v>40</v>
      </c>
      <c r="F757" s="521">
        <f>E759</f>
        <v>1263.091</v>
      </c>
      <c r="G757" s="23"/>
      <c r="H757" s="522">
        <f>F757*G757</f>
        <v>0</v>
      </c>
    </row>
    <row r="758" spans="1:8" s="434" customFormat="1" ht="12">
      <c r="A758" s="756"/>
      <c r="B758" s="400" t="s">
        <v>1246</v>
      </c>
      <c r="C758" s="429" t="s">
        <v>1248</v>
      </c>
      <c r="D758" s="430"/>
      <c r="E758" s="431">
        <f>(11.94*25.21+16.56*10.45+12.345*25.3+16.395*10+12.98*24.095)</f>
        <v>1263.091</v>
      </c>
      <c r="F758" s="432"/>
      <c r="G758" s="432"/>
      <c r="H758" s="433"/>
    </row>
    <row r="759" spans="1:8" s="204" customFormat="1" ht="12">
      <c r="A759" s="755"/>
      <c r="B759" s="456"/>
      <c r="C759" s="405" t="s">
        <v>39</v>
      </c>
      <c r="D759" s="487"/>
      <c r="E759" s="407">
        <f>SUM(E758:E758)</f>
        <v>1263.091</v>
      </c>
      <c r="F759" s="523"/>
      <c r="G759" s="524"/>
      <c r="H759" s="525"/>
    </row>
    <row r="760" spans="1:8" ht="12.75">
      <c r="A760" s="754"/>
      <c r="B760" s="454"/>
      <c r="C760" s="395"/>
      <c r="D760" s="354"/>
      <c r="E760" s="349"/>
      <c r="F760" s="207"/>
      <c r="G760" s="23"/>
      <c r="H760" s="205"/>
    </row>
    <row r="761" spans="1:8" ht="28.5" customHeight="1">
      <c r="A761" s="754">
        <v>2</v>
      </c>
      <c r="B761" s="352" t="s">
        <v>1244</v>
      </c>
      <c r="C761" s="357" t="s">
        <v>1243</v>
      </c>
      <c r="D761" s="398" t="s">
        <v>1279</v>
      </c>
      <c r="E761" s="399" t="s">
        <v>44</v>
      </c>
      <c r="F761" s="210">
        <f>E763</f>
        <v>122.8</v>
      </c>
      <c r="G761" s="23"/>
      <c r="H761" s="205">
        <f>F761*G761</f>
        <v>0</v>
      </c>
    </row>
    <row r="762" spans="1:8" s="204" customFormat="1" ht="48">
      <c r="A762" s="755"/>
      <c r="B762" s="415" t="s">
        <v>982</v>
      </c>
      <c r="C762" s="401" t="s">
        <v>987</v>
      </c>
      <c r="D762" s="402"/>
      <c r="E762" s="403">
        <f>(25.2+70.1+12.5+15)</f>
        <v>122.8</v>
      </c>
      <c r="F762" s="208"/>
      <c r="G762" s="202"/>
      <c r="H762" s="203"/>
    </row>
    <row r="763" spans="1:8" s="204" customFormat="1" ht="12">
      <c r="A763" s="755"/>
      <c r="B763" s="404"/>
      <c r="C763" s="413" t="s">
        <v>39</v>
      </c>
      <c r="D763" s="406"/>
      <c r="E763" s="414">
        <f>SUM(E762:E762)</f>
        <v>122.8</v>
      </c>
      <c r="F763" s="208"/>
      <c r="G763" s="202"/>
      <c r="H763" s="203"/>
    </row>
    <row r="764" spans="1:8" ht="12.75">
      <c r="A764" s="754"/>
      <c r="B764" s="394"/>
      <c r="C764" s="395"/>
      <c r="D764" s="358"/>
      <c r="E764" s="396"/>
      <c r="F764" s="209"/>
      <c r="G764" s="23"/>
      <c r="H764" s="205"/>
    </row>
    <row r="765" spans="1:8" ht="24">
      <c r="A765" s="754">
        <v>3</v>
      </c>
      <c r="B765" s="352" t="s">
        <v>1249</v>
      </c>
      <c r="C765" s="519" t="s">
        <v>1250</v>
      </c>
      <c r="D765" s="398" t="s">
        <v>1279</v>
      </c>
      <c r="E765" s="520" t="s">
        <v>40</v>
      </c>
      <c r="F765" s="521">
        <f>E768</f>
        <v>1784.8899999999999</v>
      </c>
      <c r="G765" s="23"/>
      <c r="H765" s="522">
        <f>F765*G765</f>
        <v>0</v>
      </c>
    </row>
    <row r="766" spans="1:8" s="434" customFormat="1" ht="12">
      <c r="A766" s="756"/>
      <c r="B766" s="400" t="s">
        <v>43</v>
      </c>
      <c r="C766" s="429">
        <f>'Legenda místností'!D89</f>
        <v>824.0599999999997</v>
      </c>
      <c r="D766" s="430"/>
      <c r="E766" s="431">
        <f>C766</f>
        <v>824.0599999999997</v>
      </c>
      <c r="F766" s="432"/>
      <c r="G766" s="432"/>
      <c r="H766" s="433"/>
    </row>
    <row r="767" spans="1:8" s="434" customFormat="1" ht="12">
      <c r="A767" s="756"/>
      <c r="B767" s="400" t="s">
        <v>42</v>
      </c>
      <c r="C767" s="429">
        <f>'Legenda místností'!D186</f>
        <v>960.83</v>
      </c>
      <c r="D767" s="430"/>
      <c r="E767" s="431">
        <f>C767</f>
        <v>960.83</v>
      </c>
      <c r="F767" s="432"/>
      <c r="G767" s="432"/>
      <c r="H767" s="433"/>
    </row>
    <row r="768" spans="1:8" s="204" customFormat="1" ht="12">
      <c r="A768" s="755"/>
      <c r="B768" s="456"/>
      <c r="C768" s="405" t="s">
        <v>39</v>
      </c>
      <c r="D768" s="487"/>
      <c r="E768" s="407">
        <f>SUM(E766:E767)</f>
        <v>1784.8899999999999</v>
      </c>
      <c r="F768" s="523"/>
      <c r="G768" s="524"/>
      <c r="H768" s="525"/>
    </row>
    <row r="769" spans="1:8" s="204" customFormat="1" ht="12">
      <c r="A769" s="755"/>
      <c r="B769" s="456"/>
      <c r="C769" s="405"/>
      <c r="D769" s="487"/>
      <c r="E769" s="407"/>
      <c r="F769" s="523"/>
      <c r="G769" s="524"/>
      <c r="H769" s="525"/>
    </row>
    <row r="770" spans="1:8" ht="12.75">
      <c r="A770" s="754">
        <v>4</v>
      </c>
      <c r="B770" s="421" t="s">
        <v>3</v>
      </c>
      <c r="C770" s="422" t="s">
        <v>1025</v>
      </c>
      <c r="D770" s="517"/>
      <c r="E770" s="526" t="s">
        <v>50</v>
      </c>
      <c r="F770" s="216">
        <f>SUM(H757:H769)/100</f>
        <v>0</v>
      </c>
      <c r="G770" s="23"/>
      <c r="H770" s="205">
        <f>F770*G770</f>
        <v>0</v>
      </c>
    </row>
    <row r="771" spans="1:8" ht="12.75">
      <c r="A771" s="754"/>
      <c r="B771" s="454"/>
      <c r="C771" s="353"/>
      <c r="D771" s="354"/>
      <c r="E771" s="349"/>
      <c r="F771" s="207"/>
      <c r="G771" s="23"/>
      <c r="H771" s="205"/>
    </row>
    <row r="772" spans="1:8" ht="12.75">
      <c r="A772" s="754"/>
      <c r="B772" s="454"/>
      <c r="C772" s="395" t="s">
        <v>1019</v>
      </c>
      <c r="D772" s="354"/>
      <c r="E772" s="349"/>
      <c r="F772" s="207"/>
      <c r="G772" s="23"/>
      <c r="H772" s="397">
        <f>SUM(H773:H777)</f>
        <v>0</v>
      </c>
    </row>
    <row r="773" spans="1:8" ht="25.5">
      <c r="A773" s="754">
        <v>1</v>
      </c>
      <c r="B773" s="464" t="s">
        <v>1020</v>
      </c>
      <c r="C773" s="519" t="s">
        <v>1021</v>
      </c>
      <c r="D773" s="527"/>
      <c r="E773" s="520" t="s">
        <v>45</v>
      </c>
      <c r="F773" s="521">
        <f>E775</f>
        <v>1</v>
      </c>
      <c r="G773" s="23"/>
      <c r="H773" s="522">
        <f>F773*G773</f>
        <v>0</v>
      </c>
    </row>
    <row r="774" spans="1:8" s="204" customFormat="1" ht="12">
      <c r="A774" s="755"/>
      <c r="B774" s="400" t="s">
        <v>1022</v>
      </c>
      <c r="C774" s="401">
        <v>1</v>
      </c>
      <c r="D774" s="489"/>
      <c r="E774" s="403">
        <f>C774</f>
        <v>1</v>
      </c>
      <c r="F774" s="457"/>
      <c r="G774" s="458"/>
      <c r="H774" s="459"/>
    </row>
    <row r="775" spans="1:8" ht="12.75">
      <c r="A775" s="754"/>
      <c r="B775" s="528"/>
      <c r="C775" s="355" t="s">
        <v>39</v>
      </c>
      <c r="D775" s="529"/>
      <c r="E775" s="350">
        <f>E774</f>
        <v>1</v>
      </c>
      <c r="F775" s="530"/>
      <c r="G775" s="531"/>
      <c r="H775" s="532"/>
    </row>
    <row r="776" spans="1:8" ht="12.75">
      <c r="A776" s="754"/>
      <c r="B776" s="454"/>
      <c r="C776" s="395"/>
      <c r="D776" s="354"/>
      <c r="E776" s="349"/>
      <c r="F776" s="207"/>
      <c r="G776" s="23"/>
      <c r="H776" s="205"/>
    </row>
    <row r="777" spans="1:8" ht="25.5">
      <c r="A777" s="754">
        <v>2</v>
      </c>
      <c r="B777" s="421" t="s">
        <v>1023</v>
      </c>
      <c r="C777" s="422" t="s">
        <v>1024</v>
      </c>
      <c r="D777" s="517"/>
      <c r="E777" s="526" t="s">
        <v>50</v>
      </c>
      <c r="F777" s="216">
        <f>SUM(H773:H776)/100</f>
        <v>0</v>
      </c>
      <c r="G777" s="23"/>
      <c r="H777" s="205">
        <f>F777*G777</f>
        <v>0</v>
      </c>
    </row>
    <row r="778" spans="1:8" ht="12.75">
      <c r="A778" s="754"/>
      <c r="B778" s="454"/>
      <c r="C778" s="353"/>
      <c r="D778" s="354"/>
      <c r="E778" s="349"/>
      <c r="F778" s="207"/>
      <c r="G778" s="23"/>
      <c r="H778" s="205"/>
    </row>
    <row r="779" spans="1:8" ht="12.75" customHeight="1">
      <c r="A779" s="754"/>
      <c r="B779" s="533"/>
      <c r="C779" s="395" t="s">
        <v>366</v>
      </c>
      <c r="D779" s="515" t="s">
        <v>1220</v>
      </c>
      <c r="E779" s="349"/>
      <c r="F779" s="207"/>
      <c r="G779" s="23"/>
      <c r="H779" s="397">
        <f>SUM(H780:H787)</f>
        <v>0</v>
      </c>
    </row>
    <row r="780" spans="1:8" ht="24">
      <c r="A780" s="754">
        <v>1</v>
      </c>
      <c r="B780" s="352" t="s">
        <v>367</v>
      </c>
      <c r="C780" s="357" t="s">
        <v>369</v>
      </c>
      <c r="D780" s="398" t="s">
        <v>368</v>
      </c>
      <c r="E780" s="399" t="s">
        <v>45</v>
      </c>
      <c r="F780" s="210">
        <f>E782</f>
        <v>1</v>
      </c>
      <c r="G780" s="23"/>
      <c r="H780" s="205">
        <f>F780*G780</f>
        <v>0</v>
      </c>
    </row>
    <row r="781" spans="1:8" s="434" customFormat="1" ht="12">
      <c r="A781" s="756"/>
      <c r="B781" s="428"/>
      <c r="C781" s="429">
        <v>1</v>
      </c>
      <c r="D781" s="430"/>
      <c r="E781" s="431">
        <f>C781</f>
        <v>1</v>
      </c>
      <c r="F781" s="432"/>
      <c r="G781" s="432"/>
      <c r="H781" s="433"/>
    </row>
    <row r="782" spans="1:8" s="204" customFormat="1" ht="12">
      <c r="A782" s="755"/>
      <c r="B782" s="404"/>
      <c r="C782" s="405" t="s">
        <v>39</v>
      </c>
      <c r="D782" s="406"/>
      <c r="E782" s="407">
        <f>SUM(E781:E781)</f>
        <v>1</v>
      </c>
      <c r="F782" s="208"/>
      <c r="G782" s="202"/>
      <c r="H782" s="203"/>
    </row>
    <row r="783" spans="1:8" s="204" customFormat="1" ht="12">
      <c r="A783" s="755"/>
      <c r="B783" s="404"/>
      <c r="C783" s="405"/>
      <c r="D783" s="406"/>
      <c r="E783" s="407"/>
      <c r="F783" s="208"/>
      <c r="G783" s="202"/>
      <c r="H783" s="203"/>
    </row>
    <row r="784" spans="1:8" ht="24">
      <c r="A784" s="754">
        <v>2</v>
      </c>
      <c r="B784" s="352" t="s">
        <v>370</v>
      </c>
      <c r="C784" s="357" t="s">
        <v>371</v>
      </c>
      <c r="D784" s="398" t="s">
        <v>368</v>
      </c>
      <c r="E784" s="399" t="s">
        <v>45</v>
      </c>
      <c r="F784" s="210">
        <f>E786</f>
        <v>1</v>
      </c>
      <c r="G784" s="23"/>
      <c r="H784" s="205">
        <f>F784*G784</f>
        <v>0</v>
      </c>
    </row>
    <row r="785" spans="1:8" s="434" customFormat="1" ht="12">
      <c r="A785" s="756"/>
      <c r="B785" s="428"/>
      <c r="C785" s="429">
        <v>1</v>
      </c>
      <c r="D785" s="430"/>
      <c r="E785" s="431">
        <f>C785</f>
        <v>1</v>
      </c>
      <c r="F785" s="432"/>
      <c r="G785" s="432"/>
      <c r="H785" s="433"/>
    </row>
    <row r="786" spans="1:8" s="204" customFormat="1" ht="12">
      <c r="A786" s="755"/>
      <c r="B786" s="404"/>
      <c r="C786" s="405" t="s">
        <v>39</v>
      </c>
      <c r="D786" s="406"/>
      <c r="E786" s="407">
        <f>SUM(E785:E785)</f>
        <v>1</v>
      </c>
      <c r="F786" s="208"/>
      <c r="G786" s="202"/>
      <c r="H786" s="203"/>
    </row>
    <row r="787" spans="1:8" s="204" customFormat="1" ht="12">
      <c r="A787" s="755"/>
      <c r="B787" s="404"/>
      <c r="C787" s="405"/>
      <c r="D787" s="406"/>
      <c r="E787" s="407"/>
      <c r="F787" s="208"/>
      <c r="G787" s="202"/>
      <c r="H787" s="203"/>
    </row>
    <row r="788" spans="1:8" ht="17.25" customHeight="1">
      <c r="A788" s="754"/>
      <c r="B788" s="533"/>
      <c r="C788" s="395" t="s">
        <v>72</v>
      </c>
      <c r="D788" s="515" t="s">
        <v>1220</v>
      </c>
      <c r="E788" s="349"/>
      <c r="F788" s="207"/>
      <c r="G788" s="23"/>
      <c r="H788" s="397">
        <f>SUM(H789:H828)</f>
        <v>0</v>
      </c>
    </row>
    <row r="789" spans="1:8" ht="25.5">
      <c r="A789" s="754">
        <v>1</v>
      </c>
      <c r="B789" s="352" t="s">
        <v>392</v>
      </c>
      <c r="C789" s="357" t="s">
        <v>394</v>
      </c>
      <c r="D789" s="398" t="s">
        <v>804</v>
      </c>
      <c r="E789" s="399" t="s">
        <v>40</v>
      </c>
      <c r="F789" s="210">
        <f>E792</f>
        <v>7.6850000000000005</v>
      </c>
      <c r="G789" s="23"/>
      <c r="H789" s="205">
        <f>F789*G789</f>
        <v>0</v>
      </c>
    </row>
    <row r="790" spans="1:8" s="434" customFormat="1" ht="24">
      <c r="A790" s="756"/>
      <c r="B790" s="415" t="s">
        <v>393</v>
      </c>
      <c r="C790" s="429" t="s">
        <v>395</v>
      </c>
      <c r="D790" s="430"/>
      <c r="E790" s="431">
        <f>(1.5*3.4+2.35*1.1)</f>
        <v>7.6850000000000005</v>
      </c>
      <c r="F790" s="432"/>
      <c r="G790" s="432"/>
      <c r="H790" s="433"/>
    </row>
    <row r="791" spans="1:8" s="434" customFormat="1" ht="12">
      <c r="A791" s="756"/>
      <c r="B791" s="428"/>
      <c r="C791" s="429"/>
      <c r="D791" s="430"/>
      <c r="E791" s="431"/>
      <c r="F791" s="432"/>
      <c r="G791" s="432"/>
      <c r="H791" s="433"/>
    </row>
    <row r="792" spans="1:8" s="204" customFormat="1" ht="12">
      <c r="A792" s="755"/>
      <c r="B792" s="404"/>
      <c r="C792" s="405" t="s">
        <v>39</v>
      </c>
      <c r="D792" s="406"/>
      <c r="E792" s="407">
        <f>SUM(E790:E791)</f>
        <v>7.6850000000000005</v>
      </c>
      <c r="F792" s="208"/>
      <c r="G792" s="202"/>
      <c r="H792" s="203"/>
    </row>
    <row r="793" spans="1:8" ht="12.75">
      <c r="A793" s="754"/>
      <c r="B793" s="351"/>
      <c r="C793" s="355"/>
      <c r="D793" s="356"/>
      <c r="E793" s="350"/>
      <c r="F793" s="207"/>
      <c r="G793" s="23"/>
      <c r="H793" s="205"/>
    </row>
    <row r="794" spans="1:8" ht="25.5">
      <c r="A794" s="754">
        <v>2</v>
      </c>
      <c r="B794" s="352" t="s">
        <v>800</v>
      </c>
      <c r="C794" s="357" t="s">
        <v>810</v>
      </c>
      <c r="D794" s="398" t="s">
        <v>803</v>
      </c>
      <c r="E794" s="399" t="s">
        <v>45</v>
      </c>
      <c r="F794" s="210">
        <f>E797</f>
        <v>1</v>
      </c>
      <c r="G794" s="23"/>
      <c r="H794" s="205">
        <f>F794*G794</f>
        <v>0</v>
      </c>
    </row>
    <row r="795" spans="1:8" s="434" customFormat="1" ht="36">
      <c r="A795" s="756"/>
      <c r="B795" s="400" t="s">
        <v>794</v>
      </c>
      <c r="C795" s="429">
        <v>1</v>
      </c>
      <c r="D795" s="430"/>
      <c r="E795" s="431">
        <f>C795</f>
        <v>1</v>
      </c>
      <c r="F795" s="432"/>
      <c r="G795" s="432"/>
      <c r="H795" s="433"/>
    </row>
    <row r="796" spans="1:8" s="434" customFormat="1" ht="12">
      <c r="A796" s="756"/>
      <c r="B796" s="428"/>
      <c r="C796" s="429"/>
      <c r="D796" s="430"/>
      <c r="E796" s="431"/>
      <c r="F796" s="432"/>
      <c r="G796" s="432"/>
      <c r="H796" s="433"/>
    </row>
    <row r="797" spans="1:8" s="204" customFormat="1" ht="12">
      <c r="A797" s="755"/>
      <c r="B797" s="404"/>
      <c r="C797" s="405" t="s">
        <v>39</v>
      </c>
      <c r="D797" s="406"/>
      <c r="E797" s="407">
        <f>SUM(E795:E796)</f>
        <v>1</v>
      </c>
      <c r="F797" s="208"/>
      <c r="G797" s="202"/>
      <c r="H797" s="203"/>
    </row>
    <row r="798" spans="1:8" ht="12.75">
      <c r="A798" s="754"/>
      <c r="B798" s="351"/>
      <c r="C798" s="355"/>
      <c r="D798" s="356"/>
      <c r="E798" s="350"/>
      <c r="F798" s="207"/>
      <c r="G798" s="23"/>
      <c r="H798" s="205"/>
    </row>
    <row r="799" spans="1:8" ht="25.5">
      <c r="A799" s="754">
        <v>3</v>
      </c>
      <c r="B799" s="352" t="s">
        <v>801</v>
      </c>
      <c r="C799" s="357" t="s">
        <v>811</v>
      </c>
      <c r="D799" s="398" t="s">
        <v>805</v>
      </c>
      <c r="E799" s="399" t="s">
        <v>45</v>
      </c>
      <c r="F799" s="210">
        <f>E802</f>
        <v>1</v>
      </c>
      <c r="G799" s="23"/>
      <c r="H799" s="205">
        <f>F799*G799</f>
        <v>0</v>
      </c>
    </row>
    <row r="800" spans="1:8" s="434" customFormat="1" ht="36">
      <c r="A800" s="756"/>
      <c r="B800" s="400" t="s">
        <v>795</v>
      </c>
      <c r="C800" s="429">
        <v>1</v>
      </c>
      <c r="D800" s="430"/>
      <c r="E800" s="431">
        <f>C800</f>
        <v>1</v>
      </c>
      <c r="F800" s="432"/>
      <c r="G800" s="432"/>
      <c r="H800" s="433"/>
    </row>
    <row r="801" spans="1:8" s="434" customFormat="1" ht="12">
      <c r="A801" s="756"/>
      <c r="B801" s="428"/>
      <c r="C801" s="429"/>
      <c r="D801" s="430"/>
      <c r="E801" s="431"/>
      <c r="F801" s="432"/>
      <c r="G801" s="432"/>
      <c r="H801" s="433"/>
    </row>
    <row r="802" spans="1:8" s="204" customFormat="1" ht="12">
      <c r="A802" s="755"/>
      <c r="B802" s="404"/>
      <c r="C802" s="405" t="s">
        <v>39</v>
      </c>
      <c r="D802" s="406"/>
      <c r="E802" s="407">
        <f>SUM(E800:E801)</f>
        <v>1</v>
      </c>
      <c r="F802" s="208"/>
      <c r="G802" s="202"/>
      <c r="H802" s="203"/>
    </row>
    <row r="803" spans="1:8" ht="12.75">
      <c r="A803" s="754"/>
      <c r="B803" s="351"/>
      <c r="C803" s="355"/>
      <c r="D803" s="356"/>
      <c r="E803" s="350"/>
      <c r="F803" s="207"/>
      <c r="G803" s="23"/>
      <c r="H803" s="205"/>
    </row>
    <row r="804" spans="1:8" ht="25.5">
      <c r="A804" s="754">
        <v>4</v>
      </c>
      <c r="B804" s="352" t="s">
        <v>802</v>
      </c>
      <c r="C804" s="357" t="s">
        <v>807</v>
      </c>
      <c r="D804" s="398" t="s">
        <v>806</v>
      </c>
      <c r="E804" s="399" t="s">
        <v>45</v>
      </c>
      <c r="F804" s="210">
        <f>E807</f>
        <v>1</v>
      </c>
      <c r="G804" s="23"/>
      <c r="H804" s="205">
        <f>F804*G804</f>
        <v>0</v>
      </c>
    </row>
    <row r="805" spans="1:8" s="434" customFormat="1" ht="39" customHeight="1">
      <c r="A805" s="756"/>
      <c r="B805" s="400" t="s">
        <v>794</v>
      </c>
      <c r="C805" s="429">
        <v>1</v>
      </c>
      <c r="D805" s="430"/>
      <c r="E805" s="431">
        <f>C805</f>
        <v>1</v>
      </c>
      <c r="F805" s="432"/>
      <c r="G805" s="432"/>
      <c r="H805" s="433"/>
    </row>
    <row r="806" spans="1:8" s="434" customFormat="1" ht="12">
      <c r="A806" s="756"/>
      <c r="B806" s="428"/>
      <c r="C806" s="429"/>
      <c r="D806" s="430"/>
      <c r="E806" s="431"/>
      <c r="F806" s="432"/>
      <c r="G806" s="432"/>
      <c r="H806" s="433"/>
    </row>
    <row r="807" spans="1:8" s="204" customFormat="1" ht="12">
      <c r="A807" s="755"/>
      <c r="B807" s="404"/>
      <c r="C807" s="405" t="s">
        <v>39</v>
      </c>
      <c r="D807" s="406"/>
      <c r="E807" s="407">
        <f>SUM(E805:E806)</f>
        <v>1</v>
      </c>
      <c r="F807" s="208"/>
      <c r="G807" s="202"/>
      <c r="H807" s="203"/>
    </row>
    <row r="808" spans="1:8" ht="12.75">
      <c r="A808" s="754"/>
      <c r="B808" s="351"/>
      <c r="C808" s="355"/>
      <c r="D808" s="356"/>
      <c r="E808" s="350"/>
      <c r="F808" s="207"/>
      <c r="G808" s="23"/>
      <c r="H808" s="205"/>
    </row>
    <row r="809" spans="1:8" ht="25.5">
      <c r="A809" s="754">
        <v>5</v>
      </c>
      <c r="B809" s="352" t="s">
        <v>808</v>
      </c>
      <c r="C809" s="357" t="s">
        <v>809</v>
      </c>
      <c r="D809" s="398" t="s">
        <v>806</v>
      </c>
      <c r="E809" s="399" t="s">
        <v>45</v>
      </c>
      <c r="F809" s="210">
        <f>E812</f>
        <v>1</v>
      </c>
      <c r="G809" s="23"/>
      <c r="H809" s="205">
        <f>F809*G809</f>
        <v>0</v>
      </c>
    </row>
    <row r="810" spans="1:8" s="434" customFormat="1" ht="43.5" customHeight="1">
      <c r="A810" s="756"/>
      <c r="B810" s="400" t="s">
        <v>795</v>
      </c>
      <c r="C810" s="429">
        <v>1</v>
      </c>
      <c r="D810" s="430"/>
      <c r="E810" s="431">
        <f>C810</f>
        <v>1</v>
      </c>
      <c r="F810" s="432"/>
      <c r="G810" s="432"/>
      <c r="H810" s="433"/>
    </row>
    <row r="811" spans="1:8" s="434" customFormat="1" ht="12">
      <c r="A811" s="756"/>
      <c r="B811" s="428"/>
      <c r="C811" s="429"/>
      <c r="D811" s="430"/>
      <c r="E811" s="431"/>
      <c r="F811" s="432"/>
      <c r="G811" s="432"/>
      <c r="H811" s="433"/>
    </row>
    <row r="812" spans="1:8" s="204" customFormat="1" ht="12">
      <c r="A812" s="755"/>
      <c r="B812" s="404"/>
      <c r="C812" s="405" t="s">
        <v>39</v>
      </c>
      <c r="D812" s="406"/>
      <c r="E812" s="407">
        <f>SUM(E810:E811)</f>
        <v>1</v>
      </c>
      <c r="F812" s="208"/>
      <c r="G812" s="202"/>
      <c r="H812" s="203"/>
    </row>
    <row r="813" spans="1:8" s="204" customFormat="1" ht="12">
      <c r="A813" s="755"/>
      <c r="B813" s="404"/>
      <c r="C813" s="405"/>
      <c r="D813" s="406"/>
      <c r="E813" s="407"/>
      <c r="F813" s="208"/>
      <c r="G813" s="202"/>
      <c r="H813" s="203"/>
    </row>
    <row r="814" spans="1:8" ht="57" customHeight="1">
      <c r="A814" s="754">
        <v>6</v>
      </c>
      <c r="B814" s="352" t="s">
        <v>969</v>
      </c>
      <c r="C814" s="357" t="s">
        <v>970</v>
      </c>
      <c r="D814" s="398" t="s">
        <v>1030</v>
      </c>
      <c r="E814" s="399" t="s">
        <v>45</v>
      </c>
      <c r="F814" s="210">
        <f>E817</f>
        <v>1</v>
      </c>
      <c r="G814" s="23"/>
      <c r="H814" s="205">
        <f>F814*G814</f>
        <v>0</v>
      </c>
    </row>
    <row r="815" spans="1:8" s="434" customFormat="1" ht="12">
      <c r="A815" s="756"/>
      <c r="B815" s="400" t="s">
        <v>1009</v>
      </c>
      <c r="C815" s="429">
        <v>1</v>
      </c>
      <c r="D815" s="430"/>
      <c r="E815" s="431">
        <f>C815</f>
        <v>1</v>
      </c>
      <c r="F815" s="432"/>
      <c r="G815" s="432"/>
      <c r="H815" s="433"/>
    </row>
    <row r="816" spans="1:8" s="434" customFormat="1" ht="12">
      <c r="A816" s="756"/>
      <c r="B816" s="428"/>
      <c r="C816" s="429"/>
      <c r="D816" s="430"/>
      <c r="E816" s="431"/>
      <c r="F816" s="432"/>
      <c r="G816" s="432"/>
      <c r="H816" s="433"/>
    </row>
    <row r="817" spans="1:8" s="204" customFormat="1" ht="12">
      <c r="A817" s="755"/>
      <c r="B817" s="404"/>
      <c r="C817" s="405" t="s">
        <v>39</v>
      </c>
      <c r="D817" s="406"/>
      <c r="E817" s="407">
        <f>SUM(E815:E816)</f>
        <v>1</v>
      </c>
      <c r="F817" s="208"/>
      <c r="G817" s="202"/>
      <c r="H817" s="203"/>
    </row>
    <row r="818" spans="1:8" ht="25.5">
      <c r="A818" s="754">
        <v>7</v>
      </c>
      <c r="B818" s="352" t="s">
        <v>1006</v>
      </c>
      <c r="C818" s="357" t="s">
        <v>1007</v>
      </c>
      <c r="D818" s="398"/>
      <c r="E818" s="399" t="s">
        <v>45</v>
      </c>
      <c r="F818" s="210">
        <f>E821</f>
        <v>1</v>
      </c>
      <c r="G818" s="23"/>
      <c r="H818" s="205">
        <f>F818*G818</f>
        <v>0</v>
      </c>
    </row>
    <row r="819" spans="1:8" s="434" customFormat="1" ht="12">
      <c r="A819" s="756"/>
      <c r="B819" s="400" t="s">
        <v>1008</v>
      </c>
      <c r="C819" s="429">
        <v>1</v>
      </c>
      <c r="D819" s="430"/>
      <c r="E819" s="431">
        <f>C819</f>
        <v>1</v>
      </c>
      <c r="F819" s="432"/>
      <c r="G819" s="432"/>
      <c r="H819" s="433"/>
    </row>
    <row r="820" spans="1:8" s="434" customFormat="1" ht="12">
      <c r="A820" s="756"/>
      <c r="B820" s="428"/>
      <c r="C820" s="429"/>
      <c r="D820" s="430"/>
      <c r="E820" s="431"/>
      <c r="F820" s="432"/>
      <c r="G820" s="432"/>
      <c r="H820" s="433"/>
    </row>
    <row r="821" spans="1:8" s="204" customFormat="1" ht="12">
      <c r="A821" s="755"/>
      <c r="B821" s="404"/>
      <c r="C821" s="405" t="s">
        <v>39</v>
      </c>
      <c r="D821" s="406"/>
      <c r="E821" s="407">
        <f>SUM(E819:E820)</f>
        <v>1</v>
      </c>
      <c r="F821" s="208"/>
      <c r="G821" s="202"/>
      <c r="H821" s="203"/>
    </row>
    <row r="822" spans="1:8" s="204" customFormat="1" ht="12">
      <c r="A822" s="755"/>
      <c r="B822" s="404"/>
      <c r="C822" s="405"/>
      <c r="D822" s="406"/>
      <c r="E822" s="407"/>
      <c r="F822" s="208"/>
      <c r="G822" s="202"/>
      <c r="H822" s="203"/>
    </row>
    <row r="823" spans="1:8" ht="25.5">
      <c r="A823" s="754">
        <v>8</v>
      </c>
      <c r="B823" s="352" t="s">
        <v>1031</v>
      </c>
      <c r="C823" s="357" t="s">
        <v>1032</v>
      </c>
      <c r="D823" s="398"/>
      <c r="E823" s="399" t="s">
        <v>45</v>
      </c>
      <c r="F823" s="210">
        <f>E826</f>
        <v>1</v>
      </c>
      <c r="G823" s="23"/>
      <c r="H823" s="205">
        <f>F823*G823</f>
        <v>0</v>
      </c>
    </row>
    <row r="824" spans="1:8" s="434" customFormat="1" ht="12">
      <c r="A824" s="756"/>
      <c r="B824" s="400" t="s">
        <v>1009</v>
      </c>
      <c r="C824" s="429">
        <v>1</v>
      </c>
      <c r="D824" s="430"/>
      <c r="E824" s="431">
        <f>C824</f>
        <v>1</v>
      </c>
      <c r="F824" s="432"/>
      <c r="G824" s="432"/>
      <c r="H824" s="433"/>
    </row>
    <row r="825" spans="1:8" s="434" customFormat="1" ht="12">
      <c r="A825" s="756"/>
      <c r="B825" s="428"/>
      <c r="C825" s="429"/>
      <c r="D825" s="430"/>
      <c r="E825" s="431"/>
      <c r="F825" s="432"/>
      <c r="G825" s="432"/>
      <c r="H825" s="433"/>
    </row>
    <row r="826" spans="1:8" s="204" customFormat="1" ht="12">
      <c r="A826" s="755"/>
      <c r="B826" s="404"/>
      <c r="C826" s="405" t="s">
        <v>39</v>
      </c>
      <c r="D826" s="406"/>
      <c r="E826" s="407">
        <f>SUM(E824:E825)</f>
        <v>1</v>
      </c>
      <c r="F826" s="208"/>
      <c r="G826" s="202"/>
      <c r="H826" s="203"/>
    </row>
    <row r="827" spans="1:8" ht="12.75">
      <c r="A827" s="754"/>
      <c r="B827" s="351"/>
      <c r="C827" s="355"/>
      <c r="D827" s="356"/>
      <c r="E827" s="350"/>
      <c r="F827" s="207"/>
      <c r="G827" s="23"/>
      <c r="H827" s="205"/>
    </row>
    <row r="828" spans="1:8" ht="12.75">
      <c r="A828" s="754">
        <v>9</v>
      </c>
      <c r="B828" s="421" t="s">
        <v>73</v>
      </c>
      <c r="C828" s="422" t="s">
        <v>396</v>
      </c>
      <c r="D828" s="354"/>
      <c r="E828" s="349" t="s">
        <v>50</v>
      </c>
      <c r="F828" s="424">
        <f>SUM(H789:H827)/100</f>
        <v>0</v>
      </c>
      <c r="G828" s="23"/>
      <c r="H828" s="205">
        <f>F828*G828</f>
        <v>0</v>
      </c>
    </row>
    <row r="829" spans="1:8" ht="12.75">
      <c r="A829" s="754"/>
      <c r="B829" s="534"/>
      <c r="C829" s="465"/>
      <c r="D829" s="354"/>
      <c r="E829" s="349"/>
      <c r="F829" s="424"/>
      <c r="G829" s="23"/>
      <c r="H829" s="205"/>
    </row>
    <row r="830" spans="1:8" ht="12.75" customHeight="1">
      <c r="A830" s="754"/>
      <c r="B830" s="533"/>
      <c r="C830" s="395" t="s">
        <v>1310</v>
      </c>
      <c r="D830" s="354"/>
      <c r="E830" s="349"/>
      <c r="F830" s="207"/>
      <c r="G830" s="23"/>
      <c r="H830" s="397">
        <f>SUM(H831:H875)</f>
        <v>0</v>
      </c>
    </row>
    <row r="831" spans="1:8" ht="28.5" customHeight="1">
      <c r="A831" s="754">
        <v>1</v>
      </c>
      <c r="B831" s="535" t="s">
        <v>864</v>
      </c>
      <c r="C831" s="353" t="s">
        <v>865</v>
      </c>
      <c r="D831" s="418" t="s">
        <v>1026</v>
      </c>
      <c r="E831" s="399" t="s">
        <v>40</v>
      </c>
      <c r="F831" s="210">
        <f>E842</f>
        <v>214.13249999999996</v>
      </c>
      <c r="G831" s="23"/>
      <c r="H831" s="205">
        <f>F831*G831</f>
        <v>0</v>
      </c>
    </row>
    <row r="832" spans="1:8" s="434" customFormat="1" ht="12">
      <c r="A832" s="756"/>
      <c r="B832" s="428" t="s">
        <v>43</v>
      </c>
      <c r="C832" s="429" t="s">
        <v>866</v>
      </c>
      <c r="D832" s="430"/>
      <c r="E832" s="431">
        <f>(1.875+1.875)*3</f>
        <v>11.25</v>
      </c>
      <c r="F832" s="432"/>
      <c r="G832" s="432"/>
      <c r="H832" s="433"/>
    </row>
    <row r="833" spans="1:8" s="434" customFormat="1" ht="12">
      <c r="A833" s="756"/>
      <c r="B833" s="428"/>
      <c r="C833" s="429" t="s">
        <v>889</v>
      </c>
      <c r="D833" s="430"/>
      <c r="E833" s="431">
        <f>(3.61+0.15+1.93)*3</f>
        <v>17.07</v>
      </c>
      <c r="F833" s="432"/>
      <c r="G833" s="432"/>
      <c r="H833" s="433"/>
    </row>
    <row r="834" spans="1:8" s="434" customFormat="1" ht="12">
      <c r="A834" s="756"/>
      <c r="B834" s="428" t="s">
        <v>42</v>
      </c>
      <c r="C834" s="401" t="s">
        <v>918</v>
      </c>
      <c r="D834" s="430"/>
      <c r="E834" s="403">
        <f>(1.695+0.15+1.75+1.9+0.15+2.11+2+0.15+1.9)*3.75</f>
        <v>44.26875</v>
      </c>
      <c r="F834" s="432"/>
      <c r="G834" s="432"/>
      <c r="H834" s="433"/>
    </row>
    <row r="835" spans="1:8" s="434" customFormat="1" ht="12">
      <c r="A835" s="756"/>
      <c r="B835" s="428" t="s">
        <v>62</v>
      </c>
      <c r="C835" s="401" t="s">
        <v>858</v>
      </c>
      <c r="D835" s="430"/>
      <c r="E835" s="403">
        <f>-(0.8*2.1)*3</f>
        <v>-5.040000000000001</v>
      </c>
      <c r="F835" s="432"/>
      <c r="G835" s="432"/>
      <c r="H835" s="433"/>
    </row>
    <row r="836" spans="1:8" s="434" customFormat="1" ht="12">
      <c r="A836" s="756"/>
      <c r="B836" s="428"/>
      <c r="C836" s="429" t="s">
        <v>927</v>
      </c>
      <c r="D836" s="430"/>
      <c r="E836" s="431">
        <f>(3+0.15+1.94+1.895+0.15+2.92+0.06)*3.75</f>
        <v>37.93125</v>
      </c>
      <c r="F836" s="432"/>
      <c r="G836" s="432"/>
      <c r="H836" s="433"/>
    </row>
    <row r="837" spans="1:8" s="434" customFormat="1" ht="12">
      <c r="A837" s="756"/>
      <c r="B837" s="428" t="s">
        <v>62</v>
      </c>
      <c r="C837" s="429" t="s">
        <v>863</v>
      </c>
      <c r="D837" s="430"/>
      <c r="E837" s="431">
        <f>-(0.8*2.1)*2</f>
        <v>-3.3600000000000003</v>
      </c>
      <c r="F837" s="432"/>
      <c r="G837" s="432"/>
      <c r="H837" s="433"/>
    </row>
    <row r="838" spans="1:8" s="434" customFormat="1" ht="12">
      <c r="A838" s="756"/>
      <c r="B838" s="428"/>
      <c r="C838" s="429" t="s">
        <v>928</v>
      </c>
      <c r="D838" s="430"/>
      <c r="E838" s="431">
        <f>(4.5+1.8)*3.7</f>
        <v>23.31</v>
      </c>
      <c r="F838" s="432"/>
      <c r="G838" s="432"/>
      <c r="H838" s="433"/>
    </row>
    <row r="839" spans="1:8" s="204" customFormat="1" ht="12">
      <c r="A839" s="755"/>
      <c r="B839" s="408"/>
      <c r="C839" s="401" t="s">
        <v>939</v>
      </c>
      <c r="D839" s="410"/>
      <c r="E839" s="403">
        <f>(5.815+0.575+3.765)*3.75</f>
        <v>38.081250000000004</v>
      </c>
      <c r="F839" s="412"/>
      <c r="G839" s="202"/>
      <c r="H839" s="203"/>
    </row>
    <row r="840" spans="1:8" s="204" customFormat="1" ht="12">
      <c r="A840" s="755"/>
      <c r="B840" s="428" t="s">
        <v>62</v>
      </c>
      <c r="C840" s="401" t="s">
        <v>863</v>
      </c>
      <c r="D840" s="410"/>
      <c r="E840" s="403">
        <f>-(0.8*2.1)*2</f>
        <v>-3.3600000000000003</v>
      </c>
      <c r="F840" s="412"/>
      <c r="G840" s="202"/>
      <c r="H840" s="203"/>
    </row>
    <row r="841" spans="1:8" s="204" customFormat="1" ht="12">
      <c r="A841" s="755"/>
      <c r="B841" s="428"/>
      <c r="C841" s="401" t="s">
        <v>940</v>
      </c>
      <c r="D841" s="410"/>
      <c r="E841" s="403">
        <f>(4.05+4.05+3.93+2.365)*3.75</f>
        <v>53.981249999999996</v>
      </c>
      <c r="F841" s="412"/>
      <c r="G841" s="202"/>
      <c r="H841" s="203"/>
    </row>
    <row r="842" spans="1:8" s="204" customFormat="1" ht="12">
      <c r="A842" s="755"/>
      <c r="B842" s="473"/>
      <c r="C842" s="405" t="s">
        <v>39</v>
      </c>
      <c r="D842" s="406"/>
      <c r="E842" s="407">
        <f>SUM(E832:E841)</f>
        <v>214.13249999999996</v>
      </c>
      <c r="F842" s="208"/>
      <c r="G842" s="202"/>
      <c r="H842" s="203"/>
    </row>
    <row r="843" spans="1:8" s="204" customFormat="1" ht="12.75" customHeight="1">
      <c r="A843" s="755"/>
      <c r="B843" s="536"/>
      <c r="C843" s="425"/>
      <c r="D843" s="461"/>
      <c r="E843" s="462"/>
      <c r="F843" s="208"/>
      <c r="G843" s="202"/>
      <c r="H843" s="203"/>
    </row>
    <row r="844" spans="1:8" ht="28.5" customHeight="1">
      <c r="A844" s="754">
        <v>2</v>
      </c>
      <c r="B844" s="535" t="s">
        <v>883</v>
      </c>
      <c r="C844" s="353" t="s">
        <v>884</v>
      </c>
      <c r="D844" s="418" t="s">
        <v>1027</v>
      </c>
      <c r="E844" s="399" t="s">
        <v>40</v>
      </c>
      <c r="F844" s="210">
        <f>E863</f>
        <v>545.5889999999998</v>
      </c>
      <c r="G844" s="23"/>
      <c r="H844" s="205">
        <f>F844*G844</f>
        <v>0</v>
      </c>
    </row>
    <row r="845" spans="1:8" s="434" customFormat="1" ht="12">
      <c r="A845" s="756"/>
      <c r="B845" s="428" t="s">
        <v>43</v>
      </c>
      <c r="C845" s="429" t="s">
        <v>885</v>
      </c>
      <c r="D845" s="430"/>
      <c r="E845" s="431">
        <f>(3.34+2.315)*3.65</f>
        <v>20.640749999999997</v>
      </c>
      <c r="F845" s="432"/>
      <c r="G845" s="432"/>
      <c r="H845" s="433"/>
    </row>
    <row r="846" spans="1:8" s="434" customFormat="1" ht="12">
      <c r="A846" s="756"/>
      <c r="B846" s="428"/>
      <c r="C846" s="429" t="s">
        <v>886</v>
      </c>
      <c r="D846" s="430"/>
      <c r="E846" s="431">
        <f>(6.1+1.93+1.93)*3.65</f>
        <v>36.354</v>
      </c>
      <c r="F846" s="432"/>
      <c r="G846" s="432"/>
      <c r="H846" s="433"/>
    </row>
    <row r="847" spans="1:8" s="434" customFormat="1" ht="12">
      <c r="A847" s="756"/>
      <c r="B847" s="428"/>
      <c r="C847" s="429" t="s">
        <v>887</v>
      </c>
      <c r="D847" s="430"/>
      <c r="E847" s="431">
        <f>(1.625+1.625+3.815)*3.65</f>
        <v>25.787249999999997</v>
      </c>
      <c r="F847" s="432"/>
      <c r="G847" s="432"/>
      <c r="H847" s="433"/>
    </row>
    <row r="848" spans="1:8" s="434" customFormat="1" ht="12">
      <c r="A848" s="756"/>
      <c r="B848" s="428" t="s">
        <v>62</v>
      </c>
      <c r="C848" s="429" t="s">
        <v>863</v>
      </c>
      <c r="D848" s="430"/>
      <c r="E848" s="431">
        <f>-(0.8*2.1)*2</f>
        <v>-3.3600000000000003</v>
      </c>
      <c r="F848" s="432"/>
      <c r="G848" s="432"/>
      <c r="H848" s="433"/>
    </row>
    <row r="849" spans="1:8" s="434" customFormat="1" ht="12">
      <c r="A849" s="756"/>
      <c r="B849" s="428"/>
      <c r="C849" s="429" t="s">
        <v>858</v>
      </c>
      <c r="D849" s="430"/>
      <c r="E849" s="431">
        <f>-(0.8*2.1)*3</f>
        <v>-5.040000000000001</v>
      </c>
      <c r="F849" s="432"/>
      <c r="G849" s="432"/>
      <c r="H849" s="433"/>
    </row>
    <row r="850" spans="1:8" s="434" customFormat="1" ht="12">
      <c r="A850" s="756"/>
      <c r="B850" s="428"/>
      <c r="C850" s="429" t="s">
        <v>888</v>
      </c>
      <c r="D850" s="430"/>
      <c r="E850" s="431">
        <f>-(0.7*2.1)*3</f>
        <v>-4.41</v>
      </c>
      <c r="F850" s="432"/>
      <c r="G850" s="432"/>
      <c r="H850" s="433"/>
    </row>
    <row r="851" spans="1:8" s="434" customFormat="1" ht="24">
      <c r="A851" s="756"/>
      <c r="B851" s="428" t="s">
        <v>904</v>
      </c>
      <c r="C851" s="429" t="s">
        <v>916</v>
      </c>
      <c r="D851" s="430"/>
      <c r="E851" s="431">
        <f>(4.04+2.29+4.125+2.25+1.865+1.8+4.275+2.25+2.125+2.125+2.25+0.15+1.87+0.185+1.8)*3</f>
        <v>100.19999999999999</v>
      </c>
      <c r="F851" s="432"/>
      <c r="G851" s="432"/>
      <c r="H851" s="433"/>
    </row>
    <row r="852" spans="1:8" s="434" customFormat="1" ht="12">
      <c r="A852" s="756"/>
      <c r="B852" s="428" t="s">
        <v>62</v>
      </c>
      <c r="C852" s="429" t="s">
        <v>915</v>
      </c>
      <c r="D852" s="430"/>
      <c r="E852" s="431">
        <f>-(0.8*2.1)*10</f>
        <v>-16.8</v>
      </c>
      <c r="F852" s="432"/>
      <c r="G852" s="432"/>
      <c r="H852" s="433"/>
    </row>
    <row r="853" spans="1:8" s="434" customFormat="1" ht="12">
      <c r="A853" s="756"/>
      <c r="B853" s="428" t="s">
        <v>42</v>
      </c>
      <c r="C853" s="429" t="s">
        <v>920</v>
      </c>
      <c r="D853" s="430"/>
      <c r="E853" s="431">
        <f>(1.695+0.15+1.75+2.8+2.65+2.11+2.65+1.15)*3.75</f>
        <v>56.08125</v>
      </c>
      <c r="F853" s="432"/>
      <c r="G853" s="432"/>
      <c r="H853" s="433"/>
    </row>
    <row r="854" spans="1:8" s="434" customFormat="1" ht="12">
      <c r="A854" s="756"/>
      <c r="B854" s="428"/>
      <c r="C854" s="429" t="s">
        <v>925</v>
      </c>
      <c r="D854" s="430"/>
      <c r="E854" s="431">
        <f>(5.25+2.425+0.125+5.195+2.425+0.125)*3.75</f>
        <v>58.29375</v>
      </c>
      <c r="F854" s="432"/>
      <c r="G854" s="432"/>
      <c r="H854" s="433"/>
    </row>
    <row r="855" spans="1:8" s="434" customFormat="1" ht="12">
      <c r="A855" s="756"/>
      <c r="B855" s="428"/>
      <c r="C855" s="429" t="s">
        <v>929</v>
      </c>
      <c r="D855" s="430"/>
      <c r="E855" s="431">
        <f>(5.57+5.31+1.93+1.955+5.34+5.41)*3.3</f>
        <v>84.19949999999999</v>
      </c>
      <c r="F855" s="432"/>
      <c r="G855" s="432"/>
      <c r="H855" s="433"/>
    </row>
    <row r="856" spans="1:8" s="434" customFormat="1" ht="12">
      <c r="A856" s="756"/>
      <c r="B856" s="428"/>
      <c r="C856" s="429" t="s">
        <v>941</v>
      </c>
      <c r="D856" s="430"/>
      <c r="E856" s="431">
        <f>(5.86+2.125+2.125+2.28+1.755+0.15+1.875+5.96+1.665)*3.75</f>
        <v>89.23125</v>
      </c>
      <c r="F856" s="432"/>
      <c r="G856" s="432"/>
      <c r="H856" s="433"/>
    </row>
    <row r="857" spans="1:8" s="434" customFormat="1" ht="24">
      <c r="A857" s="756"/>
      <c r="B857" s="428"/>
      <c r="C857" s="429" t="s">
        <v>942</v>
      </c>
      <c r="D857" s="430"/>
      <c r="E857" s="431">
        <f>(5.685+1.75+1.75+5.65+1.945+0.6+2.08+1.75+1.75+0.15+1.25+0.1+3.08+1.9+1.9+1.4+2.65+5.445)*3.75</f>
        <v>153.13124999999997</v>
      </c>
      <c r="F857" s="432"/>
      <c r="G857" s="432"/>
      <c r="H857" s="433"/>
    </row>
    <row r="858" spans="1:8" s="434" customFormat="1" ht="12">
      <c r="A858" s="756"/>
      <c r="B858" s="428" t="s">
        <v>62</v>
      </c>
      <c r="C858" s="429" t="s">
        <v>921</v>
      </c>
      <c r="D858" s="430"/>
      <c r="E858" s="431">
        <f>-(0.8*2.1)*6</f>
        <v>-10.080000000000002</v>
      </c>
      <c r="F858" s="432"/>
      <c r="G858" s="432"/>
      <c r="H858" s="433"/>
    </row>
    <row r="859" spans="1:8" s="434" customFormat="1" ht="12">
      <c r="A859" s="756"/>
      <c r="B859" s="428"/>
      <c r="C859" s="429" t="s">
        <v>926</v>
      </c>
      <c r="D859" s="430"/>
      <c r="E859" s="431">
        <f>-(0.8*2.1)*4</f>
        <v>-6.720000000000001</v>
      </c>
      <c r="F859" s="432"/>
      <c r="G859" s="432"/>
      <c r="H859" s="433"/>
    </row>
    <row r="860" spans="1:8" s="434" customFormat="1" ht="12">
      <c r="A860" s="756"/>
      <c r="B860" s="428"/>
      <c r="C860" s="429" t="s">
        <v>926</v>
      </c>
      <c r="D860" s="430"/>
      <c r="E860" s="431">
        <f>-(0.8*2.1)*4</f>
        <v>-6.720000000000001</v>
      </c>
      <c r="F860" s="432"/>
      <c r="G860" s="432"/>
      <c r="H860" s="433"/>
    </row>
    <row r="861" spans="1:8" s="434" customFormat="1" ht="12">
      <c r="A861" s="756"/>
      <c r="B861" s="428"/>
      <c r="C861" s="429" t="s">
        <v>861</v>
      </c>
      <c r="D861" s="430"/>
      <c r="E861" s="431">
        <f>-(0.8*2.1)*7</f>
        <v>-11.760000000000002</v>
      </c>
      <c r="F861" s="432"/>
      <c r="G861" s="432"/>
      <c r="H861" s="433"/>
    </row>
    <row r="862" spans="1:8" s="434" customFormat="1" ht="12">
      <c r="A862" s="756"/>
      <c r="B862" s="428"/>
      <c r="C862" s="429" t="s">
        <v>943</v>
      </c>
      <c r="D862" s="430"/>
      <c r="E862" s="431">
        <f>-(0.8*2.1)*8</f>
        <v>-13.440000000000001</v>
      </c>
      <c r="F862" s="432"/>
      <c r="G862" s="432"/>
      <c r="H862" s="433"/>
    </row>
    <row r="863" spans="1:8" s="204" customFormat="1" ht="12">
      <c r="A863" s="755"/>
      <c r="B863" s="473"/>
      <c r="C863" s="405" t="s">
        <v>39</v>
      </c>
      <c r="D863" s="406"/>
      <c r="E863" s="407">
        <f>SUM(E845:E862)</f>
        <v>545.5889999999998</v>
      </c>
      <c r="F863" s="208"/>
      <c r="G863" s="202"/>
      <c r="H863" s="203"/>
    </row>
    <row r="864" spans="1:8" s="204" customFormat="1" ht="12">
      <c r="A864" s="755"/>
      <c r="B864" s="473"/>
      <c r="C864" s="405"/>
      <c r="D864" s="406"/>
      <c r="E864" s="407"/>
      <c r="F864" s="208"/>
      <c r="G864" s="202"/>
      <c r="H864" s="203"/>
    </row>
    <row r="865" spans="1:8" ht="28.5" customHeight="1">
      <c r="A865" s="754">
        <v>3</v>
      </c>
      <c r="B865" s="535" t="s">
        <v>922</v>
      </c>
      <c r="C865" s="353" t="s">
        <v>923</v>
      </c>
      <c r="D865" s="418" t="s">
        <v>1028</v>
      </c>
      <c r="E865" s="399" t="s">
        <v>40</v>
      </c>
      <c r="F865" s="210">
        <f>E867</f>
        <v>47.475</v>
      </c>
      <c r="G865" s="23"/>
      <c r="H865" s="205">
        <f>F865*G865</f>
        <v>0</v>
      </c>
    </row>
    <row r="866" spans="1:8" s="434" customFormat="1" ht="12">
      <c r="A866" s="756"/>
      <c r="B866" s="428" t="s">
        <v>42</v>
      </c>
      <c r="C866" s="429" t="s">
        <v>924</v>
      </c>
      <c r="D866" s="430"/>
      <c r="E866" s="431">
        <f>(4.29+2.05+2.1+4.22)*3.75</f>
        <v>47.475</v>
      </c>
      <c r="F866" s="432"/>
      <c r="G866" s="432"/>
      <c r="H866" s="433"/>
    </row>
    <row r="867" spans="1:8" s="204" customFormat="1" ht="12">
      <c r="A867" s="755"/>
      <c r="B867" s="473"/>
      <c r="C867" s="405" t="s">
        <v>39</v>
      </c>
      <c r="D867" s="406"/>
      <c r="E867" s="407">
        <f>SUM(E866:E866)</f>
        <v>47.475</v>
      </c>
      <c r="F867" s="208"/>
      <c r="G867" s="202"/>
      <c r="H867" s="203"/>
    </row>
    <row r="868" spans="1:8" s="204" customFormat="1" ht="12.75" customHeight="1">
      <c r="A868" s="755"/>
      <c r="B868" s="536"/>
      <c r="C868" s="425"/>
      <c r="D868" s="461"/>
      <c r="E868" s="462"/>
      <c r="F868" s="208"/>
      <c r="G868" s="202"/>
      <c r="H868" s="203"/>
    </row>
    <row r="869" spans="1:8" ht="28.5" customHeight="1">
      <c r="A869" s="754">
        <v>4</v>
      </c>
      <c r="B869" s="535" t="s">
        <v>1495</v>
      </c>
      <c r="C869" s="353" t="s">
        <v>215</v>
      </c>
      <c r="D869" s="418" t="s">
        <v>1496</v>
      </c>
      <c r="E869" s="399" t="s">
        <v>40</v>
      </c>
      <c r="F869" s="210">
        <f>E873</f>
        <v>525.91</v>
      </c>
      <c r="G869" s="23"/>
      <c r="H869" s="205">
        <f>F869*G869</f>
        <v>0</v>
      </c>
    </row>
    <row r="870" spans="1:8" s="434" customFormat="1" ht="12">
      <c r="A870" s="756"/>
      <c r="B870" s="428"/>
      <c r="C870" s="429" t="s">
        <v>292</v>
      </c>
      <c r="D870" s="430"/>
      <c r="E870" s="431"/>
      <c r="F870" s="432"/>
      <c r="G870" s="432"/>
      <c r="H870" s="433"/>
    </row>
    <row r="871" spans="1:8" s="434" customFormat="1" ht="12">
      <c r="A871" s="756"/>
      <c r="B871" s="428" t="s">
        <v>43</v>
      </c>
      <c r="C871" s="429">
        <f>'Legenda místností'!V89</f>
        <v>253.71</v>
      </c>
      <c r="D871" s="430"/>
      <c r="E871" s="431">
        <f>C871</f>
        <v>253.71</v>
      </c>
      <c r="F871" s="432"/>
      <c r="G871" s="432"/>
      <c r="H871" s="433"/>
    </row>
    <row r="872" spans="1:8" s="434" customFormat="1" ht="12">
      <c r="A872" s="756"/>
      <c r="B872" s="428" t="s">
        <v>42</v>
      </c>
      <c r="C872" s="429">
        <f>'Legenda místností'!V186</f>
        <v>272.19999999999993</v>
      </c>
      <c r="D872" s="430"/>
      <c r="E872" s="431">
        <f>C872</f>
        <v>272.19999999999993</v>
      </c>
      <c r="F872" s="432"/>
      <c r="G872" s="432"/>
      <c r="H872" s="433"/>
    </row>
    <row r="873" spans="1:8" s="204" customFormat="1" ht="12">
      <c r="A873" s="755"/>
      <c r="B873" s="473"/>
      <c r="C873" s="405" t="s">
        <v>39</v>
      </c>
      <c r="D873" s="406"/>
      <c r="E873" s="407">
        <f>SUM(E871:E872)</f>
        <v>525.91</v>
      </c>
      <c r="F873" s="208"/>
      <c r="G873" s="202"/>
      <c r="H873" s="203"/>
    </row>
    <row r="874" spans="1:8" s="204" customFormat="1" ht="12.75" customHeight="1">
      <c r="A874" s="755"/>
      <c r="B874" s="536"/>
      <c r="C874" s="425"/>
      <c r="D874" s="461"/>
      <c r="E874" s="462"/>
      <c r="F874" s="208"/>
      <c r="G874" s="202"/>
      <c r="H874" s="203"/>
    </row>
    <row r="875" spans="1:8" ht="25.5">
      <c r="A875" s="754">
        <v>5</v>
      </c>
      <c r="B875" s="421" t="s">
        <v>64</v>
      </c>
      <c r="C875" s="422" t="s">
        <v>1281</v>
      </c>
      <c r="D875" s="354"/>
      <c r="E875" s="349" t="s">
        <v>50</v>
      </c>
      <c r="F875" s="424">
        <f>SUM(H831:H874)/100</f>
        <v>0</v>
      </c>
      <c r="G875" s="23"/>
      <c r="H875" s="205">
        <f>F875*G875</f>
        <v>0</v>
      </c>
    </row>
    <row r="876" spans="1:8" ht="12.75">
      <c r="A876" s="754"/>
      <c r="B876" s="534"/>
      <c r="C876" s="465"/>
      <c r="D876" s="354"/>
      <c r="E876" s="349"/>
      <c r="F876" s="424"/>
      <c r="G876" s="23"/>
      <c r="H876" s="205"/>
    </row>
    <row r="877" spans="1:118" ht="15" customHeight="1">
      <c r="A877" s="754"/>
      <c r="B877" s="449"/>
      <c r="C877" s="395" t="s">
        <v>1253</v>
      </c>
      <c r="D877" s="515" t="s">
        <v>1219</v>
      </c>
      <c r="E877" s="396"/>
      <c r="F877" s="209"/>
      <c r="G877" s="23"/>
      <c r="H877" s="397">
        <f>SUM(H878:H886)</f>
        <v>0</v>
      </c>
      <c r="I877" s="218"/>
      <c r="J877" s="218"/>
      <c r="K877" s="218"/>
      <c r="L877" s="218"/>
      <c r="M877" s="218"/>
      <c r="N877" s="218"/>
      <c r="O877" s="218"/>
      <c r="P877" s="218"/>
      <c r="Q877" s="218"/>
      <c r="R877" s="218"/>
      <c r="S877" s="218"/>
      <c r="T877" s="218"/>
      <c r="U877" s="218"/>
      <c r="V877" s="218"/>
      <c r="W877" s="218"/>
      <c r="X877" s="218"/>
      <c r="Y877" s="218"/>
      <c r="Z877" s="218"/>
      <c r="AA877" s="218"/>
      <c r="AB877" s="218"/>
      <c r="AC877" s="218"/>
      <c r="AD877" s="218"/>
      <c r="AE877" s="218"/>
      <c r="AF877" s="218"/>
      <c r="AG877" s="218"/>
      <c r="AH877" s="218"/>
      <c r="AI877" s="218"/>
      <c r="AJ877" s="218"/>
      <c r="AK877" s="218"/>
      <c r="AL877" s="218"/>
      <c r="AM877" s="218"/>
      <c r="AN877" s="218"/>
      <c r="AO877" s="218"/>
      <c r="AP877" s="218"/>
      <c r="AQ877" s="218"/>
      <c r="AR877" s="218"/>
      <c r="AS877" s="218"/>
      <c r="AT877" s="218"/>
      <c r="AU877" s="218"/>
      <c r="AV877" s="218"/>
      <c r="AW877" s="218"/>
      <c r="AX877" s="218"/>
      <c r="AY877" s="218"/>
      <c r="AZ877" s="218"/>
      <c r="BA877" s="218"/>
      <c r="BB877" s="218"/>
      <c r="BC877" s="218"/>
      <c r="BD877" s="218"/>
      <c r="BE877" s="218"/>
      <c r="BF877" s="218"/>
      <c r="BG877" s="218"/>
      <c r="BH877" s="218"/>
      <c r="BI877" s="218"/>
      <c r="BJ877" s="218"/>
      <c r="BK877" s="218"/>
      <c r="BL877" s="218"/>
      <c r="BM877" s="218"/>
      <c r="BN877" s="218"/>
      <c r="BO877" s="218"/>
      <c r="BP877" s="218"/>
      <c r="BQ877" s="218"/>
      <c r="BR877" s="218"/>
      <c r="BS877" s="218"/>
      <c r="BT877" s="218"/>
      <c r="BU877" s="218"/>
      <c r="BV877" s="218"/>
      <c r="BW877" s="218"/>
      <c r="BX877" s="218"/>
      <c r="BY877" s="218"/>
      <c r="BZ877" s="218"/>
      <c r="CA877" s="218"/>
      <c r="CB877" s="218"/>
      <c r="CC877" s="218"/>
      <c r="CD877" s="218"/>
      <c r="CE877" s="218"/>
      <c r="CF877" s="218"/>
      <c r="CG877" s="218"/>
      <c r="CH877" s="218"/>
      <c r="CI877" s="218"/>
      <c r="CJ877" s="218"/>
      <c r="CK877" s="218"/>
      <c r="CL877" s="218"/>
      <c r="CM877" s="218"/>
      <c r="CN877" s="218"/>
      <c r="CO877" s="218"/>
      <c r="CP877" s="218"/>
      <c r="CQ877" s="218"/>
      <c r="CR877" s="218"/>
      <c r="CS877" s="218"/>
      <c r="CT877" s="218"/>
      <c r="CU877" s="218"/>
      <c r="CV877" s="218"/>
      <c r="CW877" s="218"/>
      <c r="CX877" s="218"/>
      <c r="CY877" s="218"/>
      <c r="CZ877" s="218"/>
      <c r="DA877" s="218"/>
      <c r="DB877" s="218"/>
      <c r="DC877" s="218"/>
      <c r="DD877" s="218"/>
      <c r="DE877" s="218"/>
      <c r="DF877" s="218"/>
      <c r="DG877" s="218"/>
      <c r="DH877" s="218"/>
      <c r="DI877" s="218"/>
      <c r="DJ877" s="218"/>
      <c r="DK877" s="218"/>
      <c r="DL877" s="218"/>
      <c r="DM877" s="218"/>
      <c r="DN877" s="218"/>
    </row>
    <row r="878" spans="1:118" ht="27.75" customHeight="1">
      <c r="A878" s="754">
        <v>1</v>
      </c>
      <c r="B878" s="471" t="s">
        <v>1251</v>
      </c>
      <c r="C878" s="537" t="s">
        <v>1252</v>
      </c>
      <c r="D878" s="423" t="s">
        <v>1255</v>
      </c>
      <c r="E878" s="3" t="s">
        <v>45</v>
      </c>
      <c r="F878" s="216">
        <f>E880</f>
        <v>1</v>
      </c>
      <c r="G878" s="23"/>
      <c r="H878" s="205">
        <f>F878*G878</f>
        <v>0</v>
      </c>
      <c r="I878" s="218"/>
      <c r="J878" s="218"/>
      <c r="K878" s="218"/>
      <c r="L878" s="218"/>
      <c r="M878" s="218"/>
      <c r="N878" s="218"/>
      <c r="O878" s="218"/>
      <c r="P878" s="218"/>
      <c r="Q878" s="218"/>
      <c r="R878" s="218"/>
      <c r="S878" s="218"/>
      <c r="T878" s="218"/>
      <c r="U878" s="218"/>
      <c r="V878" s="218"/>
      <c r="W878" s="218"/>
      <c r="X878" s="218"/>
      <c r="Y878" s="218"/>
      <c r="Z878" s="218"/>
      <c r="AA878" s="218"/>
      <c r="AB878" s="218"/>
      <c r="AC878" s="218"/>
      <c r="AD878" s="218"/>
      <c r="AE878" s="218"/>
      <c r="AF878" s="218"/>
      <c r="AG878" s="218"/>
      <c r="AH878" s="218"/>
      <c r="AI878" s="218"/>
      <c r="AJ878" s="218"/>
      <c r="AK878" s="218"/>
      <c r="AL878" s="218"/>
      <c r="AM878" s="218"/>
      <c r="AN878" s="218"/>
      <c r="AO878" s="218"/>
      <c r="AP878" s="218"/>
      <c r="AQ878" s="218"/>
      <c r="AR878" s="218"/>
      <c r="AS878" s="218"/>
      <c r="AT878" s="218"/>
      <c r="AU878" s="218"/>
      <c r="AV878" s="218"/>
      <c r="AW878" s="218"/>
      <c r="AX878" s="218"/>
      <c r="AY878" s="218"/>
      <c r="AZ878" s="218"/>
      <c r="BA878" s="218"/>
      <c r="BB878" s="218"/>
      <c r="BC878" s="218"/>
      <c r="BD878" s="218"/>
      <c r="BE878" s="218"/>
      <c r="BF878" s="218"/>
      <c r="BG878" s="218"/>
      <c r="BH878" s="218"/>
      <c r="BI878" s="218"/>
      <c r="BJ878" s="218"/>
      <c r="BK878" s="218"/>
      <c r="BL878" s="218"/>
      <c r="BM878" s="218"/>
      <c r="BN878" s="218"/>
      <c r="BO878" s="218"/>
      <c r="BP878" s="218"/>
      <c r="BQ878" s="218"/>
      <c r="BR878" s="218"/>
      <c r="BS878" s="218"/>
      <c r="BT878" s="218"/>
      <c r="BU878" s="218"/>
      <c r="BV878" s="218"/>
      <c r="BW878" s="218"/>
      <c r="BX878" s="218"/>
      <c r="BY878" s="218"/>
      <c r="BZ878" s="218"/>
      <c r="CA878" s="218"/>
      <c r="CB878" s="218"/>
      <c r="CC878" s="218"/>
      <c r="CD878" s="218"/>
      <c r="CE878" s="218"/>
      <c r="CF878" s="218"/>
      <c r="CG878" s="218"/>
      <c r="CH878" s="218"/>
      <c r="CI878" s="218"/>
      <c r="CJ878" s="218"/>
      <c r="CK878" s="218"/>
      <c r="CL878" s="218"/>
      <c r="CM878" s="218"/>
      <c r="CN878" s="218"/>
      <c r="CO878" s="218"/>
      <c r="CP878" s="218"/>
      <c r="CQ878" s="218"/>
      <c r="CR878" s="218"/>
      <c r="CS878" s="218"/>
      <c r="CT878" s="218"/>
      <c r="CU878" s="218"/>
      <c r="CV878" s="218"/>
      <c r="CW878" s="218"/>
      <c r="CX878" s="218"/>
      <c r="CY878" s="218"/>
      <c r="CZ878" s="218"/>
      <c r="DA878" s="218"/>
      <c r="DB878" s="218"/>
      <c r="DC878" s="218"/>
      <c r="DD878" s="218"/>
      <c r="DE878" s="218"/>
      <c r="DF878" s="218"/>
      <c r="DG878" s="218"/>
      <c r="DH878" s="218"/>
      <c r="DI878" s="218"/>
      <c r="DJ878" s="218"/>
      <c r="DK878" s="218"/>
      <c r="DL878" s="218"/>
      <c r="DM878" s="218"/>
      <c r="DN878" s="218"/>
    </row>
    <row r="879" spans="1:118" s="204" customFormat="1" ht="12">
      <c r="A879" s="755"/>
      <c r="B879" s="400"/>
      <c r="C879" s="401">
        <v>1</v>
      </c>
      <c r="D879" s="402"/>
      <c r="E879" s="403">
        <f>C879</f>
        <v>1</v>
      </c>
      <c r="F879" s="538"/>
      <c r="G879" s="539"/>
      <c r="H879" s="203"/>
      <c r="I879" s="540"/>
      <c r="J879" s="540"/>
      <c r="K879" s="540"/>
      <c r="L879" s="540"/>
      <c r="M879" s="540"/>
      <c r="N879" s="540"/>
      <c r="O879" s="540"/>
      <c r="P879" s="540"/>
      <c r="Q879" s="540"/>
      <c r="R879" s="540"/>
      <c r="S879" s="540"/>
      <c r="T879" s="540"/>
      <c r="U879" s="540"/>
      <c r="V879" s="540"/>
      <c r="W879" s="540"/>
      <c r="X879" s="540"/>
      <c r="Y879" s="540"/>
      <c r="Z879" s="540"/>
      <c r="AA879" s="540"/>
      <c r="AB879" s="540"/>
      <c r="AC879" s="540"/>
      <c r="AD879" s="540"/>
      <c r="AE879" s="540"/>
      <c r="AF879" s="540"/>
      <c r="AG879" s="540"/>
      <c r="AH879" s="540"/>
      <c r="AI879" s="540"/>
      <c r="AJ879" s="540"/>
      <c r="AK879" s="540"/>
      <c r="AL879" s="540"/>
      <c r="AM879" s="540"/>
      <c r="AN879" s="540"/>
      <c r="AO879" s="540"/>
      <c r="AP879" s="540"/>
      <c r="AQ879" s="540"/>
      <c r="AR879" s="540"/>
      <c r="AS879" s="540"/>
      <c r="AT879" s="540"/>
      <c r="AU879" s="540"/>
      <c r="AV879" s="540"/>
      <c r="AW879" s="540"/>
      <c r="AX879" s="540"/>
      <c r="AY879" s="540"/>
      <c r="AZ879" s="540"/>
      <c r="BA879" s="540"/>
      <c r="BB879" s="540"/>
      <c r="BC879" s="540"/>
      <c r="BD879" s="540"/>
      <c r="BE879" s="540"/>
      <c r="BF879" s="540"/>
      <c r="BG879" s="540"/>
      <c r="BH879" s="540"/>
      <c r="BI879" s="540"/>
      <c r="BJ879" s="540"/>
      <c r="BK879" s="540"/>
      <c r="BL879" s="540"/>
      <c r="BM879" s="540"/>
      <c r="BN879" s="540"/>
      <c r="BO879" s="540"/>
      <c r="BP879" s="540"/>
      <c r="BQ879" s="540"/>
      <c r="BR879" s="540"/>
      <c r="BS879" s="540"/>
      <c r="BT879" s="540"/>
      <c r="BU879" s="540"/>
      <c r="BV879" s="540"/>
      <c r="BW879" s="540"/>
      <c r="BX879" s="540"/>
      <c r="BY879" s="540"/>
      <c r="BZ879" s="540"/>
      <c r="CA879" s="540"/>
      <c r="CB879" s="540"/>
      <c r="CC879" s="540"/>
      <c r="CD879" s="540"/>
      <c r="CE879" s="540"/>
      <c r="CF879" s="540"/>
      <c r="CG879" s="540"/>
      <c r="CH879" s="540"/>
      <c r="CI879" s="540"/>
      <c r="CJ879" s="540"/>
      <c r="CK879" s="540"/>
      <c r="CL879" s="540"/>
      <c r="CM879" s="540"/>
      <c r="CN879" s="540"/>
      <c r="CO879" s="540"/>
      <c r="CP879" s="540"/>
      <c r="CQ879" s="540"/>
      <c r="CR879" s="540"/>
      <c r="CS879" s="540"/>
      <c r="CT879" s="540"/>
      <c r="CU879" s="540"/>
      <c r="CV879" s="540"/>
      <c r="CW879" s="540"/>
      <c r="CX879" s="540"/>
      <c r="CY879" s="540"/>
      <c r="CZ879" s="540"/>
      <c r="DA879" s="540"/>
      <c r="DB879" s="540"/>
      <c r="DC879" s="540"/>
      <c r="DD879" s="540"/>
      <c r="DE879" s="540"/>
      <c r="DF879" s="540"/>
      <c r="DG879" s="540"/>
      <c r="DH879" s="540"/>
      <c r="DI879" s="540"/>
      <c r="DJ879" s="540"/>
      <c r="DK879" s="540"/>
      <c r="DL879" s="540"/>
      <c r="DM879" s="540"/>
      <c r="DN879" s="540"/>
    </row>
    <row r="880" spans="1:118" s="204" customFormat="1" ht="12">
      <c r="A880" s="755"/>
      <c r="B880" s="456"/>
      <c r="C880" s="405" t="s">
        <v>39</v>
      </c>
      <c r="D880" s="487"/>
      <c r="E880" s="407">
        <f>SUM(E879:E879)</f>
        <v>1</v>
      </c>
      <c r="F880" s="538"/>
      <c r="G880" s="539"/>
      <c r="H880" s="203"/>
      <c r="I880" s="540"/>
      <c r="J880" s="540"/>
      <c r="K880" s="540"/>
      <c r="L880" s="540"/>
      <c r="M880" s="540"/>
      <c r="N880" s="540"/>
      <c r="O880" s="540"/>
      <c r="P880" s="540"/>
      <c r="Q880" s="540"/>
      <c r="R880" s="540"/>
      <c r="S880" s="540"/>
      <c r="T880" s="540"/>
      <c r="U880" s="540"/>
      <c r="V880" s="540"/>
      <c r="W880" s="540"/>
      <c r="X880" s="540"/>
      <c r="Y880" s="540"/>
      <c r="Z880" s="540"/>
      <c r="AA880" s="540"/>
      <c r="AB880" s="540"/>
      <c r="AC880" s="540"/>
      <c r="AD880" s="540"/>
      <c r="AE880" s="540"/>
      <c r="AF880" s="540"/>
      <c r="AG880" s="540"/>
      <c r="AH880" s="540"/>
      <c r="AI880" s="540"/>
      <c r="AJ880" s="540"/>
      <c r="AK880" s="540"/>
      <c r="AL880" s="540"/>
      <c r="AM880" s="540"/>
      <c r="AN880" s="540"/>
      <c r="AO880" s="540"/>
      <c r="AP880" s="540"/>
      <c r="AQ880" s="540"/>
      <c r="AR880" s="540"/>
      <c r="AS880" s="540"/>
      <c r="AT880" s="540"/>
      <c r="AU880" s="540"/>
      <c r="AV880" s="540"/>
      <c r="AW880" s="540"/>
      <c r="AX880" s="540"/>
      <c r="AY880" s="540"/>
      <c r="AZ880" s="540"/>
      <c r="BA880" s="540"/>
      <c r="BB880" s="540"/>
      <c r="BC880" s="540"/>
      <c r="BD880" s="540"/>
      <c r="BE880" s="540"/>
      <c r="BF880" s="540"/>
      <c r="BG880" s="540"/>
      <c r="BH880" s="540"/>
      <c r="BI880" s="540"/>
      <c r="BJ880" s="540"/>
      <c r="BK880" s="540"/>
      <c r="BL880" s="540"/>
      <c r="BM880" s="540"/>
      <c r="BN880" s="540"/>
      <c r="BO880" s="540"/>
      <c r="BP880" s="540"/>
      <c r="BQ880" s="540"/>
      <c r="BR880" s="540"/>
      <c r="BS880" s="540"/>
      <c r="BT880" s="540"/>
      <c r="BU880" s="540"/>
      <c r="BV880" s="540"/>
      <c r="BW880" s="540"/>
      <c r="BX880" s="540"/>
      <c r="BY880" s="540"/>
      <c r="BZ880" s="540"/>
      <c r="CA880" s="540"/>
      <c r="CB880" s="540"/>
      <c r="CC880" s="540"/>
      <c r="CD880" s="540"/>
      <c r="CE880" s="540"/>
      <c r="CF880" s="540"/>
      <c r="CG880" s="540"/>
      <c r="CH880" s="540"/>
      <c r="CI880" s="540"/>
      <c r="CJ880" s="540"/>
      <c r="CK880" s="540"/>
      <c r="CL880" s="540"/>
      <c r="CM880" s="540"/>
      <c r="CN880" s="540"/>
      <c r="CO880" s="540"/>
      <c r="CP880" s="540"/>
      <c r="CQ880" s="540"/>
      <c r="CR880" s="540"/>
      <c r="CS880" s="540"/>
      <c r="CT880" s="540"/>
      <c r="CU880" s="540"/>
      <c r="CV880" s="540"/>
      <c r="CW880" s="540"/>
      <c r="CX880" s="540"/>
      <c r="CY880" s="540"/>
      <c r="CZ880" s="540"/>
      <c r="DA880" s="540"/>
      <c r="DB880" s="540"/>
      <c r="DC880" s="540"/>
      <c r="DD880" s="540"/>
      <c r="DE880" s="540"/>
      <c r="DF880" s="540"/>
      <c r="DG880" s="540"/>
      <c r="DH880" s="540"/>
      <c r="DI880" s="540"/>
      <c r="DJ880" s="540"/>
      <c r="DK880" s="540"/>
      <c r="DL880" s="540"/>
      <c r="DM880" s="540"/>
      <c r="DN880" s="540"/>
    </row>
    <row r="881" spans="1:118" s="204" customFormat="1" ht="12">
      <c r="A881" s="755"/>
      <c r="B881" s="456"/>
      <c r="C881" s="405"/>
      <c r="D881" s="487"/>
      <c r="E881" s="407"/>
      <c r="F881" s="538"/>
      <c r="G881" s="539"/>
      <c r="H881" s="203"/>
      <c r="I881" s="540"/>
      <c r="J881" s="540"/>
      <c r="K881" s="540"/>
      <c r="L881" s="540"/>
      <c r="M881" s="540"/>
      <c r="N881" s="540"/>
      <c r="O881" s="540"/>
      <c r="P881" s="540"/>
      <c r="Q881" s="540"/>
      <c r="R881" s="540"/>
      <c r="S881" s="540"/>
      <c r="T881" s="540"/>
      <c r="U881" s="540"/>
      <c r="V881" s="540"/>
      <c r="W881" s="540"/>
      <c r="X881" s="540"/>
      <c r="Y881" s="540"/>
      <c r="Z881" s="540"/>
      <c r="AA881" s="540"/>
      <c r="AB881" s="540"/>
      <c r="AC881" s="540"/>
      <c r="AD881" s="540"/>
      <c r="AE881" s="540"/>
      <c r="AF881" s="540"/>
      <c r="AG881" s="540"/>
      <c r="AH881" s="540"/>
      <c r="AI881" s="540"/>
      <c r="AJ881" s="540"/>
      <c r="AK881" s="540"/>
      <c r="AL881" s="540"/>
      <c r="AM881" s="540"/>
      <c r="AN881" s="540"/>
      <c r="AO881" s="540"/>
      <c r="AP881" s="540"/>
      <c r="AQ881" s="540"/>
      <c r="AR881" s="540"/>
      <c r="AS881" s="540"/>
      <c r="AT881" s="540"/>
      <c r="AU881" s="540"/>
      <c r="AV881" s="540"/>
      <c r="AW881" s="540"/>
      <c r="AX881" s="540"/>
      <c r="AY881" s="540"/>
      <c r="AZ881" s="540"/>
      <c r="BA881" s="540"/>
      <c r="BB881" s="540"/>
      <c r="BC881" s="540"/>
      <c r="BD881" s="540"/>
      <c r="BE881" s="540"/>
      <c r="BF881" s="540"/>
      <c r="BG881" s="540"/>
      <c r="BH881" s="540"/>
      <c r="BI881" s="540"/>
      <c r="BJ881" s="540"/>
      <c r="BK881" s="540"/>
      <c r="BL881" s="540"/>
      <c r="BM881" s="540"/>
      <c r="BN881" s="540"/>
      <c r="BO881" s="540"/>
      <c r="BP881" s="540"/>
      <c r="BQ881" s="540"/>
      <c r="BR881" s="540"/>
      <c r="BS881" s="540"/>
      <c r="BT881" s="540"/>
      <c r="BU881" s="540"/>
      <c r="BV881" s="540"/>
      <c r="BW881" s="540"/>
      <c r="BX881" s="540"/>
      <c r="BY881" s="540"/>
      <c r="BZ881" s="540"/>
      <c r="CA881" s="540"/>
      <c r="CB881" s="540"/>
      <c r="CC881" s="540"/>
      <c r="CD881" s="540"/>
      <c r="CE881" s="540"/>
      <c r="CF881" s="540"/>
      <c r="CG881" s="540"/>
      <c r="CH881" s="540"/>
      <c r="CI881" s="540"/>
      <c r="CJ881" s="540"/>
      <c r="CK881" s="540"/>
      <c r="CL881" s="540"/>
      <c r="CM881" s="540"/>
      <c r="CN881" s="540"/>
      <c r="CO881" s="540"/>
      <c r="CP881" s="540"/>
      <c r="CQ881" s="540"/>
      <c r="CR881" s="540"/>
      <c r="CS881" s="540"/>
      <c r="CT881" s="540"/>
      <c r="CU881" s="540"/>
      <c r="CV881" s="540"/>
      <c r="CW881" s="540"/>
      <c r="CX881" s="540"/>
      <c r="CY881" s="540"/>
      <c r="CZ881" s="540"/>
      <c r="DA881" s="540"/>
      <c r="DB881" s="540"/>
      <c r="DC881" s="540"/>
      <c r="DD881" s="540"/>
      <c r="DE881" s="540"/>
      <c r="DF881" s="540"/>
      <c r="DG881" s="540"/>
      <c r="DH881" s="540"/>
      <c r="DI881" s="540"/>
      <c r="DJ881" s="540"/>
      <c r="DK881" s="540"/>
      <c r="DL881" s="540"/>
      <c r="DM881" s="540"/>
      <c r="DN881" s="540"/>
    </row>
    <row r="882" spans="1:118" ht="36.75" customHeight="1">
      <c r="A882" s="754">
        <v>2</v>
      </c>
      <c r="B882" s="471" t="s">
        <v>1256</v>
      </c>
      <c r="C882" s="537" t="s">
        <v>1257</v>
      </c>
      <c r="D882" s="423" t="s">
        <v>1258</v>
      </c>
      <c r="E882" s="3" t="s">
        <v>45</v>
      </c>
      <c r="F882" s="216">
        <f>E884</f>
        <v>1</v>
      </c>
      <c r="G882" s="23"/>
      <c r="H882" s="205">
        <f>F882*G882</f>
        <v>0</v>
      </c>
      <c r="I882" s="218"/>
      <c r="J882" s="218"/>
      <c r="K882" s="218"/>
      <c r="L882" s="218"/>
      <c r="M882" s="218"/>
      <c r="N882" s="218"/>
      <c r="O882" s="218"/>
      <c r="P882" s="218"/>
      <c r="Q882" s="218"/>
      <c r="R882" s="218"/>
      <c r="S882" s="218"/>
      <c r="T882" s="218"/>
      <c r="U882" s="218"/>
      <c r="V882" s="218"/>
      <c r="W882" s="218"/>
      <c r="X882" s="218"/>
      <c r="Y882" s="218"/>
      <c r="Z882" s="218"/>
      <c r="AA882" s="218"/>
      <c r="AB882" s="218"/>
      <c r="AC882" s="218"/>
      <c r="AD882" s="218"/>
      <c r="AE882" s="218"/>
      <c r="AF882" s="218"/>
      <c r="AG882" s="218"/>
      <c r="AH882" s="218"/>
      <c r="AI882" s="218"/>
      <c r="AJ882" s="218"/>
      <c r="AK882" s="218"/>
      <c r="AL882" s="218"/>
      <c r="AM882" s="218"/>
      <c r="AN882" s="218"/>
      <c r="AO882" s="218"/>
      <c r="AP882" s="218"/>
      <c r="AQ882" s="218"/>
      <c r="AR882" s="218"/>
      <c r="AS882" s="218"/>
      <c r="AT882" s="218"/>
      <c r="AU882" s="218"/>
      <c r="AV882" s="218"/>
      <c r="AW882" s="218"/>
      <c r="AX882" s="218"/>
      <c r="AY882" s="218"/>
      <c r="AZ882" s="218"/>
      <c r="BA882" s="218"/>
      <c r="BB882" s="218"/>
      <c r="BC882" s="218"/>
      <c r="BD882" s="218"/>
      <c r="BE882" s="218"/>
      <c r="BF882" s="218"/>
      <c r="BG882" s="218"/>
      <c r="BH882" s="218"/>
      <c r="BI882" s="218"/>
      <c r="BJ882" s="218"/>
      <c r="BK882" s="218"/>
      <c r="BL882" s="218"/>
      <c r="BM882" s="218"/>
      <c r="BN882" s="218"/>
      <c r="BO882" s="218"/>
      <c r="BP882" s="218"/>
      <c r="BQ882" s="218"/>
      <c r="BR882" s="218"/>
      <c r="BS882" s="218"/>
      <c r="BT882" s="218"/>
      <c r="BU882" s="218"/>
      <c r="BV882" s="218"/>
      <c r="BW882" s="218"/>
      <c r="BX882" s="218"/>
      <c r="BY882" s="218"/>
      <c r="BZ882" s="218"/>
      <c r="CA882" s="218"/>
      <c r="CB882" s="218"/>
      <c r="CC882" s="218"/>
      <c r="CD882" s="218"/>
      <c r="CE882" s="218"/>
      <c r="CF882" s="218"/>
      <c r="CG882" s="218"/>
      <c r="CH882" s="218"/>
      <c r="CI882" s="218"/>
      <c r="CJ882" s="218"/>
      <c r="CK882" s="218"/>
      <c r="CL882" s="218"/>
      <c r="CM882" s="218"/>
      <c r="CN882" s="218"/>
      <c r="CO882" s="218"/>
      <c r="CP882" s="218"/>
      <c r="CQ882" s="218"/>
      <c r="CR882" s="218"/>
      <c r="CS882" s="218"/>
      <c r="CT882" s="218"/>
      <c r="CU882" s="218"/>
      <c r="CV882" s="218"/>
      <c r="CW882" s="218"/>
      <c r="CX882" s="218"/>
      <c r="CY882" s="218"/>
      <c r="CZ882" s="218"/>
      <c r="DA882" s="218"/>
      <c r="DB882" s="218"/>
      <c r="DC882" s="218"/>
      <c r="DD882" s="218"/>
      <c r="DE882" s="218"/>
      <c r="DF882" s="218"/>
      <c r="DG882" s="218"/>
      <c r="DH882" s="218"/>
      <c r="DI882" s="218"/>
      <c r="DJ882" s="218"/>
      <c r="DK882" s="218"/>
      <c r="DL882" s="218"/>
      <c r="DM882" s="218"/>
      <c r="DN882" s="218"/>
    </row>
    <row r="883" spans="1:118" s="204" customFormat="1" ht="12">
      <c r="A883" s="755"/>
      <c r="B883" s="400"/>
      <c r="C883" s="401">
        <v>1</v>
      </c>
      <c r="D883" s="402"/>
      <c r="E883" s="403">
        <f>C883</f>
        <v>1</v>
      </c>
      <c r="F883" s="538"/>
      <c r="G883" s="539"/>
      <c r="H883" s="203"/>
      <c r="I883" s="540"/>
      <c r="J883" s="540"/>
      <c r="K883" s="540"/>
      <c r="L883" s="540"/>
      <c r="M883" s="540"/>
      <c r="N883" s="540"/>
      <c r="O883" s="540"/>
      <c r="P883" s="540"/>
      <c r="Q883" s="540"/>
      <c r="R883" s="540"/>
      <c r="S883" s="540"/>
      <c r="T883" s="540"/>
      <c r="U883" s="540"/>
      <c r="V883" s="540"/>
      <c r="W883" s="540"/>
      <c r="X883" s="540"/>
      <c r="Y883" s="540"/>
      <c r="Z883" s="540"/>
      <c r="AA883" s="540"/>
      <c r="AB883" s="540"/>
      <c r="AC883" s="540"/>
      <c r="AD883" s="540"/>
      <c r="AE883" s="540"/>
      <c r="AF883" s="540"/>
      <c r="AG883" s="540"/>
      <c r="AH883" s="540"/>
      <c r="AI883" s="540"/>
      <c r="AJ883" s="540"/>
      <c r="AK883" s="540"/>
      <c r="AL883" s="540"/>
      <c r="AM883" s="540"/>
      <c r="AN883" s="540"/>
      <c r="AO883" s="540"/>
      <c r="AP883" s="540"/>
      <c r="AQ883" s="540"/>
      <c r="AR883" s="540"/>
      <c r="AS883" s="540"/>
      <c r="AT883" s="540"/>
      <c r="AU883" s="540"/>
      <c r="AV883" s="540"/>
      <c r="AW883" s="540"/>
      <c r="AX883" s="540"/>
      <c r="AY883" s="540"/>
      <c r="AZ883" s="540"/>
      <c r="BA883" s="540"/>
      <c r="BB883" s="540"/>
      <c r="BC883" s="540"/>
      <c r="BD883" s="540"/>
      <c r="BE883" s="540"/>
      <c r="BF883" s="540"/>
      <c r="BG883" s="540"/>
      <c r="BH883" s="540"/>
      <c r="BI883" s="540"/>
      <c r="BJ883" s="540"/>
      <c r="BK883" s="540"/>
      <c r="BL883" s="540"/>
      <c r="BM883" s="540"/>
      <c r="BN883" s="540"/>
      <c r="BO883" s="540"/>
      <c r="BP883" s="540"/>
      <c r="BQ883" s="540"/>
      <c r="BR883" s="540"/>
      <c r="BS883" s="540"/>
      <c r="BT883" s="540"/>
      <c r="BU883" s="540"/>
      <c r="BV883" s="540"/>
      <c r="BW883" s="540"/>
      <c r="BX883" s="540"/>
      <c r="BY883" s="540"/>
      <c r="BZ883" s="540"/>
      <c r="CA883" s="540"/>
      <c r="CB883" s="540"/>
      <c r="CC883" s="540"/>
      <c r="CD883" s="540"/>
      <c r="CE883" s="540"/>
      <c r="CF883" s="540"/>
      <c r="CG883" s="540"/>
      <c r="CH883" s="540"/>
      <c r="CI883" s="540"/>
      <c r="CJ883" s="540"/>
      <c r="CK883" s="540"/>
      <c r="CL883" s="540"/>
      <c r="CM883" s="540"/>
      <c r="CN883" s="540"/>
      <c r="CO883" s="540"/>
      <c r="CP883" s="540"/>
      <c r="CQ883" s="540"/>
      <c r="CR883" s="540"/>
      <c r="CS883" s="540"/>
      <c r="CT883" s="540"/>
      <c r="CU883" s="540"/>
      <c r="CV883" s="540"/>
      <c r="CW883" s="540"/>
      <c r="CX883" s="540"/>
      <c r="CY883" s="540"/>
      <c r="CZ883" s="540"/>
      <c r="DA883" s="540"/>
      <c r="DB883" s="540"/>
      <c r="DC883" s="540"/>
      <c r="DD883" s="540"/>
      <c r="DE883" s="540"/>
      <c r="DF883" s="540"/>
      <c r="DG883" s="540"/>
      <c r="DH883" s="540"/>
      <c r="DI883" s="540"/>
      <c r="DJ883" s="540"/>
      <c r="DK883" s="540"/>
      <c r="DL883" s="540"/>
      <c r="DM883" s="540"/>
      <c r="DN883" s="540"/>
    </row>
    <row r="884" spans="1:118" s="204" customFormat="1" ht="12">
      <c r="A884" s="755"/>
      <c r="B884" s="456"/>
      <c r="C884" s="405" t="s">
        <v>39</v>
      </c>
      <c r="D884" s="487"/>
      <c r="E884" s="407">
        <f>SUM(E883:E883)</f>
        <v>1</v>
      </c>
      <c r="F884" s="538"/>
      <c r="G884" s="539"/>
      <c r="H884" s="203"/>
      <c r="I884" s="540"/>
      <c r="J884" s="540"/>
      <c r="K884" s="540"/>
      <c r="L884" s="540"/>
      <c r="M884" s="540"/>
      <c r="N884" s="540"/>
      <c r="O884" s="540"/>
      <c r="P884" s="540"/>
      <c r="Q884" s="540"/>
      <c r="R884" s="540"/>
      <c r="S884" s="540"/>
      <c r="T884" s="540"/>
      <c r="U884" s="540"/>
      <c r="V884" s="540"/>
      <c r="W884" s="540"/>
      <c r="X884" s="540"/>
      <c r="Y884" s="540"/>
      <c r="Z884" s="540"/>
      <c r="AA884" s="540"/>
      <c r="AB884" s="540"/>
      <c r="AC884" s="540"/>
      <c r="AD884" s="540"/>
      <c r="AE884" s="540"/>
      <c r="AF884" s="540"/>
      <c r="AG884" s="540"/>
      <c r="AH884" s="540"/>
      <c r="AI884" s="540"/>
      <c r="AJ884" s="540"/>
      <c r="AK884" s="540"/>
      <c r="AL884" s="540"/>
      <c r="AM884" s="540"/>
      <c r="AN884" s="540"/>
      <c r="AO884" s="540"/>
      <c r="AP884" s="540"/>
      <c r="AQ884" s="540"/>
      <c r="AR884" s="540"/>
      <c r="AS884" s="540"/>
      <c r="AT884" s="540"/>
      <c r="AU884" s="540"/>
      <c r="AV884" s="540"/>
      <c r="AW884" s="540"/>
      <c r="AX884" s="540"/>
      <c r="AY884" s="540"/>
      <c r="AZ884" s="540"/>
      <c r="BA884" s="540"/>
      <c r="BB884" s="540"/>
      <c r="BC884" s="540"/>
      <c r="BD884" s="540"/>
      <c r="BE884" s="540"/>
      <c r="BF884" s="540"/>
      <c r="BG884" s="540"/>
      <c r="BH884" s="540"/>
      <c r="BI884" s="540"/>
      <c r="BJ884" s="540"/>
      <c r="BK884" s="540"/>
      <c r="BL884" s="540"/>
      <c r="BM884" s="540"/>
      <c r="BN884" s="540"/>
      <c r="BO884" s="540"/>
      <c r="BP884" s="540"/>
      <c r="BQ884" s="540"/>
      <c r="BR884" s="540"/>
      <c r="BS884" s="540"/>
      <c r="BT884" s="540"/>
      <c r="BU884" s="540"/>
      <c r="BV884" s="540"/>
      <c r="BW884" s="540"/>
      <c r="BX884" s="540"/>
      <c r="BY884" s="540"/>
      <c r="BZ884" s="540"/>
      <c r="CA884" s="540"/>
      <c r="CB884" s="540"/>
      <c r="CC884" s="540"/>
      <c r="CD884" s="540"/>
      <c r="CE884" s="540"/>
      <c r="CF884" s="540"/>
      <c r="CG884" s="540"/>
      <c r="CH884" s="540"/>
      <c r="CI884" s="540"/>
      <c r="CJ884" s="540"/>
      <c r="CK884" s="540"/>
      <c r="CL884" s="540"/>
      <c r="CM884" s="540"/>
      <c r="CN884" s="540"/>
      <c r="CO884" s="540"/>
      <c r="CP884" s="540"/>
      <c r="CQ884" s="540"/>
      <c r="CR884" s="540"/>
      <c r="CS884" s="540"/>
      <c r="CT884" s="540"/>
      <c r="CU884" s="540"/>
      <c r="CV884" s="540"/>
      <c r="CW884" s="540"/>
      <c r="CX884" s="540"/>
      <c r="CY884" s="540"/>
      <c r="CZ884" s="540"/>
      <c r="DA884" s="540"/>
      <c r="DB884" s="540"/>
      <c r="DC884" s="540"/>
      <c r="DD884" s="540"/>
      <c r="DE884" s="540"/>
      <c r="DF884" s="540"/>
      <c r="DG884" s="540"/>
      <c r="DH884" s="540"/>
      <c r="DI884" s="540"/>
      <c r="DJ884" s="540"/>
      <c r="DK884" s="540"/>
      <c r="DL884" s="540"/>
      <c r="DM884" s="540"/>
      <c r="DN884" s="540"/>
    </row>
    <row r="885" spans="1:118" ht="12.75">
      <c r="A885" s="754"/>
      <c r="B885" s="471"/>
      <c r="C885" s="541"/>
      <c r="D885" s="358"/>
      <c r="E885" s="3"/>
      <c r="F885" s="3"/>
      <c r="G885" s="216"/>
      <c r="H885" s="542"/>
      <c r="I885" s="218"/>
      <c r="J885" s="218"/>
      <c r="K885" s="218"/>
      <c r="L885" s="218"/>
      <c r="M885" s="218"/>
      <c r="N885" s="218"/>
      <c r="O885" s="218"/>
      <c r="P885" s="218"/>
      <c r="Q885" s="218"/>
      <c r="R885" s="218"/>
      <c r="S885" s="218"/>
      <c r="T885" s="218"/>
      <c r="U885" s="218"/>
      <c r="V885" s="218"/>
      <c r="W885" s="218"/>
      <c r="X885" s="218"/>
      <c r="Y885" s="218"/>
      <c r="Z885" s="218"/>
      <c r="AA885" s="218"/>
      <c r="AB885" s="218"/>
      <c r="AC885" s="218"/>
      <c r="AD885" s="218"/>
      <c r="AE885" s="218"/>
      <c r="AF885" s="218"/>
      <c r="AG885" s="218"/>
      <c r="AH885" s="218"/>
      <c r="AI885" s="218"/>
      <c r="AJ885" s="218"/>
      <c r="AK885" s="218"/>
      <c r="AL885" s="218"/>
      <c r="AM885" s="218"/>
      <c r="AN885" s="218"/>
      <c r="AO885" s="218"/>
      <c r="AP885" s="218"/>
      <c r="AQ885" s="218"/>
      <c r="AR885" s="218"/>
      <c r="AS885" s="218"/>
      <c r="AT885" s="218"/>
      <c r="AU885" s="218"/>
      <c r="AV885" s="218"/>
      <c r="AW885" s="218"/>
      <c r="AX885" s="218"/>
      <c r="AY885" s="218"/>
      <c r="AZ885" s="218"/>
      <c r="BA885" s="218"/>
      <c r="BB885" s="218"/>
      <c r="BC885" s="218"/>
      <c r="BD885" s="218"/>
      <c r="BE885" s="218"/>
      <c r="BF885" s="218"/>
      <c r="BG885" s="218"/>
      <c r="BH885" s="218"/>
      <c r="BI885" s="218"/>
      <c r="BJ885" s="218"/>
      <c r="BK885" s="218"/>
      <c r="BL885" s="218"/>
      <c r="BM885" s="218"/>
      <c r="BN885" s="218"/>
      <c r="BO885" s="218"/>
      <c r="BP885" s="218"/>
      <c r="BQ885" s="218"/>
      <c r="BR885" s="218"/>
      <c r="BS885" s="218"/>
      <c r="BT885" s="218"/>
      <c r="BU885" s="218"/>
      <c r="BV885" s="218"/>
      <c r="BW885" s="218"/>
      <c r="BX885" s="218"/>
      <c r="BY885" s="218"/>
      <c r="BZ885" s="218"/>
      <c r="CA885" s="218"/>
      <c r="CB885" s="218"/>
      <c r="CC885" s="218"/>
      <c r="CD885" s="218"/>
      <c r="CE885" s="218"/>
      <c r="CF885" s="218"/>
      <c r="CG885" s="218"/>
      <c r="CH885" s="218"/>
      <c r="CI885" s="218"/>
      <c r="CJ885" s="218"/>
      <c r="CK885" s="218"/>
      <c r="CL885" s="218"/>
      <c r="CM885" s="218"/>
      <c r="CN885" s="218"/>
      <c r="CO885" s="218"/>
      <c r="CP885" s="218"/>
      <c r="CQ885" s="218"/>
      <c r="CR885" s="218"/>
      <c r="CS885" s="218"/>
      <c r="CT885" s="218"/>
      <c r="CU885" s="218"/>
      <c r="CV885" s="218"/>
      <c r="CW885" s="218"/>
      <c r="CX885" s="218"/>
      <c r="CY885" s="218"/>
      <c r="CZ885" s="218"/>
      <c r="DA885" s="218"/>
      <c r="DB885" s="218"/>
      <c r="DC885" s="218"/>
      <c r="DD885" s="218"/>
      <c r="DE885" s="218"/>
      <c r="DF885" s="218"/>
      <c r="DG885" s="218"/>
      <c r="DH885" s="218"/>
      <c r="DI885" s="218"/>
      <c r="DJ885" s="218"/>
      <c r="DK885" s="218"/>
      <c r="DL885" s="218"/>
      <c r="DM885" s="218"/>
      <c r="DN885" s="218"/>
    </row>
    <row r="886" spans="1:118" ht="25.5">
      <c r="A886" s="754">
        <v>3</v>
      </c>
      <c r="B886" s="421" t="s">
        <v>0</v>
      </c>
      <c r="C886" s="422" t="s">
        <v>1259</v>
      </c>
      <c r="D886" s="358"/>
      <c r="E886" s="3" t="s">
        <v>50</v>
      </c>
      <c r="F886" s="216">
        <f>SUM(H878:H885)/100</f>
        <v>0</v>
      </c>
      <c r="G886" s="23"/>
      <c r="H886" s="205">
        <f>F886*G886</f>
        <v>0</v>
      </c>
      <c r="I886" s="218"/>
      <c r="J886" s="218"/>
      <c r="K886" s="218"/>
      <c r="L886" s="218"/>
      <c r="M886" s="218"/>
      <c r="N886" s="218"/>
      <c r="O886" s="218"/>
      <c r="P886" s="218"/>
      <c r="Q886" s="218"/>
      <c r="R886" s="218"/>
      <c r="S886" s="218"/>
      <c r="T886" s="218"/>
      <c r="U886" s="218"/>
      <c r="V886" s="218"/>
      <c r="W886" s="218"/>
      <c r="X886" s="218"/>
      <c r="Y886" s="218"/>
      <c r="Z886" s="218"/>
      <c r="AA886" s="218"/>
      <c r="AB886" s="218"/>
      <c r="AC886" s="218"/>
      <c r="AD886" s="218"/>
      <c r="AE886" s="218"/>
      <c r="AF886" s="218"/>
      <c r="AG886" s="218"/>
      <c r="AH886" s="218"/>
      <c r="AI886" s="218"/>
      <c r="AJ886" s="218"/>
      <c r="AK886" s="218"/>
      <c r="AL886" s="218"/>
      <c r="AM886" s="218"/>
      <c r="AN886" s="218"/>
      <c r="AO886" s="218"/>
      <c r="AP886" s="218"/>
      <c r="AQ886" s="218"/>
      <c r="AR886" s="218"/>
      <c r="AS886" s="218"/>
      <c r="AT886" s="218"/>
      <c r="AU886" s="218"/>
      <c r="AV886" s="218"/>
      <c r="AW886" s="218"/>
      <c r="AX886" s="218"/>
      <c r="AY886" s="218"/>
      <c r="AZ886" s="218"/>
      <c r="BA886" s="218"/>
      <c r="BB886" s="218"/>
      <c r="BC886" s="218"/>
      <c r="BD886" s="218"/>
      <c r="BE886" s="218"/>
      <c r="BF886" s="218"/>
      <c r="BG886" s="218"/>
      <c r="BH886" s="218"/>
      <c r="BI886" s="218"/>
      <c r="BJ886" s="218"/>
      <c r="BK886" s="218"/>
      <c r="BL886" s="218"/>
      <c r="BM886" s="218"/>
      <c r="BN886" s="218"/>
      <c r="BO886" s="218"/>
      <c r="BP886" s="218"/>
      <c r="BQ886" s="218"/>
      <c r="BR886" s="218"/>
      <c r="BS886" s="218"/>
      <c r="BT886" s="218"/>
      <c r="BU886" s="218"/>
      <c r="BV886" s="218"/>
      <c r="BW886" s="218"/>
      <c r="BX886" s="218"/>
      <c r="BY886" s="218"/>
      <c r="BZ886" s="218"/>
      <c r="CA886" s="218"/>
      <c r="CB886" s="218"/>
      <c r="CC886" s="218"/>
      <c r="CD886" s="218"/>
      <c r="CE886" s="218"/>
      <c r="CF886" s="218"/>
      <c r="CG886" s="218"/>
      <c r="CH886" s="218"/>
      <c r="CI886" s="218"/>
      <c r="CJ886" s="218"/>
      <c r="CK886" s="218"/>
      <c r="CL886" s="218"/>
      <c r="CM886" s="218"/>
      <c r="CN886" s="218"/>
      <c r="CO886" s="218"/>
      <c r="CP886" s="218"/>
      <c r="CQ886" s="218"/>
      <c r="CR886" s="218"/>
      <c r="CS886" s="218"/>
      <c r="CT886" s="218"/>
      <c r="CU886" s="218"/>
      <c r="CV886" s="218"/>
      <c r="CW886" s="218"/>
      <c r="CX886" s="218"/>
      <c r="CY886" s="218"/>
      <c r="CZ886" s="218"/>
      <c r="DA886" s="218"/>
      <c r="DB886" s="218"/>
      <c r="DC886" s="218"/>
      <c r="DD886" s="218"/>
      <c r="DE886" s="218"/>
      <c r="DF886" s="218"/>
      <c r="DG886" s="218"/>
      <c r="DH886" s="218"/>
      <c r="DI886" s="218"/>
      <c r="DJ886" s="218"/>
      <c r="DK886" s="218"/>
      <c r="DL886" s="218"/>
      <c r="DM886" s="218"/>
      <c r="DN886" s="218"/>
    </row>
    <row r="887" spans="1:8" ht="12.75">
      <c r="A887" s="754"/>
      <c r="B887" s="471"/>
      <c r="C887" s="465"/>
      <c r="D887" s="543"/>
      <c r="E887" s="544"/>
      <c r="F887" s="545"/>
      <c r="G887" s="23"/>
      <c r="H887" s="205"/>
    </row>
    <row r="888" spans="1:118" ht="15" customHeight="1">
      <c r="A888" s="754"/>
      <c r="B888" s="449"/>
      <c r="C888" s="395" t="s">
        <v>1254</v>
      </c>
      <c r="D888" s="546" t="s">
        <v>1220</v>
      </c>
      <c r="E888" s="396"/>
      <c r="F888" s="209"/>
      <c r="G888" s="23"/>
      <c r="H888" s="397">
        <f>SUM(H889:H893)</f>
        <v>0</v>
      </c>
      <c r="I888" s="218"/>
      <c r="J888" s="218"/>
      <c r="K888" s="218"/>
      <c r="L888" s="218"/>
      <c r="M888" s="218"/>
      <c r="N888" s="218"/>
      <c r="O888" s="218"/>
      <c r="P888" s="218"/>
      <c r="Q888" s="218"/>
      <c r="R888" s="218"/>
      <c r="S888" s="218"/>
      <c r="T888" s="218"/>
      <c r="U888" s="218"/>
      <c r="V888" s="218"/>
      <c r="W888" s="218"/>
      <c r="X888" s="218"/>
      <c r="Y888" s="218"/>
      <c r="Z888" s="218"/>
      <c r="AA888" s="218"/>
      <c r="AB888" s="218"/>
      <c r="AC888" s="218"/>
      <c r="AD888" s="218"/>
      <c r="AE888" s="218"/>
      <c r="AF888" s="218"/>
      <c r="AG888" s="218"/>
      <c r="AH888" s="218"/>
      <c r="AI888" s="218"/>
      <c r="AJ888" s="218"/>
      <c r="AK888" s="218"/>
      <c r="AL888" s="218"/>
      <c r="AM888" s="218"/>
      <c r="AN888" s="218"/>
      <c r="AO888" s="218"/>
      <c r="AP888" s="218"/>
      <c r="AQ888" s="218"/>
      <c r="AR888" s="218"/>
      <c r="AS888" s="218"/>
      <c r="AT888" s="218"/>
      <c r="AU888" s="218"/>
      <c r="AV888" s="218"/>
      <c r="AW888" s="218"/>
      <c r="AX888" s="218"/>
      <c r="AY888" s="218"/>
      <c r="AZ888" s="218"/>
      <c r="BA888" s="218"/>
      <c r="BB888" s="218"/>
      <c r="BC888" s="218"/>
      <c r="BD888" s="218"/>
      <c r="BE888" s="218"/>
      <c r="BF888" s="218"/>
      <c r="BG888" s="218"/>
      <c r="BH888" s="218"/>
      <c r="BI888" s="218"/>
      <c r="BJ888" s="218"/>
      <c r="BK888" s="218"/>
      <c r="BL888" s="218"/>
      <c r="BM888" s="218"/>
      <c r="BN888" s="218"/>
      <c r="BO888" s="218"/>
      <c r="BP888" s="218"/>
      <c r="BQ888" s="218"/>
      <c r="BR888" s="218"/>
      <c r="BS888" s="218"/>
      <c r="BT888" s="218"/>
      <c r="BU888" s="218"/>
      <c r="BV888" s="218"/>
      <c r="BW888" s="218"/>
      <c r="BX888" s="218"/>
      <c r="BY888" s="218"/>
      <c r="BZ888" s="218"/>
      <c r="CA888" s="218"/>
      <c r="CB888" s="218"/>
      <c r="CC888" s="218"/>
      <c r="CD888" s="218"/>
      <c r="CE888" s="218"/>
      <c r="CF888" s="218"/>
      <c r="CG888" s="218"/>
      <c r="CH888" s="218"/>
      <c r="CI888" s="218"/>
      <c r="CJ888" s="218"/>
      <c r="CK888" s="218"/>
      <c r="CL888" s="218"/>
      <c r="CM888" s="218"/>
      <c r="CN888" s="218"/>
      <c r="CO888" s="218"/>
      <c r="CP888" s="218"/>
      <c r="CQ888" s="218"/>
      <c r="CR888" s="218"/>
      <c r="CS888" s="218"/>
      <c r="CT888" s="218"/>
      <c r="CU888" s="218"/>
      <c r="CV888" s="218"/>
      <c r="CW888" s="218"/>
      <c r="CX888" s="218"/>
      <c r="CY888" s="218"/>
      <c r="CZ888" s="218"/>
      <c r="DA888" s="218"/>
      <c r="DB888" s="218"/>
      <c r="DC888" s="218"/>
      <c r="DD888" s="218"/>
      <c r="DE888" s="218"/>
      <c r="DF888" s="218"/>
      <c r="DG888" s="218"/>
      <c r="DH888" s="218"/>
      <c r="DI888" s="218"/>
      <c r="DJ888" s="218"/>
      <c r="DK888" s="218"/>
      <c r="DL888" s="218"/>
      <c r="DM888" s="218"/>
      <c r="DN888" s="218"/>
    </row>
    <row r="889" spans="1:118" ht="39" customHeight="1">
      <c r="A889" s="754">
        <v>1</v>
      </c>
      <c r="B889" s="471" t="s">
        <v>957</v>
      </c>
      <c r="C889" s="537" t="s">
        <v>958</v>
      </c>
      <c r="D889" s="423" t="s">
        <v>1467</v>
      </c>
      <c r="E889" s="3" t="s">
        <v>45</v>
      </c>
      <c r="F889" s="216">
        <f>E891</f>
        <v>1</v>
      </c>
      <c r="G889" s="23"/>
      <c r="H889" s="205">
        <f>F889*G889</f>
        <v>0</v>
      </c>
      <c r="I889" s="218"/>
      <c r="J889" s="218"/>
      <c r="K889" s="218"/>
      <c r="L889" s="218"/>
      <c r="M889" s="218"/>
      <c r="N889" s="218"/>
      <c r="O889" s="218"/>
      <c r="P889" s="218"/>
      <c r="Q889" s="218"/>
      <c r="R889" s="218"/>
      <c r="S889" s="218"/>
      <c r="T889" s="218"/>
      <c r="U889" s="218"/>
      <c r="V889" s="218"/>
      <c r="W889" s="218"/>
      <c r="X889" s="218"/>
      <c r="Y889" s="218"/>
      <c r="Z889" s="218"/>
      <c r="AA889" s="218"/>
      <c r="AB889" s="218"/>
      <c r="AC889" s="218"/>
      <c r="AD889" s="218"/>
      <c r="AE889" s="218"/>
      <c r="AF889" s="218"/>
      <c r="AG889" s="218"/>
      <c r="AH889" s="218"/>
      <c r="AI889" s="218"/>
      <c r="AJ889" s="218"/>
      <c r="AK889" s="218"/>
      <c r="AL889" s="218"/>
      <c r="AM889" s="218"/>
      <c r="AN889" s="218"/>
      <c r="AO889" s="218"/>
      <c r="AP889" s="218"/>
      <c r="AQ889" s="218"/>
      <c r="AR889" s="218"/>
      <c r="AS889" s="218"/>
      <c r="AT889" s="218"/>
      <c r="AU889" s="218"/>
      <c r="AV889" s="218"/>
      <c r="AW889" s="218"/>
      <c r="AX889" s="218"/>
      <c r="AY889" s="218"/>
      <c r="AZ889" s="218"/>
      <c r="BA889" s="218"/>
      <c r="BB889" s="218"/>
      <c r="BC889" s="218"/>
      <c r="BD889" s="218"/>
      <c r="BE889" s="218"/>
      <c r="BF889" s="218"/>
      <c r="BG889" s="218"/>
      <c r="BH889" s="218"/>
      <c r="BI889" s="218"/>
      <c r="BJ889" s="218"/>
      <c r="BK889" s="218"/>
      <c r="BL889" s="218"/>
      <c r="BM889" s="218"/>
      <c r="BN889" s="218"/>
      <c r="BO889" s="218"/>
      <c r="BP889" s="218"/>
      <c r="BQ889" s="218"/>
      <c r="BR889" s="218"/>
      <c r="BS889" s="218"/>
      <c r="BT889" s="218"/>
      <c r="BU889" s="218"/>
      <c r="BV889" s="218"/>
      <c r="BW889" s="218"/>
      <c r="BX889" s="218"/>
      <c r="BY889" s="218"/>
      <c r="BZ889" s="218"/>
      <c r="CA889" s="218"/>
      <c r="CB889" s="218"/>
      <c r="CC889" s="218"/>
      <c r="CD889" s="218"/>
      <c r="CE889" s="218"/>
      <c r="CF889" s="218"/>
      <c r="CG889" s="218"/>
      <c r="CH889" s="218"/>
      <c r="CI889" s="218"/>
      <c r="CJ889" s="218"/>
      <c r="CK889" s="218"/>
      <c r="CL889" s="218"/>
      <c r="CM889" s="218"/>
      <c r="CN889" s="218"/>
      <c r="CO889" s="218"/>
      <c r="CP889" s="218"/>
      <c r="CQ889" s="218"/>
      <c r="CR889" s="218"/>
      <c r="CS889" s="218"/>
      <c r="CT889" s="218"/>
      <c r="CU889" s="218"/>
      <c r="CV889" s="218"/>
      <c r="CW889" s="218"/>
      <c r="CX889" s="218"/>
      <c r="CY889" s="218"/>
      <c r="CZ889" s="218"/>
      <c r="DA889" s="218"/>
      <c r="DB889" s="218"/>
      <c r="DC889" s="218"/>
      <c r="DD889" s="218"/>
      <c r="DE889" s="218"/>
      <c r="DF889" s="218"/>
      <c r="DG889" s="218"/>
      <c r="DH889" s="218"/>
      <c r="DI889" s="218"/>
      <c r="DJ889" s="218"/>
      <c r="DK889" s="218"/>
      <c r="DL889" s="218"/>
      <c r="DM889" s="218"/>
      <c r="DN889" s="218"/>
    </row>
    <row r="890" spans="1:118" s="204" customFormat="1" ht="12">
      <c r="A890" s="755"/>
      <c r="B890" s="400"/>
      <c r="C890" s="401">
        <v>1</v>
      </c>
      <c r="D890" s="402"/>
      <c r="E890" s="403">
        <f>C890</f>
        <v>1</v>
      </c>
      <c r="F890" s="538"/>
      <c r="G890" s="539"/>
      <c r="H890" s="203"/>
      <c r="I890" s="540"/>
      <c r="J890" s="540"/>
      <c r="K890" s="540"/>
      <c r="L890" s="540"/>
      <c r="M890" s="540"/>
      <c r="N890" s="540"/>
      <c r="O890" s="540"/>
      <c r="P890" s="540"/>
      <c r="Q890" s="540"/>
      <c r="R890" s="540"/>
      <c r="S890" s="540"/>
      <c r="T890" s="540"/>
      <c r="U890" s="540"/>
      <c r="V890" s="540"/>
      <c r="W890" s="540"/>
      <c r="X890" s="540"/>
      <c r="Y890" s="540"/>
      <c r="Z890" s="540"/>
      <c r="AA890" s="540"/>
      <c r="AB890" s="540"/>
      <c r="AC890" s="540"/>
      <c r="AD890" s="540"/>
      <c r="AE890" s="540"/>
      <c r="AF890" s="540"/>
      <c r="AG890" s="540"/>
      <c r="AH890" s="540"/>
      <c r="AI890" s="540"/>
      <c r="AJ890" s="540"/>
      <c r="AK890" s="540"/>
      <c r="AL890" s="540"/>
      <c r="AM890" s="540"/>
      <c r="AN890" s="540"/>
      <c r="AO890" s="540"/>
      <c r="AP890" s="540"/>
      <c r="AQ890" s="540"/>
      <c r="AR890" s="540"/>
      <c r="AS890" s="540"/>
      <c r="AT890" s="540"/>
      <c r="AU890" s="540"/>
      <c r="AV890" s="540"/>
      <c r="AW890" s="540"/>
      <c r="AX890" s="540"/>
      <c r="AY890" s="540"/>
      <c r="AZ890" s="540"/>
      <c r="BA890" s="540"/>
      <c r="BB890" s="540"/>
      <c r="BC890" s="540"/>
      <c r="BD890" s="540"/>
      <c r="BE890" s="540"/>
      <c r="BF890" s="540"/>
      <c r="BG890" s="540"/>
      <c r="BH890" s="540"/>
      <c r="BI890" s="540"/>
      <c r="BJ890" s="540"/>
      <c r="BK890" s="540"/>
      <c r="BL890" s="540"/>
      <c r="BM890" s="540"/>
      <c r="BN890" s="540"/>
      <c r="BO890" s="540"/>
      <c r="BP890" s="540"/>
      <c r="BQ890" s="540"/>
      <c r="BR890" s="540"/>
      <c r="BS890" s="540"/>
      <c r="BT890" s="540"/>
      <c r="BU890" s="540"/>
      <c r="BV890" s="540"/>
      <c r="BW890" s="540"/>
      <c r="BX890" s="540"/>
      <c r="BY890" s="540"/>
      <c r="BZ890" s="540"/>
      <c r="CA890" s="540"/>
      <c r="CB890" s="540"/>
      <c r="CC890" s="540"/>
      <c r="CD890" s="540"/>
      <c r="CE890" s="540"/>
      <c r="CF890" s="540"/>
      <c r="CG890" s="540"/>
      <c r="CH890" s="540"/>
      <c r="CI890" s="540"/>
      <c r="CJ890" s="540"/>
      <c r="CK890" s="540"/>
      <c r="CL890" s="540"/>
      <c r="CM890" s="540"/>
      <c r="CN890" s="540"/>
      <c r="CO890" s="540"/>
      <c r="CP890" s="540"/>
      <c r="CQ890" s="540"/>
      <c r="CR890" s="540"/>
      <c r="CS890" s="540"/>
      <c r="CT890" s="540"/>
      <c r="CU890" s="540"/>
      <c r="CV890" s="540"/>
      <c r="CW890" s="540"/>
      <c r="CX890" s="540"/>
      <c r="CY890" s="540"/>
      <c r="CZ890" s="540"/>
      <c r="DA890" s="540"/>
      <c r="DB890" s="540"/>
      <c r="DC890" s="540"/>
      <c r="DD890" s="540"/>
      <c r="DE890" s="540"/>
      <c r="DF890" s="540"/>
      <c r="DG890" s="540"/>
      <c r="DH890" s="540"/>
      <c r="DI890" s="540"/>
      <c r="DJ890" s="540"/>
      <c r="DK890" s="540"/>
      <c r="DL890" s="540"/>
      <c r="DM890" s="540"/>
      <c r="DN890" s="540"/>
    </row>
    <row r="891" spans="1:118" s="204" customFormat="1" ht="12">
      <c r="A891" s="755"/>
      <c r="B891" s="456"/>
      <c r="C891" s="405" t="s">
        <v>39</v>
      </c>
      <c r="D891" s="487"/>
      <c r="E891" s="407">
        <f>SUM(E890:E890)</f>
        <v>1</v>
      </c>
      <c r="F891" s="538"/>
      <c r="G891" s="539"/>
      <c r="H891" s="203"/>
      <c r="I891" s="540"/>
      <c r="J891" s="540"/>
      <c r="K891" s="540"/>
      <c r="L891" s="540"/>
      <c r="M891" s="540"/>
      <c r="N891" s="540"/>
      <c r="O891" s="540"/>
      <c r="P891" s="540"/>
      <c r="Q891" s="540"/>
      <c r="R891" s="540"/>
      <c r="S891" s="540"/>
      <c r="T891" s="540"/>
      <c r="U891" s="540"/>
      <c r="V891" s="540"/>
      <c r="W891" s="540"/>
      <c r="X891" s="540"/>
      <c r="Y891" s="540"/>
      <c r="Z891" s="540"/>
      <c r="AA891" s="540"/>
      <c r="AB891" s="540"/>
      <c r="AC891" s="540"/>
      <c r="AD891" s="540"/>
      <c r="AE891" s="540"/>
      <c r="AF891" s="540"/>
      <c r="AG891" s="540"/>
      <c r="AH891" s="540"/>
      <c r="AI891" s="540"/>
      <c r="AJ891" s="540"/>
      <c r="AK891" s="540"/>
      <c r="AL891" s="540"/>
      <c r="AM891" s="540"/>
      <c r="AN891" s="540"/>
      <c r="AO891" s="540"/>
      <c r="AP891" s="540"/>
      <c r="AQ891" s="540"/>
      <c r="AR891" s="540"/>
      <c r="AS891" s="540"/>
      <c r="AT891" s="540"/>
      <c r="AU891" s="540"/>
      <c r="AV891" s="540"/>
      <c r="AW891" s="540"/>
      <c r="AX891" s="540"/>
      <c r="AY891" s="540"/>
      <c r="AZ891" s="540"/>
      <c r="BA891" s="540"/>
      <c r="BB891" s="540"/>
      <c r="BC891" s="540"/>
      <c r="BD891" s="540"/>
      <c r="BE891" s="540"/>
      <c r="BF891" s="540"/>
      <c r="BG891" s="540"/>
      <c r="BH891" s="540"/>
      <c r="BI891" s="540"/>
      <c r="BJ891" s="540"/>
      <c r="BK891" s="540"/>
      <c r="BL891" s="540"/>
      <c r="BM891" s="540"/>
      <c r="BN891" s="540"/>
      <c r="BO891" s="540"/>
      <c r="BP891" s="540"/>
      <c r="BQ891" s="540"/>
      <c r="BR891" s="540"/>
      <c r="BS891" s="540"/>
      <c r="BT891" s="540"/>
      <c r="BU891" s="540"/>
      <c r="BV891" s="540"/>
      <c r="BW891" s="540"/>
      <c r="BX891" s="540"/>
      <c r="BY891" s="540"/>
      <c r="BZ891" s="540"/>
      <c r="CA891" s="540"/>
      <c r="CB891" s="540"/>
      <c r="CC891" s="540"/>
      <c r="CD891" s="540"/>
      <c r="CE891" s="540"/>
      <c r="CF891" s="540"/>
      <c r="CG891" s="540"/>
      <c r="CH891" s="540"/>
      <c r="CI891" s="540"/>
      <c r="CJ891" s="540"/>
      <c r="CK891" s="540"/>
      <c r="CL891" s="540"/>
      <c r="CM891" s="540"/>
      <c r="CN891" s="540"/>
      <c r="CO891" s="540"/>
      <c r="CP891" s="540"/>
      <c r="CQ891" s="540"/>
      <c r="CR891" s="540"/>
      <c r="CS891" s="540"/>
      <c r="CT891" s="540"/>
      <c r="CU891" s="540"/>
      <c r="CV891" s="540"/>
      <c r="CW891" s="540"/>
      <c r="CX891" s="540"/>
      <c r="CY891" s="540"/>
      <c r="CZ891" s="540"/>
      <c r="DA891" s="540"/>
      <c r="DB891" s="540"/>
      <c r="DC891" s="540"/>
      <c r="DD891" s="540"/>
      <c r="DE891" s="540"/>
      <c r="DF891" s="540"/>
      <c r="DG891" s="540"/>
      <c r="DH891" s="540"/>
      <c r="DI891" s="540"/>
      <c r="DJ891" s="540"/>
      <c r="DK891" s="540"/>
      <c r="DL891" s="540"/>
      <c r="DM891" s="540"/>
      <c r="DN891" s="540"/>
    </row>
    <row r="892" spans="1:118" s="204" customFormat="1" ht="12">
      <c r="A892" s="755"/>
      <c r="B892" s="472"/>
      <c r="C892" s="547"/>
      <c r="D892" s="410"/>
      <c r="E892" s="548"/>
      <c r="F892" s="548"/>
      <c r="G892" s="549"/>
      <c r="H892" s="550"/>
      <c r="I892" s="540"/>
      <c r="J892" s="540"/>
      <c r="K892" s="540"/>
      <c r="L892" s="540"/>
      <c r="M892" s="540"/>
      <c r="N892" s="540"/>
      <c r="O892" s="540"/>
      <c r="P892" s="540"/>
      <c r="Q892" s="540"/>
      <c r="R892" s="540"/>
      <c r="S892" s="540"/>
      <c r="T892" s="540"/>
      <c r="U892" s="540"/>
      <c r="V892" s="540"/>
      <c r="W892" s="540"/>
      <c r="X892" s="540"/>
      <c r="Y892" s="540"/>
      <c r="Z892" s="540"/>
      <c r="AA892" s="540"/>
      <c r="AB892" s="540"/>
      <c r="AC892" s="540"/>
      <c r="AD892" s="540"/>
      <c r="AE892" s="540"/>
      <c r="AF892" s="540"/>
      <c r="AG892" s="540"/>
      <c r="AH892" s="540"/>
      <c r="AI892" s="540"/>
      <c r="AJ892" s="540"/>
      <c r="AK892" s="540"/>
      <c r="AL892" s="540"/>
      <c r="AM892" s="540"/>
      <c r="AN892" s="540"/>
      <c r="AO892" s="540"/>
      <c r="AP892" s="540"/>
      <c r="AQ892" s="540"/>
      <c r="AR892" s="540"/>
      <c r="AS892" s="540"/>
      <c r="AT892" s="540"/>
      <c r="AU892" s="540"/>
      <c r="AV892" s="540"/>
      <c r="AW892" s="540"/>
      <c r="AX892" s="540"/>
      <c r="AY892" s="540"/>
      <c r="AZ892" s="540"/>
      <c r="BA892" s="540"/>
      <c r="BB892" s="540"/>
      <c r="BC892" s="540"/>
      <c r="BD892" s="540"/>
      <c r="BE892" s="540"/>
      <c r="BF892" s="540"/>
      <c r="BG892" s="540"/>
      <c r="BH892" s="540"/>
      <c r="BI892" s="540"/>
      <c r="BJ892" s="540"/>
      <c r="BK892" s="540"/>
      <c r="BL892" s="540"/>
      <c r="BM892" s="540"/>
      <c r="BN892" s="540"/>
      <c r="BO892" s="540"/>
      <c r="BP892" s="540"/>
      <c r="BQ892" s="540"/>
      <c r="BR892" s="540"/>
      <c r="BS892" s="540"/>
      <c r="BT892" s="540"/>
      <c r="BU892" s="540"/>
      <c r="BV892" s="540"/>
      <c r="BW892" s="540"/>
      <c r="BX892" s="540"/>
      <c r="BY892" s="540"/>
      <c r="BZ892" s="540"/>
      <c r="CA892" s="540"/>
      <c r="CB892" s="540"/>
      <c r="CC892" s="540"/>
      <c r="CD892" s="540"/>
      <c r="CE892" s="540"/>
      <c r="CF892" s="540"/>
      <c r="CG892" s="540"/>
      <c r="CH892" s="540"/>
      <c r="CI892" s="540"/>
      <c r="CJ892" s="540"/>
      <c r="CK892" s="540"/>
      <c r="CL892" s="540"/>
      <c r="CM892" s="540"/>
      <c r="CN892" s="540"/>
      <c r="CO892" s="540"/>
      <c r="CP892" s="540"/>
      <c r="CQ892" s="540"/>
      <c r="CR892" s="540"/>
      <c r="CS892" s="540"/>
      <c r="CT892" s="540"/>
      <c r="CU892" s="540"/>
      <c r="CV892" s="540"/>
      <c r="CW892" s="540"/>
      <c r="CX892" s="540"/>
      <c r="CY892" s="540"/>
      <c r="CZ892" s="540"/>
      <c r="DA892" s="540"/>
      <c r="DB892" s="540"/>
      <c r="DC892" s="540"/>
      <c r="DD892" s="540"/>
      <c r="DE892" s="540"/>
      <c r="DF892" s="540"/>
      <c r="DG892" s="540"/>
      <c r="DH892" s="540"/>
      <c r="DI892" s="540"/>
      <c r="DJ892" s="540"/>
      <c r="DK892" s="540"/>
      <c r="DL892" s="540"/>
      <c r="DM892" s="540"/>
      <c r="DN892" s="540"/>
    </row>
    <row r="893" spans="1:118" ht="12.75">
      <c r="A893" s="754">
        <v>2</v>
      </c>
      <c r="B893" s="421" t="s">
        <v>959</v>
      </c>
      <c r="C893" s="422" t="s">
        <v>960</v>
      </c>
      <c r="D893" s="358"/>
      <c r="E893" s="3" t="s">
        <v>50</v>
      </c>
      <c r="F893" s="216">
        <f>SUM(H889:H892)/100</f>
        <v>0</v>
      </c>
      <c r="G893" s="23"/>
      <c r="H893" s="205">
        <f>F893*G893</f>
        <v>0</v>
      </c>
      <c r="I893" s="218"/>
      <c r="J893" s="218"/>
      <c r="K893" s="218"/>
      <c r="L893" s="218"/>
      <c r="M893" s="218"/>
      <c r="N893" s="218"/>
      <c r="O893" s="218"/>
      <c r="P893" s="218"/>
      <c r="Q893" s="218"/>
      <c r="R893" s="218"/>
      <c r="S893" s="218"/>
      <c r="T893" s="218"/>
      <c r="U893" s="218"/>
      <c r="V893" s="218"/>
      <c r="W893" s="218"/>
      <c r="X893" s="218"/>
      <c r="Y893" s="218"/>
      <c r="Z893" s="218"/>
      <c r="AA893" s="218"/>
      <c r="AB893" s="218"/>
      <c r="AC893" s="218"/>
      <c r="AD893" s="218"/>
      <c r="AE893" s="218"/>
      <c r="AF893" s="218"/>
      <c r="AG893" s="218"/>
      <c r="AH893" s="218"/>
      <c r="AI893" s="218"/>
      <c r="AJ893" s="218"/>
      <c r="AK893" s="218"/>
      <c r="AL893" s="218"/>
      <c r="AM893" s="218"/>
      <c r="AN893" s="218"/>
      <c r="AO893" s="218"/>
      <c r="AP893" s="218"/>
      <c r="AQ893" s="218"/>
      <c r="AR893" s="218"/>
      <c r="AS893" s="218"/>
      <c r="AT893" s="218"/>
      <c r="AU893" s="218"/>
      <c r="AV893" s="218"/>
      <c r="AW893" s="218"/>
      <c r="AX893" s="218"/>
      <c r="AY893" s="218"/>
      <c r="AZ893" s="218"/>
      <c r="BA893" s="218"/>
      <c r="BB893" s="218"/>
      <c r="BC893" s="218"/>
      <c r="BD893" s="218"/>
      <c r="BE893" s="218"/>
      <c r="BF893" s="218"/>
      <c r="BG893" s="218"/>
      <c r="BH893" s="218"/>
      <c r="BI893" s="218"/>
      <c r="BJ893" s="218"/>
      <c r="BK893" s="218"/>
      <c r="BL893" s="218"/>
      <c r="BM893" s="218"/>
      <c r="BN893" s="218"/>
      <c r="BO893" s="218"/>
      <c r="BP893" s="218"/>
      <c r="BQ893" s="218"/>
      <c r="BR893" s="218"/>
      <c r="BS893" s="218"/>
      <c r="BT893" s="218"/>
      <c r="BU893" s="218"/>
      <c r="BV893" s="218"/>
      <c r="BW893" s="218"/>
      <c r="BX893" s="218"/>
      <c r="BY893" s="218"/>
      <c r="BZ893" s="218"/>
      <c r="CA893" s="218"/>
      <c r="CB893" s="218"/>
      <c r="CC893" s="218"/>
      <c r="CD893" s="218"/>
      <c r="CE893" s="218"/>
      <c r="CF893" s="218"/>
      <c r="CG893" s="218"/>
      <c r="CH893" s="218"/>
      <c r="CI893" s="218"/>
      <c r="CJ893" s="218"/>
      <c r="CK893" s="218"/>
      <c r="CL893" s="218"/>
      <c r="CM893" s="218"/>
      <c r="CN893" s="218"/>
      <c r="CO893" s="218"/>
      <c r="CP893" s="218"/>
      <c r="CQ893" s="218"/>
      <c r="CR893" s="218"/>
      <c r="CS893" s="218"/>
      <c r="CT893" s="218"/>
      <c r="CU893" s="218"/>
      <c r="CV893" s="218"/>
      <c r="CW893" s="218"/>
      <c r="CX893" s="218"/>
      <c r="CY893" s="218"/>
      <c r="CZ893" s="218"/>
      <c r="DA893" s="218"/>
      <c r="DB893" s="218"/>
      <c r="DC893" s="218"/>
      <c r="DD893" s="218"/>
      <c r="DE893" s="218"/>
      <c r="DF893" s="218"/>
      <c r="DG893" s="218"/>
      <c r="DH893" s="218"/>
      <c r="DI893" s="218"/>
      <c r="DJ893" s="218"/>
      <c r="DK893" s="218"/>
      <c r="DL893" s="218"/>
      <c r="DM893" s="218"/>
      <c r="DN893" s="218"/>
    </row>
    <row r="894" spans="1:8" ht="12.75">
      <c r="A894" s="754"/>
      <c r="B894" s="471"/>
      <c r="C894" s="465"/>
      <c r="D894" s="543"/>
      <c r="E894" s="544"/>
      <c r="F894" s="545"/>
      <c r="G894" s="23"/>
      <c r="H894" s="205"/>
    </row>
    <row r="895" spans="1:118" ht="12.75">
      <c r="A895" s="754"/>
      <c r="B895" s="449"/>
      <c r="C895" s="395" t="s">
        <v>1223</v>
      </c>
      <c r="D895" s="546" t="s">
        <v>1219</v>
      </c>
      <c r="E895" s="396"/>
      <c r="F895" s="209"/>
      <c r="G895" s="23"/>
      <c r="H895" s="397">
        <f>SUM(H896:H912)</f>
        <v>0</v>
      </c>
      <c r="I895" s="218"/>
      <c r="J895" s="218"/>
      <c r="K895" s="218"/>
      <c r="L895" s="218"/>
      <c r="M895" s="218"/>
      <c r="N895" s="218"/>
      <c r="O895" s="218"/>
      <c r="P895" s="218"/>
      <c r="Q895" s="218"/>
      <c r="R895" s="218"/>
      <c r="S895" s="218"/>
      <c r="T895" s="218"/>
      <c r="U895" s="218"/>
      <c r="V895" s="218"/>
      <c r="W895" s="218"/>
      <c r="X895" s="218"/>
      <c r="Y895" s="218"/>
      <c r="Z895" s="218"/>
      <c r="AA895" s="218"/>
      <c r="AB895" s="218"/>
      <c r="AC895" s="218"/>
      <c r="AD895" s="218"/>
      <c r="AE895" s="218"/>
      <c r="AF895" s="218"/>
      <c r="AG895" s="218"/>
      <c r="AH895" s="218"/>
      <c r="AI895" s="218"/>
      <c r="AJ895" s="218"/>
      <c r="AK895" s="218"/>
      <c r="AL895" s="218"/>
      <c r="AM895" s="218"/>
      <c r="AN895" s="218"/>
      <c r="AO895" s="218"/>
      <c r="AP895" s="218"/>
      <c r="AQ895" s="218"/>
      <c r="AR895" s="218"/>
      <c r="AS895" s="218"/>
      <c r="AT895" s="218"/>
      <c r="AU895" s="218"/>
      <c r="AV895" s="218"/>
      <c r="AW895" s="218"/>
      <c r="AX895" s="218"/>
      <c r="AY895" s="218"/>
      <c r="AZ895" s="218"/>
      <c r="BA895" s="218"/>
      <c r="BB895" s="218"/>
      <c r="BC895" s="218"/>
      <c r="BD895" s="218"/>
      <c r="BE895" s="218"/>
      <c r="BF895" s="218"/>
      <c r="BG895" s="218"/>
      <c r="BH895" s="218"/>
      <c r="BI895" s="218"/>
      <c r="BJ895" s="218"/>
      <c r="BK895" s="218"/>
      <c r="BL895" s="218"/>
      <c r="BM895" s="218"/>
      <c r="BN895" s="218"/>
      <c r="BO895" s="218"/>
      <c r="BP895" s="218"/>
      <c r="BQ895" s="218"/>
      <c r="BR895" s="218"/>
      <c r="BS895" s="218"/>
      <c r="BT895" s="218"/>
      <c r="BU895" s="218"/>
      <c r="BV895" s="218"/>
      <c r="BW895" s="218"/>
      <c r="BX895" s="218"/>
      <c r="BY895" s="218"/>
      <c r="BZ895" s="218"/>
      <c r="CA895" s="218"/>
      <c r="CB895" s="218"/>
      <c r="CC895" s="218"/>
      <c r="CD895" s="218"/>
      <c r="CE895" s="218"/>
      <c r="CF895" s="218"/>
      <c r="CG895" s="218"/>
      <c r="CH895" s="218"/>
      <c r="CI895" s="218"/>
      <c r="CJ895" s="218"/>
      <c r="CK895" s="218"/>
      <c r="CL895" s="218"/>
      <c r="CM895" s="218"/>
      <c r="CN895" s="218"/>
      <c r="CO895" s="218"/>
      <c r="CP895" s="218"/>
      <c r="CQ895" s="218"/>
      <c r="CR895" s="218"/>
      <c r="CS895" s="218"/>
      <c r="CT895" s="218"/>
      <c r="CU895" s="218"/>
      <c r="CV895" s="218"/>
      <c r="CW895" s="218"/>
      <c r="CX895" s="218"/>
      <c r="CY895" s="218"/>
      <c r="CZ895" s="218"/>
      <c r="DA895" s="218"/>
      <c r="DB895" s="218"/>
      <c r="DC895" s="218"/>
      <c r="DD895" s="218"/>
      <c r="DE895" s="218"/>
      <c r="DF895" s="218"/>
      <c r="DG895" s="218"/>
      <c r="DH895" s="218"/>
      <c r="DI895" s="218"/>
      <c r="DJ895" s="218"/>
      <c r="DK895" s="218"/>
      <c r="DL895" s="218"/>
      <c r="DM895" s="218"/>
      <c r="DN895" s="218"/>
    </row>
    <row r="896" spans="1:118" ht="54.75" customHeight="1">
      <c r="A896" s="754">
        <v>1</v>
      </c>
      <c r="B896" s="551" t="s">
        <v>1017</v>
      </c>
      <c r="C896" s="552" t="s">
        <v>1449</v>
      </c>
      <c r="D896" s="423" t="s">
        <v>1233</v>
      </c>
      <c r="E896" s="3" t="s">
        <v>45</v>
      </c>
      <c r="F896" s="216">
        <f>E898</f>
        <v>1</v>
      </c>
      <c r="G896" s="23"/>
      <c r="H896" s="205">
        <f>F896*G896</f>
        <v>0</v>
      </c>
      <c r="I896" s="218"/>
      <c r="J896" s="218"/>
      <c r="K896" s="218"/>
      <c r="L896" s="218"/>
      <c r="M896" s="218"/>
      <c r="N896" s="218"/>
      <c r="O896" s="218"/>
      <c r="P896" s="218"/>
      <c r="Q896" s="218"/>
      <c r="R896" s="218"/>
      <c r="S896" s="218"/>
      <c r="T896" s="218"/>
      <c r="U896" s="218"/>
      <c r="V896" s="218"/>
      <c r="W896" s="218"/>
      <c r="X896" s="218"/>
      <c r="Y896" s="218"/>
      <c r="Z896" s="218"/>
      <c r="AA896" s="218"/>
      <c r="AB896" s="218"/>
      <c r="AC896" s="218"/>
      <c r="AD896" s="218"/>
      <c r="AE896" s="218"/>
      <c r="AF896" s="218"/>
      <c r="AG896" s="218"/>
      <c r="AH896" s="218"/>
      <c r="AI896" s="218"/>
      <c r="AJ896" s="218"/>
      <c r="AK896" s="218"/>
      <c r="AL896" s="218"/>
      <c r="AM896" s="218"/>
      <c r="AN896" s="218"/>
      <c r="AO896" s="218"/>
      <c r="AP896" s="218"/>
      <c r="AQ896" s="218"/>
      <c r="AR896" s="218"/>
      <c r="AS896" s="218"/>
      <c r="AT896" s="218"/>
      <c r="AU896" s="218"/>
      <c r="AV896" s="218"/>
      <c r="AW896" s="218"/>
      <c r="AX896" s="218"/>
      <c r="AY896" s="218"/>
      <c r="AZ896" s="218"/>
      <c r="BA896" s="218"/>
      <c r="BB896" s="218"/>
      <c r="BC896" s="218"/>
      <c r="BD896" s="218"/>
      <c r="BE896" s="218"/>
      <c r="BF896" s="218"/>
      <c r="BG896" s="218"/>
      <c r="BH896" s="218"/>
      <c r="BI896" s="218"/>
      <c r="BJ896" s="218"/>
      <c r="BK896" s="218"/>
      <c r="BL896" s="218"/>
      <c r="BM896" s="218"/>
      <c r="BN896" s="218"/>
      <c r="BO896" s="218"/>
      <c r="BP896" s="218"/>
      <c r="BQ896" s="218"/>
      <c r="BR896" s="218"/>
      <c r="BS896" s="218"/>
      <c r="BT896" s="218"/>
      <c r="BU896" s="218"/>
      <c r="BV896" s="218"/>
      <c r="BW896" s="218"/>
      <c r="BX896" s="218"/>
      <c r="BY896" s="218"/>
      <c r="BZ896" s="218"/>
      <c r="CA896" s="218"/>
      <c r="CB896" s="218"/>
      <c r="CC896" s="218"/>
      <c r="CD896" s="218"/>
      <c r="CE896" s="218"/>
      <c r="CF896" s="218"/>
      <c r="CG896" s="218"/>
      <c r="CH896" s="218"/>
      <c r="CI896" s="218"/>
      <c r="CJ896" s="218"/>
      <c r="CK896" s="218"/>
      <c r="CL896" s="218"/>
      <c r="CM896" s="218"/>
      <c r="CN896" s="218"/>
      <c r="CO896" s="218"/>
      <c r="CP896" s="218"/>
      <c r="CQ896" s="218"/>
      <c r="CR896" s="218"/>
      <c r="CS896" s="218"/>
      <c r="CT896" s="218"/>
      <c r="CU896" s="218"/>
      <c r="CV896" s="218"/>
      <c r="CW896" s="218"/>
      <c r="CX896" s="218"/>
      <c r="CY896" s="218"/>
      <c r="CZ896" s="218"/>
      <c r="DA896" s="218"/>
      <c r="DB896" s="218"/>
      <c r="DC896" s="218"/>
      <c r="DD896" s="218"/>
      <c r="DE896" s="218"/>
      <c r="DF896" s="218"/>
      <c r="DG896" s="218"/>
      <c r="DH896" s="218"/>
      <c r="DI896" s="218"/>
      <c r="DJ896" s="218"/>
      <c r="DK896" s="218"/>
      <c r="DL896" s="218"/>
      <c r="DM896" s="218"/>
      <c r="DN896" s="218"/>
    </row>
    <row r="897" spans="1:118" s="204" customFormat="1" ht="25.5" customHeight="1">
      <c r="A897" s="755"/>
      <c r="B897" s="400" t="s">
        <v>1018</v>
      </c>
      <c r="C897" s="401">
        <v>1</v>
      </c>
      <c r="D897" s="402"/>
      <c r="E897" s="403">
        <f>C897</f>
        <v>1</v>
      </c>
      <c r="F897" s="538"/>
      <c r="G897" s="539"/>
      <c r="H897" s="203"/>
      <c r="I897" s="540"/>
      <c r="J897" s="540"/>
      <c r="K897" s="540"/>
      <c r="L897" s="540"/>
      <c r="M897" s="540"/>
      <c r="N897" s="540"/>
      <c r="O897" s="540"/>
      <c r="P897" s="540"/>
      <c r="Q897" s="540"/>
      <c r="R897" s="540"/>
      <c r="S897" s="540"/>
      <c r="T897" s="540"/>
      <c r="U897" s="540"/>
      <c r="V897" s="540"/>
      <c r="W897" s="540"/>
      <c r="X897" s="540"/>
      <c r="Y897" s="540"/>
      <c r="Z897" s="540"/>
      <c r="AA897" s="540"/>
      <c r="AB897" s="540"/>
      <c r="AC897" s="540"/>
      <c r="AD897" s="540"/>
      <c r="AE897" s="540"/>
      <c r="AF897" s="540"/>
      <c r="AG897" s="540"/>
      <c r="AH897" s="540"/>
      <c r="AI897" s="540"/>
      <c r="AJ897" s="540"/>
      <c r="AK897" s="540"/>
      <c r="AL897" s="540"/>
      <c r="AM897" s="540"/>
      <c r="AN897" s="540"/>
      <c r="AO897" s="540"/>
      <c r="AP897" s="540"/>
      <c r="AQ897" s="540"/>
      <c r="AR897" s="540"/>
      <c r="AS897" s="540"/>
      <c r="AT897" s="540"/>
      <c r="AU897" s="540"/>
      <c r="AV897" s="540"/>
      <c r="AW897" s="540"/>
      <c r="AX897" s="540"/>
      <c r="AY897" s="540"/>
      <c r="AZ897" s="540"/>
      <c r="BA897" s="540"/>
      <c r="BB897" s="540"/>
      <c r="BC897" s="540"/>
      <c r="BD897" s="540"/>
      <c r="BE897" s="540"/>
      <c r="BF897" s="540"/>
      <c r="BG897" s="540"/>
      <c r="BH897" s="540"/>
      <c r="BI897" s="540"/>
      <c r="BJ897" s="540"/>
      <c r="BK897" s="540"/>
      <c r="BL897" s="540"/>
      <c r="BM897" s="540"/>
      <c r="BN897" s="540"/>
      <c r="BO897" s="540"/>
      <c r="BP897" s="540"/>
      <c r="BQ897" s="540"/>
      <c r="BR897" s="540"/>
      <c r="BS897" s="540"/>
      <c r="BT897" s="540"/>
      <c r="BU897" s="540"/>
      <c r="BV897" s="540"/>
      <c r="BW897" s="540"/>
      <c r="BX897" s="540"/>
      <c r="BY897" s="540"/>
      <c r="BZ897" s="540"/>
      <c r="CA897" s="540"/>
      <c r="CB897" s="540"/>
      <c r="CC897" s="540"/>
      <c r="CD897" s="540"/>
      <c r="CE897" s="540"/>
      <c r="CF897" s="540"/>
      <c r="CG897" s="540"/>
      <c r="CH897" s="540"/>
      <c r="CI897" s="540"/>
      <c r="CJ897" s="540"/>
      <c r="CK897" s="540"/>
      <c r="CL897" s="540"/>
      <c r="CM897" s="540"/>
      <c r="CN897" s="540"/>
      <c r="CO897" s="540"/>
      <c r="CP897" s="540"/>
      <c r="CQ897" s="540"/>
      <c r="CR897" s="540"/>
      <c r="CS897" s="540"/>
      <c r="CT897" s="540"/>
      <c r="CU897" s="540"/>
      <c r="CV897" s="540"/>
      <c r="CW897" s="540"/>
      <c r="CX897" s="540"/>
      <c r="CY897" s="540"/>
      <c r="CZ897" s="540"/>
      <c r="DA897" s="540"/>
      <c r="DB897" s="540"/>
      <c r="DC897" s="540"/>
      <c r="DD897" s="540"/>
      <c r="DE897" s="540"/>
      <c r="DF897" s="540"/>
      <c r="DG897" s="540"/>
      <c r="DH897" s="540"/>
      <c r="DI897" s="540"/>
      <c r="DJ897" s="540"/>
      <c r="DK897" s="540"/>
      <c r="DL897" s="540"/>
      <c r="DM897" s="540"/>
      <c r="DN897" s="540"/>
    </row>
    <row r="898" spans="1:118" s="204" customFormat="1" ht="12">
      <c r="A898" s="755"/>
      <c r="B898" s="456"/>
      <c r="C898" s="405" t="s">
        <v>39</v>
      </c>
      <c r="D898" s="487"/>
      <c r="E898" s="407">
        <f>SUM(E897:E897)</f>
        <v>1</v>
      </c>
      <c r="F898" s="538"/>
      <c r="G898" s="539"/>
      <c r="H898" s="203"/>
      <c r="I898" s="540"/>
      <c r="J898" s="540"/>
      <c r="K898" s="540"/>
      <c r="L898" s="540"/>
      <c r="M898" s="540"/>
      <c r="N898" s="540"/>
      <c r="O898" s="540"/>
      <c r="P898" s="540"/>
      <c r="Q898" s="540"/>
      <c r="R898" s="540"/>
      <c r="S898" s="540"/>
      <c r="T898" s="540"/>
      <c r="U898" s="540"/>
      <c r="V898" s="540"/>
      <c r="W898" s="540"/>
      <c r="X898" s="540"/>
      <c r="Y898" s="540"/>
      <c r="Z898" s="540"/>
      <c r="AA898" s="540"/>
      <c r="AB898" s="540"/>
      <c r="AC898" s="540"/>
      <c r="AD898" s="540"/>
      <c r="AE898" s="540"/>
      <c r="AF898" s="540"/>
      <c r="AG898" s="540"/>
      <c r="AH898" s="540"/>
      <c r="AI898" s="540"/>
      <c r="AJ898" s="540"/>
      <c r="AK898" s="540"/>
      <c r="AL898" s="540"/>
      <c r="AM898" s="540"/>
      <c r="AN898" s="540"/>
      <c r="AO898" s="540"/>
      <c r="AP898" s="540"/>
      <c r="AQ898" s="540"/>
      <c r="AR898" s="540"/>
      <c r="AS898" s="540"/>
      <c r="AT898" s="540"/>
      <c r="AU898" s="540"/>
      <c r="AV898" s="540"/>
      <c r="AW898" s="540"/>
      <c r="AX898" s="540"/>
      <c r="AY898" s="540"/>
      <c r="AZ898" s="540"/>
      <c r="BA898" s="540"/>
      <c r="BB898" s="540"/>
      <c r="BC898" s="540"/>
      <c r="BD898" s="540"/>
      <c r="BE898" s="540"/>
      <c r="BF898" s="540"/>
      <c r="BG898" s="540"/>
      <c r="BH898" s="540"/>
      <c r="BI898" s="540"/>
      <c r="BJ898" s="540"/>
      <c r="BK898" s="540"/>
      <c r="BL898" s="540"/>
      <c r="BM898" s="540"/>
      <c r="BN898" s="540"/>
      <c r="BO898" s="540"/>
      <c r="BP898" s="540"/>
      <c r="BQ898" s="540"/>
      <c r="BR898" s="540"/>
      <c r="BS898" s="540"/>
      <c r="BT898" s="540"/>
      <c r="BU898" s="540"/>
      <c r="BV898" s="540"/>
      <c r="BW898" s="540"/>
      <c r="BX898" s="540"/>
      <c r="BY898" s="540"/>
      <c r="BZ898" s="540"/>
      <c r="CA898" s="540"/>
      <c r="CB898" s="540"/>
      <c r="CC898" s="540"/>
      <c r="CD898" s="540"/>
      <c r="CE898" s="540"/>
      <c r="CF898" s="540"/>
      <c r="CG898" s="540"/>
      <c r="CH898" s="540"/>
      <c r="CI898" s="540"/>
      <c r="CJ898" s="540"/>
      <c r="CK898" s="540"/>
      <c r="CL898" s="540"/>
      <c r="CM898" s="540"/>
      <c r="CN898" s="540"/>
      <c r="CO898" s="540"/>
      <c r="CP898" s="540"/>
      <c r="CQ898" s="540"/>
      <c r="CR898" s="540"/>
      <c r="CS898" s="540"/>
      <c r="CT898" s="540"/>
      <c r="CU898" s="540"/>
      <c r="CV898" s="540"/>
      <c r="CW898" s="540"/>
      <c r="CX898" s="540"/>
      <c r="CY898" s="540"/>
      <c r="CZ898" s="540"/>
      <c r="DA898" s="540"/>
      <c r="DB898" s="540"/>
      <c r="DC898" s="540"/>
      <c r="DD898" s="540"/>
      <c r="DE898" s="540"/>
      <c r="DF898" s="540"/>
      <c r="DG898" s="540"/>
      <c r="DH898" s="540"/>
      <c r="DI898" s="540"/>
      <c r="DJ898" s="540"/>
      <c r="DK898" s="540"/>
      <c r="DL898" s="540"/>
      <c r="DM898" s="540"/>
      <c r="DN898" s="540"/>
    </row>
    <row r="899" spans="1:118" s="204" customFormat="1" ht="12">
      <c r="A899" s="755"/>
      <c r="B899" s="456"/>
      <c r="C899" s="405"/>
      <c r="D899" s="487"/>
      <c r="E899" s="407"/>
      <c r="F899" s="538"/>
      <c r="G899" s="539"/>
      <c r="H899" s="203"/>
      <c r="I899" s="540"/>
      <c r="J899" s="540"/>
      <c r="K899" s="540"/>
      <c r="L899" s="540"/>
      <c r="M899" s="540"/>
      <c r="N899" s="540"/>
      <c r="O899" s="540"/>
      <c r="P899" s="540"/>
      <c r="Q899" s="540"/>
      <c r="R899" s="540"/>
      <c r="S899" s="540"/>
      <c r="T899" s="540"/>
      <c r="U899" s="540"/>
      <c r="V899" s="540"/>
      <c r="W899" s="540"/>
      <c r="X899" s="540"/>
      <c r="Y899" s="540"/>
      <c r="Z899" s="540"/>
      <c r="AA899" s="540"/>
      <c r="AB899" s="540"/>
      <c r="AC899" s="540"/>
      <c r="AD899" s="540"/>
      <c r="AE899" s="540"/>
      <c r="AF899" s="540"/>
      <c r="AG899" s="540"/>
      <c r="AH899" s="540"/>
      <c r="AI899" s="540"/>
      <c r="AJ899" s="540"/>
      <c r="AK899" s="540"/>
      <c r="AL899" s="540"/>
      <c r="AM899" s="540"/>
      <c r="AN899" s="540"/>
      <c r="AO899" s="540"/>
      <c r="AP899" s="540"/>
      <c r="AQ899" s="540"/>
      <c r="AR899" s="540"/>
      <c r="AS899" s="540"/>
      <c r="AT899" s="540"/>
      <c r="AU899" s="540"/>
      <c r="AV899" s="540"/>
      <c r="AW899" s="540"/>
      <c r="AX899" s="540"/>
      <c r="AY899" s="540"/>
      <c r="AZ899" s="540"/>
      <c r="BA899" s="540"/>
      <c r="BB899" s="540"/>
      <c r="BC899" s="540"/>
      <c r="BD899" s="540"/>
      <c r="BE899" s="540"/>
      <c r="BF899" s="540"/>
      <c r="BG899" s="540"/>
      <c r="BH899" s="540"/>
      <c r="BI899" s="540"/>
      <c r="BJ899" s="540"/>
      <c r="BK899" s="540"/>
      <c r="BL899" s="540"/>
      <c r="BM899" s="540"/>
      <c r="BN899" s="540"/>
      <c r="BO899" s="540"/>
      <c r="BP899" s="540"/>
      <c r="BQ899" s="540"/>
      <c r="BR899" s="540"/>
      <c r="BS899" s="540"/>
      <c r="BT899" s="540"/>
      <c r="BU899" s="540"/>
      <c r="BV899" s="540"/>
      <c r="BW899" s="540"/>
      <c r="BX899" s="540"/>
      <c r="BY899" s="540"/>
      <c r="BZ899" s="540"/>
      <c r="CA899" s="540"/>
      <c r="CB899" s="540"/>
      <c r="CC899" s="540"/>
      <c r="CD899" s="540"/>
      <c r="CE899" s="540"/>
      <c r="CF899" s="540"/>
      <c r="CG899" s="540"/>
      <c r="CH899" s="540"/>
      <c r="CI899" s="540"/>
      <c r="CJ899" s="540"/>
      <c r="CK899" s="540"/>
      <c r="CL899" s="540"/>
      <c r="CM899" s="540"/>
      <c r="CN899" s="540"/>
      <c r="CO899" s="540"/>
      <c r="CP899" s="540"/>
      <c r="CQ899" s="540"/>
      <c r="CR899" s="540"/>
      <c r="CS899" s="540"/>
      <c r="CT899" s="540"/>
      <c r="CU899" s="540"/>
      <c r="CV899" s="540"/>
      <c r="CW899" s="540"/>
      <c r="CX899" s="540"/>
      <c r="CY899" s="540"/>
      <c r="CZ899" s="540"/>
      <c r="DA899" s="540"/>
      <c r="DB899" s="540"/>
      <c r="DC899" s="540"/>
      <c r="DD899" s="540"/>
      <c r="DE899" s="540"/>
      <c r="DF899" s="540"/>
      <c r="DG899" s="540"/>
      <c r="DH899" s="540"/>
      <c r="DI899" s="540"/>
      <c r="DJ899" s="540"/>
      <c r="DK899" s="540"/>
      <c r="DL899" s="540"/>
      <c r="DM899" s="540"/>
      <c r="DN899" s="540"/>
    </row>
    <row r="900" spans="1:118" ht="24">
      <c r="A900" s="754">
        <v>2</v>
      </c>
      <c r="B900" s="551" t="s">
        <v>1230</v>
      </c>
      <c r="C900" s="552" t="s">
        <v>1231</v>
      </c>
      <c r="D900" s="423" t="s">
        <v>1232</v>
      </c>
      <c r="E900" s="3" t="s">
        <v>45</v>
      </c>
      <c r="F900" s="216">
        <f>E902</f>
        <v>1</v>
      </c>
      <c r="G900" s="23"/>
      <c r="H900" s="205">
        <f>F900*G900</f>
        <v>0</v>
      </c>
      <c r="I900" s="218"/>
      <c r="J900" s="218"/>
      <c r="K900" s="218"/>
      <c r="L900" s="218"/>
      <c r="M900" s="218"/>
      <c r="N900" s="218"/>
      <c r="O900" s="218"/>
      <c r="P900" s="218"/>
      <c r="Q900" s="218"/>
      <c r="R900" s="218"/>
      <c r="S900" s="218"/>
      <c r="T900" s="218"/>
      <c r="U900" s="218"/>
      <c r="V900" s="218"/>
      <c r="W900" s="218"/>
      <c r="X900" s="218"/>
      <c r="Y900" s="218"/>
      <c r="Z900" s="218"/>
      <c r="AA900" s="218"/>
      <c r="AB900" s="218"/>
      <c r="AC900" s="218"/>
      <c r="AD900" s="218"/>
      <c r="AE900" s="218"/>
      <c r="AF900" s="218"/>
      <c r="AG900" s="218"/>
      <c r="AH900" s="218"/>
      <c r="AI900" s="218"/>
      <c r="AJ900" s="218"/>
      <c r="AK900" s="218"/>
      <c r="AL900" s="218"/>
      <c r="AM900" s="218"/>
      <c r="AN900" s="218"/>
      <c r="AO900" s="218"/>
      <c r="AP900" s="218"/>
      <c r="AQ900" s="218"/>
      <c r="AR900" s="218"/>
      <c r="AS900" s="218"/>
      <c r="AT900" s="218"/>
      <c r="AU900" s="218"/>
      <c r="AV900" s="218"/>
      <c r="AW900" s="218"/>
      <c r="AX900" s="218"/>
      <c r="AY900" s="218"/>
      <c r="AZ900" s="218"/>
      <c r="BA900" s="218"/>
      <c r="BB900" s="218"/>
      <c r="BC900" s="218"/>
      <c r="BD900" s="218"/>
      <c r="BE900" s="218"/>
      <c r="BF900" s="218"/>
      <c r="BG900" s="218"/>
      <c r="BH900" s="218"/>
      <c r="BI900" s="218"/>
      <c r="BJ900" s="218"/>
      <c r="BK900" s="218"/>
      <c r="BL900" s="218"/>
      <c r="BM900" s="218"/>
      <c r="BN900" s="218"/>
      <c r="BO900" s="218"/>
      <c r="BP900" s="218"/>
      <c r="BQ900" s="218"/>
      <c r="BR900" s="218"/>
      <c r="BS900" s="218"/>
      <c r="BT900" s="218"/>
      <c r="BU900" s="218"/>
      <c r="BV900" s="218"/>
      <c r="BW900" s="218"/>
      <c r="BX900" s="218"/>
      <c r="BY900" s="218"/>
      <c r="BZ900" s="218"/>
      <c r="CA900" s="218"/>
      <c r="CB900" s="218"/>
      <c r="CC900" s="218"/>
      <c r="CD900" s="218"/>
      <c r="CE900" s="218"/>
      <c r="CF900" s="218"/>
      <c r="CG900" s="218"/>
      <c r="CH900" s="218"/>
      <c r="CI900" s="218"/>
      <c r="CJ900" s="218"/>
      <c r="CK900" s="218"/>
      <c r="CL900" s="218"/>
      <c r="CM900" s="218"/>
      <c r="CN900" s="218"/>
      <c r="CO900" s="218"/>
      <c r="CP900" s="218"/>
      <c r="CQ900" s="218"/>
      <c r="CR900" s="218"/>
      <c r="CS900" s="218"/>
      <c r="CT900" s="218"/>
      <c r="CU900" s="218"/>
      <c r="CV900" s="218"/>
      <c r="CW900" s="218"/>
      <c r="CX900" s="218"/>
      <c r="CY900" s="218"/>
      <c r="CZ900" s="218"/>
      <c r="DA900" s="218"/>
      <c r="DB900" s="218"/>
      <c r="DC900" s="218"/>
      <c r="DD900" s="218"/>
      <c r="DE900" s="218"/>
      <c r="DF900" s="218"/>
      <c r="DG900" s="218"/>
      <c r="DH900" s="218"/>
      <c r="DI900" s="218"/>
      <c r="DJ900" s="218"/>
      <c r="DK900" s="218"/>
      <c r="DL900" s="218"/>
      <c r="DM900" s="218"/>
      <c r="DN900" s="218"/>
    </row>
    <row r="901" spans="1:118" s="204" customFormat="1" ht="15" customHeight="1">
      <c r="A901" s="755"/>
      <c r="B901" s="400"/>
      <c r="C901" s="401">
        <v>1</v>
      </c>
      <c r="D901" s="402"/>
      <c r="E901" s="403">
        <f>C901</f>
        <v>1</v>
      </c>
      <c r="F901" s="538"/>
      <c r="G901" s="539"/>
      <c r="H901" s="203"/>
      <c r="I901" s="540"/>
      <c r="J901" s="540"/>
      <c r="K901" s="540"/>
      <c r="L901" s="540"/>
      <c r="M901" s="540"/>
      <c r="N901" s="540"/>
      <c r="O901" s="540"/>
      <c r="P901" s="540"/>
      <c r="Q901" s="540"/>
      <c r="R901" s="540"/>
      <c r="S901" s="540"/>
      <c r="T901" s="540"/>
      <c r="U901" s="540"/>
      <c r="V901" s="540"/>
      <c r="W901" s="540"/>
      <c r="X901" s="540"/>
      <c r="Y901" s="540"/>
      <c r="Z901" s="540"/>
      <c r="AA901" s="540"/>
      <c r="AB901" s="540"/>
      <c r="AC901" s="540"/>
      <c r="AD901" s="540"/>
      <c r="AE901" s="540"/>
      <c r="AF901" s="540"/>
      <c r="AG901" s="540"/>
      <c r="AH901" s="540"/>
      <c r="AI901" s="540"/>
      <c r="AJ901" s="540"/>
      <c r="AK901" s="540"/>
      <c r="AL901" s="540"/>
      <c r="AM901" s="540"/>
      <c r="AN901" s="540"/>
      <c r="AO901" s="540"/>
      <c r="AP901" s="540"/>
      <c r="AQ901" s="540"/>
      <c r="AR901" s="540"/>
      <c r="AS901" s="540"/>
      <c r="AT901" s="540"/>
      <c r="AU901" s="540"/>
      <c r="AV901" s="540"/>
      <c r="AW901" s="540"/>
      <c r="AX901" s="540"/>
      <c r="AY901" s="540"/>
      <c r="AZ901" s="540"/>
      <c r="BA901" s="540"/>
      <c r="BB901" s="540"/>
      <c r="BC901" s="540"/>
      <c r="BD901" s="540"/>
      <c r="BE901" s="540"/>
      <c r="BF901" s="540"/>
      <c r="BG901" s="540"/>
      <c r="BH901" s="540"/>
      <c r="BI901" s="540"/>
      <c r="BJ901" s="540"/>
      <c r="BK901" s="540"/>
      <c r="BL901" s="540"/>
      <c r="BM901" s="540"/>
      <c r="BN901" s="540"/>
      <c r="BO901" s="540"/>
      <c r="BP901" s="540"/>
      <c r="BQ901" s="540"/>
      <c r="BR901" s="540"/>
      <c r="BS901" s="540"/>
      <c r="BT901" s="540"/>
      <c r="BU901" s="540"/>
      <c r="BV901" s="540"/>
      <c r="BW901" s="540"/>
      <c r="BX901" s="540"/>
      <c r="BY901" s="540"/>
      <c r="BZ901" s="540"/>
      <c r="CA901" s="540"/>
      <c r="CB901" s="540"/>
      <c r="CC901" s="540"/>
      <c r="CD901" s="540"/>
      <c r="CE901" s="540"/>
      <c r="CF901" s="540"/>
      <c r="CG901" s="540"/>
      <c r="CH901" s="540"/>
      <c r="CI901" s="540"/>
      <c r="CJ901" s="540"/>
      <c r="CK901" s="540"/>
      <c r="CL901" s="540"/>
      <c r="CM901" s="540"/>
      <c r="CN901" s="540"/>
      <c r="CO901" s="540"/>
      <c r="CP901" s="540"/>
      <c r="CQ901" s="540"/>
      <c r="CR901" s="540"/>
      <c r="CS901" s="540"/>
      <c r="CT901" s="540"/>
      <c r="CU901" s="540"/>
      <c r="CV901" s="540"/>
      <c r="CW901" s="540"/>
      <c r="CX901" s="540"/>
      <c r="CY901" s="540"/>
      <c r="CZ901" s="540"/>
      <c r="DA901" s="540"/>
      <c r="DB901" s="540"/>
      <c r="DC901" s="540"/>
      <c r="DD901" s="540"/>
      <c r="DE901" s="540"/>
      <c r="DF901" s="540"/>
      <c r="DG901" s="540"/>
      <c r="DH901" s="540"/>
      <c r="DI901" s="540"/>
      <c r="DJ901" s="540"/>
      <c r="DK901" s="540"/>
      <c r="DL901" s="540"/>
      <c r="DM901" s="540"/>
      <c r="DN901" s="540"/>
    </row>
    <row r="902" spans="1:118" s="204" customFormat="1" ht="12">
      <c r="A902" s="755"/>
      <c r="B902" s="456"/>
      <c r="C902" s="405" t="s">
        <v>39</v>
      </c>
      <c r="D902" s="487"/>
      <c r="E902" s="407">
        <f>SUM(E901:E901)</f>
        <v>1</v>
      </c>
      <c r="F902" s="538"/>
      <c r="G902" s="539"/>
      <c r="H902" s="203"/>
      <c r="I902" s="540"/>
      <c r="J902" s="540"/>
      <c r="K902" s="540"/>
      <c r="L902" s="540"/>
      <c r="M902" s="540"/>
      <c r="N902" s="540"/>
      <c r="O902" s="540"/>
      <c r="P902" s="540"/>
      <c r="Q902" s="540"/>
      <c r="R902" s="540"/>
      <c r="S902" s="540"/>
      <c r="T902" s="540"/>
      <c r="U902" s="540"/>
      <c r="V902" s="540"/>
      <c r="W902" s="540"/>
      <c r="X902" s="540"/>
      <c r="Y902" s="540"/>
      <c r="Z902" s="540"/>
      <c r="AA902" s="540"/>
      <c r="AB902" s="540"/>
      <c r="AC902" s="540"/>
      <c r="AD902" s="540"/>
      <c r="AE902" s="540"/>
      <c r="AF902" s="540"/>
      <c r="AG902" s="540"/>
      <c r="AH902" s="540"/>
      <c r="AI902" s="540"/>
      <c r="AJ902" s="540"/>
      <c r="AK902" s="540"/>
      <c r="AL902" s="540"/>
      <c r="AM902" s="540"/>
      <c r="AN902" s="540"/>
      <c r="AO902" s="540"/>
      <c r="AP902" s="540"/>
      <c r="AQ902" s="540"/>
      <c r="AR902" s="540"/>
      <c r="AS902" s="540"/>
      <c r="AT902" s="540"/>
      <c r="AU902" s="540"/>
      <c r="AV902" s="540"/>
      <c r="AW902" s="540"/>
      <c r="AX902" s="540"/>
      <c r="AY902" s="540"/>
      <c r="AZ902" s="540"/>
      <c r="BA902" s="540"/>
      <c r="BB902" s="540"/>
      <c r="BC902" s="540"/>
      <c r="BD902" s="540"/>
      <c r="BE902" s="540"/>
      <c r="BF902" s="540"/>
      <c r="BG902" s="540"/>
      <c r="BH902" s="540"/>
      <c r="BI902" s="540"/>
      <c r="BJ902" s="540"/>
      <c r="BK902" s="540"/>
      <c r="BL902" s="540"/>
      <c r="BM902" s="540"/>
      <c r="BN902" s="540"/>
      <c r="BO902" s="540"/>
      <c r="BP902" s="540"/>
      <c r="BQ902" s="540"/>
      <c r="BR902" s="540"/>
      <c r="BS902" s="540"/>
      <c r="BT902" s="540"/>
      <c r="BU902" s="540"/>
      <c r="BV902" s="540"/>
      <c r="BW902" s="540"/>
      <c r="BX902" s="540"/>
      <c r="BY902" s="540"/>
      <c r="BZ902" s="540"/>
      <c r="CA902" s="540"/>
      <c r="CB902" s="540"/>
      <c r="CC902" s="540"/>
      <c r="CD902" s="540"/>
      <c r="CE902" s="540"/>
      <c r="CF902" s="540"/>
      <c r="CG902" s="540"/>
      <c r="CH902" s="540"/>
      <c r="CI902" s="540"/>
      <c r="CJ902" s="540"/>
      <c r="CK902" s="540"/>
      <c r="CL902" s="540"/>
      <c r="CM902" s="540"/>
      <c r="CN902" s="540"/>
      <c r="CO902" s="540"/>
      <c r="CP902" s="540"/>
      <c r="CQ902" s="540"/>
      <c r="CR902" s="540"/>
      <c r="CS902" s="540"/>
      <c r="CT902" s="540"/>
      <c r="CU902" s="540"/>
      <c r="CV902" s="540"/>
      <c r="CW902" s="540"/>
      <c r="CX902" s="540"/>
      <c r="CY902" s="540"/>
      <c r="CZ902" s="540"/>
      <c r="DA902" s="540"/>
      <c r="DB902" s="540"/>
      <c r="DC902" s="540"/>
      <c r="DD902" s="540"/>
      <c r="DE902" s="540"/>
      <c r="DF902" s="540"/>
      <c r="DG902" s="540"/>
      <c r="DH902" s="540"/>
      <c r="DI902" s="540"/>
      <c r="DJ902" s="540"/>
      <c r="DK902" s="540"/>
      <c r="DL902" s="540"/>
      <c r="DM902" s="540"/>
      <c r="DN902" s="540"/>
    </row>
    <row r="903" spans="1:118" s="204" customFormat="1" ht="12">
      <c r="A903" s="755"/>
      <c r="B903" s="456"/>
      <c r="C903" s="405"/>
      <c r="D903" s="487"/>
      <c r="E903" s="407"/>
      <c r="F903" s="538"/>
      <c r="G903" s="539"/>
      <c r="H903" s="203"/>
      <c r="I903" s="540"/>
      <c r="J903" s="540"/>
      <c r="K903" s="540"/>
      <c r="L903" s="540"/>
      <c r="M903" s="540"/>
      <c r="N903" s="540"/>
      <c r="O903" s="540"/>
      <c r="P903" s="540"/>
      <c r="Q903" s="540"/>
      <c r="R903" s="540"/>
      <c r="S903" s="540"/>
      <c r="T903" s="540"/>
      <c r="U903" s="540"/>
      <c r="V903" s="540"/>
      <c r="W903" s="540"/>
      <c r="X903" s="540"/>
      <c r="Y903" s="540"/>
      <c r="Z903" s="540"/>
      <c r="AA903" s="540"/>
      <c r="AB903" s="540"/>
      <c r="AC903" s="540"/>
      <c r="AD903" s="540"/>
      <c r="AE903" s="540"/>
      <c r="AF903" s="540"/>
      <c r="AG903" s="540"/>
      <c r="AH903" s="540"/>
      <c r="AI903" s="540"/>
      <c r="AJ903" s="540"/>
      <c r="AK903" s="540"/>
      <c r="AL903" s="540"/>
      <c r="AM903" s="540"/>
      <c r="AN903" s="540"/>
      <c r="AO903" s="540"/>
      <c r="AP903" s="540"/>
      <c r="AQ903" s="540"/>
      <c r="AR903" s="540"/>
      <c r="AS903" s="540"/>
      <c r="AT903" s="540"/>
      <c r="AU903" s="540"/>
      <c r="AV903" s="540"/>
      <c r="AW903" s="540"/>
      <c r="AX903" s="540"/>
      <c r="AY903" s="540"/>
      <c r="AZ903" s="540"/>
      <c r="BA903" s="540"/>
      <c r="BB903" s="540"/>
      <c r="BC903" s="540"/>
      <c r="BD903" s="540"/>
      <c r="BE903" s="540"/>
      <c r="BF903" s="540"/>
      <c r="BG903" s="540"/>
      <c r="BH903" s="540"/>
      <c r="BI903" s="540"/>
      <c r="BJ903" s="540"/>
      <c r="BK903" s="540"/>
      <c r="BL903" s="540"/>
      <c r="BM903" s="540"/>
      <c r="BN903" s="540"/>
      <c r="BO903" s="540"/>
      <c r="BP903" s="540"/>
      <c r="BQ903" s="540"/>
      <c r="BR903" s="540"/>
      <c r="BS903" s="540"/>
      <c r="BT903" s="540"/>
      <c r="BU903" s="540"/>
      <c r="BV903" s="540"/>
      <c r="BW903" s="540"/>
      <c r="BX903" s="540"/>
      <c r="BY903" s="540"/>
      <c r="BZ903" s="540"/>
      <c r="CA903" s="540"/>
      <c r="CB903" s="540"/>
      <c r="CC903" s="540"/>
      <c r="CD903" s="540"/>
      <c r="CE903" s="540"/>
      <c r="CF903" s="540"/>
      <c r="CG903" s="540"/>
      <c r="CH903" s="540"/>
      <c r="CI903" s="540"/>
      <c r="CJ903" s="540"/>
      <c r="CK903" s="540"/>
      <c r="CL903" s="540"/>
      <c r="CM903" s="540"/>
      <c r="CN903" s="540"/>
      <c r="CO903" s="540"/>
      <c r="CP903" s="540"/>
      <c r="CQ903" s="540"/>
      <c r="CR903" s="540"/>
      <c r="CS903" s="540"/>
      <c r="CT903" s="540"/>
      <c r="CU903" s="540"/>
      <c r="CV903" s="540"/>
      <c r="CW903" s="540"/>
      <c r="CX903" s="540"/>
      <c r="CY903" s="540"/>
      <c r="CZ903" s="540"/>
      <c r="DA903" s="540"/>
      <c r="DB903" s="540"/>
      <c r="DC903" s="540"/>
      <c r="DD903" s="540"/>
      <c r="DE903" s="540"/>
      <c r="DF903" s="540"/>
      <c r="DG903" s="540"/>
      <c r="DH903" s="540"/>
      <c r="DI903" s="540"/>
      <c r="DJ903" s="540"/>
      <c r="DK903" s="540"/>
      <c r="DL903" s="540"/>
      <c r="DM903" s="540"/>
      <c r="DN903" s="540"/>
    </row>
    <row r="904" spans="1:118" ht="88.5" customHeight="1">
      <c r="A904" s="754">
        <v>3</v>
      </c>
      <c r="B904" s="551" t="s">
        <v>1489</v>
      </c>
      <c r="C904" s="552" t="s">
        <v>1490</v>
      </c>
      <c r="D904" s="423" t="s">
        <v>1498</v>
      </c>
      <c r="E904" s="3" t="s">
        <v>45</v>
      </c>
      <c r="F904" s="216">
        <f>E906</f>
        <v>1</v>
      </c>
      <c r="G904" s="23"/>
      <c r="H904" s="205">
        <f>F904*G904</f>
        <v>0</v>
      </c>
      <c r="I904" s="218"/>
      <c r="J904" s="218"/>
      <c r="K904" s="218"/>
      <c r="L904" s="218"/>
      <c r="M904" s="218"/>
      <c r="N904" s="218"/>
      <c r="O904" s="218"/>
      <c r="P904" s="218"/>
      <c r="Q904" s="218"/>
      <c r="R904" s="218"/>
      <c r="S904" s="218"/>
      <c r="T904" s="218"/>
      <c r="U904" s="218"/>
      <c r="V904" s="218"/>
      <c r="W904" s="218"/>
      <c r="X904" s="218"/>
      <c r="Y904" s="218"/>
      <c r="Z904" s="218"/>
      <c r="AA904" s="218"/>
      <c r="AB904" s="218"/>
      <c r="AC904" s="218"/>
      <c r="AD904" s="218"/>
      <c r="AE904" s="218"/>
      <c r="AF904" s="218"/>
      <c r="AG904" s="218"/>
      <c r="AH904" s="218"/>
      <c r="AI904" s="218"/>
      <c r="AJ904" s="218"/>
      <c r="AK904" s="218"/>
      <c r="AL904" s="218"/>
      <c r="AM904" s="218"/>
      <c r="AN904" s="218"/>
      <c r="AO904" s="218"/>
      <c r="AP904" s="218"/>
      <c r="AQ904" s="218"/>
      <c r="AR904" s="218"/>
      <c r="AS904" s="218"/>
      <c r="AT904" s="218"/>
      <c r="AU904" s="218"/>
      <c r="AV904" s="218"/>
      <c r="AW904" s="218"/>
      <c r="AX904" s="218"/>
      <c r="AY904" s="218"/>
      <c r="AZ904" s="218"/>
      <c r="BA904" s="218"/>
      <c r="BB904" s="218"/>
      <c r="BC904" s="218"/>
      <c r="BD904" s="218"/>
      <c r="BE904" s="218"/>
      <c r="BF904" s="218"/>
      <c r="BG904" s="218"/>
      <c r="BH904" s="218"/>
      <c r="BI904" s="218"/>
      <c r="BJ904" s="218"/>
      <c r="BK904" s="218"/>
      <c r="BL904" s="218"/>
      <c r="BM904" s="218"/>
      <c r="BN904" s="218"/>
      <c r="BO904" s="218"/>
      <c r="BP904" s="218"/>
      <c r="BQ904" s="218"/>
      <c r="BR904" s="218"/>
      <c r="BS904" s="218"/>
      <c r="BT904" s="218"/>
      <c r="BU904" s="218"/>
      <c r="BV904" s="218"/>
      <c r="BW904" s="218"/>
      <c r="BX904" s="218"/>
      <c r="BY904" s="218"/>
      <c r="BZ904" s="218"/>
      <c r="CA904" s="218"/>
      <c r="CB904" s="218"/>
      <c r="CC904" s="218"/>
      <c r="CD904" s="218"/>
      <c r="CE904" s="218"/>
      <c r="CF904" s="218"/>
      <c r="CG904" s="218"/>
      <c r="CH904" s="218"/>
      <c r="CI904" s="218"/>
      <c r="CJ904" s="218"/>
      <c r="CK904" s="218"/>
      <c r="CL904" s="218"/>
      <c r="CM904" s="218"/>
      <c r="CN904" s="218"/>
      <c r="CO904" s="218"/>
      <c r="CP904" s="218"/>
      <c r="CQ904" s="218"/>
      <c r="CR904" s="218"/>
      <c r="CS904" s="218"/>
      <c r="CT904" s="218"/>
      <c r="CU904" s="218"/>
      <c r="CV904" s="218"/>
      <c r="CW904" s="218"/>
      <c r="CX904" s="218"/>
      <c r="CY904" s="218"/>
      <c r="CZ904" s="218"/>
      <c r="DA904" s="218"/>
      <c r="DB904" s="218"/>
      <c r="DC904" s="218"/>
      <c r="DD904" s="218"/>
      <c r="DE904" s="218"/>
      <c r="DF904" s="218"/>
      <c r="DG904" s="218"/>
      <c r="DH904" s="218"/>
      <c r="DI904" s="218"/>
      <c r="DJ904" s="218"/>
      <c r="DK904" s="218"/>
      <c r="DL904" s="218"/>
      <c r="DM904" s="218"/>
      <c r="DN904" s="218"/>
    </row>
    <row r="905" spans="1:118" s="204" customFormat="1" ht="15" customHeight="1">
      <c r="A905" s="755"/>
      <c r="B905" s="400"/>
      <c r="C905" s="401">
        <v>1</v>
      </c>
      <c r="D905" s="402"/>
      <c r="E905" s="403">
        <f>C905</f>
        <v>1</v>
      </c>
      <c r="F905" s="538"/>
      <c r="G905" s="539"/>
      <c r="H905" s="203"/>
      <c r="I905" s="540"/>
      <c r="J905" s="540"/>
      <c r="K905" s="540"/>
      <c r="L905" s="540"/>
      <c r="M905" s="540"/>
      <c r="N905" s="540"/>
      <c r="O905" s="540"/>
      <c r="P905" s="540"/>
      <c r="Q905" s="540"/>
      <c r="R905" s="540"/>
      <c r="S905" s="540"/>
      <c r="T905" s="540"/>
      <c r="U905" s="540"/>
      <c r="V905" s="540"/>
      <c r="W905" s="540"/>
      <c r="X905" s="540"/>
      <c r="Y905" s="540"/>
      <c r="Z905" s="540"/>
      <c r="AA905" s="540"/>
      <c r="AB905" s="540"/>
      <c r="AC905" s="540"/>
      <c r="AD905" s="540"/>
      <c r="AE905" s="540"/>
      <c r="AF905" s="540"/>
      <c r="AG905" s="540"/>
      <c r="AH905" s="540"/>
      <c r="AI905" s="540"/>
      <c r="AJ905" s="540"/>
      <c r="AK905" s="540"/>
      <c r="AL905" s="540"/>
      <c r="AM905" s="540"/>
      <c r="AN905" s="540"/>
      <c r="AO905" s="540"/>
      <c r="AP905" s="540"/>
      <c r="AQ905" s="540"/>
      <c r="AR905" s="540"/>
      <c r="AS905" s="540"/>
      <c r="AT905" s="540"/>
      <c r="AU905" s="540"/>
      <c r="AV905" s="540"/>
      <c r="AW905" s="540"/>
      <c r="AX905" s="540"/>
      <c r="AY905" s="540"/>
      <c r="AZ905" s="540"/>
      <c r="BA905" s="540"/>
      <c r="BB905" s="540"/>
      <c r="BC905" s="540"/>
      <c r="BD905" s="540"/>
      <c r="BE905" s="540"/>
      <c r="BF905" s="540"/>
      <c r="BG905" s="540"/>
      <c r="BH905" s="540"/>
      <c r="BI905" s="540"/>
      <c r="BJ905" s="540"/>
      <c r="BK905" s="540"/>
      <c r="BL905" s="540"/>
      <c r="BM905" s="540"/>
      <c r="BN905" s="540"/>
      <c r="BO905" s="540"/>
      <c r="BP905" s="540"/>
      <c r="BQ905" s="540"/>
      <c r="BR905" s="540"/>
      <c r="BS905" s="540"/>
      <c r="BT905" s="540"/>
      <c r="BU905" s="540"/>
      <c r="BV905" s="540"/>
      <c r="BW905" s="540"/>
      <c r="BX905" s="540"/>
      <c r="BY905" s="540"/>
      <c r="BZ905" s="540"/>
      <c r="CA905" s="540"/>
      <c r="CB905" s="540"/>
      <c r="CC905" s="540"/>
      <c r="CD905" s="540"/>
      <c r="CE905" s="540"/>
      <c r="CF905" s="540"/>
      <c r="CG905" s="540"/>
      <c r="CH905" s="540"/>
      <c r="CI905" s="540"/>
      <c r="CJ905" s="540"/>
      <c r="CK905" s="540"/>
      <c r="CL905" s="540"/>
      <c r="CM905" s="540"/>
      <c r="CN905" s="540"/>
      <c r="CO905" s="540"/>
      <c r="CP905" s="540"/>
      <c r="CQ905" s="540"/>
      <c r="CR905" s="540"/>
      <c r="CS905" s="540"/>
      <c r="CT905" s="540"/>
      <c r="CU905" s="540"/>
      <c r="CV905" s="540"/>
      <c r="CW905" s="540"/>
      <c r="CX905" s="540"/>
      <c r="CY905" s="540"/>
      <c r="CZ905" s="540"/>
      <c r="DA905" s="540"/>
      <c r="DB905" s="540"/>
      <c r="DC905" s="540"/>
      <c r="DD905" s="540"/>
      <c r="DE905" s="540"/>
      <c r="DF905" s="540"/>
      <c r="DG905" s="540"/>
      <c r="DH905" s="540"/>
      <c r="DI905" s="540"/>
      <c r="DJ905" s="540"/>
      <c r="DK905" s="540"/>
      <c r="DL905" s="540"/>
      <c r="DM905" s="540"/>
      <c r="DN905" s="540"/>
    </row>
    <row r="906" spans="1:118" s="204" customFormat="1" ht="12">
      <c r="A906" s="755"/>
      <c r="B906" s="456"/>
      <c r="C906" s="405" t="s">
        <v>39</v>
      </c>
      <c r="D906" s="487"/>
      <c r="E906" s="407">
        <f>SUM(E905:E905)</f>
        <v>1</v>
      </c>
      <c r="F906" s="538"/>
      <c r="G906" s="539"/>
      <c r="H906" s="203"/>
      <c r="I906" s="540"/>
      <c r="J906" s="540"/>
      <c r="K906" s="540"/>
      <c r="L906" s="540"/>
      <c r="M906" s="540"/>
      <c r="N906" s="540"/>
      <c r="O906" s="540"/>
      <c r="P906" s="540"/>
      <c r="Q906" s="540"/>
      <c r="R906" s="540"/>
      <c r="S906" s="540"/>
      <c r="T906" s="540"/>
      <c r="U906" s="540"/>
      <c r="V906" s="540"/>
      <c r="W906" s="540"/>
      <c r="X906" s="540"/>
      <c r="Y906" s="540"/>
      <c r="Z906" s="540"/>
      <c r="AA906" s="540"/>
      <c r="AB906" s="540"/>
      <c r="AC906" s="540"/>
      <c r="AD906" s="540"/>
      <c r="AE906" s="540"/>
      <c r="AF906" s="540"/>
      <c r="AG906" s="540"/>
      <c r="AH906" s="540"/>
      <c r="AI906" s="540"/>
      <c r="AJ906" s="540"/>
      <c r="AK906" s="540"/>
      <c r="AL906" s="540"/>
      <c r="AM906" s="540"/>
      <c r="AN906" s="540"/>
      <c r="AO906" s="540"/>
      <c r="AP906" s="540"/>
      <c r="AQ906" s="540"/>
      <c r="AR906" s="540"/>
      <c r="AS906" s="540"/>
      <c r="AT906" s="540"/>
      <c r="AU906" s="540"/>
      <c r="AV906" s="540"/>
      <c r="AW906" s="540"/>
      <c r="AX906" s="540"/>
      <c r="AY906" s="540"/>
      <c r="AZ906" s="540"/>
      <c r="BA906" s="540"/>
      <c r="BB906" s="540"/>
      <c r="BC906" s="540"/>
      <c r="BD906" s="540"/>
      <c r="BE906" s="540"/>
      <c r="BF906" s="540"/>
      <c r="BG906" s="540"/>
      <c r="BH906" s="540"/>
      <c r="BI906" s="540"/>
      <c r="BJ906" s="540"/>
      <c r="BK906" s="540"/>
      <c r="BL906" s="540"/>
      <c r="BM906" s="540"/>
      <c r="BN906" s="540"/>
      <c r="BO906" s="540"/>
      <c r="BP906" s="540"/>
      <c r="BQ906" s="540"/>
      <c r="BR906" s="540"/>
      <c r="BS906" s="540"/>
      <c r="BT906" s="540"/>
      <c r="BU906" s="540"/>
      <c r="BV906" s="540"/>
      <c r="BW906" s="540"/>
      <c r="BX906" s="540"/>
      <c r="BY906" s="540"/>
      <c r="BZ906" s="540"/>
      <c r="CA906" s="540"/>
      <c r="CB906" s="540"/>
      <c r="CC906" s="540"/>
      <c r="CD906" s="540"/>
      <c r="CE906" s="540"/>
      <c r="CF906" s="540"/>
      <c r="CG906" s="540"/>
      <c r="CH906" s="540"/>
      <c r="CI906" s="540"/>
      <c r="CJ906" s="540"/>
      <c r="CK906" s="540"/>
      <c r="CL906" s="540"/>
      <c r="CM906" s="540"/>
      <c r="CN906" s="540"/>
      <c r="CO906" s="540"/>
      <c r="CP906" s="540"/>
      <c r="CQ906" s="540"/>
      <c r="CR906" s="540"/>
      <c r="CS906" s="540"/>
      <c r="CT906" s="540"/>
      <c r="CU906" s="540"/>
      <c r="CV906" s="540"/>
      <c r="CW906" s="540"/>
      <c r="CX906" s="540"/>
      <c r="CY906" s="540"/>
      <c r="CZ906" s="540"/>
      <c r="DA906" s="540"/>
      <c r="DB906" s="540"/>
      <c r="DC906" s="540"/>
      <c r="DD906" s="540"/>
      <c r="DE906" s="540"/>
      <c r="DF906" s="540"/>
      <c r="DG906" s="540"/>
      <c r="DH906" s="540"/>
      <c r="DI906" s="540"/>
      <c r="DJ906" s="540"/>
      <c r="DK906" s="540"/>
      <c r="DL906" s="540"/>
      <c r="DM906" s="540"/>
      <c r="DN906" s="540"/>
    </row>
    <row r="907" spans="1:118" s="204" customFormat="1" ht="12">
      <c r="A907" s="755"/>
      <c r="B907" s="456"/>
      <c r="C907" s="405"/>
      <c r="D907" s="487"/>
      <c r="E907" s="407"/>
      <c r="F907" s="538"/>
      <c r="G907" s="539"/>
      <c r="H907" s="203"/>
      <c r="I907" s="540"/>
      <c r="J907" s="540"/>
      <c r="K907" s="540"/>
      <c r="L907" s="540"/>
      <c r="M907" s="540"/>
      <c r="N907" s="540"/>
      <c r="O907" s="540"/>
      <c r="P907" s="540"/>
      <c r="Q907" s="540"/>
      <c r="R907" s="540"/>
      <c r="S907" s="540"/>
      <c r="T907" s="540"/>
      <c r="U907" s="540"/>
      <c r="V907" s="540"/>
      <c r="W907" s="540"/>
      <c r="X907" s="540"/>
      <c r="Y907" s="540"/>
      <c r="Z907" s="540"/>
      <c r="AA907" s="540"/>
      <c r="AB907" s="540"/>
      <c r="AC907" s="540"/>
      <c r="AD907" s="540"/>
      <c r="AE907" s="540"/>
      <c r="AF907" s="540"/>
      <c r="AG907" s="540"/>
      <c r="AH907" s="540"/>
      <c r="AI907" s="540"/>
      <c r="AJ907" s="540"/>
      <c r="AK907" s="540"/>
      <c r="AL907" s="540"/>
      <c r="AM907" s="540"/>
      <c r="AN907" s="540"/>
      <c r="AO907" s="540"/>
      <c r="AP907" s="540"/>
      <c r="AQ907" s="540"/>
      <c r="AR907" s="540"/>
      <c r="AS907" s="540"/>
      <c r="AT907" s="540"/>
      <c r="AU907" s="540"/>
      <c r="AV907" s="540"/>
      <c r="AW907" s="540"/>
      <c r="AX907" s="540"/>
      <c r="AY907" s="540"/>
      <c r="AZ907" s="540"/>
      <c r="BA907" s="540"/>
      <c r="BB907" s="540"/>
      <c r="BC907" s="540"/>
      <c r="BD907" s="540"/>
      <c r="BE907" s="540"/>
      <c r="BF907" s="540"/>
      <c r="BG907" s="540"/>
      <c r="BH907" s="540"/>
      <c r="BI907" s="540"/>
      <c r="BJ907" s="540"/>
      <c r="BK907" s="540"/>
      <c r="BL907" s="540"/>
      <c r="BM907" s="540"/>
      <c r="BN907" s="540"/>
      <c r="BO907" s="540"/>
      <c r="BP907" s="540"/>
      <c r="BQ907" s="540"/>
      <c r="BR907" s="540"/>
      <c r="BS907" s="540"/>
      <c r="BT907" s="540"/>
      <c r="BU907" s="540"/>
      <c r="BV907" s="540"/>
      <c r="BW907" s="540"/>
      <c r="BX907" s="540"/>
      <c r="BY907" s="540"/>
      <c r="BZ907" s="540"/>
      <c r="CA907" s="540"/>
      <c r="CB907" s="540"/>
      <c r="CC907" s="540"/>
      <c r="CD907" s="540"/>
      <c r="CE907" s="540"/>
      <c r="CF907" s="540"/>
      <c r="CG907" s="540"/>
      <c r="CH907" s="540"/>
      <c r="CI907" s="540"/>
      <c r="CJ907" s="540"/>
      <c r="CK907" s="540"/>
      <c r="CL907" s="540"/>
      <c r="CM907" s="540"/>
      <c r="CN907" s="540"/>
      <c r="CO907" s="540"/>
      <c r="CP907" s="540"/>
      <c r="CQ907" s="540"/>
      <c r="CR907" s="540"/>
      <c r="CS907" s="540"/>
      <c r="CT907" s="540"/>
      <c r="CU907" s="540"/>
      <c r="CV907" s="540"/>
      <c r="CW907" s="540"/>
      <c r="CX907" s="540"/>
      <c r="CY907" s="540"/>
      <c r="CZ907" s="540"/>
      <c r="DA907" s="540"/>
      <c r="DB907" s="540"/>
      <c r="DC907" s="540"/>
      <c r="DD907" s="540"/>
      <c r="DE907" s="540"/>
      <c r="DF907" s="540"/>
      <c r="DG907" s="540"/>
      <c r="DH907" s="540"/>
      <c r="DI907" s="540"/>
      <c r="DJ907" s="540"/>
      <c r="DK907" s="540"/>
      <c r="DL907" s="540"/>
      <c r="DM907" s="540"/>
      <c r="DN907" s="540"/>
    </row>
    <row r="908" spans="1:118" ht="108">
      <c r="A908" s="754">
        <v>4</v>
      </c>
      <c r="B908" s="551" t="s">
        <v>1491</v>
      </c>
      <c r="C908" s="552" t="s">
        <v>1492</v>
      </c>
      <c r="D908" s="423" t="s">
        <v>1493</v>
      </c>
      <c r="E908" s="3" t="s">
        <v>45</v>
      </c>
      <c r="F908" s="216">
        <f>E910</f>
        <v>1</v>
      </c>
      <c r="G908" s="23"/>
      <c r="H908" s="205">
        <f>F908*G908</f>
        <v>0</v>
      </c>
      <c r="I908" s="218"/>
      <c r="J908" s="218"/>
      <c r="K908" s="218"/>
      <c r="L908" s="218"/>
      <c r="M908" s="218"/>
      <c r="N908" s="218"/>
      <c r="O908" s="218"/>
      <c r="P908" s="218"/>
      <c r="Q908" s="218"/>
      <c r="R908" s="218"/>
      <c r="S908" s="218"/>
      <c r="T908" s="218"/>
      <c r="U908" s="218"/>
      <c r="V908" s="218"/>
      <c r="W908" s="218"/>
      <c r="X908" s="218"/>
      <c r="Y908" s="218"/>
      <c r="Z908" s="218"/>
      <c r="AA908" s="218"/>
      <c r="AB908" s="218"/>
      <c r="AC908" s="218"/>
      <c r="AD908" s="218"/>
      <c r="AE908" s="218"/>
      <c r="AF908" s="218"/>
      <c r="AG908" s="218"/>
      <c r="AH908" s="218"/>
      <c r="AI908" s="218"/>
      <c r="AJ908" s="218"/>
      <c r="AK908" s="218"/>
      <c r="AL908" s="218"/>
      <c r="AM908" s="218"/>
      <c r="AN908" s="218"/>
      <c r="AO908" s="218"/>
      <c r="AP908" s="218"/>
      <c r="AQ908" s="218"/>
      <c r="AR908" s="218"/>
      <c r="AS908" s="218"/>
      <c r="AT908" s="218"/>
      <c r="AU908" s="218"/>
      <c r="AV908" s="218"/>
      <c r="AW908" s="218"/>
      <c r="AX908" s="218"/>
      <c r="AY908" s="218"/>
      <c r="AZ908" s="218"/>
      <c r="BA908" s="218"/>
      <c r="BB908" s="218"/>
      <c r="BC908" s="218"/>
      <c r="BD908" s="218"/>
      <c r="BE908" s="218"/>
      <c r="BF908" s="218"/>
      <c r="BG908" s="218"/>
      <c r="BH908" s="218"/>
      <c r="BI908" s="218"/>
      <c r="BJ908" s="218"/>
      <c r="BK908" s="218"/>
      <c r="BL908" s="218"/>
      <c r="BM908" s="218"/>
      <c r="BN908" s="218"/>
      <c r="BO908" s="218"/>
      <c r="BP908" s="218"/>
      <c r="BQ908" s="218"/>
      <c r="BR908" s="218"/>
      <c r="BS908" s="218"/>
      <c r="BT908" s="218"/>
      <c r="BU908" s="218"/>
      <c r="BV908" s="218"/>
      <c r="BW908" s="218"/>
      <c r="BX908" s="218"/>
      <c r="BY908" s="218"/>
      <c r="BZ908" s="218"/>
      <c r="CA908" s="218"/>
      <c r="CB908" s="218"/>
      <c r="CC908" s="218"/>
      <c r="CD908" s="218"/>
      <c r="CE908" s="218"/>
      <c r="CF908" s="218"/>
      <c r="CG908" s="218"/>
      <c r="CH908" s="218"/>
      <c r="CI908" s="218"/>
      <c r="CJ908" s="218"/>
      <c r="CK908" s="218"/>
      <c r="CL908" s="218"/>
      <c r="CM908" s="218"/>
      <c r="CN908" s="218"/>
      <c r="CO908" s="218"/>
      <c r="CP908" s="218"/>
      <c r="CQ908" s="218"/>
      <c r="CR908" s="218"/>
      <c r="CS908" s="218"/>
      <c r="CT908" s="218"/>
      <c r="CU908" s="218"/>
      <c r="CV908" s="218"/>
      <c r="CW908" s="218"/>
      <c r="CX908" s="218"/>
      <c r="CY908" s="218"/>
      <c r="CZ908" s="218"/>
      <c r="DA908" s="218"/>
      <c r="DB908" s="218"/>
      <c r="DC908" s="218"/>
      <c r="DD908" s="218"/>
      <c r="DE908" s="218"/>
      <c r="DF908" s="218"/>
      <c r="DG908" s="218"/>
      <c r="DH908" s="218"/>
      <c r="DI908" s="218"/>
      <c r="DJ908" s="218"/>
      <c r="DK908" s="218"/>
      <c r="DL908" s="218"/>
      <c r="DM908" s="218"/>
      <c r="DN908" s="218"/>
    </row>
    <row r="909" spans="1:118" s="204" customFormat="1" ht="15" customHeight="1">
      <c r="A909" s="755"/>
      <c r="B909" s="400"/>
      <c r="C909" s="401">
        <v>1</v>
      </c>
      <c r="D909" s="402"/>
      <c r="E909" s="403">
        <f>C909</f>
        <v>1</v>
      </c>
      <c r="F909" s="538"/>
      <c r="G909" s="539"/>
      <c r="H909" s="203"/>
      <c r="I909" s="540"/>
      <c r="J909" s="540"/>
      <c r="K909" s="540"/>
      <c r="L909" s="540"/>
      <c r="M909" s="540"/>
      <c r="N909" s="540"/>
      <c r="O909" s="540"/>
      <c r="P909" s="540"/>
      <c r="Q909" s="540"/>
      <c r="R909" s="540"/>
      <c r="S909" s="540"/>
      <c r="T909" s="540"/>
      <c r="U909" s="540"/>
      <c r="V909" s="540"/>
      <c r="W909" s="540"/>
      <c r="X909" s="540"/>
      <c r="Y909" s="540"/>
      <c r="Z909" s="540"/>
      <c r="AA909" s="540"/>
      <c r="AB909" s="540"/>
      <c r="AC909" s="540"/>
      <c r="AD909" s="540"/>
      <c r="AE909" s="540"/>
      <c r="AF909" s="540"/>
      <c r="AG909" s="540"/>
      <c r="AH909" s="540"/>
      <c r="AI909" s="540"/>
      <c r="AJ909" s="540"/>
      <c r="AK909" s="540"/>
      <c r="AL909" s="540"/>
      <c r="AM909" s="540"/>
      <c r="AN909" s="540"/>
      <c r="AO909" s="540"/>
      <c r="AP909" s="540"/>
      <c r="AQ909" s="540"/>
      <c r="AR909" s="540"/>
      <c r="AS909" s="540"/>
      <c r="AT909" s="540"/>
      <c r="AU909" s="540"/>
      <c r="AV909" s="540"/>
      <c r="AW909" s="540"/>
      <c r="AX909" s="540"/>
      <c r="AY909" s="540"/>
      <c r="AZ909" s="540"/>
      <c r="BA909" s="540"/>
      <c r="BB909" s="540"/>
      <c r="BC909" s="540"/>
      <c r="BD909" s="540"/>
      <c r="BE909" s="540"/>
      <c r="BF909" s="540"/>
      <c r="BG909" s="540"/>
      <c r="BH909" s="540"/>
      <c r="BI909" s="540"/>
      <c r="BJ909" s="540"/>
      <c r="BK909" s="540"/>
      <c r="BL909" s="540"/>
      <c r="BM909" s="540"/>
      <c r="BN909" s="540"/>
      <c r="BO909" s="540"/>
      <c r="BP909" s="540"/>
      <c r="BQ909" s="540"/>
      <c r="BR909" s="540"/>
      <c r="BS909" s="540"/>
      <c r="BT909" s="540"/>
      <c r="BU909" s="540"/>
      <c r="BV909" s="540"/>
      <c r="BW909" s="540"/>
      <c r="BX909" s="540"/>
      <c r="BY909" s="540"/>
      <c r="BZ909" s="540"/>
      <c r="CA909" s="540"/>
      <c r="CB909" s="540"/>
      <c r="CC909" s="540"/>
      <c r="CD909" s="540"/>
      <c r="CE909" s="540"/>
      <c r="CF909" s="540"/>
      <c r="CG909" s="540"/>
      <c r="CH909" s="540"/>
      <c r="CI909" s="540"/>
      <c r="CJ909" s="540"/>
      <c r="CK909" s="540"/>
      <c r="CL909" s="540"/>
      <c r="CM909" s="540"/>
      <c r="CN909" s="540"/>
      <c r="CO909" s="540"/>
      <c r="CP909" s="540"/>
      <c r="CQ909" s="540"/>
      <c r="CR909" s="540"/>
      <c r="CS909" s="540"/>
      <c r="CT909" s="540"/>
      <c r="CU909" s="540"/>
      <c r="CV909" s="540"/>
      <c r="CW909" s="540"/>
      <c r="CX909" s="540"/>
      <c r="CY909" s="540"/>
      <c r="CZ909" s="540"/>
      <c r="DA909" s="540"/>
      <c r="DB909" s="540"/>
      <c r="DC909" s="540"/>
      <c r="DD909" s="540"/>
      <c r="DE909" s="540"/>
      <c r="DF909" s="540"/>
      <c r="DG909" s="540"/>
      <c r="DH909" s="540"/>
      <c r="DI909" s="540"/>
      <c r="DJ909" s="540"/>
      <c r="DK909" s="540"/>
      <c r="DL909" s="540"/>
      <c r="DM909" s="540"/>
      <c r="DN909" s="540"/>
    </row>
    <row r="910" spans="1:118" s="204" customFormat="1" ht="12">
      <c r="A910" s="755"/>
      <c r="B910" s="456"/>
      <c r="C910" s="405" t="s">
        <v>39</v>
      </c>
      <c r="D910" s="487"/>
      <c r="E910" s="407">
        <f>SUM(E909:E909)</f>
        <v>1</v>
      </c>
      <c r="F910" s="538"/>
      <c r="G910" s="539"/>
      <c r="H910" s="203"/>
      <c r="I910" s="540"/>
      <c r="J910" s="540"/>
      <c r="K910" s="540"/>
      <c r="L910" s="540"/>
      <c r="M910" s="540"/>
      <c r="N910" s="540"/>
      <c r="O910" s="540"/>
      <c r="P910" s="540"/>
      <c r="Q910" s="540"/>
      <c r="R910" s="540"/>
      <c r="S910" s="540"/>
      <c r="T910" s="540"/>
      <c r="U910" s="540"/>
      <c r="V910" s="540"/>
      <c r="W910" s="540"/>
      <c r="X910" s="540"/>
      <c r="Y910" s="540"/>
      <c r="Z910" s="540"/>
      <c r="AA910" s="540"/>
      <c r="AB910" s="540"/>
      <c r="AC910" s="540"/>
      <c r="AD910" s="540"/>
      <c r="AE910" s="540"/>
      <c r="AF910" s="540"/>
      <c r="AG910" s="540"/>
      <c r="AH910" s="540"/>
      <c r="AI910" s="540"/>
      <c r="AJ910" s="540"/>
      <c r="AK910" s="540"/>
      <c r="AL910" s="540"/>
      <c r="AM910" s="540"/>
      <c r="AN910" s="540"/>
      <c r="AO910" s="540"/>
      <c r="AP910" s="540"/>
      <c r="AQ910" s="540"/>
      <c r="AR910" s="540"/>
      <c r="AS910" s="540"/>
      <c r="AT910" s="540"/>
      <c r="AU910" s="540"/>
      <c r="AV910" s="540"/>
      <c r="AW910" s="540"/>
      <c r="AX910" s="540"/>
      <c r="AY910" s="540"/>
      <c r="AZ910" s="540"/>
      <c r="BA910" s="540"/>
      <c r="BB910" s="540"/>
      <c r="BC910" s="540"/>
      <c r="BD910" s="540"/>
      <c r="BE910" s="540"/>
      <c r="BF910" s="540"/>
      <c r="BG910" s="540"/>
      <c r="BH910" s="540"/>
      <c r="BI910" s="540"/>
      <c r="BJ910" s="540"/>
      <c r="BK910" s="540"/>
      <c r="BL910" s="540"/>
      <c r="BM910" s="540"/>
      <c r="BN910" s="540"/>
      <c r="BO910" s="540"/>
      <c r="BP910" s="540"/>
      <c r="BQ910" s="540"/>
      <c r="BR910" s="540"/>
      <c r="BS910" s="540"/>
      <c r="BT910" s="540"/>
      <c r="BU910" s="540"/>
      <c r="BV910" s="540"/>
      <c r="BW910" s="540"/>
      <c r="BX910" s="540"/>
      <c r="BY910" s="540"/>
      <c r="BZ910" s="540"/>
      <c r="CA910" s="540"/>
      <c r="CB910" s="540"/>
      <c r="CC910" s="540"/>
      <c r="CD910" s="540"/>
      <c r="CE910" s="540"/>
      <c r="CF910" s="540"/>
      <c r="CG910" s="540"/>
      <c r="CH910" s="540"/>
      <c r="CI910" s="540"/>
      <c r="CJ910" s="540"/>
      <c r="CK910" s="540"/>
      <c r="CL910" s="540"/>
      <c r="CM910" s="540"/>
      <c r="CN910" s="540"/>
      <c r="CO910" s="540"/>
      <c r="CP910" s="540"/>
      <c r="CQ910" s="540"/>
      <c r="CR910" s="540"/>
      <c r="CS910" s="540"/>
      <c r="CT910" s="540"/>
      <c r="CU910" s="540"/>
      <c r="CV910" s="540"/>
      <c r="CW910" s="540"/>
      <c r="CX910" s="540"/>
      <c r="CY910" s="540"/>
      <c r="CZ910" s="540"/>
      <c r="DA910" s="540"/>
      <c r="DB910" s="540"/>
      <c r="DC910" s="540"/>
      <c r="DD910" s="540"/>
      <c r="DE910" s="540"/>
      <c r="DF910" s="540"/>
      <c r="DG910" s="540"/>
      <c r="DH910" s="540"/>
      <c r="DI910" s="540"/>
      <c r="DJ910" s="540"/>
      <c r="DK910" s="540"/>
      <c r="DL910" s="540"/>
      <c r="DM910" s="540"/>
      <c r="DN910" s="540"/>
    </row>
    <row r="911" spans="1:118" s="204" customFormat="1" ht="12">
      <c r="A911" s="755"/>
      <c r="B911" s="456"/>
      <c r="C911" s="405"/>
      <c r="D911" s="487"/>
      <c r="E911" s="407"/>
      <c r="F911" s="538"/>
      <c r="G911" s="539"/>
      <c r="H911" s="203"/>
      <c r="I911" s="540"/>
      <c r="J911" s="540"/>
      <c r="K911" s="540"/>
      <c r="L911" s="540"/>
      <c r="M911" s="540"/>
      <c r="N911" s="540"/>
      <c r="O911" s="540"/>
      <c r="P911" s="540"/>
      <c r="Q911" s="540"/>
      <c r="R911" s="540"/>
      <c r="S911" s="540"/>
      <c r="T911" s="540"/>
      <c r="U911" s="540"/>
      <c r="V911" s="540"/>
      <c r="W911" s="540"/>
      <c r="X911" s="540"/>
      <c r="Y911" s="540"/>
      <c r="Z911" s="540"/>
      <c r="AA911" s="540"/>
      <c r="AB911" s="540"/>
      <c r="AC911" s="540"/>
      <c r="AD911" s="540"/>
      <c r="AE911" s="540"/>
      <c r="AF911" s="540"/>
      <c r="AG911" s="540"/>
      <c r="AH911" s="540"/>
      <c r="AI911" s="540"/>
      <c r="AJ911" s="540"/>
      <c r="AK911" s="540"/>
      <c r="AL911" s="540"/>
      <c r="AM911" s="540"/>
      <c r="AN911" s="540"/>
      <c r="AO911" s="540"/>
      <c r="AP911" s="540"/>
      <c r="AQ911" s="540"/>
      <c r="AR911" s="540"/>
      <c r="AS911" s="540"/>
      <c r="AT911" s="540"/>
      <c r="AU911" s="540"/>
      <c r="AV911" s="540"/>
      <c r="AW911" s="540"/>
      <c r="AX911" s="540"/>
      <c r="AY911" s="540"/>
      <c r="AZ911" s="540"/>
      <c r="BA911" s="540"/>
      <c r="BB911" s="540"/>
      <c r="BC911" s="540"/>
      <c r="BD911" s="540"/>
      <c r="BE911" s="540"/>
      <c r="BF911" s="540"/>
      <c r="BG911" s="540"/>
      <c r="BH911" s="540"/>
      <c r="BI911" s="540"/>
      <c r="BJ911" s="540"/>
      <c r="BK911" s="540"/>
      <c r="BL911" s="540"/>
      <c r="BM911" s="540"/>
      <c r="BN911" s="540"/>
      <c r="BO911" s="540"/>
      <c r="BP911" s="540"/>
      <c r="BQ911" s="540"/>
      <c r="BR911" s="540"/>
      <c r="BS911" s="540"/>
      <c r="BT911" s="540"/>
      <c r="BU911" s="540"/>
      <c r="BV911" s="540"/>
      <c r="BW911" s="540"/>
      <c r="BX911" s="540"/>
      <c r="BY911" s="540"/>
      <c r="BZ911" s="540"/>
      <c r="CA911" s="540"/>
      <c r="CB911" s="540"/>
      <c r="CC911" s="540"/>
      <c r="CD911" s="540"/>
      <c r="CE911" s="540"/>
      <c r="CF911" s="540"/>
      <c r="CG911" s="540"/>
      <c r="CH911" s="540"/>
      <c r="CI911" s="540"/>
      <c r="CJ911" s="540"/>
      <c r="CK911" s="540"/>
      <c r="CL911" s="540"/>
      <c r="CM911" s="540"/>
      <c r="CN911" s="540"/>
      <c r="CO911" s="540"/>
      <c r="CP911" s="540"/>
      <c r="CQ911" s="540"/>
      <c r="CR911" s="540"/>
      <c r="CS911" s="540"/>
      <c r="CT911" s="540"/>
      <c r="CU911" s="540"/>
      <c r="CV911" s="540"/>
      <c r="CW911" s="540"/>
      <c r="CX911" s="540"/>
      <c r="CY911" s="540"/>
      <c r="CZ911" s="540"/>
      <c r="DA911" s="540"/>
      <c r="DB911" s="540"/>
      <c r="DC911" s="540"/>
      <c r="DD911" s="540"/>
      <c r="DE911" s="540"/>
      <c r="DF911" s="540"/>
      <c r="DG911" s="540"/>
      <c r="DH911" s="540"/>
      <c r="DI911" s="540"/>
      <c r="DJ911" s="540"/>
      <c r="DK911" s="540"/>
      <c r="DL911" s="540"/>
      <c r="DM911" s="540"/>
      <c r="DN911" s="540"/>
    </row>
    <row r="912" spans="1:118" ht="12.75">
      <c r="A912" s="754">
        <v>5</v>
      </c>
      <c r="B912" s="421" t="s">
        <v>1</v>
      </c>
      <c r="C912" s="422" t="s">
        <v>1016</v>
      </c>
      <c r="D912" s="358"/>
      <c r="E912" s="3" t="s">
        <v>50</v>
      </c>
      <c r="F912" s="216">
        <f>SUM(H896:H911)/100</f>
        <v>0</v>
      </c>
      <c r="G912" s="23"/>
      <c r="H912" s="205">
        <f>F912*G912</f>
        <v>0</v>
      </c>
      <c r="I912" s="218"/>
      <c r="J912" s="218"/>
      <c r="K912" s="218"/>
      <c r="L912" s="218"/>
      <c r="M912" s="218"/>
      <c r="N912" s="218"/>
      <c r="O912" s="218"/>
      <c r="P912" s="218"/>
      <c r="Q912" s="218"/>
      <c r="R912" s="218"/>
      <c r="S912" s="218"/>
      <c r="T912" s="218"/>
      <c r="U912" s="218"/>
      <c r="V912" s="218"/>
      <c r="W912" s="218"/>
      <c r="X912" s="218"/>
      <c r="Y912" s="218"/>
      <c r="Z912" s="218"/>
      <c r="AA912" s="218"/>
      <c r="AB912" s="218"/>
      <c r="AC912" s="218"/>
      <c r="AD912" s="218"/>
      <c r="AE912" s="218"/>
      <c r="AF912" s="218"/>
      <c r="AG912" s="218"/>
      <c r="AH912" s="218"/>
      <c r="AI912" s="218"/>
      <c r="AJ912" s="218"/>
      <c r="AK912" s="218"/>
      <c r="AL912" s="218"/>
      <c r="AM912" s="218"/>
      <c r="AN912" s="218"/>
      <c r="AO912" s="218"/>
      <c r="AP912" s="218"/>
      <c r="AQ912" s="218"/>
      <c r="AR912" s="218"/>
      <c r="AS912" s="218"/>
      <c r="AT912" s="218"/>
      <c r="AU912" s="218"/>
      <c r="AV912" s="218"/>
      <c r="AW912" s="218"/>
      <c r="AX912" s="218"/>
      <c r="AY912" s="218"/>
      <c r="AZ912" s="218"/>
      <c r="BA912" s="218"/>
      <c r="BB912" s="218"/>
      <c r="BC912" s="218"/>
      <c r="BD912" s="218"/>
      <c r="BE912" s="218"/>
      <c r="BF912" s="218"/>
      <c r="BG912" s="218"/>
      <c r="BH912" s="218"/>
      <c r="BI912" s="218"/>
      <c r="BJ912" s="218"/>
      <c r="BK912" s="218"/>
      <c r="BL912" s="218"/>
      <c r="BM912" s="218"/>
      <c r="BN912" s="218"/>
      <c r="BO912" s="218"/>
      <c r="BP912" s="218"/>
      <c r="BQ912" s="218"/>
      <c r="BR912" s="218"/>
      <c r="BS912" s="218"/>
      <c r="BT912" s="218"/>
      <c r="BU912" s="218"/>
      <c r="BV912" s="218"/>
      <c r="BW912" s="218"/>
      <c r="BX912" s="218"/>
      <c r="BY912" s="218"/>
      <c r="BZ912" s="218"/>
      <c r="CA912" s="218"/>
      <c r="CB912" s="218"/>
      <c r="CC912" s="218"/>
      <c r="CD912" s="218"/>
      <c r="CE912" s="218"/>
      <c r="CF912" s="218"/>
      <c r="CG912" s="218"/>
      <c r="CH912" s="218"/>
      <c r="CI912" s="218"/>
      <c r="CJ912" s="218"/>
      <c r="CK912" s="218"/>
      <c r="CL912" s="218"/>
      <c r="CM912" s="218"/>
      <c r="CN912" s="218"/>
      <c r="CO912" s="218"/>
      <c r="CP912" s="218"/>
      <c r="CQ912" s="218"/>
      <c r="CR912" s="218"/>
      <c r="CS912" s="218"/>
      <c r="CT912" s="218"/>
      <c r="CU912" s="218"/>
      <c r="CV912" s="218"/>
      <c r="CW912" s="218"/>
      <c r="CX912" s="218"/>
      <c r="CY912" s="218"/>
      <c r="CZ912" s="218"/>
      <c r="DA912" s="218"/>
      <c r="DB912" s="218"/>
      <c r="DC912" s="218"/>
      <c r="DD912" s="218"/>
      <c r="DE912" s="218"/>
      <c r="DF912" s="218"/>
      <c r="DG912" s="218"/>
      <c r="DH912" s="218"/>
      <c r="DI912" s="218"/>
      <c r="DJ912" s="218"/>
      <c r="DK912" s="218"/>
      <c r="DL912" s="218"/>
      <c r="DM912" s="218"/>
      <c r="DN912" s="218"/>
    </row>
    <row r="913" spans="1:118" ht="12.75">
      <c r="A913" s="754"/>
      <c r="B913" s="352"/>
      <c r="C913" s="357"/>
      <c r="D913" s="358"/>
      <c r="E913" s="3"/>
      <c r="F913" s="216"/>
      <c r="G913" s="217"/>
      <c r="H913" s="205"/>
      <c r="I913" s="218"/>
      <c r="J913" s="218"/>
      <c r="K913" s="218"/>
      <c r="L913" s="218"/>
      <c r="M913" s="218"/>
      <c r="N913" s="218"/>
      <c r="O913" s="218"/>
      <c r="P913" s="218"/>
      <c r="Q913" s="218"/>
      <c r="R913" s="218"/>
      <c r="S913" s="218"/>
      <c r="T913" s="218"/>
      <c r="U913" s="218"/>
      <c r="V913" s="218"/>
      <c r="W913" s="218"/>
      <c r="X913" s="218"/>
      <c r="Y913" s="218"/>
      <c r="Z913" s="218"/>
      <c r="AA913" s="218"/>
      <c r="AB913" s="218"/>
      <c r="AC913" s="218"/>
      <c r="AD913" s="218"/>
      <c r="AE913" s="218"/>
      <c r="AF913" s="218"/>
      <c r="AG913" s="218"/>
      <c r="AH913" s="218"/>
      <c r="AI913" s="218"/>
      <c r="AJ913" s="218"/>
      <c r="AK913" s="218"/>
      <c r="AL913" s="218"/>
      <c r="AM913" s="218"/>
      <c r="AN913" s="218"/>
      <c r="AO913" s="218"/>
      <c r="AP913" s="218"/>
      <c r="AQ913" s="218"/>
      <c r="AR913" s="218"/>
      <c r="AS913" s="218"/>
      <c r="AT913" s="218"/>
      <c r="AU913" s="218"/>
      <c r="AV913" s="218"/>
      <c r="AW913" s="218"/>
      <c r="AX913" s="218"/>
      <c r="AY913" s="218"/>
      <c r="AZ913" s="218"/>
      <c r="BA913" s="218"/>
      <c r="BB913" s="218"/>
      <c r="BC913" s="218"/>
      <c r="BD913" s="218"/>
      <c r="BE913" s="218"/>
      <c r="BF913" s="218"/>
      <c r="BG913" s="218"/>
      <c r="BH913" s="218"/>
      <c r="BI913" s="218"/>
      <c r="BJ913" s="218"/>
      <c r="BK913" s="218"/>
      <c r="BL913" s="218"/>
      <c r="BM913" s="218"/>
      <c r="BN913" s="218"/>
      <c r="BO913" s="218"/>
      <c r="BP913" s="218"/>
      <c r="BQ913" s="218"/>
      <c r="BR913" s="218"/>
      <c r="BS913" s="218"/>
      <c r="BT913" s="218"/>
      <c r="BU913" s="218"/>
      <c r="BV913" s="218"/>
      <c r="BW913" s="218"/>
      <c r="BX913" s="218"/>
      <c r="BY913" s="218"/>
      <c r="BZ913" s="218"/>
      <c r="CA913" s="218"/>
      <c r="CB913" s="218"/>
      <c r="CC913" s="218"/>
      <c r="CD913" s="218"/>
      <c r="CE913" s="218"/>
      <c r="CF913" s="218"/>
      <c r="CG913" s="218"/>
      <c r="CH913" s="218"/>
      <c r="CI913" s="218"/>
      <c r="CJ913" s="218"/>
      <c r="CK913" s="218"/>
      <c r="CL913" s="218"/>
      <c r="CM913" s="218"/>
      <c r="CN913" s="218"/>
      <c r="CO913" s="218"/>
      <c r="CP913" s="218"/>
      <c r="CQ913" s="218"/>
      <c r="CR913" s="218"/>
      <c r="CS913" s="218"/>
      <c r="CT913" s="218"/>
      <c r="CU913" s="218"/>
      <c r="CV913" s="218"/>
      <c r="CW913" s="218"/>
      <c r="CX913" s="218"/>
      <c r="CY913" s="218"/>
      <c r="CZ913" s="218"/>
      <c r="DA913" s="218"/>
      <c r="DB913" s="218"/>
      <c r="DC913" s="218"/>
      <c r="DD913" s="218"/>
      <c r="DE913" s="218"/>
      <c r="DF913" s="218"/>
      <c r="DG913" s="218"/>
      <c r="DH913" s="218"/>
      <c r="DI913" s="218"/>
      <c r="DJ913" s="218"/>
      <c r="DK913" s="218"/>
      <c r="DL913" s="218"/>
      <c r="DM913" s="218"/>
      <c r="DN913" s="218"/>
    </row>
    <row r="914" spans="1:8" s="559" customFormat="1" ht="16.5" customHeight="1">
      <c r="A914" s="758"/>
      <c r="B914" s="553"/>
      <c r="C914" s="554" t="s">
        <v>1224</v>
      </c>
      <c r="D914" s="546" t="s">
        <v>1219</v>
      </c>
      <c r="E914" s="555"/>
      <c r="F914" s="556"/>
      <c r="G914" s="557"/>
      <c r="H914" s="558">
        <f>SUM(H915:H923)</f>
        <v>0</v>
      </c>
    </row>
    <row r="915" spans="1:118" ht="52.5" customHeight="1">
      <c r="A915" s="754">
        <v>1</v>
      </c>
      <c r="B915" s="471" t="s">
        <v>1227</v>
      </c>
      <c r="C915" s="537" t="s">
        <v>1236</v>
      </c>
      <c r="D915" s="546" t="s">
        <v>1237</v>
      </c>
      <c r="E915" s="3" t="s">
        <v>45</v>
      </c>
      <c r="F915" s="216">
        <f>E917</f>
        <v>1</v>
      </c>
      <c r="G915" s="23"/>
      <c r="H915" s="205">
        <f>F915*G915</f>
        <v>0</v>
      </c>
      <c r="I915" s="218"/>
      <c r="J915" s="218"/>
      <c r="K915" s="218"/>
      <c r="L915" s="218"/>
      <c r="M915" s="218"/>
      <c r="N915" s="218"/>
      <c r="O915" s="218"/>
      <c r="P915" s="218"/>
      <c r="Q915" s="218"/>
      <c r="R915" s="218"/>
      <c r="S915" s="218"/>
      <c r="T915" s="218"/>
      <c r="U915" s="218"/>
      <c r="V915" s="218"/>
      <c r="W915" s="218"/>
      <c r="X915" s="218"/>
      <c r="Y915" s="218"/>
      <c r="Z915" s="218"/>
      <c r="AA915" s="218"/>
      <c r="AB915" s="218"/>
      <c r="AC915" s="218"/>
      <c r="AD915" s="218"/>
      <c r="AE915" s="218"/>
      <c r="AF915" s="218"/>
      <c r="AG915" s="218"/>
      <c r="AH915" s="218"/>
      <c r="AI915" s="218"/>
      <c r="AJ915" s="218"/>
      <c r="AK915" s="218"/>
      <c r="AL915" s="218"/>
      <c r="AM915" s="218"/>
      <c r="AN915" s="218"/>
      <c r="AO915" s="218"/>
      <c r="AP915" s="218"/>
      <c r="AQ915" s="218"/>
      <c r="AR915" s="218"/>
      <c r="AS915" s="218"/>
      <c r="AT915" s="218"/>
      <c r="AU915" s="218"/>
      <c r="AV915" s="218"/>
      <c r="AW915" s="218"/>
      <c r="AX915" s="218"/>
      <c r="AY915" s="218"/>
      <c r="AZ915" s="218"/>
      <c r="BA915" s="218"/>
      <c r="BB915" s="218"/>
      <c r="BC915" s="218"/>
      <c r="BD915" s="218"/>
      <c r="BE915" s="218"/>
      <c r="BF915" s="218"/>
      <c r="BG915" s="218"/>
      <c r="BH915" s="218"/>
      <c r="BI915" s="218"/>
      <c r="BJ915" s="218"/>
      <c r="BK915" s="218"/>
      <c r="BL915" s="218"/>
      <c r="BM915" s="218"/>
      <c r="BN915" s="218"/>
      <c r="BO915" s="218"/>
      <c r="BP915" s="218"/>
      <c r="BQ915" s="218"/>
      <c r="BR915" s="218"/>
      <c r="BS915" s="218"/>
      <c r="BT915" s="218"/>
      <c r="BU915" s="218"/>
      <c r="BV915" s="218"/>
      <c r="BW915" s="218"/>
      <c r="BX915" s="218"/>
      <c r="BY915" s="218"/>
      <c r="BZ915" s="218"/>
      <c r="CA915" s="218"/>
      <c r="CB915" s="218"/>
      <c r="CC915" s="218"/>
      <c r="CD915" s="218"/>
      <c r="CE915" s="218"/>
      <c r="CF915" s="218"/>
      <c r="CG915" s="218"/>
      <c r="CH915" s="218"/>
      <c r="CI915" s="218"/>
      <c r="CJ915" s="218"/>
      <c r="CK915" s="218"/>
      <c r="CL915" s="218"/>
      <c r="CM915" s="218"/>
      <c r="CN915" s="218"/>
      <c r="CO915" s="218"/>
      <c r="CP915" s="218"/>
      <c r="CQ915" s="218"/>
      <c r="CR915" s="218"/>
      <c r="CS915" s="218"/>
      <c r="CT915" s="218"/>
      <c r="CU915" s="218"/>
      <c r="CV915" s="218"/>
      <c r="CW915" s="218"/>
      <c r="CX915" s="218"/>
      <c r="CY915" s="218"/>
      <c r="CZ915" s="218"/>
      <c r="DA915" s="218"/>
      <c r="DB915" s="218"/>
      <c r="DC915" s="218"/>
      <c r="DD915" s="218"/>
      <c r="DE915" s="218"/>
      <c r="DF915" s="218"/>
      <c r="DG915" s="218"/>
      <c r="DH915" s="218"/>
      <c r="DI915" s="218"/>
      <c r="DJ915" s="218"/>
      <c r="DK915" s="218"/>
      <c r="DL915" s="218"/>
      <c r="DM915" s="218"/>
      <c r="DN915" s="218"/>
    </row>
    <row r="916" spans="1:118" s="204" customFormat="1" ht="12">
      <c r="A916" s="755"/>
      <c r="B916" s="560"/>
      <c r="C916" s="401">
        <v>1</v>
      </c>
      <c r="D916" s="402"/>
      <c r="E916" s="403">
        <f>C916</f>
        <v>1</v>
      </c>
      <c r="F916" s="538"/>
      <c r="G916" s="539"/>
      <c r="H916" s="203"/>
      <c r="I916" s="540"/>
      <c r="J916" s="540"/>
      <c r="K916" s="540"/>
      <c r="L916" s="540"/>
      <c r="M916" s="540"/>
      <c r="N916" s="540"/>
      <c r="O916" s="540"/>
      <c r="P916" s="540"/>
      <c r="Q916" s="540"/>
      <c r="R916" s="540"/>
      <c r="S916" s="540"/>
      <c r="T916" s="540"/>
      <c r="U916" s="540"/>
      <c r="V916" s="540"/>
      <c r="W916" s="540"/>
      <c r="X916" s="540"/>
      <c r="Y916" s="540"/>
      <c r="Z916" s="540"/>
      <c r="AA916" s="540"/>
      <c r="AB916" s="540"/>
      <c r="AC916" s="540"/>
      <c r="AD916" s="540"/>
      <c r="AE916" s="540"/>
      <c r="AF916" s="540"/>
      <c r="AG916" s="540"/>
      <c r="AH916" s="540"/>
      <c r="AI916" s="540"/>
      <c r="AJ916" s="540"/>
      <c r="AK916" s="540"/>
      <c r="AL916" s="540"/>
      <c r="AM916" s="540"/>
      <c r="AN916" s="540"/>
      <c r="AO916" s="540"/>
      <c r="AP916" s="540"/>
      <c r="AQ916" s="540"/>
      <c r="AR916" s="540"/>
      <c r="AS916" s="540"/>
      <c r="AT916" s="540"/>
      <c r="AU916" s="540"/>
      <c r="AV916" s="540"/>
      <c r="AW916" s="540"/>
      <c r="AX916" s="540"/>
      <c r="AY916" s="540"/>
      <c r="AZ916" s="540"/>
      <c r="BA916" s="540"/>
      <c r="BB916" s="540"/>
      <c r="BC916" s="540"/>
      <c r="BD916" s="540"/>
      <c r="BE916" s="540"/>
      <c r="BF916" s="540"/>
      <c r="BG916" s="540"/>
      <c r="BH916" s="540"/>
      <c r="BI916" s="540"/>
      <c r="BJ916" s="540"/>
      <c r="BK916" s="540"/>
      <c r="BL916" s="540"/>
      <c r="BM916" s="540"/>
      <c r="BN916" s="540"/>
      <c r="BO916" s="540"/>
      <c r="BP916" s="540"/>
      <c r="BQ916" s="540"/>
      <c r="BR916" s="540"/>
      <c r="BS916" s="540"/>
      <c r="BT916" s="540"/>
      <c r="BU916" s="540"/>
      <c r="BV916" s="540"/>
      <c r="BW916" s="540"/>
      <c r="BX916" s="540"/>
      <c r="BY916" s="540"/>
      <c r="BZ916" s="540"/>
      <c r="CA916" s="540"/>
      <c r="CB916" s="540"/>
      <c r="CC916" s="540"/>
      <c r="CD916" s="540"/>
      <c r="CE916" s="540"/>
      <c r="CF916" s="540"/>
      <c r="CG916" s="540"/>
      <c r="CH916" s="540"/>
      <c r="CI916" s="540"/>
      <c r="CJ916" s="540"/>
      <c r="CK916" s="540"/>
      <c r="CL916" s="540"/>
      <c r="CM916" s="540"/>
      <c r="CN916" s="540"/>
      <c r="CO916" s="540"/>
      <c r="CP916" s="540"/>
      <c r="CQ916" s="540"/>
      <c r="CR916" s="540"/>
      <c r="CS916" s="540"/>
      <c r="CT916" s="540"/>
      <c r="CU916" s="540"/>
      <c r="CV916" s="540"/>
      <c r="CW916" s="540"/>
      <c r="CX916" s="540"/>
      <c r="CY916" s="540"/>
      <c r="CZ916" s="540"/>
      <c r="DA916" s="540"/>
      <c r="DB916" s="540"/>
      <c r="DC916" s="540"/>
      <c r="DD916" s="540"/>
      <c r="DE916" s="540"/>
      <c r="DF916" s="540"/>
      <c r="DG916" s="540"/>
      <c r="DH916" s="540"/>
      <c r="DI916" s="540"/>
      <c r="DJ916" s="540"/>
      <c r="DK916" s="540"/>
      <c r="DL916" s="540"/>
      <c r="DM916" s="540"/>
      <c r="DN916" s="540"/>
    </row>
    <row r="917" spans="1:118" s="204" customFormat="1" ht="12">
      <c r="A917" s="755"/>
      <c r="B917" s="456"/>
      <c r="C917" s="405" t="s">
        <v>39</v>
      </c>
      <c r="D917" s="487"/>
      <c r="E917" s="407">
        <f>SUM(E916:E916)</f>
        <v>1</v>
      </c>
      <c r="F917" s="538"/>
      <c r="G917" s="539"/>
      <c r="H917" s="203"/>
      <c r="I917" s="540"/>
      <c r="J917" s="540"/>
      <c r="K917" s="540"/>
      <c r="L917" s="540"/>
      <c r="M917" s="540"/>
      <c r="N917" s="540"/>
      <c r="O917" s="540"/>
      <c r="P917" s="540"/>
      <c r="Q917" s="540"/>
      <c r="R917" s="540"/>
      <c r="S917" s="540"/>
      <c r="T917" s="540"/>
      <c r="U917" s="540"/>
      <c r="V917" s="540"/>
      <c r="W917" s="540"/>
      <c r="X917" s="540"/>
      <c r="Y917" s="540"/>
      <c r="Z917" s="540"/>
      <c r="AA917" s="540"/>
      <c r="AB917" s="540"/>
      <c r="AC917" s="540"/>
      <c r="AD917" s="540"/>
      <c r="AE917" s="540"/>
      <c r="AF917" s="540"/>
      <c r="AG917" s="540"/>
      <c r="AH917" s="540"/>
      <c r="AI917" s="540"/>
      <c r="AJ917" s="540"/>
      <c r="AK917" s="540"/>
      <c r="AL917" s="540"/>
      <c r="AM917" s="540"/>
      <c r="AN917" s="540"/>
      <c r="AO917" s="540"/>
      <c r="AP917" s="540"/>
      <c r="AQ917" s="540"/>
      <c r="AR917" s="540"/>
      <c r="AS917" s="540"/>
      <c r="AT917" s="540"/>
      <c r="AU917" s="540"/>
      <c r="AV917" s="540"/>
      <c r="AW917" s="540"/>
      <c r="AX917" s="540"/>
      <c r="AY917" s="540"/>
      <c r="AZ917" s="540"/>
      <c r="BA917" s="540"/>
      <c r="BB917" s="540"/>
      <c r="BC917" s="540"/>
      <c r="BD917" s="540"/>
      <c r="BE917" s="540"/>
      <c r="BF917" s="540"/>
      <c r="BG917" s="540"/>
      <c r="BH917" s="540"/>
      <c r="BI917" s="540"/>
      <c r="BJ917" s="540"/>
      <c r="BK917" s="540"/>
      <c r="BL917" s="540"/>
      <c r="BM917" s="540"/>
      <c r="BN917" s="540"/>
      <c r="BO917" s="540"/>
      <c r="BP917" s="540"/>
      <c r="BQ917" s="540"/>
      <c r="BR917" s="540"/>
      <c r="BS917" s="540"/>
      <c r="BT917" s="540"/>
      <c r="BU917" s="540"/>
      <c r="BV917" s="540"/>
      <c r="BW917" s="540"/>
      <c r="BX917" s="540"/>
      <c r="BY917" s="540"/>
      <c r="BZ917" s="540"/>
      <c r="CA917" s="540"/>
      <c r="CB917" s="540"/>
      <c r="CC917" s="540"/>
      <c r="CD917" s="540"/>
      <c r="CE917" s="540"/>
      <c r="CF917" s="540"/>
      <c r="CG917" s="540"/>
      <c r="CH917" s="540"/>
      <c r="CI917" s="540"/>
      <c r="CJ917" s="540"/>
      <c r="CK917" s="540"/>
      <c r="CL917" s="540"/>
      <c r="CM917" s="540"/>
      <c r="CN917" s="540"/>
      <c r="CO917" s="540"/>
      <c r="CP917" s="540"/>
      <c r="CQ917" s="540"/>
      <c r="CR917" s="540"/>
      <c r="CS917" s="540"/>
      <c r="CT917" s="540"/>
      <c r="CU917" s="540"/>
      <c r="CV917" s="540"/>
      <c r="CW917" s="540"/>
      <c r="CX917" s="540"/>
      <c r="CY917" s="540"/>
      <c r="CZ917" s="540"/>
      <c r="DA917" s="540"/>
      <c r="DB917" s="540"/>
      <c r="DC917" s="540"/>
      <c r="DD917" s="540"/>
      <c r="DE917" s="540"/>
      <c r="DF917" s="540"/>
      <c r="DG917" s="540"/>
      <c r="DH917" s="540"/>
      <c r="DI917" s="540"/>
      <c r="DJ917" s="540"/>
      <c r="DK917" s="540"/>
      <c r="DL917" s="540"/>
      <c r="DM917" s="540"/>
      <c r="DN917" s="540"/>
    </row>
    <row r="918" spans="1:118" s="204" customFormat="1" ht="12">
      <c r="A918" s="755"/>
      <c r="B918" s="456"/>
      <c r="C918" s="405"/>
      <c r="D918" s="487"/>
      <c r="E918" s="407"/>
      <c r="F918" s="538"/>
      <c r="G918" s="539"/>
      <c r="H918" s="203"/>
      <c r="I918" s="540"/>
      <c r="J918" s="540"/>
      <c r="K918" s="540"/>
      <c r="L918" s="540"/>
      <c r="M918" s="540"/>
      <c r="N918" s="540"/>
      <c r="O918" s="540"/>
      <c r="P918" s="540"/>
      <c r="Q918" s="540"/>
      <c r="R918" s="540"/>
      <c r="S918" s="540"/>
      <c r="T918" s="540"/>
      <c r="U918" s="540"/>
      <c r="V918" s="540"/>
      <c r="W918" s="540"/>
      <c r="X918" s="540"/>
      <c r="Y918" s="540"/>
      <c r="Z918" s="540"/>
      <c r="AA918" s="540"/>
      <c r="AB918" s="540"/>
      <c r="AC918" s="540"/>
      <c r="AD918" s="540"/>
      <c r="AE918" s="540"/>
      <c r="AF918" s="540"/>
      <c r="AG918" s="540"/>
      <c r="AH918" s="540"/>
      <c r="AI918" s="540"/>
      <c r="AJ918" s="540"/>
      <c r="AK918" s="540"/>
      <c r="AL918" s="540"/>
      <c r="AM918" s="540"/>
      <c r="AN918" s="540"/>
      <c r="AO918" s="540"/>
      <c r="AP918" s="540"/>
      <c r="AQ918" s="540"/>
      <c r="AR918" s="540"/>
      <c r="AS918" s="540"/>
      <c r="AT918" s="540"/>
      <c r="AU918" s="540"/>
      <c r="AV918" s="540"/>
      <c r="AW918" s="540"/>
      <c r="AX918" s="540"/>
      <c r="AY918" s="540"/>
      <c r="AZ918" s="540"/>
      <c r="BA918" s="540"/>
      <c r="BB918" s="540"/>
      <c r="BC918" s="540"/>
      <c r="BD918" s="540"/>
      <c r="BE918" s="540"/>
      <c r="BF918" s="540"/>
      <c r="BG918" s="540"/>
      <c r="BH918" s="540"/>
      <c r="BI918" s="540"/>
      <c r="BJ918" s="540"/>
      <c r="BK918" s="540"/>
      <c r="BL918" s="540"/>
      <c r="BM918" s="540"/>
      <c r="BN918" s="540"/>
      <c r="BO918" s="540"/>
      <c r="BP918" s="540"/>
      <c r="BQ918" s="540"/>
      <c r="BR918" s="540"/>
      <c r="BS918" s="540"/>
      <c r="BT918" s="540"/>
      <c r="BU918" s="540"/>
      <c r="BV918" s="540"/>
      <c r="BW918" s="540"/>
      <c r="BX918" s="540"/>
      <c r="BY918" s="540"/>
      <c r="BZ918" s="540"/>
      <c r="CA918" s="540"/>
      <c r="CB918" s="540"/>
      <c r="CC918" s="540"/>
      <c r="CD918" s="540"/>
      <c r="CE918" s="540"/>
      <c r="CF918" s="540"/>
      <c r="CG918" s="540"/>
      <c r="CH918" s="540"/>
      <c r="CI918" s="540"/>
      <c r="CJ918" s="540"/>
      <c r="CK918" s="540"/>
      <c r="CL918" s="540"/>
      <c r="CM918" s="540"/>
      <c r="CN918" s="540"/>
      <c r="CO918" s="540"/>
      <c r="CP918" s="540"/>
      <c r="CQ918" s="540"/>
      <c r="CR918" s="540"/>
      <c r="CS918" s="540"/>
      <c r="CT918" s="540"/>
      <c r="CU918" s="540"/>
      <c r="CV918" s="540"/>
      <c r="CW918" s="540"/>
      <c r="CX918" s="540"/>
      <c r="CY918" s="540"/>
      <c r="CZ918" s="540"/>
      <c r="DA918" s="540"/>
      <c r="DB918" s="540"/>
      <c r="DC918" s="540"/>
      <c r="DD918" s="540"/>
      <c r="DE918" s="540"/>
      <c r="DF918" s="540"/>
      <c r="DG918" s="540"/>
      <c r="DH918" s="540"/>
      <c r="DI918" s="540"/>
      <c r="DJ918" s="540"/>
      <c r="DK918" s="540"/>
      <c r="DL918" s="540"/>
      <c r="DM918" s="540"/>
      <c r="DN918" s="540"/>
    </row>
    <row r="919" spans="1:118" ht="51" customHeight="1">
      <c r="A919" s="754">
        <v>2</v>
      </c>
      <c r="B919" s="471" t="s">
        <v>1227</v>
      </c>
      <c r="C919" s="537" t="s">
        <v>1238</v>
      </c>
      <c r="D919" s="546" t="s">
        <v>1239</v>
      </c>
      <c r="E919" s="3" t="s">
        <v>45</v>
      </c>
      <c r="F919" s="216">
        <f>E921</f>
        <v>1</v>
      </c>
      <c r="G919" s="23"/>
      <c r="H919" s="205">
        <f>F919*G919</f>
        <v>0</v>
      </c>
      <c r="I919" s="218"/>
      <c r="J919" s="218"/>
      <c r="K919" s="218"/>
      <c r="L919" s="218"/>
      <c r="M919" s="218"/>
      <c r="N919" s="218"/>
      <c r="O919" s="218"/>
      <c r="P919" s="218"/>
      <c r="Q919" s="218"/>
      <c r="R919" s="218"/>
      <c r="S919" s="218"/>
      <c r="T919" s="218"/>
      <c r="U919" s="218"/>
      <c r="V919" s="218"/>
      <c r="W919" s="218"/>
      <c r="X919" s="218"/>
      <c r="Y919" s="218"/>
      <c r="Z919" s="218"/>
      <c r="AA919" s="218"/>
      <c r="AB919" s="218"/>
      <c r="AC919" s="218"/>
      <c r="AD919" s="218"/>
      <c r="AE919" s="218"/>
      <c r="AF919" s="218"/>
      <c r="AG919" s="218"/>
      <c r="AH919" s="218"/>
      <c r="AI919" s="218"/>
      <c r="AJ919" s="218"/>
      <c r="AK919" s="218"/>
      <c r="AL919" s="218"/>
      <c r="AM919" s="218"/>
      <c r="AN919" s="218"/>
      <c r="AO919" s="218"/>
      <c r="AP919" s="218"/>
      <c r="AQ919" s="218"/>
      <c r="AR919" s="218"/>
      <c r="AS919" s="218"/>
      <c r="AT919" s="218"/>
      <c r="AU919" s="218"/>
      <c r="AV919" s="218"/>
      <c r="AW919" s="218"/>
      <c r="AX919" s="218"/>
      <c r="AY919" s="218"/>
      <c r="AZ919" s="218"/>
      <c r="BA919" s="218"/>
      <c r="BB919" s="218"/>
      <c r="BC919" s="218"/>
      <c r="BD919" s="218"/>
      <c r="BE919" s="218"/>
      <c r="BF919" s="218"/>
      <c r="BG919" s="218"/>
      <c r="BH919" s="218"/>
      <c r="BI919" s="218"/>
      <c r="BJ919" s="218"/>
      <c r="BK919" s="218"/>
      <c r="BL919" s="218"/>
      <c r="BM919" s="218"/>
      <c r="BN919" s="218"/>
      <c r="BO919" s="218"/>
      <c r="BP919" s="218"/>
      <c r="BQ919" s="218"/>
      <c r="BR919" s="218"/>
      <c r="BS919" s="218"/>
      <c r="BT919" s="218"/>
      <c r="BU919" s="218"/>
      <c r="BV919" s="218"/>
      <c r="BW919" s="218"/>
      <c r="BX919" s="218"/>
      <c r="BY919" s="218"/>
      <c r="BZ919" s="218"/>
      <c r="CA919" s="218"/>
      <c r="CB919" s="218"/>
      <c r="CC919" s="218"/>
      <c r="CD919" s="218"/>
      <c r="CE919" s="218"/>
      <c r="CF919" s="218"/>
      <c r="CG919" s="218"/>
      <c r="CH919" s="218"/>
      <c r="CI919" s="218"/>
      <c r="CJ919" s="218"/>
      <c r="CK919" s="218"/>
      <c r="CL919" s="218"/>
      <c r="CM919" s="218"/>
      <c r="CN919" s="218"/>
      <c r="CO919" s="218"/>
      <c r="CP919" s="218"/>
      <c r="CQ919" s="218"/>
      <c r="CR919" s="218"/>
      <c r="CS919" s="218"/>
      <c r="CT919" s="218"/>
      <c r="CU919" s="218"/>
      <c r="CV919" s="218"/>
      <c r="CW919" s="218"/>
      <c r="CX919" s="218"/>
      <c r="CY919" s="218"/>
      <c r="CZ919" s="218"/>
      <c r="DA919" s="218"/>
      <c r="DB919" s="218"/>
      <c r="DC919" s="218"/>
      <c r="DD919" s="218"/>
      <c r="DE919" s="218"/>
      <c r="DF919" s="218"/>
      <c r="DG919" s="218"/>
      <c r="DH919" s="218"/>
      <c r="DI919" s="218"/>
      <c r="DJ919" s="218"/>
      <c r="DK919" s="218"/>
      <c r="DL919" s="218"/>
      <c r="DM919" s="218"/>
      <c r="DN919" s="218"/>
    </row>
    <row r="920" spans="1:118" s="204" customFormat="1" ht="12">
      <c r="A920" s="755"/>
      <c r="B920" s="560"/>
      <c r="C920" s="401">
        <v>1</v>
      </c>
      <c r="D920" s="402"/>
      <c r="E920" s="403">
        <f>C920</f>
        <v>1</v>
      </c>
      <c r="F920" s="538"/>
      <c r="G920" s="539"/>
      <c r="H920" s="203"/>
      <c r="I920" s="540"/>
      <c r="J920" s="540"/>
      <c r="K920" s="540"/>
      <c r="L920" s="540"/>
      <c r="M920" s="540"/>
      <c r="N920" s="540"/>
      <c r="O920" s="540"/>
      <c r="P920" s="540"/>
      <c r="Q920" s="540"/>
      <c r="R920" s="540"/>
      <c r="S920" s="540"/>
      <c r="T920" s="540"/>
      <c r="U920" s="540"/>
      <c r="V920" s="540"/>
      <c r="W920" s="540"/>
      <c r="X920" s="540"/>
      <c r="Y920" s="540"/>
      <c r="Z920" s="540"/>
      <c r="AA920" s="540"/>
      <c r="AB920" s="540"/>
      <c r="AC920" s="540"/>
      <c r="AD920" s="540"/>
      <c r="AE920" s="540"/>
      <c r="AF920" s="540"/>
      <c r="AG920" s="540"/>
      <c r="AH920" s="540"/>
      <c r="AI920" s="540"/>
      <c r="AJ920" s="540"/>
      <c r="AK920" s="540"/>
      <c r="AL920" s="540"/>
      <c r="AM920" s="540"/>
      <c r="AN920" s="540"/>
      <c r="AO920" s="540"/>
      <c r="AP920" s="540"/>
      <c r="AQ920" s="540"/>
      <c r="AR920" s="540"/>
      <c r="AS920" s="540"/>
      <c r="AT920" s="540"/>
      <c r="AU920" s="540"/>
      <c r="AV920" s="540"/>
      <c r="AW920" s="540"/>
      <c r="AX920" s="540"/>
      <c r="AY920" s="540"/>
      <c r="AZ920" s="540"/>
      <c r="BA920" s="540"/>
      <c r="BB920" s="540"/>
      <c r="BC920" s="540"/>
      <c r="BD920" s="540"/>
      <c r="BE920" s="540"/>
      <c r="BF920" s="540"/>
      <c r="BG920" s="540"/>
      <c r="BH920" s="540"/>
      <c r="BI920" s="540"/>
      <c r="BJ920" s="540"/>
      <c r="BK920" s="540"/>
      <c r="BL920" s="540"/>
      <c r="BM920" s="540"/>
      <c r="BN920" s="540"/>
      <c r="BO920" s="540"/>
      <c r="BP920" s="540"/>
      <c r="BQ920" s="540"/>
      <c r="BR920" s="540"/>
      <c r="BS920" s="540"/>
      <c r="BT920" s="540"/>
      <c r="BU920" s="540"/>
      <c r="BV920" s="540"/>
      <c r="BW920" s="540"/>
      <c r="BX920" s="540"/>
      <c r="BY920" s="540"/>
      <c r="BZ920" s="540"/>
      <c r="CA920" s="540"/>
      <c r="CB920" s="540"/>
      <c r="CC920" s="540"/>
      <c r="CD920" s="540"/>
      <c r="CE920" s="540"/>
      <c r="CF920" s="540"/>
      <c r="CG920" s="540"/>
      <c r="CH920" s="540"/>
      <c r="CI920" s="540"/>
      <c r="CJ920" s="540"/>
      <c r="CK920" s="540"/>
      <c r="CL920" s="540"/>
      <c r="CM920" s="540"/>
      <c r="CN920" s="540"/>
      <c r="CO920" s="540"/>
      <c r="CP920" s="540"/>
      <c r="CQ920" s="540"/>
      <c r="CR920" s="540"/>
      <c r="CS920" s="540"/>
      <c r="CT920" s="540"/>
      <c r="CU920" s="540"/>
      <c r="CV920" s="540"/>
      <c r="CW920" s="540"/>
      <c r="CX920" s="540"/>
      <c r="CY920" s="540"/>
      <c r="CZ920" s="540"/>
      <c r="DA920" s="540"/>
      <c r="DB920" s="540"/>
      <c r="DC920" s="540"/>
      <c r="DD920" s="540"/>
      <c r="DE920" s="540"/>
      <c r="DF920" s="540"/>
      <c r="DG920" s="540"/>
      <c r="DH920" s="540"/>
      <c r="DI920" s="540"/>
      <c r="DJ920" s="540"/>
      <c r="DK920" s="540"/>
      <c r="DL920" s="540"/>
      <c r="DM920" s="540"/>
      <c r="DN920" s="540"/>
    </row>
    <row r="921" spans="1:118" s="204" customFormat="1" ht="12">
      <c r="A921" s="755"/>
      <c r="B921" s="456"/>
      <c r="C921" s="405" t="s">
        <v>39</v>
      </c>
      <c r="D921" s="487"/>
      <c r="E921" s="407">
        <f>SUM(E920:E920)</f>
        <v>1</v>
      </c>
      <c r="F921" s="538"/>
      <c r="G921" s="539"/>
      <c r="H921" s="203"/>
      <c r="I921" s="540"/>
      <c r="J921" s="540"/>
      <c r="K921" s="540"/>
      <c r="L921" s="540"/>
      <c r="M921" s="540"/>
      <c r="N921" s="540"/>
      <c r="O921" s="540"/>
      <c r="P921" s="540"/>
      <c r="Q921" s="540"/>
      <c r="R921" s="540"/>
      <c r="S921" s="540"/>
      <c r="T921" s="540"/>
      <c r="U921" s="540"/>
      <c r="V921" s="540"/>
      <c r="W921" s="540"/>
      <c r="X921" s="540"/>
      <c r="Y921" s="540"/>
      <c r="Z921" s="540"/>
      <c r="AA921" s="540"/>
      <c r="AB921" s="540"/>
      <c r="AC921" s="540"/>
      <c r="AD921" s="540"/>
      <c r="AE921" s="540"/>
      <c r="AF921" s="540"/>
      <c r="AG921" s="540"/>
      <c r="AH921" s="540"/>
      <c r="AI921" s="540"/>
      <c r="AJ921" s="540"/>
      <c r="AK921" s="540"/>
      <c r="AL921" s="540"/>
      <c r="AM921" s="540"/>
      <c r="AN921" s="540"/>
      <c r="AO921" s="540"/>
      <c r="AP921" s="540"/>
      <c r="AQ921" s="540"/>
      <c r="AR921" s="540"/>
      <c r="AS921" s="540"/>
      <c r="AT921" s="540"/>
      <c r="AU921" s="540"/>
      <c r="AV921" s="540"/>
      <c r="AW921" s="540"/>
      <c r="AX921" s="540"/>
      <c r="AY921" s="540"/>
      <c r="AZ921" s="540"/>
      <c r="BA921" s="540"/>
      <c r="BB921" s="540"/>
      <c r="BC921" s="540"/>
      <c r="BD921" s="540"/>
      <c r="BE921" s="540"/>
      <c r="BF921" s="540"/>
      <c r="BG921" s="540"/>
      <c r="BH921" s="540"/>
      <c r="BI921" s="540"/>
      <c r="BJ921" s="540"/>
      <c r="BK921" s="540"/>
      <c r="BL921" s="540"/>
      <c r="BM921" s="540"/>
      <c r="BN921" s="540"/>
      <c r="BO921" s="540"/>
      <c r="BP921" s="540"/>
      <c r="BQ921" s="540"/>
      <c r="BR921" s="540"/>
      <c r="BS921" s="540"/>
      <c r="BT921" s="540"/>
      <c r="BU921" s="540"/>
      <c r="BV921" s="540"/>
      <c r="BW921" s="540"/>
      <c r="BX921" s="540"/>
      <c r="BY921" s="540"/>
      <c r="BZ921" s="540"/>
      <c r="CA921" s="540"/>
      <c r="CB921" s="540"/>
      <c r="CC921" s="540"/>
      <c r="CD921" s="540"/>
      <c r="CE921" s="540"/>
      <c r="CF921" s="540"/>
      <c r="CG921" s="540"/>
      <c r="CH921" s="540"/>
      <c r="CI921" s="540"/>
      <c r="CJ921" s="540"/>
      <c r="CK921" s="540"/>
      <c r="CL921" s="540"/>
      <c r="CM921" s="540"/>
      <c r="CN921" s="540"/>
      <c r="CO921" s="540"/>
      <c r="CP921" s="540"/>
      <c r="CQ921" s="540"/>
      <c r="CR921" s="540"/>
      <c r="CS921" s="540"/>
      <c r="CT921" s="540"/>
      <c r="CU921" s="540"/>
      <c r="CV921" s="540"/>
      <c r="CW921" s="540"/>
      <c r="CX921" s="540"/>
      <c r="CY921" s="540"/>
      <c r="CZ921" s="540"/>
      <c r="DA921" s="540"/>
      <c r="DB921" s="540"/>
      <c r="DC921" s="540"/>
      <c r="DD921" s="540"/>
      <c r="DE921" s="540"/>
      <c r="DF921" s="540"/>
      <c r="DG921" s="540"/>
      <c r="DH921" s="540"/>
      <c r="DI921" s="540"/>
      <c r="DJ921" s="540"/>
      <c r="DK921" s="540"/>
      <c r="DL921" s="540"/>
      <c r="DM921" s="540"/>
      <c r="DN921" s="540"/>
    </row>
    <row r="922" spans="1:8" s="567" customFormat="1" ht="12.75" customHeight="1">
      <c r="A922" s="759"/>
      <c r="B922" s="560"/>
      <c r="C922" s="561"/>
      <c r="D922" s="562"/>
      <c r="E922" s="563"/>
      <c r="F922" s="564"/>
      <c r="G922" s="565"/>
      <c r="H922" s="566"/>
    </row>
    <row r="923" spans="1:8" s="559" customFormat="1" ht="12.75">
      <c r="A923" s="758">
        <v>3</v>
      </c>
      <c r="B923" s="421" t="s">
        <v>1</v>
      </c>
      <c r="C923" s="422" t="s">
        <v>1016</v>
      </c>
      <c r="D923" s="568"/>
      <c r="E923" s="569" t="s">
        <v>50</v>
      </c>
      <c r="F923" s="556">
        <f>SUM(H915:H922)/100</f>
        <v>0</v>
      </c>
      <c r="G923" s="23"/>
      <c r="H923" s="570">
        <f>F923*G923</f>
        <v>0</v>
      </c>
    </row>
    <row r="924" spans="1:8" s="567" customFormat="1" ht="12">
      <c r="A924" s="759"/>
      <c r="B924" s="571"/>
      <c r="C924" s="572"/>
      <c r="D924" s="573"/>
      <c r="E924" s="574"/>
      <c r="F924" s="564"/>
      <c r="G924" s="565"/>
      <c r="H924" s="566"/>
    </row>
    <row r="925" spans="1:8" s="559" customFormat="1" ht="12.75">
      <c r="A925" s="758"/>
      <c r="B925" s="553"/>
      <c r="C925" s="554" t="s">
        <v>1225</v>
      </c>
      <c r="D925" s="546" t="s">
        <v>1219</v>
      </c>
      <c r="E925" s="555"/>
      <c r="F925" s="556"/>
      <c r="G925" s="557"/>
      <c r="H925" s="558">
        <f>SUM(H926:H934)</f>
        <v>0</v>
      </c>
    </row>
    <row r="926" spans="1:118" ht="60.75" customHeight="1">
      <c r="A926" s="754">
        <v>1</v>
      </c>
      <c r="B926" s="471" t="s">
        <v>1226</v>
      </c>
      <c r="C926" s="537" t="s">
        <v>1228</v>
      </c>
      <c r="D926" s="546" t="s">
        <v>1234</v>
      </c>
      <c r="E926" s="3" t="s">
        <v>45</v>
      </c>
      <c r="F926" s="216">
        <f>E928</f>
        <v>1</v>
      </c>
      <c r="G926" s="23"/>
      <c r="H926" s="205">
        <f>F926*G926</f>
        <v>0</v>
      </c>
      <c r="I926" s="218"/>
      <c r="J926" s="218"/>
      <c r="K926" s="218"/>
      <c r="L926" s="218"/>
      <c r="M926" s="218"/>
      <c r="N926" s="218"/>
      <c r="O926" s="218"/>
      <c r="P926" s="218"/>
      <c r="Q926" s="218"/>
      <c r="R926" s="218"/>
      <c r="S926" s="218"/>
      <c r="T926" s="218"/>
      <c r="U926" s="218"/>
      <c r="V926" s="218"/>
      <c r="W926" s="218"/>
      <c r="X926" s="218"/>
      <c r="Y926" s="218"/>
      <c r="Z926" s="218"/>
      <c r="AA926" s="218"/>
      <c r="AB926" s="218"/>
      <c r="AC926" s="218"/>
      <c r="AD926" s="218"/>
      <c r="AE926" s="218"/>
      <c r="AF926" s="218"/>
      <c r="AG926" s="218"/>
      <c r="AH926" s="218"/>
      <c r="AI926" s="218"/>
      <c r="AJ926" s="218"/>
      <c r="AK926" s="218"/>
      <c r="AL926" s="218"/>
      <c r="AM926" s="218"/>
      <c r="AN926" s="218"/>
      <c r="AO926" s="218"/>
      <c r="AP926" s="218"/>
      <c r="AQ926" s="218"/>
      <c r="AR926" s="218"/>
      <c r="AS926" s="218"/>
      <c r="AT926" s="218"/>
      <c r="AU926" s="218"/>
      <c r="AV926" s="218"/>
      <c r="AW926" s="218"/>
      <c r="AX926" s="218"/>
      <c r="AY926" s="218"/>
      <c r="AZ926" s="218"/>
      <c r="BA926" s="218"/>
      <c r="BB926" s="218"/>
      <c r="BC926" s="218"/>
      <c r="BD926" s="218"/>
      <c r="BE926" s="218"/>
      <c r="BF926" s="218"/>
      <c r="BG926" s="218"/>
      <c r="BH926" s="218"/>
      <c r="BI926" s="218"/>
      <c r="BJ926" s="218"/>
      <c r="BK926" s="218"/>
      <c r="BL926" s="218"/>
      <c r="BM926" s="218"/>
      <c r="BN926" s="218"/>
      <c r="BO926" s="218"/>
      <c r="BP926" s="218"/>
      <c r="BQ926" s="218"/>
      <c r="BR926" s="218"/>
      <c r="BS926" s="218"/>
      <c r="BT926" s="218"/>
      <c r="BU926" s="218"/>
      <c r="BV926" s="218"/>
      <c r="BW926" s="218"/>
      <c r="BX926" s="218"/>
      <c r="BY926" s="218"/>
      <c r="BZ926" s="218"/>
      <c r="CA926" s="218"/>
      <c r="CB926" s="218"/>
      <c r="CC926" s="218"/>
      <c r="CD926" s="218"/>
      <c r="CE926" s="218"/>
      <c r="CF926" s="218"/>
      <c r="CG926" s="218"/>
      <c r="CH926" s="218"/>
      <c r="CI926" s="218"/>
      <c r="CJ926" s="218"/>
      <c r="CK926" s="218"/>
      <c r="CL926" s="218"/>
      <c r="CM926" s="218"/>
      <c r="CN926" s="218"/>
      <c r="CO926" s="218"/>
      <c r="CP926" s="218"/>
      <c r="CQ926" s="218"/>
      <c r="CR926" s="218"/>
      <c r="CS926" s="218"/>
      <c r="CT926" s="218"/>
      <c r="CU926" s="218"/>
      <c r="CV926" s="218"/>
      <c r="CW926" s="218"/>
      <c r="CX926" s="218"/>
      <c r="CY926" s="218"/>
      <c r="CZ926" s="218"/>
      <c r="DA926" s="218"/>
      <c r="DB926" s="218"/>
      <c r="DC926" s="218"/>
      <c r="DD926" s="218"/>
      <c r="DE926" s="218"/>
      <c r="DF926" s="218"/>
      <c r="DG926" s="218"/>
      <c r="DH926" s="218"/>
      <c r="DI926" s="218"/>
      <c r="DJ926" s="218"/>
      <c r="DK926" s="218"/>
      <c r="DL926" s="218"/>
      <c r="DM926" s="218"/>
      <c r="DN926" s="218"/>
    </row>
    <row r="927" spans="1:118" s="204" customFormat="1" ht="12">
      <c r="A927" s="755"/>
      <c r="B927" s="560"/>
      <c r="C927" s="401">
        <v>1</v>
      </c>
      <c r="D927" s="402"/>
      <c r="E927" s="403">
        <f>C927</f>
        <v>1</v>
      </c>
      <c r="F927" s="538"/>
      <c r="G927" s="539"/>
      <c r="H927" s="203"/>
      <c r="I927" s="540"/>
      <c r="J927" s="540"/>
      <c r="K927" s="540"/>
      <c r="L927" s="540"/>
      <c r="M927" s="540"/>
      <c r="N927" s="540"/>
      <c r="O927" s="540"/>
      <c r="P927" s="540"/>
      <c r="Q927" s="540"/>
      <c r="R927" s="540"/>
      <c r="S927" s="540"/>
      <c r="T927" s="540"/>
      <c r="U927" s="540"/>
      <c r="V927" s="540"/>
      <c r="W927" s="540"/>
      <c r="X927" s="540"/>
      <c r="Y927" s="540"/>
      <c r="Z927" s="540"/>
      <c r="AA927" s="540"/>
      <c r="AB927" s="540"/>
      <c r="AC927" s="540"/>
      <c r="AD927" s="540"/>
      <c r="AE927" s="540"/>
      <c r="AF927" s="540"/>
      <c r="AG927" s="540"/>
      <c r="AH927" s="540"/>
      <c r="AI927" s="540"/>
      <c r="AJ927" s="540"/>
      <c r="AK927" s="540"/>
      <c r="AL927" s="540"/>
      <c r="AM927" s="540"/>
      <c r="AN927" s="540"/>
      <c r="AO927" s="540"/>
      <c r="AP927" s="540"/>
      <c r="AQ927" s="540"/>
      <c r="AR927" s="540"/>
      <c r="AS927" s="540"/>
      <c r="AT927" s="540"/>
      <c r="AU927" s="540"/>
      <c r="AV927" s="540"/>
      <c r="AW927" s="540"/>
      <c r="AX927" s="540"/>
      <c r="AY927" s="540"/>
      <c r="AZ927" s="540"/>
      <c r="BA927" s="540"/>
      <c r="BB927" s="540"/>
      <c r="BC927" s="540"/>
      <c r="BD927" s="540"/>
      <c r="BE927" s="540"/>
      <c r="BF927" s="540"/>
      <c r="BG927" s="540"/>
      <c r="BH927" s="540"/>
      <c r="BI927" s="540"/>
      <c r="BJ927" s="540"/>
      <c r="BK927" s="540"/>
      <c r="BL927" s="540"/>
      <c r="BM927" s="540"/>
      <c r="BN927" s="540"/>
      <c r="BO927" s="540"/>
      <c r="BP927" s="540"/>
      <c r="BQ927" s="540"/>
      <c r="BR927" s="540"/>
      <c r="BS927" s="540"/>
      <c r="BT927" s="540"/>
      <c r="BU927" s="540"/>
      <c r="BV927" s="540"/>
      <c r="BW927" s="540"/>
      <c r="BX927" s="540"/>
      <c r="BY927" s="540"/>
      <c r="BZ927" s="540"/>
      <c r="CA927" s="540"/>
      <c r="CB927" s="540"/>
      <c r="CC927" s="540"/>
      <c r="CD927" s="540"/>
      <c r="CE927" s="540"/>
      <c r="CF927" s="540"/>
      <c r="CG927" s="540"/>
      <c r="CH927" s="540"/>
      <c r="CI927" s="540"/>
      <c r="CJ927" s="540"/>
      <c r="CK927" s="540"/>
      <c r="CL927" s="540"/>
      <c r="CM927" s="540"/>
      <c r="CN927" s="540"/>
      <c r="CO927" s="540"/>
      <c r="CP927" s="540"/>
      <c r="CQ927" s="540"/>
      <c r="CR927" s="540"/>
      <c r="CS927" s="540"/>
      <c r="CT927" s="540"/>
      <c r="CU927" s="540"/>
      <c r="CV927" s="540"/>
      <c r="CW927" s="540"/>
      <c r="CX927" s="540"/>
      <c r="CY927" s="540"/>
      <c r="CZ927" s="540"/>
      <c r="DA927" s="540"/>
      <c r="DB927" s="540"/>
      <c r="DC927" s="540"/>
      <c r="DD927" s="540"/>
      <c r="DE927" s="540"/>
      <c r="DF927" s="540"/>
      <c r="DG927" s="540"/>
      <c r="DH927" s="540"/>
      <c r="DI927" s="540"/>
      <c r="DJ927" s="540"/>
      <c r="DK927" s="540"/>
      <c r="DL927" s="540"/>
      <c r="DM927" s="540"/>
      <c r="DN927" s="540"/>
    </row>
    <row r="928" spans="1:118" s="204" customFormat="1" ht="12">
      <c r="A928" s="755"/>
      <c r="B928" s="456"/>
      <c r="C928" s="405" t="s">
        <v>39</v>
      </c>
      <c r="D928" s="487"/>
      <c r="E928" s="407">
        <f>SUM(E927:E927)</f>
        <v>1</v>
      </c>
      <c r="F928" s="538"/>
      <c r="G928" s="539"/>
      <c r="H928" s="203"/>
      <c r="I928" s="540"/>
      <c r="J928" s="540"/>
      <c r="K928" s="540"/>
      <c r="L928" s="540"/>
      <c r="M928" s="540"/>
      <c r="N928" s="540"/>
      <c r="O928" s="540"/>
      <c r="P928" s="540"/>
      <c r="Q928" s="540"/>
      <c r="R928" s="540"/>
      <c r="S928" s="540"/>
      <c r="T928" s="540"/>
      <c r="U928" s="540"/>
      <c r="V928" s="540"/>
      <c r="W928" s="540"/>
      <c r="X928" s="540"/>
      <c r="Y928" s="540"/>
      <c r="Z928" s="540"/>
      <c r="AA928" s="540"/>
      <c r="AB928" s="540"/>
      <c r="AC928" s="540"/>
      <c r="AD928" s="540"/>
      <c r="AE928" s="540"/>
      <c r="AF928" s="540"/>
      <c r="AG928" s="540"/>
      <c r="AH928" s="540"/>
      <c r="AI928" s="540"/>
      <c r="AJ928" s="540"/>
      <c r="AK928" s="540"/>
      <c r="AL928" s="540"/>
      <c r="AM928" s="540"/>
      <c r="AN928" s="540"/>
      <c r="AO928" s="540"/>
      <c r="AP928" s="540"/>
      <c r="AQ928" s="540"/>
      <c r="AR928" s="540"/>
      <c r="AS928" s="540"/>
      <c r="AT928" s="540"/>
      <c r="AU928" s="540"/>
      <c r="AV928" s="540"/>
      <c r="AW928" s="540"/>
      <c r="AX928" s="540"/>
      <c r="AY928" s="540"/>
      <c r="AZ928" s="540"/>
      <c r="BA928" s="540"/>
      <c r="BB928" s="540"/>
      <c r="BC928" s="540"/>
      <c r="BD928" s="540"/>
      <c r="BE928" s="540"/>
      <c r="BF928" s="540"/>
      <c r="BG928" s="540"/>
      <c r="BH928" s="540"/>
      <c r="BI928" s="540"/>
      <c r="BJ928" s="540"/>
      <c r="BK928" s="540"/>
      <c r="BL928" s="540"/>
      <c r="BM928" s="540"/>
      <c r="BN928" s="540"/>
      <c r="BO928" s="540"/>
      <c r="BP928" s="540"/>
      <c r="BQ928" s="540"/>
      <c r="BR928" s="540"/>
      <c r="BS928" s="540"/>
      <c r="BT928" s="540"/>
      <c r="BU928" s="540"/>
      <c r="BV928" s="540"/>
      <c r="BW928" s="540"/>
      <c r="BX928" s="540"/>
      <c r="BY928" s="540"/>
      <c r="BZ928" s="540"/>
      <c r="CA928" s="540"/>
      <c r="CB928" s="540"/>
      <c r="CC928" s="540"/>
      <c r="CD928" s="540"/>
      <c r="CE928" s="540"/>
      <c r="CF928" s="540"/>
      <c r="CG928" s="540"/>
      <c r="CH928" s="540"/>
      <c r="CI928" s="540"/>
      <c r="CJ928" s="540"/>
      <c r="CK928" s="540"/>
      <c r="CL928" s="540"/>
      <c r="CM928" s="540"/>
      <c r="CN928" s="540"/>
      <c r="CO928" s="540"/>
      <c r="CP928" s="540"/>
      <c r="CQ928" s="540"/>
      <c r="CR928" s="540"/>
      <c r="CS928" s="540"/>
      <c r="CT928" s="540"/>
      <c r="CU928" s="540"/>
      <c r="CV928" s="540"/>
      <c r="CW928" s="540"/>
      <c r="CX928" s="540"/>
      <c r="CY928" s="540"/>
      <c r="CZ928" s="540"/>
      <c r="DA928" s="540"/>
      <c r="DB928" s="540"/>
      <c r="DC928" s="540"/>
      <c r="DD928" s="540"/>
      <c r="DE928" s="540"/>
      <c r="DF928" s="540"/>
      <c r="DG928" s="540"/>
      <c r="DH928" s="540"/>
      <c r="DI928" s="540"/>
      <c r="DJ928" s="540"/>
      <c r="DK928" s="540"/>
      <c r="DL928" s="540"/>
      <c r="DM928" s="540"/>
      <c r="DN928" s="540"/>
    </row>
    <row r="929" spans="1:8" s="559" customFormat="1" ht="12.75" customHeight="1">
      <c r="A929" s="758"/>
      <c r="B929" s="575"/>
      <c r="C929" s="576"/>
      <c r="D929" s="577"/>
      <c r="E929" s="578"/>
      <c r="F929" s="556"/>
      <c r="G929" s="579"/>
      <c r="H929" s="570"/>
    </row>
    <row r="930" spans="1:118" ht="52.5" customHeight="1">
      <c r="A930" s="754">
        <v>2</v>
      </c>
      <c r="B930" s="471" t="s">
        <v>1226</v>
      </c>
      <c r="C930" s="537" t="s">
        <v>1229</v>
      </c>
      <c r="D930" s="546" t="s">
        <v>1235</v>
      </c>
      <c r="E930" s="3" t="s">
        <v>45</v>
      </c>
      <c r="F930" s="216">
        <f>E932</f>
        <v>1</v>
      </c>
      <c r="G930" s="23"/>
      <c r="H930" s="205">
        <f>F930*G930</f>
        <v>0</v>
      </c>
      <c r="I930" s="218"/>
      <c r="J930" s="218"/>
      <c r="K930" s="218"/>
      <c r="L930" s="218"/>
      <c r="M930" s="218"/>
      <c r="N930" s="218"/>
      <c r="O930" s="218"/>
      <c r="P930" s="218"/>
      <c r="Q930" s="218"/>
      <c r="R930" s="218"/>
      <c r="S930" s="218"/>
      <c r="T930" s="218"/>
      <c r="U930" s="218"/>
      <c r="V930" s="218"/>
      <c r="W930" s="218"/>
      <c r="X930" s="218"/>
      <c r="Y930" s="218"/>
      <c r="Z930" s="218"/>
      <c r="AA930" s="218"/>
      <c r="AB930" s="218"/>
      <c r="AC930" s="218"/>
      <c r="AD930" s="218"/>
      <c r="AE930" s="218"/>
      <c r="AF930" s="218"/>
      <c r="AG930" s="218"/>
      <c r="AH930" s="218"/>
      <c r="AI930" s="218"/>
      <c r="AJ930" s="218"/>
      <c r="AK930" s="218"/>
      <c r="AL930" s="218"/>
      <c r="AM930" s="218"/>
      <c r="AN930" s="218"/>
      <c r="AO930" s="218"/>
      <c r="AP930" s="218"/>
      <c r="AQ930" s="218"/>
      <c r="AR930" s="218"/>
      <c r="AS930" s="218"/>
      <c r="AT930" s="218"/>
      <c r="AU930" s="218"/>
      <c r="AV930" s="218"/>
      <c r="AW930" s="218"/>
      <c r="AX930" s="218"/>
      <c r="AY930" s="218"/>
      <c r="AZ930" s="218"/>
      <c r="BA930" s="218"/>
      <c r="BB930" s="218"/>
      <c r="BC930" s="218"/>
      <c r="BD930" s="218"/>
      <c r="BE930" s="218"/>
      <c r="BF930" s="218"/>
      <c r="BG930" s="218"/>
      <c r="BH930" s="218"/>
      <c r="BI930" s="218"/>
      <c r="BJ930" s="218"/>
      <c r="BK930" s="218"/>
      <c r="BL930" s="218"/>
      <c r="BM930" s="218"/>
      <c r="BN930" s="218"/>
      <c r="BO930" s="218"/>
      <c r="BP930" s="218"/>
      <c r="BQ930" s="218"/>
      <c r="BR930" s="218"/>
      <c r="BS930" s="218"/>
      <c r="BT930" s="218"/>
      <c r="BU930" s="218"/>
      <c r="BV930" s="218"/>
      <c r="BW930" s="218"/>
      <c r="BX930" s="218"/>
      <c r="BY930" s="218"/>
      <c r="BZ930" s="218"/>
      <c r="CA930" s="218"/>
      <c r="CB930" s="218"/>
      <c r="CC930" s="218"/>
      <c r="CD930" s="218"/>
      <c r="CE930" s="218"/>
      <c r="CF930" s="218"/>
      <c r="CG930" s="218"/>
      <c r="CH930" s="218"/>
      <c r="CI930" s="218"/>
      <c r="CJ930" s="218"/>
      <c r="CK930" s="218"/>
      <c r="CL930" s="218"/>
      <c r="CM930" s="218"/>
      <c r="CN930" s="218"/>
      <c r="CO930" s="218"/>
      <c r="CP930" s="218"/>
      <c r="CQ930" s="218"/>
      <c r="CR930" s="218"/>
      <c r="CS930" s="218"/>
      <c r="CT930" s="218"/>
      <c r="CU930" s="218"/>
      <c r="CV930" s="218"/>
      <c r="CW930" s="218"/>
      <c r="CX930" s="218"/>
      <c r="CY930" s="218"/>
      <c r="CZ930" s="218"/>
      <c r="DA930" s="218"/>
      <c r="DB930" s="218"/>
      <c r="DC930" s="218"/>
      <c r="DD930" s="218"/>
      <c r="DE930" s="218"/>
      <c r="DF930" s="218"/>
      <c r="DG930" s="218"/>
      <c r="DH930" s="218"/>
      <c r="DI930" s="218"/>
      <c r="DJ930" s="218"/>
      <c r="DK930" s="218"/>
      <c r="DL930" s="218"/>
      <c r="DM930" s="218"/>
      <c r="DN930" s="218"/>
    </row>
    <row r="931" spans="1:118" s="204" customFormat="1" ht="12">
      <c r="A931" s="755"/>
      <c r="B931" s="560"/>
      <c r="C931" s="401">
        <v>1</v>
      </c>
      <c r="D931" s="402"/>
      <c r="E931" s="403">
        <f>C931</f>
        <v>1</v>
      </c>
      <c r="F931" s="538"/>
      <c r="G931" s="539"/>
      <c r="H931" s="203"/>
      <c r="I931" s="540"/>
      <c r="J931" s="540"/>
      <c r="K931" s="540"/>
      <c r="L931" s="540"/>
      <c r="M931" s="540"/>
      <c r="N931" s="540"/>
      <c r="O931" s="540"/>
      <c r="P931" s="540"/>
      <c r="Q931" s="540"/>
      <c r="R931" s="540"/>
      <c r="S931" s="540"/>
      <c r="T931" s="540"/>
      <c r="U931" s="540"/>
      <c r="V931" s="540"/>
      <c r="W931" s="540"/>
      <c r="X931" s="540"/>
      <c r="Y931" s="540"/>
      <c r="Z931" s="540"/>
      <c r="AA931" s="540"/>
      <c r="AB931" s="540"/>
      <c r="AC931" s="540"/>
      <c r="AD931" s="540"/>
      <c r="AE931" s="540"/>
      <c r="AF931" s="540"/>
      <c r="AG931" s="540"/>
      <c r="AH931" s="540"/>
      <c r="AI931" s="540"/>
      <c r="AJ931" s="540"/>
      <c r="AK931" s="540"/>
      <c r="AL931" s="540"/>
      <c r="AM931" s="540"/>
      <c r="AN931" s="540"/>
      <c r="AO931" s="540"/>
      <c r="AP931" s="540"/>
      <c r="AQ931" s="540"/>
      <c r="AR931" s="540"/>
      <c r="AS931" s="540"/>
      <c r="AT931" s="540"/>
      <c r="AU931" s="540"/>
      <c r="AV931" s="540"/>
      <c r="AW931" s="540"/>
      <c r="AX931" s="540"/>
      <c r="AY931" s="540"/>
      <c r="AZ931" s="540"/>
      <c r="BA931" s="540"/>
      <c r="BB931" s="540"/>
      <c r="BC931" s="540"/>
      <c r="BD931" s="540"/>
      <c r="BE931" s="540"/>
      <c r="BF931" s="540"/>
      <c r="BG931" s="540"/>
      <c r="BH931" s="540"/>
      <c r="BI931" s="540"/>
      <c r="BJ931" s="540"/>
      <c r="BK931" s="540"/>
      <c r="BL931" s="540"/>
      <c r="BM931" s="540"/>
      <c r="BN931" s="540"/>
      <c r="BO931" s="540"/>
      <c r="BP931" s="540"/>
      <c r="BQ931" s="540"/>
      <c r="BR931" s="540"/>
      <c r="BS931" s="540"/>
      <c r="BT931" s="540"/>
      <c r="BU931" s="540"/>
      <c r="BV931" s="540"/>
      <c r="BW931" s="540"/>
      <c r="BX931" s="540"/>
      <c r="BY931" s="540"/>
      <c r="BZ931" s="540"/>
      <c r="CA931" s="540"/>
      <c r="CB931" s="540"/>
      <c r="CC931" s="540"/>
      <c r="CD931" s="540"/>
      <c r="CE931" s="540"/>
      <c r="CF931" s="540"/>
      <c r="CG931" s="540"/>
      <c r="CH931" s="540"/>
      <c r="CI931" s="540"/>
      <c r="CJ931" s="540"/>
      <c r="CK931" s="540"/>
      <c r="CL931" s="540"/>
      <c r="CM931" s="540"/>
      <c r="CN931" s="540"/>
      <c r="CO931" s="540"/>
      <c r="CP931" s="540"/>
      <c r="CQ931" s="540"/>
      <c r="CR931" s="540"/>
      <c r="CS931" s="540"/>
      <c r="CT931" s="540"/>
      <c r="CU931" s="540"/>
      <c r="CV931" s="540"/>
      <c r="CW931" s="540"/>
      <c r="CX931" s="540"/>
      <c r="CY931" s="540"/>
      <c r="CZ931" s="540"/>
      <c r="DA931" s="540"/>
      <c r="DB931" s="540"/>
      <c r="DC931" s="540"/>
      <c r="DD931" s="540"/>
      <c r="DE931" s="540"/>
      <c r="DF931" s="540"/>
      <c r="DG931" s="540"/>
      <c r="DH931" s="540"/>
      <c r="DI931" s="540"/>
      <c r="DJ931" s="540"/>
      <c r="DK931" s="540"/>
      <c r="DL931" s="540"/>
      <c r="DM931" s="540"/>
      <c r="DN931" s="540"/>
    </row>
    <row r="932" spans="1:118" s="204" customFormat="1" ht="12">
      <c r="A932" s="755"/>
      <c r="B932" s="456"/>
      <c r="C932" s="405" t="s">
        <v>39</v>
      </c>
      <c r="D932" s="487"/>
      <c r="E932" s="407">
        <f>SUM(E931:E931)</f>
        <v>1</v>
      </c>
      <c r="F932" s="538"/>
      <c r="G932" s="539"/>
      <c r="H932" s="203"/>
      <c r="I932" s="540"/>
      <c r="J932" s="540"/>
      <c r="K932" s="540"/>
      <c r="L932" s="540"/>
      <c r="M932" s="540"/>
      <c r="N932" s="540"/>
      <c r="O932" s="540"/>
      <c r="P932" s="540"/>
      <c r="Q932" s="540"/>
      <c r="R932" s="540"/>
      <c r="S932" s="540"/>
      <c r="T932" s="540"/>
      <c r="U932" s="540"/>
      <c r="V932" s="540"/>
      <c r="W932" s="540"/>
      <c r="X932" s="540"/>
      <c r="Y932" s="540"/>
      <c r="Z932" s="540"/>
      <c r="AA932" s="540"/>
      <c r="AB932" s="540"/>
      <c r="AC932" s="540"/>
      <c r="AD932" s="540"/>
      <c r="AE932" s="540"/>
      <c r="AF932" s="540"/>
      <c r="AG932" s="540"/>
      <c r="AH932" s="540"/>
      <c r="AI932" s="540"/>
      <c r="AJ932" s="540"/>
      <c r="AK932" s="540"/>
      <c r="AL932" s="540"/>
      <c r="AM932" s="540"/>
      <c r="AN932" s="540"/>
      <c r="AO932" s="540"/>
      <c r="AP932" s="540"/>
      <c r="AQ932" s="540"/>
      <c r="AR932" s="540"/>
      <c r="AS932" s="540"/>
      <c r="AT932" s="540"/>
      <c r="AU932" s="540"/>
      <c r="AV932" s="540"/>
      <c r="AW932" s="540"/>
      <c r="AX932" s="540"/>
      <c r="AY932" s="540"/>
      <c r="AZ932" s="540"/>
      <c r="BA932" s="540"/>
      <c r="BB932" s="540"/>
      <c r="BC932" s="540"/>
      <c r="BD932" s="540"/>
      <c r="BE932" s="540"/>
      <c r="BF932" s="540"/>
      <c r="BG932" s="540"/>
      <c r="BH932" s="540"/>
      <c r="BI932" s="540"/>
      <c r="BJ932" s="540"/>
      <c r="BK932" s="540"/>
      <c r="BL932" s="540"/>
      <c r="BM932" s="540"/>
      <c r="BN932" s="540"/>
      <c r="BO932" s="540"/>
      <c r="BP932" s="540"/>
      <c r="BQ932" s="540"/>
      <c r="BR932" s="540"/>
      <c r="BS932" s="540"/>
      <c r="BT932" s="540"/>
      <c r="BU932" s="540"/>
      <c r="BV932" s="540"/>
      <c r="BW932" s="540"/>
      <c r="BX932" s="540"/>
      <c r="BY932" s="540"/>
      <c r="BZ932" s="540"/>
      <c r="CA932" s="540"/>
      <c r="CB932" s="540"/>
      <c r="CC932" s="540"/>
      <c r="CD932" s="540"/>
      <c r="CE932" s="540"/>
      <c r="CF932" s="540"/>
      <c r="CG932" s="540"/>
      <c r="CH932" s="540"/>
      <c r="CI932" s="540"/>
      <c r="CJ932" s="540"/>
      <c r="CK932" s="540"/>
      <c r="CL932" s="540"/>
      <c r="CM932" s="540"/>
      <c r="CN932" s="540"/>
      <c r="CO932" s="540"/>
      <c r="CP932" s="540"/>
      <c r="CQ932" s="540"/>
      <c r="CR932" s="540"/>
      <c r="CS932" s="540"/>
      <c r="CT932" s="540"/>
      <c r="CU932" s="540"/>
      <c r="CV932" s="540"/>
      <c r="CW932" s="540"/>
      <c r="CX932" s="540"/>
      <c r="CY932" s="540"/>
      <c r="CZ932" s="540"/>
      <c r="DA932" s="540"/>
      <c r="DB932" s="540"/>
      <c r="DC932" s="540"/>
      <c r="DD932" s="540"/>
      <c r="DE932" s="540"/>
      <c r="DF932" s="540"/>
      <c r="DG932" s="540"/>
      <c r="DH932" s="540"/>
      <c r="DI932" s="540"/>
      <c r="DJ932" s="540"/>
      <c r="DK932" s="540"/>
      <c r="DL932" s="540"/>
      <c r="DM932" s="540"/>
      <c r="DN932" s="540"/>
    </row>
    <row r="933" spans="1:8" s="559" customFormat="1" ht="12.75" customHeight="1">
      <c r="A933" s="758"/>
      <c r="B933" s="575"/>
      <c r="C933" s="576"/>
      <c r="D933" s="577"/>
      <c r="E933" s="578"/>
      <c r="F933" s="556"/>
      <c r="G933" s="579"/>
      <c r="H933" s="570"/>
    </row>
    <row r="934" spans="1:8" s="559" customFormat="1" ht="12.75" customHeight="1">
      <c r="A934" s="758">
        <v>3</v>
      </c>
      <c r="B934" s="421" t="s">
        <v>1</v>
      </c>
      <c r="C934" s="422" t="s">
        <v>1016</v>
      </c>
      <c r="D934" s="568"/>
      <c r="E934" s="569" t="s">
        <v>50</v>
      </c>
      <c r="F934" s="556">
        <f>SUM(H926:H933)/100</f>
        <v>0</v>
      </c>
      <c r="G934" s="23"/>
      <c r="H934" s="570">
        <f>F934*G934</f>
        <v>0</v>
      </c>
    </row>
    <row r="935" spans="1:8" s="559" customFormat="1" ht="12.75">
      <c r="A935" s="758"/>
      <c r="B935" s="580"/>
      <c r="C935" s="581"/>
      <c r="D935" s="568"/>
      <c r="E935" s="569"/>
      <c r="F935" s="556"/>
      <c r="G935" s="582"/>
      <c r="H935" s="570"/>
    </row>
    <row r="936" spans="1:118" ht="15" customHeight="1">
      <c r="A936" s="754"/>
      <c r="B936" s="551"/>
      <c r="C936" s="583" t="s">
        <v>1070</v>
      </c>
      <c r="D936" s="546" t="s">
        <v>1219</v>
      </c>
      <c r="E936" s="396"/>
      <c r="F936" s="209"/>
      <c r="G936" s="23"/>
      <c r="H936" s="397">
        <f>SUM(H937:H961)</f>
        <v>0</v>
      </c>
      <c r="I936" s="218"/>
      <c r="J936" s="218"/>
      <c r="K936" s="218"/>
      <c r="L936" s="218"/>
      <c r="M936" s="218"/>
      <c r="N936" s="218"/>
      <c r="O936" s="218"/>
      <c r="P936" s="218"/>
      <c r="Q936" s="218"/>
      <c r="R936" s="218"/>
      <c r="S936" s="218"/>
      <c r="T936" s="218"/>
      <c r="U936" s="218"/>
      <c r="V936" s="218"/>
      <c r="W936" s="218"/>
      <c r="X936" s="218"/>
      <c r="Y936" s="218"/>
      <c r="Z936" s="218"/>
      <c r="AA936" s="218"/>
      <c r="AB936" s="218"/>
      <c r="AC936" s="218"/>
      <c r="AD936" s="218"/>
      <c r="AE936" s="218"/>
      <c r="AF936" s="218"/>
      <c r="AG936" s="218"/>
      <c r="AH936" s="218"/>
      <c r="AI936" s="218"/>
      <c r="AJ936" s="218"/>
      <c r="AK936" s="218"/>
      <c r="AL936" s="218"/>
      <c r="AM936" s="218"/>
      <c r="AN936" s="218"/>
      <c r="AO936" s="218"/>
      <c r="AP936" s="218"/>
      <c r="AQ936" s="218"/>
      <c r="AR936" s="218"/>
      <c r="AS936" s="218"/>
      <c r="AT936" s="218"/>
      <c r="AU936" s="218"/>
      <c r="AV936" s="218"/>
      <c r="AW936" s="218"/>
      <c r="AX936" s="218"/>
      <c r="AY936" s="218"/>
      <c r="AZ936" s="218"/>
      <c r="BA936" s="218"/>
      <c r="BB936" s="218"/>
      <c r="BC936" s="218"/>
      <c r="BD936" s="218"/>
      <c r="BE936" s="218"/>
      <c r="BF936" s="218"/>
      <c r="BG936" s="218"/>
      <c r="BH936" s="218"/>
      <c r="BI936" s="218"/>
      <c r="BJ936" s="218"/>
      <c r="BK936" s="218"/>
      <c r="BL936" s="218"/>
      <c r="BM936" s="218"/>
      <c r="BN936" s="218"/>
      <c r="BO936" s="218"/>
      <c r="BP936" s="218"/>
      <c r="BQ936" s="218"/>
      <c r="BR936" s="218"/>
      <c r="BS936" s="218"/>
      <c r="BT936" s="218"/>
      <c r="BU936" s="218"/>
      <c r="BV936" s="218"/>
      <c r="BW936" s="218"/>
      <c r="BX936" s="218"/>
      <c r="BY936" s="218"/>
      <c r="BZ936" s="218"/>
      <c r="CA936" s="218"/>
      <c r="CB936" s="218"/>
      <c r="CC936" s="218"/>
      <c r="CD936" s="218"/>
      <c r="CE936" s="218"/>
      <c r="CF936" s="218"/>
      <c r="CG936" s="218"/>
      <c r="CH936" s="218"/>
      <c r="CI936" s="218"/>
      <c r="CJ936" s="218"/>
      <c r="CK936" s="218"/>
      <c r="CL936" s="218"/>
      <c r="CM936" s="218"/>
      <c r="CN936" s="218"/>
      <c r="CO936" s="218"/>
      <c r="CP936" s="218"/>
      <c r="CQ936" s="218"/>
      <c r="CR936" s="218"/>
      <c r="CS936" s="218"/>
      <c r="CT936" s="218"/>
      <c r="CU936" s="218"/>
      <c r="CV936" s="218"/>
      <c r="CW936" s="218"/>
      <c r="CX936" s="218"/>
      <c r="CY936" s="218"/>
      <c r="CZ936" s="218"/>
      <c r="DA936" s="218"/>
      <c r="DB936" s="218"/>
      <c r="DC936" s="218"/>
      <c r="DD936" s="218"/>
      <c r="DE936" s="218"/>
      <c r="DF936" s="218"/>
      <c r="DG936" s="218"/>
      <c r="DH936" s="218"/>
      <c r="DI936" s="218"/>
      <c r="DJ936" s="218"/>
      <c r="DK936" s="218"/>
      <c r="DL936" s="218"/>
      <c r="DM936" s="218"/>
      <c r="DN936" s="218"/>
    </row>
    <row r="937" spans="1:118" ht="36">
      <c r="A937" s="754">
        <v>1</v>
      </c>
      <c r="B937" s="551" t="s">
        <v>1221</v>
      </c>
      <c r="C937" s="552" t="s">
        <v>1222</v>
      </c>
      <c r="D937" s="423" t="s">
        <v>1242</v>
      </c>
      <c r="E937" s="396" t="s">
        <v>45</v>
      </c>
      <c r="F937" s="584">
        <f>E939</f>
        <v>1</v>
      </c>
      <c r="G937" s="23"/>
      <c r="H937" s="205">
        <f>F937*G937</f>
        <v>0</v>
      </c>
      <c r="I937" s="218"/>
      <c r="J937" s="218"/>
      <c r="K937" s="218"/>
      <c r="L937" s="218"/>
      <c r="M937" s="218"/>
      <c r="N937" s="218"/>
      <c r="O937" s="218"/>
      <c r="P937" s="218"/>
      <c r="Q937" s="218"/>
      <c r="R937" s="218"/>
      <c r="S937" s="218"/>
      <c r="T937" s="218"/>
      <c r="U937" s="218"/>
      <c r="V937" s="218"/>
      <c r="W937" s="218"/>
      <c r="X937" s="218"/>
      <c r="Y937" s="218"/>
      <c r="Z937" s="218"/>
      <c r="AA937" s="218"/>
      <c r="AB937" s="218"/>
      <c r="AC937" s="218"/>
      <c r="AD937" s="218"/>
      <c r="AE937" s="218"/>
      <c r="AF937" s="218"/>
      <c r="AG937" s="218"/>
      <c r="AH937" s="218"/>
      <c r="AI937" s="218"/>
      <c r="AJ937" s="218"/>
      <c r="AK937" s="218"/>
      <c r="AL937" s="218"/>
      <c r="AM937" s="218"/>
      <c r="AN937" s="218"/>
      <c r="AO937" s="218"/>
      <c r="AP937" s="218"/>
      <c r="AQ937" s="218"/>
      <c r="AR937" s="218"/>
      <c r="AS937" s="218"/>
      <c r="AT937" s="218"/>
      <c r="AU937" s="218"/>
      <c r="AV937" s="218"/>
      <c r="AW937" s="218"/>
      <c r="AX937" s="218"/>
      <c r="AY937" s="218"/>
      <c r="AZ937" s="218"/>
      <c r="BA937" s="218"/>
      <c r="BB937" s="218"/>
      <c r="BC937" s="218"/>
      <c r="BD937" s="218"/>
      <c r="BE937" s="218"/>
      <c r="BF937" s="218"/>
      <c r="BG937" s="218"/>
      <c r="BH937" s="218"/>
      <c r="BI937" s="218"/>
      <c r="BJ937" s="218"/>
      <c r="BK937" s="218"/>
      <c r="BL937" s="218"/>
      <c r="BM937" s="218"/>
      <c r="BN937" s="218"/>
      <c r="BO937" s="218"/>
      <c r="BP937" s="218"/>
      <c r="BQ937" s="218"/>
      <c r="BR937" s="218"/>
      <c r="BS937" s="218"/>
      <c r="BT937" s="218"/>
      <c r="BU937" s="218"/>
      <c r="BV937" s="218"/>
      <c r="BW937" s="218"/>
      <c r="BX937" s="218"/>
      <c r="BY937" s="218"/>
      <c r="BZ937" s="218"/>
      <c r="CA937" s="218"/>
      <c r="CB937" s="218"/>
      <c r="CC937" s="218"/>
      <c r="CD937" s="218"/>
      <c r="CE937" s="218"/>
      <c r="CF937" s="218"/>
      <c r="CG937" s="218"/>
      <c r="CH937" s="218"/>
      <c r="CI937" s="218"/>
      <c r="CJ937" s="218"/>
      <c r="CK937" s="218"/>
      <c r="CL937" s="218"/>
      <c r="CM937" s="218"/>
      <c r="CN937" s="218"/>
      <c r="CO937" s="218"/>
      <c r="CP937" s="218"/>
      <c r="CQ937" s="218"/>
      <c r="CR937" s="218"/>
      <c r="CS937" s="218"/>
      <c r="CT937" s="218"/>
      <c r="CU937" s="218"/>
      <c r="CV937" s="218"/>
      <c r="CW937" s="218"/>
      <c r="CX937" s="218"/>
      <c r="CY937" s="218"/>
      <c r="CZ937" s="218"/>
      <c r="DA937" s="218"/>
      <c r="DB937" s="218"/>
      <c r="DC937" s="218"/>
      <c r="DD937" s="218"/>
      <c r="DE937" s="218"/>
      <c r="DF937" s="218"/>
      <c r="DG937" s="218"/>
      <c r="DH937" s="218"/>
      <c r="DI937" s="218"/>
      <c r="DJ937" s="218"/>
      <c r="DK937" s="218"/>
      <c r="DL937" s="218"/>
      <c r="DM937" s="218"/>
      <c r="DN937" s="218"/>
    </row>
    <row r="938" spans="1:118" s="204" customFormat="1" ht="12">
      <c r="A938" s="755"/>
      <c r="B938" s="400"/>
      <c r="C938" s="401">
        <v>1</v>
      </c>
      <c r="D938" s="402"/>
      <c r="E938" s="403">
        <f>C938</f>
        <v>1</v>
      </c>
      <c r="F938" s="538"/>
      <c r="G938" s="539"/>
      <c r="H938" s="203"/>
      <c r="I938" s="540"/>
      <c r="J938" s="540"/>
      <c r="K938" s="540"/>
      <c r="L938" s="540"/>
      <c r="M938" s="540"/>
      <c r="N938" s="540"/>
      <c r="O938" s="540"/>
      <c r="P938" s="540"/>
      <c r="Q938" s="540"/>
      <c r="R938" s="540"/>
      <c r="S938" s="540"/>
      <c r="T938" s="540"/>
      <c r="U938" s="540"/>
      <c r="V938" s="540"/>
      <c r="W938" s="540"/>
      <c r="X938" s="540"/>
      <c r="Y938" s="540"/>
      <c r="Z938" s="540"/>
      <c r="AA938" s="540"/>
      <c r="AB938" s="540"/>
      <c r="AC938" s="540"/>
      <c r="AD938" s="540"/>
      <c r="AE938" s="540"/>
      <c r="AF938" s="540"/>
      <c r="AG938" s="540"/>
      <c r="AH938" s="540"/>
      <c r="AI938" s="540"/>
      <c r="AJ938" s="540"/>
      <c r="AK938" s="540"/>
      <c r="AL938" s="540"/>
      <c r="AM938" s="540"/>
      <c r="AN938" s="540"/>
      <c r="AO938" s="540"/>
      <c r="AP938" s="540"/>
      <c r="AQ938" s="540"/>
      <c r="AR938" s="540"/>
      <c r="AS938" s="540"/>
      <c r="AT938" s="540"/>
      <c r="AU938" s="540"/>
      <c r="AV938" s="540"/>
      <c r="AW938" s="540"/>
      <c r="AX938" s="540"/>
      <c r="AY938" s="540"/>
      <c r="AZ938" s="540"/>
      <c r="BA938" s="540"/>
      <c r="BB938" s="540"/>
      <c r="BC938" s="540"/>
      <c r="BD938" s="540"/>
      <c r="BE938" s="540"/>
      <c r="BF938" s="540"/>
      <c r="BG938" s="540"/>
      <c r="BH938" s="540"/>
      <c r="BI938" s="540"/>
      <c r="BJ938" s="540"/>
      <c r="BK938" s="540"/>
      <c r="BL938" s="540"/>
      <c r="BM938" s="540"/>
      <c r="BN938" s="540"/>
      <c r="BO938" s="540"/>
      <c r="BP938" s="540"/>
      <c r="BQ938" s="540"/>
      <c r="BR938" s="540"/>
      <c r="BS938" s="540"/>
      <c r="BT938" s="540"/>
      <c r="BU938" s="540"/>
      <c r="BV938" s="540"/>
      <c r="BW938" s="540"/>
      <c r="BX938" s="540"/>
      <c r="BY938" s="540"/>
      <c r="BZ938" s="540"/>
      <c r="CA938" s="540"/>
      <c r="CB938" s="540"/>
      <c r="CC938" s="540"/>
      <c r="CD938" s="540"/>
      <c r="CE938" s="540"/>
      <c r="CF938" s="540"/>
      <c r="CG938" s="540"/>
      <c r="CH938" s="540"/>
      <c r="CI938" s="540"/>
      <c r="CJ938" s="540"/>
      <c r="CK938" s="540"/>
      <c r="CL938" s="540"/>
      <c r="CM938" s="540"/>
      <c r="CN938" s="540"/>
      <c r="CO938" s="540"/>
      <c r="CP938" s="540"/>
      <c r="CQ938" s="540"/>
      <c r="CR938" s="540"/>
      <c r="CS938" s="540"/>
      <c r="CT938" s="540"/>
      <c r="CU938" s="540"/>
      <c r="CV938" s="540"/>
      <c r="CW938" s="540"/>
      <c r="CX938" s="540"/>
      <c r="CY938" s="540"/>
      <c r="CZ938" s="540"/>
      <c r="DA938" s="540"/>
      <c r="DB938" s="540"/>
      <c r="DC938" s="540"/>
      <c r="DD938" s="540"/>
      <c r="DE938" s="540"/>
      <c r="DF938" s="540"/>
      <c r="DG938" s="540"/>
      <c r="DH938" s="540"/>
      <c r="DI938" s="540"/>
      <c r="DJ938" s="540"/>
      <c r="DK938" s="540"/>
      <c r="DL938" s="540"/>
      <c r="DM938" s="540"/>
      <c r="DN938" s="540"/>
    </row>
    <row r="939" spans="1:118" s="204" customFormat="1" ht="12">
      <c r="A939" s="755"/>
      <c r="B939" s="456"/>
      <c r="C939" s="405" t="s">
        <v>39</v>
      </c>
      <c r="D939" s="487"/>
      <c r="E939" s="407">
        <f>SUM(E938:E938)</f>
        <v>1</v>
      </c>
      <c r="F939" s="538"/>
      <c r="G939" s="539"/>
      <c r="H939" s="203"/>
      <c r="I939" s="540"/>
      <c r="J939" s="540"/>
      <c r="K939" s="540"/>
      <c r="L939" s="540"/>
      <c r="M939" s="540"/>
      <c r="N939" s="540"/>
      <c r="O939" s="540"/>
      <c r="P939" s="540"/>
      <c r="Q939" s="540"/>
      <c r="R939" s="540"/>
      <c r="S939" s="540"/>
      <c r="T939" s="540"/>
      <c r="U939" s="540"/>
      <c r="V939" s="540"/>
      <c r="W939" s="540"/>
      <c r="X939" s="540"/>
      <c r="Y939" s="540"/>
      <c r="Z939" s="540"/>
      <c r="AA939" s="540"/>
      <c r="AB939" s="540"/>
      <c r="AC939" s="540"/>
      <c r="AD939" s="540"/>
      <c r="AE939" s="540"/>
      <c r="AF939" s="540"/>
      <c r="AG939" s="540"/>
      <c r="AH939" s="540"/>
      <c r="AI939" s="540"/>
      <c r="AJ939" s="540"/>
      <c r="AK939" s="540"/>
      <c r="AL939" s="540"/>
      <c r="AM939" s="540"/>
      <c r="AN939" s="540"/>
      <c r="AO939" s="540"/>
      <c r="AP939" s="540"/>
      <c r="AQ939" s="540"/>
      <c r="AR939" s="540"/>
      <c r="AS939" s="540"/>
      <c r="AT939" s="540"/>
      <c r="AU939" s="540"/>
      <c r="AV939" s="540"/>
      <c r="AW939" s="540"/>
      <c r="AX939" s="540"/>
      <c r="AY939" s="540"/>
      <c r="AZ939" s="540"/>
      <c r="BA939" s="540"/>
      <c r="BB939" s="540"/>
      <c r="BC939" s="540"/>
      <c r="BD939" s="540"/>
      <c r="BE939" s="540"/>
      <c r="BF939" s="540"/>
      <c r="BG939" s="540"/>
      <c r="BH939" s="540"/>
      <c r="BI939" s="540"/>
      <c r="BJ939" s="540"/>
      <c r="BK939" s="540"/>
      <c r="BL939" s="540"/>
      <c r="BM939" s="540"/>
      <c r="BN939" s="540"/>
      <c r="BO939" s="540"/>
      <c r="BP939" s="540"/>
      <c r="BQ939" s="540"/>
      <c r="BR939" s="540"/>
      <c r="BS939" s="540"/>
      <c r="BT939" s="540"/>
      <c r="BU939" s="540"/>
      <c r="BV939" s="540"/>
      <c r="BW939" s="540"/>
      <c r="BX939" s="540"/>
      <c r="BY939" s="540"/>
      <c r="BZ939" s="540"/>
      <c r="CA939" s="540"/>
      <c r="CB939" s="540"/>
      <c r="CC939" s="540"/>
      <c r="CD939" s="540"/>
      <c r="CE939" s="540"/>
      <c r="CF939" s="540"/>
      <c r="CG939" s="540"/>
      <c r="CH939" s="540"/>
      <c r="CI939" s="540"/>
      <c r="CJ939" s="540"/>
      <c r="CK939" s="540"/>
      <c r="CL939" s="540"/>
      <c r="CM939" s="540"/>
      <c r="CN939" s="540"/>
      <c r="CO939" s="540"/>
      <c r="CP939" s="540"/>
      <c r="CQ939" s="540"/>
      <c r="CR939" s="540"/>
      <c r="CS939" s="540"/>
      <c r="CT939" s="540"/>
      <c r="CU939" s="540"/>
      <c r="CV939" s="540"/>
      <c r="CW939" s="540"/>
      <c r="CX939" s="540"/>
      <c r="CY939" s="540"/>
      <c r="CZ939" s="540"/>
      <c r="DA939" s="540"/>
      <c r="DB939" s="540"/>
      <c r="DC939" s="540"/>
      <c r="DD939" s="540"/>
      <c r="DE939" s="540"/>
      <c r="DF939" s="540"/>
      <c r="DG939" s="540"/>
      <c r="DH939" s="540"/>
      <c r="DI939" s="540"/>
      <c r="DJ939" s="540"/>
      <c r="DK939" s="540"/>
      <c r="DL939" s="540"/>
      <c r="DM939" s="540"/>
      <c r="DN939" s="540"/>
    </row>
    <row r="940" spans="1:118" s="204" customFormat="1" ht="12.75" customHeight="1">
      <c r="A940" s="755"/>
      <c r="B940" s="585"/>
      <c r="C940" s="586"/>
      <c r="D940" s="406"/>
      <c r="E940" s="426"/>
      <c r="F940" s="412"/>
      <c r="G940" s="202"/>
      <c r="H940" s="203"/>
      <c r="I940" s="540"/>
      <c r="J940" s="540"/>
      <c r="K940" s="540"/>
      <c r="L940" s="540"/>
      <c r="M940" s="540"/>
      <c r="N940" s="540"/>
      <c r="O940" s="540"/>
      <c r="P940" s="540"/>
      <c r="Q940" s="540"/>
      <c r="R940" s="540"/>
      <c r="S940" s="540"/>
      <c r="T940" s="540"/>
      <c r="U940" s="540"/>
      <c r="V940" s="540"/>
      <c r="W940" s="540"/>
      <c r="X940" s="540"/>
      <c r="Y940" s="540"/>
      <c r="Z940" s="540"/>
      <c r="AA940" s="540"/>
      <c r="AB940" s="540"/>
      <c r="AC940" s="540"/>
      <c r="AD940" s="540"/>
      <c r="AE940" s="540"/>
      <c r="AF940" s="540"/>
      <c r="AG940" s="540"/>
      <c r="AH940" s="540"/>
      <c r="AI940" s="540"/>
      <c r="AJ940" s="540"/>
      <c r="AK940" s="540"/>
      <c r="AL940" s="540"/>
      <c r="AM940" s="540"/>
      <c r="AN940" s="540"/>
      <c r="AO940" s="540"/>
      <c r="AP940" s="540"/>
      <c r="AQ940" s="540"/>
      <c r="AR940" s="540"/>
      <c r="AS940" s="540"/>
      <c r="AT940" s="540"/>
      <c r="AU940" s="540"/>
      <c r="AV940" s="540"/>
      <c r="AW940" s="540"/>
      <c r="AX940" s="540"/>
      <c r="AY940" s="540"/>
      <c r="AZ940" s="540"/>
      <c r="BA940" s="540"/>
      <c r="BB940" s="540"/>
      <c r="BC940" s="540"/>
      <c r="BD940" s="540"/>
      <c r="BE940" s="540"/>
      <c r="BF940" s="540"/>
      <c r="BG940" s="540"/>
      <c r="BH940" s="540"/>
      <c r="BI940" s="540"/>
      <c r="BJ940" s="540"/>
      <c r="BK940" s="540"/>
      <c r="BL940" s="540"/>
      <c r="BM940" s="540"/>
      <c r="BN940" s="540"/>
      <c r="BO940" s="540"/>
      <c r="BP940" s="540"/>
      <c r="BQ940" s="540"/>
      <c r="BR940" s="540"/>
      <c r="BS940" s="540"/>
      <c r="BT940" s="540"/>
      <c r="BU940" s="540"/>
      <c r="BV940" s="540"/>
      <c r="BW940" s="540"/>
      <c r="BX940" s="540"/>
      <c r="BY940" s="540"/>
      <c r="BZ940" s="540"/>
      <c r="CA940" s="540"/>
      <c r="CB940" s="540"/>
      <c r="CC940" s="540"/>
      <c r="CD940" s="540"/>
      <c r="CE940" s="540"/>
      <c r="CF940" s="540"/>
      <c r="CG940" s="540"/>
      <c r="CH940" s="540"/>
      <c r="CI940" s="540"/>
      <c r="CJ940" s="540"/>
      <c r="CK940" s="540"/>
      <c r="CL940" s="540"/>
      <c r="CM940" s="540"/>
      <c r="CN940" s="540"/>
      <c r="CO940" s="540"/>
      <c r="CP940" s="540"/>
      <c r="CQ940" s="540"/>
      <c r="CR940" s="540"/>
      <c r="CS940" s="540"/>
      <c r="CT940" s="540"/>
      <c r="CU940" s="540"/>
      <c r="CV940" s="540"/>
      <c r="CW940" s="540"/>
      <c r="CX940" s="540"/>
      <c r="CY940" s="540"/>
      <c r="CZ940" s="540"/>
      <c r="DA940" s="540"/>
      <c r="DB940" s="540"/>
      <c r="DC940" s="540"/>
      <c r="DD940" s="540"/>
      <c r="DE940" s="540"/>
      <c r="DF940" s="540"/>
      <c r="DG940" s="540"/>
      <c r="DH940" s="540"/>
      <c r="DI940" s="540"/>
      <c r="DJ940" s="540"/>
      <c r="DK940" s="540"/>
      <c r="DL940" s="540"/>
      <c r="DM940" s="540"/>
      <c r="DN940" s="540"/>
    </row>
    <row r="941" spans="1:118" ht="38.25">
      <c r="A941" s="754">
        <v>2</v>
      </c>
      <c r="B941" s="551" t="s">
        <v>1071</v>
      </c>
      <c r="C941" s="552" t="s">
        <v>1241</v>
      </c>
      <c r="D941" s="423" t="s">
        <v>1242</v>
      </c>
      <c r="E941" s="396" t="s">
        <v>45</v>
      </c>
      <c r="F941" s="584">
        <f>E943</f>
        <v>1</v>
      </c>
      <c r="G941" s="23"/>
      <c r="H941" s="205">
        <f>F941*G941</f>
        <v>0</v>
      </c>
      <c r="I941" s="218"/>
      <c r="J941" s="218"/>
      <c r="K941" s="218"/>
      <c r="L941" s="218"/>
      <c r="M941" s="218"/>
      <c r="N941" s="218"/>
      <c r="O941" s="218"/>
      <c r="P941" s="218"/>
      <c r="Q941" s="218"/>
      <c r="R941" s="218"/>
      <c r="S941" s="218"/>
      <c r="T941" s="218"/>
      <c r="U941" s="218"/>
      <c r="V941" s="218"/>
      <c r="W941" s="218"/>
      <c r="X941" s="218"/>
      <c r="Y941" s="218"/>
      <c r="Z941" s="218"/>
      <c r="AA941" s="218"/>
      <c r="AB941" s="218"/>
      <c r="AC941" s="218"/>
      <c r="AD941" s="218"/>
      <c r="AE941" s="218"/>
      <c r="AF941" s="218"/>
      <c r="AG941" s="218"/>
      <c r="AH941" s="218"/>
      <c r="AI941" s="218"/>
      <c r="AJ941" s="218"/>
      <c r="AK941" s="218"/>
      <c r="AL941" s="218"/>
      <c r="AM941" s="218"/>
      <c r="AN941" s="218"/>
      <c r="AO941" s="218"/>
      <c r="AP941" s="218"/>
      <c r="AQ941" s="218"/>
      <c r="AR941" s="218"/>
      <c r="AS941" s="218"/>
      <c r="AT941" s="218"/>
      <c r="AU941" s="218"/>
      <c r="AV941" s="218"/>
      <c r="AW941" s="218"/>
      <c r="AX941" s="218"/>
      <c r="AY941" s="218"/>
      <c r="AZ941" s="218"/>
      <c r="BA941" s="218"/>
      <c r="BB941" s="218"/>
      <c r="BC941" s="218"/>
      <c r="BD941" s="218"/>
      <c r="BE941" s="218"/>
      <c r="BF941" s="218"/>
      <c r="BG941" s="218"/>
      <c r="BH941" s="218"/>
      <c r="BI941" s="218"/>
      <c r="BJ941" s="218"/>
      <c r="BK941" s="218"/>
      <c r="BL941" s="218"/>
      <c r="BM941" s="218"/>
      <c r="BN941" s="218"/>
      <c r="BO941" s="218"/>
      <c r="BP941" s="218"/>
      <c r="BQ941" s="218"/>
      <c r="BR941" s="218"/>
      <c r="BS941" s="218"/>
      <c r="BT941" s="218"/>
      <c r="BU941" s="218"/>
      <c r="BV941" s="218"/>
      <c r="BW941" s="218"/>
      <c r="BX941" s="218"/>
      <c r="BY941" s="218"/>
      <c r="BZ941" s="218"/>
      <c r="CA941" s="218"/>
      <c r="CB941" s="218"/>
      <c r="CC941" s="218"/>
      <c r="CD941" s="218"/>
      <c r="CE941" s="218"/>
      <c r="CF941" s="218"/>
      <c r="CG941" s="218"/>
      <c r="CH941" s="218"/>
      <c r="CI941" s="218"/>
      <c r="CJ941" s="218"/>
      <c r="CK941" s="218"/>
      <c r="CL941" s="218"/>
      <c r="CM941" s="218"/>
      <c r="CN941" s="218"/>
      <c r="CO941" s="218"/>
      <c r="CP941" s="218"/>
      <c r="CQ941" s="218"/>
      <c r="CR941" s="218"/>
      <c r="CS941" s="218"/>
      <c r="CT941" s="218"/>
      <c r="CU941" s="218"/>
      <c r="CV941" s="218"/>
      <c r="CW941" s="218"/>
      <c r="CX941" s="218"/>
      <c r="CY941" s="218"/>
      <c r="CZ941" s="218"/>
      <c r="DA941" s="218"/>
      <c r="DB941" s="218"/>
      <c r="DC941" s="218"/>
      <c r="DD941" s="218"/>
      <c r="DE941" s="218"/>
      <c r="DF941" s="218"/>
      <c r="DG941" s="218"/>
      <c r="DH941" s="218"/>
      <c r="DI941" s="218"/>
      <c r="DJ941" s="218"/>
      <c r="DK941" s="218"/>
      <c r="DL941" s="218"/>
      <c r="DM941" s="218"/>
      <c r="DN941" s="218"/>
    </row>
    <row r="942" spans="1:118" s="204" customFormat="1" ht="12">
      <c r="A942" s="755"/>
      <c r="B942" s="400"/>
      <c r="C942" s="401">
        <v>1</v>
      </c>
      <c r="D942" s="402"/>
      <c r="E942" s="403">
        <f>C942</f>
        <v>1</v>
      </c>
      <c r="F942" s="538"/>
      <c r="G942" s="539"/>
      <c r="H942" s="203"/>
      <c r="I942" s="540"/>
      <c r="J942" s="540"/>
      <c r="K942" s="540"/>
      <c r="L942" s="540"/>
      <c r="M942" s="540"/>
      <c r="N942" s="540"/>
      <c r="O942" s="540"/>
      <c r="P942" s="540"/>
      <c r="Q942" s="540"/>
      <c r="R942" s="540"/>
      <c r="S942" s="540"/>
      <c r="T942" s="540"/>
      <c r="U942" s="540"/>
      <c r="V942" s="540"/>
      <c r="W942" s="540"/>
      <c r="X942" s="540"/>
      <c r="Y942" s="540"/>
      <c r="Z942" s="540"/>
      <c r="AA942" s="540"/>
      <c r="AB942" s="540"/>
      <c r="AC942" s="540"/>
      <c r="AD942" s="540"/>
      <c r="AE942" s="540"/>
      <c r="AF942" s="540"/>
      <c r="AG942" s="540"/>
      <c r="AH942" s="540"/>
      <c r="AI942" s="540"/>
      <c r="AJ942" s="540"/>
      <c r="AK942" s="540"/>
      <c r="AL942" s="540"/>
      <c r="AM942" s="540"/>
      <c r="AN942" s="540"/>
      <c r="AO942" s="540"/>
      <c r="AP942" s="540"/>
      <c r="AQ942" s="540"/>
      <c r="AR942" s="540"/>
      <c r="AS942" s="540"/>
      <c r="AT942" s="540"/>
      <c r="AU942" s="540"/>
      <c r="AV942" s="540"/>
      <c r="AW942" s="540"/>
      <c r="AX942" s="540"/>
      <c r="AY942" s="540"/>
      <c r="AZ942" s="540"/>
      <c r="BA942" s="540"/>
      <c r="BB942" s="540"/>
      <c r="BC942" s="540"/>
      <c r="BD942" s="540"/>
      <c r="BE942" s="540"/>
      <c r="BF942" s="540"/>
      <c r="BG942" s="540"/>
      <c r="BH942" s="540"/>
      <c r="BI942" s="540"/>
      <c r="BJ942" s="540"/>
      <c r="BK942" s="540"/>
      <c r="BL942" s="540"/>
      <c r="BM942" s="540"/>
      <c r="BN942" s="540"/>
      <c r="BO942" s="540"/>
      <c r="BP942" s="540"/>
      <c r="BQ942" s="540"/>
      <c r="BR942" s="540"/>
      <c r="BS942" s="540"/>
      <c r="BT942" s="540"/>
      <c r="BU942" s="540"/>
      <c r="BV942" s="540"/>
      <c r="BW942" s="540"/>
      <c r="BX942" s="540"/>
      <c r="BY942" s="540"/>
      <c r="BZ942" s="540"/>
      <c r="CA942" s="540"/>
      <c r="CB942" s="540"/>
      <c r="CC942" s="540"/>
      <c r="CD942" s="540"/>
      <c r="CE942" s="540"/>
      <c r="CF942" s="540"/>
      <c r="CG942" s="540"/>
      <c r="CH942" s="540"/>
      <c r="CI942" s="540"/>
      <c r="CJ942" s="540"/>
      <c r="CK942" s="540"/>
      <c r="CL942" s="540"/>
      <c r="CM942" s="540"/>
      <c r="CN942" s="540"/>
      <c r="CO942" s="540"/>
      <c r="CP942" s="540"/>
      <c r="CQ942" s="540"/>
      <c r="CR942" s="540"/>
      <c r="CS942" s="540"/>
      <c r="CT942" s="540"/>
      <c r="CU942" s="540"/>
      <c r="CV942" s="540"/>
      <c r="CW942" s="540"/>
      <c r="CX942" s="540"/>
      <c r="CY942" s="540"/>
      <c r="CZ942" s="540"/>
      <c r="DA942" s="540"/>
      <c r="DB942" s="540"/>
      <c r="DC942" s="540"/>
      <c r="DD942" s="540"/>
      <c r="DE942" s="540"/>
      <c r="DF942" s="540"/>
      <c r="DG942" s="540"/>
      <c r="DH942" s="540"/>
      <c r="DI942" s="540"/>
      <c r="DJ942" s="540"/>
      <c r="DK942" s="540"/>
      <c r="DL942" s="540"/>
      <c r="DM942" s="540"/>
      <c r="DN942" s="540"/>
    </row>
    <row r="943" spans="1:118" s="204" customFormat="1" ht="12">
      <c r="A943" s="755"/>
      <c r="B943" s="456"/>
      <c r="C943" s="405" t="s">
        <v>39</v>
      </c>
      <c r="D943" s="487"/>
      <c r="E943" s="407">
        <f>SUM(E942:E942)</f>
        <v>1</v>
      </c>
      <c r="F943" s="538"/>
      <c r="G943" s="539"/>
      <c r="H943" s="203"/>
      <c r="I943" s="540"/>
      <c r="J943" s="540"/>
      <c r="K943" s="540"/>
      <c r="L943" s="540"/>
      <c r="M943" s="540"/>
      <c r="N943" s="540"/>
      <c r="O943" s="540"/>
      <c r="P943" s="540"/>
      <c r="Q943" s="540"/>
      <c r="R943" s="540"/>
      <c r="S943" s="540"/>
      <c r="T943" s="540"/>
      <c r="U943" s="540"/>
      <c r="V943" s="540"/>
      <c r="W943" s="540"/>
      <c r="X943" s="540"/>
      <c r="Y943" s="540"/>
      <c r="Z943" s="540"/>
      <c r="AA943" s="540"/>
      <c r="AB943" s="540"/>
      <c r="AC943" s="540"/>
      <c r="AD943" s="540"/>
      <c r="AE943" s="540"/>
      <c r="AF943" s="540"/>
      <c r="AG943" s="540"/>
      <c r="AH943" s="540"/>
      <c r="AI943" s="540"/>
      <c r="AJ943" s="540"/>
      <c r="AK943" s="540"/>
      <c r="AL943" s="540"/>
      <c r="AM943" s="540"/>
      <c r="AN943" s="540"/>
      <c r="AO943" s="540"/>
      <c r="AP943" s="540"/>
      <c r="AQ943" s="540"/>
      <c r="AR943" s="540"/>
      <c r="AS943" s="540"/>
      <c r="AT943" s="540"/>
      <c r="AU943" s="540"/>
      <c r="AV943" s="540"/>
      <c r="AW943" s="540"/>
      <c r="AX943" s="540"/>
      <c r="AY943" s="540"/>
      <c r="AZ943" s="540"/>
      <c r="BA943" s="540"/>
      <c r="BB943" s="540"/>
      <c r="BC943" s="540"/>
      <c r="BD943" s="540"/>
      <c r="BE943" s="540"/>
      <c r="BF943" s="540"/>
      <c r="BG943" s="540"/>
      <c r="BH943" s="540"/>
      <c r="BI943" s="540"/>
      <c r="BJ943" s="540"/>
      <c r="BK943" s="540"/>
      <c r="BL943" s="540"/>
      <c r="BM943" s="540"/>
      <c r="BN943" s="540"/>
      <c r="BO943" s="540"/>
      <c r="BP943" s="540"/>
      <c r="BQ943" s="540"/>
      <c r="BR943" s="540"/>
      <c r="BS943" s="540"/>
      <c r="BT943" s="540"/>
      <c r="BU943" s="540"/>
      <c r="BV943" s="540"/>
      <c r="BW943" s="540"/>
      <c r="BX943" s="540"/>
      <c r="BY943" s="540"/>
      <c r="BZ943" s="540"/>
      <c r="CA943" s="540"/>
      <c r="CB943" s="540"/>
      <c r="CC943" s="540"/>
      <c r="CD943" s="540"/>
      <c r="CE943" s="540"/>
      <c r="CF943" s="540"/>
      <c r="CG943" s="540"/>
      <c r="CH943" s="540"/>
      <c r="CI943" s="540"/>
      <c r="CJ943" s="540"/>
      <c r="CK943" s="540"/>
      <c r="CL943" s="540"/>
      <c r="CM943" s="540"/>
      <c r="CN943" s="540"/>
      <c r="CO943" s="540"/>
      <c r="CP943" s="540"/>
      <c r="CQ943" s="540"/>
      <c r="CR943" s="540"/>
      <c r="CS943" s="540"/>
      <c r="CT943" s="540"/>
      <c r="CU943" s="540"/>
      <c r="CV943" s="540"/>
      <c r="CW943" s="540"/>
      <c r="CX943" s="540"/>
      <c r="CY943" s="540"/>
      <c r="CZ943" s="540"/>
      <c r="DA943" s="540"/>
      <c r="DB943" s="540"/>
      <c r="DC943" s="540"/>
      <c r="DD943" s="540"/>
      <c r="DE943" s="540"/>
      <c r="DF943" s="540"/>
      <c r="DG943" s="540"/>
      <c r="DH943" s="540"/>
      <c r="DI943" s="540"/>
      <c r="DJ943" s="540"/>
      <c r="DK943" s="540"/>
      <c r="DL943" s="540"/>
      <c r="DM943" s="540"/>
      <c r="DN943" s="540"/>
    </row>
    <row r="944" spans="1:118" s="204" customFormat="1" ht="10.5" customHeight="1">
      <c r="A944" s="755"/>
      <c r="B944" s="585"/>
      <c r="C944" s="586"/>
      <c r="D944" s="406"/>
      <c r="E944" s="426"/>
      <c r="F944" s="412"/>
      <c r="G944" s="202"/>
      <c r="H944" s="203"/>
      <c r="I944" s="540"/>
      <c r="J944" s="540"/>
      <c r="K944" s="540"/>
      <c r="L944" s="540"/>
      <c r="M944" s="540"/>
      <c r="N944" s="540"/>
      <c r="O944" s="540"/>
      <c r="P944" s="540"/>
      <c r="Q944" s="540"/>
      <c r="R944" s="540"/>
      <c r="S944" s="540"/>
      <c r="T944" s="540"/>
      <c r="U944" s="540"/>
      <c r="V944" s="540"/>
      <c r="W944" s="540"/>
      <c r="X944" s="540"/>
      <c r="Y944" s="540"/>
      <c r="Z944" s="540"/>
      <c r="AA944" s="540"/>
      <c r="AB944" s="540"/>
      <c r="AC944" s="540"/>
      <c r="AD944" s="540"/>
      <c r="AE944" s="540"/>
      <c r="AF944" s="540"/>
      <c r="AG944" s="540"/>
      <c r="AH944" s="540"/>
      <c r="AI944" s="540"/>
      <c r="AJ944" s="540"/>
      <c r="AK944" s="540"/>
      <c r="AL944" s="540"/>
      <c r="AM944" s="540"/>
      <c r="AN944" s="540"/>
      <c r="AO944" s="540"/>
      <c r="AP944" s="540"/>
      <c r="AQ944" s="540"/>
      <c r="AR944" s="540"/>
      <c r="AS944" s="540"/>
      <c r="AT944" s="540"/>
      <c r="AU944" s="540"/>
      <c r="AV944" s="540"/>
      <c r="AW944" s="540"/>
      <c r="AX944" s="540"/>
      <c r="AY944" s="540"/>
      <c r="AZ944" s="540"/>
      <c r="BA944" s="540"/>
      <c r="BB944" s="540"/>
      <c r="BC944" s="540"/>
      <c r="BD944" s="540"/>
      <c r="BE944" s="540"/>
      <c r="BF944" s="540"/>
      <c r="BG944" s="540"/>
      <c r="BH944" s="540"/>
      <c r="BI944" s="540"/>
      <c r="BJ944" s="540"/>
      <c r="BK944" s="540"/>
      <c r="BL944" s="540"/>
      <c r="BM944" s="540"/>
      <c r="BN944" s="540"/>
      <c r="BO944" s="540"/>
      <c r="BP944" s="540"/>
      <c r="BQ944" s="540"/>
      <c r="BR944" s="540"/>
      <c r="BS944" s="540"/>
      <c r="BT944" s="540"/>
      <c r="BU944" s="540"/>
      <c r="BV944" s="540"/>
      <c r="BW944" s="540"/>
      <c r="BX944" s="540"/>
      <c r="BY944" s="540"/>
      <c r="BZ944" s="540"/>
      <c r="CA944" s="540"/>
      <c r="CB944" s="540"/>
      <c r="CC944" s="540"/>
      <c r="CD944" s="540"/>
      <c r="CE944" s="540"/>
      <c r="CF944" s="540"/>
      <c r="CG944" s="540"/>
      <c r="CH944" s="540"/>
      <c r="CI944" s="540"/>
      <c r="CJ944" s="540"/>
      <c r="CK944" s="540"/>
      <c r="CL944" s="540"/>
      <c r="CM944" s="540"/>
      <c r="CN944" s="540"/>
      <c r="CO944" s="540"/>
      <c r="CP944" s="540"/>
      <c r="CQ944" s="540"/>
      <c r="CR944" s="540"/>
      <c r="CS944" s="540"/>
      <c r="CT944" s="540"/>
      <c r="CU944" s="540"/>
      <c r="CV944" s="540"/>
      <c r="CW944" s="540"/>
      <c r="CX944" s="540"/>
      <c r="CY944" s="540"/>
      <c r="CZ944" s="540"/>
      <c r="DA944" s="540"/>
      <c r="DB944" s="540"/>
      <c r="DC944" s="540"/>
      <c r="DD944" s="540"/>
      <c r="DE944" s="540"/>
      <c r="DF944" s="540"/>
      <c r="DG944" s="540"/>
      <c r="DH944" s="540"/>
      <c r="DI944" s="540"/>
      <c r="DJ944" s="540"/>
      <c r="DK944" s="540"/>
      <c r="DL944" s="540"/>
      <c r="DM944" s="540"/>
      <c r="DN944" s="540"/>
    </row>
    <row r="945" spans="1:118" ht="105" customHeight="1">
      <c r="A945" s="754">
        <v>3</v>
      </c>
      <c r="B945" s="551" t="s">
        <v>1240</v>
      </c>
      <c r="C945" s="552" t="s">
        <v>1265</v>
      </c>
      <c r="D945" s="423" t="s">
        <v>1262</v>
      </c>
      <c r="E945" s="396" t="s">
        <v>45</v>
      </c>
      <c r="F945" s="584">
        <f>E947</f>
        <v>1</v>
      </c>
      <c r="G945" s="23"/>
      <c r="H945" s="205">
        <f>F945*G945</f>
        <v>0</v>
      </c>
      <c r="I945" s="218"/>
      <c r="J945" s="218"/>
      <c r="K945" s="218"/>
      <c r="L945" s="218"/>
      <c r="M945" s="218"/>
      <c r="N945" s="218"/>
      <c r="O945" s="218"/>
      <c r="P945" s="218"/>
      <c r="Q945" s="218"/>
      <c r="R945" s="218"/>
      <c r="S945" s="218"/>
      <c r="T945" s="218"/>
      <c r="U945" s="218"/>
      <c r="V945" s="218"/>
      <c r="W945" s="218"/>
      <c r="X945" s="218"/>
      <c r="Y945" s="218"/>
      <c r="Z945" s="218"/>
      <c r="AA945" s="218"/>
      <c r="AB945" s="218"/>
      <c r="AC945" s="218"/>
      <c r="AD945" s="218"/>
      <c r="AE945" s="218"/>
      <c r="AF945" s="218"/>
      <c r="AG945" s="218"/>
      <c r="AH945" s="218"/>
      <c r="AI945" s="218"/>
      <c r="AJ945" s="218"/>
      <c r="AK945" s="218"/>
      <c r="AL945" s="218"/>
      <c r="AM945" s="218"/>
      <c r="AN945" s="218"/>
      <c r="AO945" s="218"/>
      <c r="AP945" s="218"/>
      <c r="AQ945" s="218"/>
      <c r="AR945" s="218"/>
      <c r="AS945" s="218"/>
      <c r="AT945" s="218"/>
      <c r="AU945" s="218"/>
      <c r="AV945" s="218"/>
      <c r="AW945" s="218"/>
      <c r="AX945" s="218"/>
      <c r="AY945" s="218"/>
      <c r="AZ945" s="218"/>
      <c r="BA945" s="218"/>
      <c r="BB945" s="218"/>
      <c r="BC945" s="218"/>
      <c r="BD945" s="218"/>
      <c r="BE945" s="218"/>
      <c r="BF945" s="218"/>
      <c r="BG945" s="218"/>
      <c r="BH945" s="218"/>
      <c r="BI945" s="218"/>
      <c r="BJ945" s="218"/>
      <c r="BK945" s="218"/>
      <c r="BL945" s="218"/>
      <c r="BM945" s="218"/>
      <c r="BN945" s="218"/>
      <c r="BO945" s="218"/>
      <c r="BP945" s="218"/>
      <c r="BQ945" s="218"/>
      <c r="BR945" s="218"/>
      <c r="BS945" s="218"/>
      <c r="BT945" s="218"/>
      <c r="BU945" s="218"/>
      <c r="BV945" s="218"/>
      <c r="BW945" s="218"/>
      <c r="BX945" s="218"/>
      <c r="BY945" s="218"/>
      <c r="BZ945" s="218"/>
      <c r="CA945" s="218"/>
      <c r="CB945" s="218"/>
      <c r="CC945" s="218"/>
      <c r="CD945" s="218"/>
      <c r="CE945" s="218"/>
      <c r="CF945" s="218"/>
      <c r="CG945" s="218"/>
      <c r="CH945" s="218"/>
      <c r="CI945" s="218"/>
      <c r="CJ945" s="218"/>
      <c r="CK945" s="218"/>
      <c r="CL945" s="218"/>
      <c r="CM945" s="218"/>
      <c r="CN945" s="218"/>
      <c r="CO945" s="218"/>
      <c r="CP945" s="218"/>
      <c r="CQ945" s="218"/>
      <c r="CR945" s="218"/>
      <c r="CS945" s="218"/>
      <c r="CT945" s="218"/>
      <c r="CU945" s="218"/>
      <c r="CV945" s="218"/>
      <c r="CW945" s="218"/>
      <c r="CX945" s="218"/>
      <c r="CY945" s="218"/>
      <c r="CZ945" s="218"/>
      <c r="DA945" s="218"/>
      <c r="DB945" s="218"/>
      <c r="DC945" s="218"/>
      <c r="DD945" s="218"/>
      <c r="DE945" s="218"/>
      <c r="DF945" s="218"/>
      <c r="DG945" s="218"/>
      <c r="DH945" s="218"/>
      <c r="DI945" s="218"/>
      <c r="DJ945" s="218"/>
      <c r="DK945" s="218"/>
      <c r="DL945" s="218"/>
      <c r="DM945" s="218"/>
      <c r="DN945" s="218"/>
    </row>
    <row r="946" spans="1:118" s="204" customFormat="1" ht="12">
      <c r="A946" s="755"/>
      <c r="B946" s="400"/>
      <c r="C946" s="401">
        <v>1</v>
      </c>
      <c r="D946" s="402"/>
      <c r="E946" s="403">
        <f>C946</f>
        <v>1</v>
      </c>
      <c r="F946" s="538"/>
      <c r="G946" s="539"/>
      <c r="H946" s="203"/>
      <c r="I946" s="540"/>
      <c r="J946" s="540"/>
      <c r="K946" s="540"/>
      <c r="L946" s="540"/>
      <c r="M946" s="540"/>
      <c r="N946" s="540"/>
      <c r="O946" s="540"/>
      <c r="P946" s="540"/>
      <c r="Q946" s="540"/>
      <c r="R946" s="540"/>
      <c r="S946" s="540"/>
      <c r="T946" s="540"/>
      <c r="U946" s="540"/>
      <c r="V946" s="540"/>
      <c r="W946" s="540"/>
      <c r="X946" s="540"/>
      <c r="Y946" s="540"/>
      <c r="Z946" s="540"/>
      <c r="AA946" s="540"/>
      <c r="AB946" s="540"/>
      <c r="AC946" s="540"/>
      <c r="AD946" s="540"/>
      <c r="AE946" s="540"/>
      <c r="AF946" s="540"/>
      <c r="AG946" s="540"/>
      <c r="AH946" s="540"/>
      <c r="AI946" s="540"/>
      <c r="AJ946" s="540"/>
      <c r="AK946" s="540"/>
      <c r="AL946" s="540"/>
      <c r="AM946" s="540"/>
      <c r="AN946" s="540"/>
      <c r="AO946" s="540"/>
      <c r="AP946" s="540"/>
      <c r="AQ946" s="540"/>
      <c r="AR946" s="540"/>
      <c r="AS946" s="540"/>
      <c r="AT946" s="540"/>
      <c r="AU946" s="540"/>
      <c r="AV946" s="540"/>
      <c r="AW946" s="540"/>
      <c r="AX946" s="540"/>
      <c r="AY946" s="540"/>
      <c r="AZ946" s="540"/>
      <c r="BA946" s="540"/>
      <c r="BB946" s="540"/>
      <c r="BC946" s="540"/>
      <c r="BD946" s="540"/>
      <c r="BE946" s="540"/>
      <c r="BF946" s="540"/>
      <c r="BG946" s="540"/>
      <c r="BH946" s="540"/>
      <c r="BI946" s="540"/>
      <c r="BJ946" s="540"/>
      <c r="BK946" s="540"/>
      <c r="BL946" s="540"/>
      <c r="BM946" s="540"/>
      <c r="BN946" s="540"/>
      <c r="BO946" s="540"/>
      <c r="BP946" s="540"/>
      <c r="BQ946" s="540"/>
      <c r="BR946" s="540"/>
      <c r="BS946" s="540"/>
      <c r="BT946" s="540"/>
      <c r="BU946" s="540"/>
      <c r="BV946" s="540"/>
      <c r="BW946" s="540"/>
      <c r="BX946" s="540"/>
      <c r="BY946" s="540"/>
      <c r="BZ946" s="540"/>
      <c r="CA946" s="540"/>
      <c r="CB946" s="540"/>
      <c r="CC946" s="540"/>
      <c r="CD946" s="540"/>
      <c r="CE946" s="540"/>
      <c r="CF946" s="540"/>
      <c r="CG946" s="540"/>
      <c r="CH946" s="540"/>
      <c r="CI946" s="540"/>
      <c r="CJ946" s="540"/>
      <c r="CK946" s="540"/>
      <c r="CL946" s="540"/>
      <c r="CM946" s="540"/>
      <c r="CN946" s="540"/>
      <c r="CO946" s="540"/>
      <c r="CP946" s="540"/>
      <c r="CQ946" s="540"/>
      <c r="CR946" s="540"/>
      <c r="CS946" s="540"/>
      <c r="CT946" s="540"/>
      <c r="CU946" s="540"/>
      <c r="CV946" s="540"/>
      <c r="CW946" s="540"/>
      <c r="CX946" s="540"/>
      <c r="CY946" s="540"/>
      <c r="CZ946" s="540"/>
      <c r="DA946" s="540"/>
      <c r="DB946" s="540"/>
      <c r="DC946" s="540"/>
      <c r="DD946" s="540"/>
      <c r="DE946" s="540"/>
      <c r="DF946" s="540"/>
      <c r="DG946" s="540"/>
      <c r="DH946" s="540"/>
      <c r="DI946" s="540"/>
      <c r="DJ946" s="540"/>
      <c r="DK946" s="540"/>
      <c r="DL946" s="540"/>
      <c r="DM946" s="540"/>
      <c r="DN946" s="540"/>
    </row>
    <row r="947" spans="1:118" s="204" customFormat="1" ht="12">
      <c r="A947" s="755"/>
      <c r="B947" s="456"/>
      <c r="C947" s="405" t="s">
        <v>39</v>
      </c>
      <c r="D947" s="487"/>
      <c r="E947" s="407">
        <f>SUM(E946:E946)</f>
        <v>1</v>
      </c>
      <c r="F947" s="538"/>
      <c r="G947" s="539"/>
      <c r="H947" s="203"/>
      <c r="I947" s="540"/>
      <c r="J947" s="540"/>
      <c r="K947" s="540"/>
      <c r="L947" s="540"/>
      <c r="M947" s="540"/>
      <c r="N947" s="540"/>
      <c r="O947" s="540"/>
      <c r="P947" s="540"/>
      <c r="Q947" s="540"/>
      <c r="R947" s="540"/>
      <c r="S947" s="540"/>
      <c r="T947" s="540"/>
      <c r="U947" s="540"/>
      <c r="V947" s="540"/>
      <c r="W947" s="540"/>
      <c r="X947" s="540"/>
      <c r="Y947" s="540"/>
      <c r="Z947" s="540"/>
      <c r="AA947" s="540"/>
      <c r="AB947" s="540"/>
      <c r="AC947" s="540"/>
      <c r="AD947" s="540"/>
      <c r="AE947" s="540"/>
      <c r="AF947" s="540"/>
      <c r="AG947" s="540"/>
      <c r="AH947" s="540"/>
      <c r="AI947" s="540"/>
      <c r="AJ947" s="540"/>
      <c r="AK947" s="540"/>
      <c r="AL947" s="540"/>
      <c r="AM947" s="540"/>
      <c r="AN947" s="540"/>
      <c r="AO947" s="540"/>
      <c r="AP947" s="540"/>
      <c r="AQ947" s="540"/>
      <c r="AR947" s="540"/>
      <c r="AS947" s="540"/>
      <c r="AT947" s="540"/>
      <c r="AU947" s="540"/>
      <c r="AV947" s="540"/>
      <c r="AW947" s="540"/>
      <c r="AX947" s="540"/>
      <c r="AY947" s="540"/>
      <c r="AZ947" s="540"/>
      <c r="BA947" s="540"/>
      <c r="BB947" s="540"/>
      <c r="BC947" s="540"/>
      <c r="BD947" s="540"/>
      <c r="BE947" s="540"/>
      <c r="BF947" s="540"/>
      <c r="BG947" s="540"/>
      <c r="BH947" s="540"/>
      <c r="BI947" s="540"/>
      <c r="BJ947" s="540"/>
      <c r="BK947" s="540"/>
      <c r="BL947" s="540"/>
      <c r="BM947" s="540"/>
      <c r="BN947" s="540"/>
      <c r="BO947" s="540"/>
      <c r="BP947" s="540"/>
      <c r="BQ947" s="540"/>
      <c r="BR947" s="540"/>
      <c r="BS947" s="540"/>
      <c r="BT947" s="540"/>
      <c r="BU947" s="540"/>
      <c r="BV947" s="540"/>
      <c r="BW947" s="540"/>
      <c r="BX947" s="540"/>
      <c r="BY947" s="540"/>
      <c r="BZ947" s="540"/>
      <c r="CA947" s="540"/>
      <c r="CB947" s="540"/>
      <c r="CC947" s="540"/>
      <c r="CD947" s="540"/>
      <c r="CE947" s="540"/>
      <c r="CF947" s="540"/>
      <c r="CG947" s="540"/>
      <c r="CH947" s="540"/>
      <c r="CI947" s="540"/>
      <c r="CJ947" s="540"/>
      <c r="CK947" s="540"/>
      <c r="CL947" s="540"/>
      <c r="CM947" s="540"/>
      <c r="CN947" s="540"/>
      <c r="CO947" s="540"/>
      <c r="CP947" s="540"/>
      <c r="CQ947" s="540"/>
      <c r="CR947" s="540"/>
      <c r="CS947" s="540"/>
      <c r="CT947" s="540"/>
      <c r="CU947" s="540"/>
      <c r="CV947" s="540"/>
      <c r="CW947" s="540"/>
      <c r="CX947" s="540"/>
      <c r="CY947" s="540"/>
      <c r="CZ947" s="540"/>
      <c r="DA947" s="540"/>
      <c r="DB947" s="540"/>
      <c r="DC947" s="540"/>
      <c r="DD947" s="540"/>
      <c r="DE947" s="540"/>
      <c r="DF947" s="540"/>
      <c r="DG947" s="540"/>
      <c r="DH947" s="540"/>
      <c r="DI947" s="540"/>
      <c r="DJ947" s="540"/>
      <c r="DK947" s="540"/>
      <c r="DL947" s="540"/>
      <c r="DM947" s="540"/>
      <c r="DN947" s="540"/>
    </row>
    <row r="948" spans="1:118" s="204" customFormat="1" ht="15.75" customHeight="1">
      <c r="A948" s="755"/>
      <c r="B948" s="585"/>
      <c r="C948" s="586"/>
      <c r="D948" s="406"/>
      <c r="E948" s="426"/>
      <c r="F948" s="412"/>
      <c r="G948" s="202"/>
      <c r="H948" s="203"/>
      <c r="I948" s="540"/>
      <c r="J948" s="540"/>
      <c r="K948" s="540"/>
      <c r="L948" s="540"/>
      <c r="M948" s="540"/>
      <c r="N948" s="540"/>
      <c r="O948" s="540"/>
      <c r="P948" s="540"/>
      <c r="Q948" s="540"/>
      <c r="R948" s="540"/>
      <c r="S948" s="540"/>
      <c r="T948" s="540"/>
      <c r="U948" s="540"/>
      <c r="V948" s="540"/>
      <c r="W948" s="540"/>
      <c r="X948" s="540"/>
      <c r="Y948" s="540"/>
      <c r="Z948" s="540"/>
      <c r="AA948" s="540"/>
      <c r="AB948" s="540"/>
      <c r="AC948" s="540"/>
      <c r="AD948" s="540"/>
      <c r="AE948" s="540"/>
      <c r="AF948" s="540"/>
      <c r="AG948" s="540"/>
      <c r="AH948" s="540"/>
      <c r="AI948" s="540"/>
      <c r="AJ948" s="540"/>
      <c r="AK948" s="540"/>
      <c r="AL948" s="540"/>
      <c r="AM948" s="540"/>
      <c r="AN948" s="540"/>
      <c r="AO948" s="540"/>
      <c r="AP948" s="540"/>
      <c r="AQ948" s="540"/>
      <c r="AR948" s="540"/>
      <c r="AS948" s="540"/>
      <c r="AT948" s="540"/>
      <c r="AU948" s="540"/>
      <c r="AV948" s="540"/>
      <c r="AW948" s="540"/>
      <c r="AX948" s="540"/>
      <c r="AY948" s="540"/>
      <c r="AZ948" s="540"/>
      <c r="BA948" s="540"/>
      <c r="BB948" s="540"/>
      <c r="BC948" s="540"/>
      <c r="BD948" s="540"/>
      <c r="BE948" s="540"/>
      <c r="BF948" s="540"/>
      <c r="BG948" s="540"/>
      <c r="BH948" s="540"/>
      <c r="BI948" s="540"/>
      <c r="BJ948" s="540"/>
      <c r="BK948" s="540"/>
      <c r="BL948" s="540"/>
      <c r="BM948" s="540"/>
      <c r="BN948" s="540"/>
      <c r="BO948" s="540"/>
      <c r="BP948" s="540"/>
      <c r="BQ948" s="540"/>
      <c r="BR948" s="540"/>
      <c r="BS948" s="540"/>
      <c r="BT948" s="540"/>
      <c r="BU948" s="540"/>
      <c r="BV948" s="540"/>
      <c r="BW948" s="540"/>
      <c r="BX948" s="540"/>
      <c r="BY948" s="540"/>
      <c r="BZ948" s="540"/>
      <c r="CA948" s="540"/>
      <c r="CB948" s="540"/>
      <c r="CC948" s="540"/>
      <c r="CD948" s="540"/>
      <c r="CE948" s="540"/>
      <c r="CF948" s="540"/>
      <c r="CG948" s="540"/>
      <c r="CH948" s="540"/>
      <c r="CI948" s="540"/>
      <c r="CJ948" s="540"/>
      <c r="CK948" s="540"/>
      <c r="CL948" s="540"/>
      <c r="CM948" s="540"/>
      <c r="CN948" s="540"/>
      <c r="CO948" s="540"/>
      <c r="CP948" s="540"/>
      <c r="CQ948" s="540"/>
      <c r="CR948" s="540"/>
      <c r="CS948" s="540"/>
      <c r="CT948" s="540"/>
      <c r="CU948" s="540"/>
      <c r="CV948" s="540"/>
      <c r="CW948" s="540"/>
      <c r="CX948" s="540"/>
      <c r="CY948" s="540"/>
      <c r="CZ948" s="540"/>
      <c r="DA948" s="540"/>
      <c r="DB948" s="540"/>
      <c r="DC948" s="540"/>
      <c r="DD948" s="540"/>
      <c r="DE948" s="540"/>
      <c r="DF948" s="540"/>
      <c r="DG948" s="540"/>
      <c r="DH948" s="540"/>
      <c r="DI948" s="540"/>
      <c r="DJ948" s="540"/>
      <c r="DK948" s="540"/>
      <c r="DL948" s="540"/>
      <c r="DM948" s="540"/>
      <c r="DN948" s="540"/>
    </row>
    <row r="949" spans="1:118" ht="39" customHeight="1">
      <c r="A949" s="754">
        <v>4</v>
      </c>
      <c r="B949" s="551" t="s">
        <v>1261</v>
      </c>
      <c r="C949" s="552" t="s">
        <v>1263</v>
      </c>
      <c r="D949" s="423" t="s">
        <v>1264</v>
      </c>
      <c r="E949" s="396" t="s">
        <v>45</v>
      </c>
      <c r="F949" s="584">
        <f>E951</f>
        <v>1</v>
      </c>
      <c r="G949" s="23"/>
      <c r="H949" s="205">
        <f>F949*G949</f>
        <v>0</v>
      </c>
      <c r="I949" s="218"/>
      <c r="J949" s="218"/>
      <c r="K949" s="218"/>
      <c r="L949" s="218"/>
      <c r="M949" s="218"/>
      <c r="N949" s="218"/>
      <c r="O949" s="218"/>
      <c r="P949" s="218"/>
      <c r="Q949" s="218"/>
      <c r="R949" s="218"/>
      <c r="S949" s="218"/>
      <c r="T949" s="218"/>
      <c r="U949" s="218"/>
      <c r="V949" s="218"/>
      <c r="W949" s="218"/>
      <c r="X949" s="218"/>
      <c r="Y949" s="218"/>
      <c r="Z949" s="218"/>
      <c r="AA949" s="218"/>
      <c r="AB949" s="218"/>
      <c r="AC949" s="218"/>
      <c r="AD949" s="218"/>
      <c r="AE949" s="218"/>
      <c r="AF949" s="218"/>
      <c r="AG949" s="218"/>
      <c r="AH949" s="218"/>
      <c r="AI949" s="218"/>
      <c r="AJ949" s="218"/>
      <c r="AK949" s="218"/>
      <c r="AL949" s="218"/>
      <c r="AM949" s="218"/>
      <c r="AN949" s="218"/>
      <c r="AO949" s="218"/>
      <c r="AP949" s="218"/>
      <c r="AQ949" s="218"/>
      <c r="AR949" s="218"/>
      <c r="AS949" s="218"/>
      <c r="AT949" s="218"/>
      <c r="AU949" s="218"/>
      <c r="AV949" s="218"/>
      <c r="AW949" s="218"/>
      <c r="AX949" s="218"/>
      <c r="AY949" s="218"/>
      <c r="AZ949" s="218"/>
      <c r="BA949" s="218"/>
      <c r="BB949" s="218"/>
      <c r="BC949" s="218"/>
      <c r="BD949" s="218"/>
      <c r="BE949" s="218"/>
      <c r="BF949" s="218"/>
      <c r="BG949" s="218"/>
      <c r="BH949" s="218"/>
      <c r="BI949" s="218"/>
      <c r="BJ949" s="218"/>
      <c r="BK949" s="218"/>
      <c r="BL949" s="218"/>
      <c r="BM949" s="218"/>
      <c r="BN949" s="218"/>
      <c r="BO949" s="218"/>
      <c r="BP949" s="218"/>
      <c r="BQ949" s="218"/>
      <c r="BR949" s="218"/>
      <c r="BS949" s="218"/>
      <c r="BT949" s="218"/>
      <c r="BU949" s="218"/>
      <c r="BV949" s="218"/>
      <c r="BW949" s="218"/>
      <c r="BX949" s="218"/>
      <c r="BY949" s="218"/>
      <c r="BZ949" s="218"/>
      <c r="CA949" s="218"/>
      <c r="CB949" s="218"/>
      <c r="CC949" s="218"/>
      <c r="CD949" s="218"/>
      <c r="CE949" s="218"/>
      <c r="CF949" s="218"/>
      <c r="CG949" s="218"/>
      <c r="CH949" s="218"/>
      <c r="CI949" s="218"/>
      <c r="CJ949" s="218"/>
      <c r="CK949" s="218"/>
      <c r="CL949" s="218"/>
      <c r="CM949" s="218"/>
      <c r="CN949" s="218"/>
      <c r="CO949" s="218"/>
      <c r="CP949" s="218"/>
      <c r="CQ949" s="218"/>
      <c r="CR949" s="218"/>
      <c r="CS949" s="218"/>
      <c r="CT949" s="218"/>
      <c r="CU949" s="218"/>
      <c r="CV949" s="218"/>
      <c r="CW949" s="218"/>
      <c r="CX949" s="218"/>
      <c r="CY949" s="218"/>
      <c r="CZ949" s="218"/>
      <c r="DA949" s="218"/>
      <c r="DB949" s="218"/>
      <c r="DC949" s="218"/>
      <c r="DD949" s="218"/>
      <c r="DE949" s="218"/>
      <c r="DF949" s="218"/>
      <c r="DG949" s="218"/>
      <c r="DH949" s="218"/>
      <c r="DI949" s="218"/>
      <c r="DJ949" s="218"/>
      <c r="DK949" s="218"/>
      <c r="DL949" s="218"/>
      <c r="DM949" s="218"/>
      <c r="DN949" s="218"/>
    </row>
    <row r="950" spans="1:118" s="204" customFormat="1" ht="12">
      <c r="A950" s="755"/>
      <c r="B950" s="400"/>
      <c r="C950" s="401">
        <v>1</v>
      </c>
      <c r="D950" s="402"/>
      <c r="E950" s="403">
        <f>C950</f>
        <v>1</v>
      </c>
      <c r="F950" s="538"/>
      <c r="G950" s="539"/>
      <c r="H950" s="203"/>
      <c r="I950" s="540"/>
      <c r="J950" s="540"/>
      <c r="K950" s="540"/>
      <c r="L950" s="540"/>
      <c r="M950" s="540"/>
      <c r="N950" s="540"/>
      <c r="O950" s="540"/>
      <c r="P950" s="540"/>
      <c r="Q950" s="540"/>
      <c r="R950" s="540"/>
      <c r="S950" s="540"/>
      <c r="T950" s="540"/>
      <c r="U950" s="540"/>
      <c r="V950" s="540"/>
      <c r="W950" s="540"/>
      <c r="X950" s="540"/>
      <c r="Y950" s="540"/>
      <c r="Z950" s="540"/>
      <c r="AA950" s="540"/>
      <c r="AB950" s="540"/>
      <c r="AC950" s="540"/>
      <c r="AD950" s="540"/>
      <c r="AE950" s="540"/>
      <c r="AF950" s="540"/>
      <c r="AG950" s="540"/>
      <c r="AH950" s="540"/>
      <c r="AI950" s="540"/>
      <c r="AJ950" s="540"/>
      <c r="AK950" s="540"/>
      <c r="AL950" s="540"/>
      <c r="AM950" s="540"/>
      <c r="AN950" s="540"/>
      <c r="AO950" s="540"/>
      <c r="AP950" s="540"/>
      <c r="AQ950" s="540"/>
      <c r="AR950" s="540"/>
      <c r="AS950" s="540"/>
      <c r="AT950" s="540"/>
      <c r="AU950" s="540"/>
      <c r="AV950" s="540"/>
      <c r="AW950" s="540"/>
      <c r="AX950" s="540"/>
      <c r="AY950" s="540"/>
      <c r="AZ950" s="540"/>
      <c r="BA950" s="540"/>
      <c r="BB950" s="540"/>
      <c r="BC950" s="540"/>
      <c r="BD950" s="540"/>
      <c r="BE950" s="540"/>
      <c r="BF950" s="540"/>
      <c r="BG950" s="540"/>
      <c r="BH950" s="540"/>
      <c r="BI950" s="540"/>
      <c r="BJ950" s="540"/>
      <c r="BK950" s="540"/>
      <c r="BL950" s="540"/>
      <c r="BM950" s="540"/>
      <c r="BN950" s="540"/>
      <c r="BO950" s="540"/>
      <c r="BP950" s="540"/>
      <c r="BQ950" s="540"/>
      <c r="BR950" s="540"/>
      <c r="BS950" s="540"/>
      <c r="BT950" s="540"/>
      <c r="BU950" s="540"/>
      <c r="BV950" s="540"/>
      <c r="BW950" s="540"/>
      <c r="BX950" s="540"/>
      <c r="BY950" s="540"/>
      <c r="BZ950" s="540"/>
      <c r="CA950" s="540"/>
      <c r="CB950" s="540"/>
      <c r="CC950" s="540"/>
      <c r="CD950" s="540"/>
      <c r="CE950" s="540"/>
      <c r="CF950" s="540"/>
      <c r="CG950" s="540"/>
      <c r="CH950" s="540"/>
      <c r="CI950" s="540"/>
      <c r="CJ950" s="540"/>
      <c r="CK950" s="540"/>
      <c r="CL950" s="540"/>
      <c r="CM950" s="540"/>
      <c r="CN950" s="540"/>
      <c r="CO950" s="540"/>
      <c r="CP950" s="540"/>
      <c r="CQ950" s="540"/>
      <c r="CR950" s="540"/>
      <c r="CS950" s="540"/>
      <c r="CT950" s="540"/>
      <c r="CU950" s="540"/>
      <c r="CV950" s="540"/>
      <c r="CW950" s="540"/>
      <c r="CX950" s="540"/>
      <c r="CY950" s="540"/>
      <c r="CZ950" s="540"/>
      <c r="DA950" s="540"/>
      <c r="DB950" s="540"/>
      <c r="DC950" s="540"/>
      <c r="DD950" s="540"/>
      <c r="DE950" s="540"/>
      <c r="DF950" s="540"/>
      <c r="DG950" s="540"/>
      <c r="DH950" s="540"/>
      <c r="DI950" s="540"/>
      <c r="DJ950" s="540"/>
      <c r="DK950" s="540"/>
      <c r="DL950" s="540"/>
      <c r="DM950" s="540"/>
      <c r="DN950" s="540"/>
    </row>
    <row r="951" spans="1:118" s="204" customFormat="1" ht="12">
      <c r="A951" s="755"/>
      <c r="B951" s="456"/>
      <c r="C951" s="405" t="s">
        <v>39</v>
      </c>
      <c r="D951" s="487"/>
      <c r="E951" s="407">
        <f>SUM(E950:E950)</f>
        <v>1</v>
      </c>
      <c r="F951" s="538"/>
      <c r="G951" s="539"/>
      <c r="H951" s="203"/>
      <c r="I951" s="540"/>
      <c r="J951" s="540"/>
      <c r="K951" s="540"/>
      <c r="L951" s="540"/>
      <c r="M951" s="540"/>
      <c r="N951" s="540"/>
      <c r="O951" s="540"/>
      <c r="P951" s="540"/>
      <c r="Q951" s="540"/>
      <c r="R951" s="540"/>
      <c r="S951" s="540"/>
      <c r="T951" s="540"/>
      <c r="U951" s="540"/>
      <c r="V951" s="540"/>
      <c r="W951" s="540"/>
      <c r="X951" s="540"/>
      <c r="Y951" s="540"/>
      <c r="Z951" s="540"/>
      <c r="AA951" s="540"/>
      <c r="AB951" s="540"/>
      <c r="AC951" s="540"/>
      <c r="AD951" s="540"/>
      <c r="AE951" s="540"/>
      <c r="AF951" s="540"/>
      <c r="AG951" s="540"/>
      <c r="AH951" s="540"/>
      <c r="AI951" s="540"/>
      <c r="AJ951" s="540"/>
      <c r="AK951" s="540"/>
      <c r="AL951" s="540"/>
      <c r="AM951" s="540"/>
      <c r="AN951" s="540"/>
      <c r="AO951" s="540"/>
      <c r="AP951" s="540"/>
      <c r="AQ951" s="540"/>
      <c r="AR951" s="540"/>
      <c r="AS951" s="540"/>
      <c r="AT951" s="540"/>
      <c r="AU951" s="540"/>
      <c r="AV951" s="540"/>
      <c r="AW951" s="540"/>
      <c r="AX951" s="540"/>
      <c r="AY951" s="540"/>
      <c r="AZ951" s="540"/>
      <c r="BA951" s="540"/>
      <c r="BB951" s="540"/>
      <c r="BC951" s="540"/>
      <c r="BD951" s="540"/>
      <c r="BE951" s="540"/>
      <c r="BF951" s="540"/>
      <c r="BG951" s="540"/>
      <c r="BH951" s="540"/>
      <c r="BI951" s="540"/>
      <c r="BJ951" s="540"/>
      <c r="BK951" s="540"/>
      <c r="BL951" s="540"/>
      <c r="BM951" s="540"/>
      <c r="BN951" s="540"/>
      <c r="BO951" s="540"/>
      <c r="BP951" s="540"/>
      <c r="BQ951" s="540"/>
      <c r="BR951" s="540"/>
      <c r="BS951" s="540"/>
      <c r="BT951" s="540"/>
      <c r="BU951" s="540"/>
      <c r="BV951" s="540"/>
      <c r="BW951" s="540"/>
      <c r="BX951" s="540"/>
      <c r="BY951" s="540"/>
      <c r="BZ951" s="540"/>
      <c r="CA951" s="540"/>
      <c r="CB951" s="540"/>
      <c r="CC951" s="540"/>
      <c r="CD951" s="540"/>
      <c r="CE951" s="540"/>
      <c r="CF951" s="540"/>
      <c r="CG951" s="540"/>
      <c r="CH951" s="540"/>
      <c r="CI951" s="540"/>
      <c r="CJ951" s="540"/>
      <c r="CK951" s="540"/>
      <c r="CL951" s="540"/>
      <c r="CM951" s="540"/>
      <c r="CN951" s="540"/>
      <c r="CO951" s="540"/>
      <c r="CP951" s="540"/>
      <c r="CQ951" s="540"/>
      <c r="CR951" s="540"/>
      <c r="CS951" s="540"/>
      <c r="CT951" s="540"/>
      <c r="CU951" s="540"/>
      <c r="CV951" s="540"/>
      <c r="CW951" s="540"/>
      <c r="CX951" s="540"/>
      <c r="CY951" s="540"/>
      <c r="CZ951" s="540"/>
      <c r="DA951" s="540"/>
      <c r="DB951" s="540"/>
      <c r="DC951" s="540"/>
      <c r="DD951" s="540"/>
      <c r="DE951" s="540"/>
      <c r="DF951" s="540"/>
      <c r="DG951" s="540"/>
      <c r="DH951" s="540"/>
      <c r="DI951" s="540"/>
      <c r="DJ951" s="540"/>
      <c r="DK951" s="540"/>
      <c r="DL951" s="540"/>
      <c r="DM951" s="540"/>
      <c r="DN951" s="540"/>
    </row>
    <row r="952" spans="1:118" s="204" customFormat="1" ht="15.75" customHeight="1">
      <c r="A952" s="755"/>
      <c r="B952" s="585"/>
      <c r="C952" s="586"/>
      <c r="D952" s="406"/>
      <c r="E952" s="426"/>
      <c r="F952" s="412"/>
      <c r="G952" s="202"/>
      <c r="H952" s="203"/>
      <c r="I952" s="540"/>
      <c r="J952" s="540"/>
      <c r="K952" s="540"/>
      <c r="L952" s="540"/>
      <c r="M952" s="540"/>
      <c r="N952" s="540"/>
      <c r="O952" s="540"/>
      <c r="P952" s="540"/>
      <c r="Q952" s="540"/>
      <c r="R952" s="540"/>
      <c r="S952" s="540"/>
      <c r="T952" s="540"/>
      <c r="U952" s="540"/>
      <c r="V952" s="540"/>
      <c r="W952" s="540"/>
      <c r="X952" s="540"/>
      <c r="Y952" s="540"/>
      <c r="Z952" s="540"/>
      <c r="AA952" s="540"/>
      <c r="AB952" s="540"/>
      <c r="AC952" s="540"/>
      <c r="AD952" s="540"/>
      <c r="AE952" s="540"/>
      <c r="AF952" s="540"/>
      <c r="AG952" s="540"/>
      <c r="AH952" s="540"/>
      <c r="AI952" s="540"/>
      <c r="AJ952" s="540"/>
      <c r="AK952" s="540"/>
      <c r="AL952" s="540"/>
      <c r="AM952" s="540"/>
      <c r="AN952" s="540"/>
      <c r="AO952" s="540"/>
      <c r="AP952" s="540"/>
      <c r="AQ952" s="540"/>
      <c r="AR952" s="540"/>
      <c r="AS952" s="540"/>
      <c r="AT952" s="540"/>
      <c r="AU952" s="540"/>
      <c r="AV952" s="540"/>
      <c r="AW952" s="540"/>
      <c r="AX952" s="540"/>
      <c r="AY952" s="540"/>
      <c r="AZ952" s="540"/>
      <c r="BA952" s="540"/>
      <c r="BB952" s="540"/>
      <c r="BC952" s="540"/>
      <c r="BD952" s="540"/>
      <c r="BE952" s="540"/>
      <c r="BF952" s="540"/>
      <c r="BG952" s="540"/>
      <c r="BH952" s="540"/>
      <c r="BI952" s="540"/>
      <c r="BJ952" s="540"/>
      <c r="BK952" s="540"/>
      <c r="BL952" s="540"/>
      <c r="BM952" s="540"/>
      <c r="BN952" s="540"/>
      <c r="BO952" s="540"/>
      <c r="BP952" s="540"/>
      <c r="BQ952" s="540"/>
      <c r="BR952" s="540"/>
      <c r="BS952" s="540"/>
      <c r="BT952" s="540"/>
      <c r="BU952" s="540"/>
      <c r="BV952" s="540"/>
      <c r="BW952" s="540"/>
      <c r="BX952" s="540"/>
      <c r="BY952" s="540"/>
      <c r="BZ952" s="540"/>
      <c r="CA952" s="540"/>
      <c r="CB952" s="540"/>
      <c r="CC952" s="540"/>
      <c r="CD952" s="540"/>
      <c r="CE952" s="540"/>
      <c r="CF952" s="540"/>
      <c r="CG952" s="540"/>
      <c r="CH952" s="540"/>
      <c r="CI952" s="540"/>
      <c r="CJ952" s="540"/>
      <c r="CK952" s="540"/>
      <c r="CL952" s="540"/>
      <c r="CM952" s="540"/>
      <c r="CN952" s="540"/>
      <c r="CO952" s="540"/>
      <c r="CP952" s="540"/>
      <c r="CQ952" s="540"/>
      <c r="CR952" s="540"/>
      <c r="CS952" s="540"/>
      <c r="CT952" s="540"/>
      <c r="CU952" s="540"/>
      <c r="CV952" s="540"/>
      <c r="CW952" s="540"/>
      <c r="CX952" s="540"/>
      <c r="CY952" s="540"/>
      <c r="CZ952" s="540"/>
      <c r="DA952" s="540"/>
      <c r="DB952" s="540"/>
      <c r="DC952" s="540"/>
      <c r="DD952" s="540"/>
      <c r="DE952" s="540"/>
      <c r="DF952" s="540"/>
      <c r="DG952" s="540"/>
      <c r="DH952" s="540"/>
      <c r="DI952" s="540"/>
      <c r="DJ952" s="540"/>
      <c r="DK952" s="540"/>
      <c r="DL952" s="540"/>
      <c r="DM952" s="540"/>
      <c r="DN952" s="540"/>
    </row>
    <row r="953" spans="1:118" ht="39" customHeight="1">
      <c r="A953" s="754">
        <v>5</v>
      </c>
      <c r="B953" s="551" t="s">
        <v>1260</v>
      </c>
      <c r="C953" s="552" t="s">
        <v>1447</v>
      </c>
      <c r="D953" s="423" t="s">
        <v>1448</v>
      </c>
      <c r="E953" s="396" t="s">
        <v>45</v>
      </c>
      <c r="F953" s="584">
        <f>E955</f>
        <v>1</v>
      </c>
      <c r="G953" s="23"/>
      <c r="H953" s="205">
        <f>F953*G953</f>
        <v>0</v>
      </c>
      <c r="I953" s="218"/>
      <c r="J953" s="218"/>
      <c r="K953" s="218"/>
      <c r="L953" s="218"/>
      <c r="M953" s="218"/>
      <c r="N953" s="218"/>
      <c r="O953" s="218"/>
      <c r="P953" s="218"/>
      <c r="Q953" s="218"/>
      <c r="R953" s="218"/>
      <c r="S953" s="218"/>
      <c r="T953" s="218"/>
      <c r="U953" s="218"/>
      <c r="V953" s="218"/>
      <c r="W953" s="218"/>
      <c r="X953" s="218"/>
      <c r="Y953" s="218"/>
      <c r="Z953" s="218"/>
      <c r="AA953" s="218"/>
      <c r="AB953" s="218"/>
      <c r="AC953" s="218"/>
      <c r="AD953" s="218"/>
      <c r="AE953" s="218"/>
      <c r="AF953" s="218"/>
      <c r="AG953" s="218"/>
      <c r="AH953" s="218"/>
      <c r="AI953" s="218"/>
      <c r="AJ953" s="218"/>
      <c r="AK953" s="218"/>
      <c r="AL953" s="218"/>
      <c r="AM953" s="218"/>
      <c r="AN953" s="218"/>
      <c r="AO953" s="218"/>
      <c r="AP953" s="218"/>
      <c r="AQ953" s="218"/>
      <c r="AR953" s="218"/>
      <c r="AS953" s="218"/>
      <c r="AT953" s="218"/>
      <c r="AU953" s="218"/>
      <c r="AV953" s="218"/>
      <c r="AW953" s="218"/>
      <c r="AX953" s="218"/>
      <c r="AY953" s="218"/>
      <c r="AZ953" s="218"/>
      <c r="BA953" s="218"/>
      <c r="BB953" s="218"/>
      <c r="BC953" s="218"/>
      <c r="BD953" s="218"/>
      <c r="BE953" s="218"/>
      <c r="BF953" s="218"/>
      <c r="BG953" s="218"/>
      <c r="BH953" s="218"/>
      <c r="BI953" s="218"/>
      <c r="BJ953" s="218"/>
      <c r="BK953" s="218"/>
      <c r="BL953" s="218"/>
      <c r="BM953" s="218"/>
      <c r="BN953" s="218"/>
      <c r="BO953" s="218"/>
      <c r="BP953" s="218"/>
      <c r="BQ953" s="218"/>
      <c r="BR953" s="218"/>
      <c r="BS953" s="218"/>
      <c r="BT953" s="218"/>
      <c r="BU953" s="218"/>
      <c r="BV953" s="218"/>
      <c r="BW953" s="218"/>
      <c r="BX953" s="218"/>
      <c r="BY953" s="218"/>
      <c r="BZ953" s="218"/>
      <c r="CA953" s="218"/>
      <c r="CB953" s="218"/>
      <c r="CC953" s="218"/>
      <c r="CD953" s="218"/>
      <c r="CE953" s="218"/>
      <c r="CF953" s="218"/>
      <c r="CG953" s="218"/>
      <c r="CH953" s="218"/>
      <c r="CI953" s="218"/>
      <c r="CJ953" s="218"/>
      <c r="CK953" s="218"/>
      <c r="CL953" s="218"/>
      <c r="CM953" s="218"/>
      <c r="CN953" s="218"/>
      <c r="CO953" s="218"/>
      <c r="CP953" s="218"/>
      <c r="CQ953" s="218"/>
      <c r="CR953" s="218"/>
      <c r="CS953" s="218"/>
      <c r="CT953" s="218"/>
      <c r="CU953" s="218"/>
      <c r="CV953" s="218"/>
      <c r="CW953" s="218"/>
      <c r="CX953" s="218"/>
      <c r="CY953" s="218"/>
      <c r="CZ953" s="218"/>
      <c r="DA953" s="218"/>
      <c r="DB953" s="218"/>
      <c r="DC953" s="218"/>
      <c r="DD953" s="218"/>
      <c r="DE953" s="218"/>
      <c r="DF953" s="218"/>
      <c r="DG953" s="218"/>
      <c r="DH953" s="218"/>
      <c r="DI953" s="218"/>
      <c r="DJ953" s="218"/>
      <c r="DK953" s="218"/>
      <c r="DL953" s="218"/>
      <c r="DM953" s="218"/>
      <c r="DN953" s="218"/>
    </row>
    <row r="954" spans="1:118" s="204" customFormat="1" ht="12">
      <c r="A954" s="755"/>
      <c r="B954" s="400"/>
      <c r="C954" s="401">
        <v>1</v>
      </c>
      <c r="D954" s="402"/>
      <c r="E954" s="403">
        <f>C954</f>
        <v>1</v>
      </c>
      <c r="F954" s="538"/>
      <c r="G954" s="539"/>
      <c r="H954" s="203"/>
      <c r="I954" s="540"/>
      <c r="J954" s="540"/>
      <c r="K954" s="540"/>
      <c r="L954" s="540"/>
      <c r="M954" s="540"/>
      <c r="N954" s="540"/>
      <c r="O954" s="540"/>
      <c r="P954" s="540"/>
      <c r="Q954" s="540"/>
      <c r="R954" s="540"/>
      <c r="S954" s="540"/>
      <c r="T954" s="540"/>
      <c r="U954" s="540"/>
      <c r="V954" s="540"/>
      <c r="W954" s="540"/>
      <c r="X954" s="540"/>
      <c r="Y954" s="540"/>
      <c r="Z954" s="540"/>
      <c r="AA954" s="540"/>
      <c r="AB954" s="540"/>
      <c r="AC954" s="540"/>
      <c r="AD954" s="540"/>
      <c r="AE954" s="540"/>
      <c r="AF954" s="540"/>
      <c r="AG954" s="540"/>
      <c r="AH954" s="540"/>
      <c r="AI954" s="540"/>
      <c r="AJ954" s="540"/>
      <c r="AK954" s="540"/>
      <c r="AL954" s="540"/>
      <c r="AM954" s="540"/>
      <c r="AN954" s="540"/>
      <c r="AO954" s="540"/>
      <c r="AP954" s="540"/>
      <c r="AQ954" s="540"/>
      <c r="AR954" s="540"/>
      <c r="AS954" s="540"/>
      <c r="AT954" s="540"/>
      <c r="AU954" s="540"/>
      <c r="AV954" s="540"/>
      <c r="AW954" s="540"/>
      <c r="AX954" s="540"/>
      <c r="AY954" s="540"/>
      <c r="AZ954" s="540"/>
      <c r="BA954" s="540"/>
      <c r="BB954" s="540"/>
      <c r="BC954" s="540"/>
      <c r="BD954" s="540"/>
      <c r="BE954" s="540"/>
      <c r="BF954" s="540"/>
      <c r="BG954" s="540"/>
      <c r="BH954" s="540"/>
      <c r="BI954" s="540"/>
      <c r="BJ954" s="540"/>
      <c r="BK954" s="540"/>
      <c r="BL954" s="540"/>
      <c r="BM954" s="540"/>
      <c r="BN954" s="540"/>
      <c r="BO954" s="540"/>
      <c r="BP954" s="540"/>
      <c r="BQ954" s="540"/>
      <c r="BR954" s="540"/>
      <c r="BS954" s="540"/>
      <c r="BT954" s="540"/>
      <c r="BU954" s="540"/>
      <c r="BV954" s="540"/>
      <c r="BW954" s="540"/>
      <c r="BX954" s="540"/>
      <c r="BY954" s="540"/>
      <c r="BZ954" s="540"/>
      <c r="CA954" s="540"/>
      <c r="CB954" s="540"/>
      <c r="CC954" s="540"/>
      <c r="CD954" s="540"/>
      <c r="CE954" s="540"/>
      <c r="CF954" s="540"/>
      <c r="CG954" s="540"/>
      <c r="CH954" s="540"/>
      <c r="CI954" s="540"/>
      <c r="CJ954" s="540"/>
      <c r="CK954" s="540"/>
      <c r="CL954" s="540"/>
      <c r="CM954" s="540"/>
      <c r="CN954" s="540"/>
      <c r="CO954" s="540"/>
      <c r="CP954" s="540"/>
      <c r="CQ954" s="540"/>
      <c r="CR954" s="540"/>
      <c r="CS954" s="540"/>
      <c r="CT954" s="540"/>
      <c r="CU954" s="540"/>
      <c r="CV954" s="540"/>
      <c r="CW954" s="540"/>
      <c r="CX954" s="540"/>
      <c r="CY954" s="540"/>
      <c r="CZ954" s="540"/>
      <c r="DA954" s="540"/>
      <c r="DB954" s="540"/>
      <c r="DC954" s="540"/>
      <c r="DD954" s="540"/>
      <c r="DE954" s="540"/>
      <c r="DF954" s="540"/>
      <c r="DG954" s="540"/>
      <c r="DH954" s="540"/>
      <c r="DI954" s="540"/>
      <c r="DJ954" s="540"/>
      <c r="DK954" s="540"/>
      <c r="DL954" s="540"/>
      <c r="DM954" s="540"/>
      <c r="DN954" s="540"/>
    </row>
    <row r="955" spans="1:118" s="204" customFormat="1" ht="12">
      <c r="A955" s="755"/>
      <c r="B955" s="456"/>
      <c r="C955" s="405" t="s">
        <v>39</v>
      </c>
      <c r="D955" s="487"/>
      <c r="E955" s="407">
        <f>SUM(E954:E954)</f>
        <v>1</v>
      </c>
      <c r="F955" s="538"/>
      <c r="G955" s="539"/>
      <c r="H955" s="203"/>
      <c r="I955" s="540"/>
      <c r="J955" s="540"/>
      <c r="K955" s="540"/>
      <c r="L955" s="540"/>
      <c r="M955" s="540"/>
      <c r="N955" s="540"/>
      <c r="O955" s="540"/>
      <c r="P955" s="540"/>
      <c r="Q955" s="540"/>
      <c r="R955" s="540"/>
      <c r="S955" s="540"/>
      <c r="T955" s="540"/>
      <c r="U955" s="540"/>
      <c r="V955" s="540"/>
      <c r="W955" s="540"/>
      <c r="X955" s="540"/>
      <c r="Y955" s="540"/>
      <c r="Z955" s="540"/>
      <c r="AA955" s="540"/>
      <c r="AB955" s="540"/>
      <c r="AC955" s="540"/>
      <c r="AD955" s="540"/>
      <c r="AE955" s="540"/>
      <c r="AF955" s="540"/>
      <c r="AG955" s="540"/>
      <c r="AH955" s="540"/>
      <c r="AI955" s="540"/>
      <c r="AJ955" s="540"/>
      <c r="AK955" s="540"/>
      <c r="AL955" s="540"/>
      <c r="AM955" s="540"/>
      <c r="AN955" s="540"/>
      <c r="AO955" s="540"/>
      <c r="AP955" s="540"/>
      <c r="AQ955" s="540"/>
      <c r="AR955" s="540"/>
      <c r="AS955" s="540"/>
      <c r="AT955" s="540"/>
      <c r="AU955" s="540"/>
      <c r="AV955" s="540"/>
      <c r="AW955" s="540"/>
      <c r="AX955" s="540"/>
      <c r="AY955" s="540"/>
      <c r="AZ955" s="540"/>
      <c r="BA955" s="540"/>
      <c r="BB955" s="540"/>
      <c r="BC955" s="540"/>
      <c r="BD955" s="540"/>
      <c r="BE955" s="540"/>
      <c r="BF955" s="540"/>
      <c r="BG955" s="540"/>
      <c r="BH955" s="540"/>
      <c r="BI955" s="540"/>
      <c r="BJ955" s="540"/>
      <c r="BK955" s="540"/>
      <c r="BL955" s="540"/>
      <c r="BM955" s="540"/>
      <c r="BN955" s="540"/>
      <c r="BO955" s="540"/>
      <c r="BP955" s="540"/>
      <c r="BQ955" s="540"/>
      <c r="BR955" s="540"/>
      <c r="BS955" s="540"/>
      <c r="BT955" s="540"/>
      <c r="BU955" s="540"/>
      <c r="BV955" s="540"/>
      <c r="BW955" s="540"/>
      <c r="BX955" s="540"/>
      <c r="BY955" s="540"/>
      <c r="BZ955" s="540"/>
      <c r="CA955" s="540"/>
      <c r="CB955" s="540"/>
      <c r="CC955" s="540"/>
      <c r="CD955" s="540"/>
      <c r="CE955" s="540"/>
      <c r="CF955" s="540"/>
      <c r="CG955" s="540"/>
      <c r="CH955" s="540"/>
      <c r="CI955" s="540"/>
      <c r="CJ955" s="540"/>
      <c r="CK955" s="540"/>
      <c r="CL955" s="540"/>
      <c r="CM955" s="540"/>
      <c r="CN955" s="540"/>
      <c r="CO955" s="540"/>
      <c r="CP955" s="540"/>
      <c r="CQ955" s="540"/>
      <c r="CR955" s="540"/>
      <c r="CS955" s="540"/>
      <c r="CT955" s="540"/>
      <c r="CU955" s="540"/>
      <c r="CV955" s="540"/>
      <c r="CW955" s="540"/>
      <c r="CX955" s="540"/>
      <c r="CY955" s="540"/>
      <c r="CZ955" s="540"/>
      <c r="DA955" s="540"/>
      <c r="DB955" s="540"/>
      <c r="DC955" s="540"/>
      <c r="DD955" s="540"/>
      <c r="DE955" s="540"/>
      <c r="DF955" s="540"/>
      <c r="DG955" s="540"/>
      <c r="DH955" s="540"/>
      <c r="DI955" s="540"/>
      <c r="DJ955" s="540"/>
      <c r="DK955" s="540"/>
      <c r="DL955" s="540"/>
      <c r="DM955" s="540"/>
      <c r="DN955" s="540"/>
    </row>
    <row r="956" spans="1:118" s="204" customFormat="1" ht="15.75" customHeight="1">
      <c r="A956" s="755"/>
      <c r="B956" s="585"/>
      <c r="C956" s="586"/>
      <c r="D956" s="406"/>
      <c r="E956" s="426"/>
      <c r="F956" s="412"/>
      <c r="G956" s="202"/>
      <c r="H956" s="203"/>
      <c r="I956" s="540"/>
      <c r="J956" s="540"/>
      <c r="K956" s="540"/>
      <c r="L956" s="540"/>
      <c r="M956" s="540"/>
      <c r="N956" s="540"/>
      <c r="O956" s="540"/>
      <c r="P956" s="540"/>
      <c r="Q956" s="540"/>
      <c r="R956" s="540"/>
      <c r="S956" s="540"/>
      <c r="T956" s="540"/>
      <c r="U956" s="540"/>
      <c r="V956" s="540"/>
      <c r="W956" s="540"/>
      <c r="X956" s="540"/>
      <c r="Y956" s="540"/>
      <c r="Z956" s="540"/>
      <c r="AA956" s="540"/>
      <c r="AB956" s="540"/>
      <c r="AC956" s="540"/>
      <c r="AD956" s="540"/>
      <c r="AE956" s="540"/>
      <c r="AF956" s="540"/>
      <c r="AG956" s="540"/>
      <c r="AH956" s="540"/>
      <c r="AI956" s="540"/>
      <c r="AJ956" s="540"/>
      <c r="AK956" s="540"/>
      <c r="AL956" s="540"/>
      <c r="AM956" s="540"/>
      <c r="AN956" s="540"/>
      <c r="AO956" s="540"/>
      <c r="AP956" s="540"/>
      <c r="AQ956" s="540"/>
      <c r="AR956" s="540"/>
      <c r="AS956" s="540"/>
      <c r="AT956" s="540"/>
      <c r="AU956" s="540"/>
      <c r="AV956" s="540"/>
      <c r="AW956" s="540"/>
      <c r="AX956" s="540"/>
      <c r="AY956" s="540"/>
      <c r="AZ956" s="540"/>
      <c r="BA956" s="540"/>
      <c r="BB956" s="540"/>
      <c r="BC956" s="540"/>
      <c r="BD956" s="540"/>
      <c r="BE956" s="540"/>
      <c r="BF956" s="540"/>
      <c r="BG956" s="540"/>
      <c r="BH956" s="540"/>
      <c r="BI956" s="540"/>
      <c r="BJ956" s="540"/>
      <c r="BK956" s="540"/>
      <c r="BL956" s="540"/>
      <c r="BM956" s="540"/>
      <c r="BN956" s="540"/>
      <c r="BO956" s="540"/>
      <c r="BP956" s="540"/>
      <c r="BQ956" s="540"/>
      <c r="BR956" s="540"/>
      <c r="BS956" s="540"/>
      <c r="BT956" s="540"/>
      <c r="BU956" s="540"/>
      <c r="BV956" s="540"/>
      <c r="BW956" s="540"/>
      <c r="BX956" s="540"/>
      <c r="BY956" s="540"/>
      <c r="BZ956" s="540"/>
      <c r="CA956" s="540"/>
      <c r="CB956" s="540"/>
      <c r="CC956" s="540"/>
      <c r="CD956" s="540"/>
      <c r="CE956" s="540"/>
      <c r="CF956" s="540"/>
      <c r="CG956" s="540"/>
      <c r="CH956" s="540"/>
      <c r="CI956" s="540"/>
      <c r="CJ956" s="540"/>
      <c r="CK956" s="540"/>
      <c r="CL956" s="540"/>
      <c r="CM956" s="540"/>
      <c r="CN956" s="540"/>
      <c r="CO956" s="540"/>
      <c r="CP956" s="540"/>
      <c r="CQ956" s="540"/>
      <c r="CR956" s="540"/>
      <c r="CS956" s="540"/>
      <c r="CT956" s="540"/>
      <c r="CU956" s="540"/>
      <c r="CV956" s="540"/>
      <c r="CW956" s="540"/>
      <c r="CX956" s="540"/>
      <c r="CY956" s="540"/>
      <c r="CZ956" s="540"/>
      <c r="DA956" s="540"/>
      <c r="DB956" s="540"/>
      <c r="DC956" s="540"/>
      <c r="DD956" s="540"/>
      <c r="DE956" s="540"/>
      <c r="DF956" s="540"/>
      <c r="DG956" s="540"/>
      <c r="DH956" s="540"/>
      <c r="DI956" s="540"/>
      <c r="DJ956" s="540"/>
      <c r="DK956" s="540"/>
      <c r="DL956" s="540"/>
      <c r="DM956" s="540"/>
      <c r="DN956" s="540"/>
    </row>
    <row r="957" spans="1:8" ht="12.75">
      <c r="A957" s="754">
        <v>6</v>
      </c>
      <c r="B957" s="352" t="s">
        <v>1446</v>
      </c>
      <c r="C957" s="357" t="s">
        <v>1072</v>
      </c>
      <c r="D957" s="398" t="s">
        <v>1073</v>
      </c>
      <c r="E957" s="399" t="s">
        <v>45</v>
      </c>
      <c r="F957" s="210">
        <f>E959</f>
        <v>1</v>
      </c>
      <c r="G957" s="23"/>
      <c r="H957" s="205">
        <f>F957*G957</f>
        <v>0</v>
      </c>
    </row>
    <row r="958" spans="1:8" s="204" customFormat="1" ht="12">
      <c r="A958" s="755"/>
      <c r="B958" s="400"/>
      <c r="C958" s="401">
        <v>1</v>
      </c>
      <c r="D958" s="402"/>
      <c r="E958" s="403">
        <f>C958</f>
        <v>1</v>
      </c>
      <c r="F958" s="208"/>
      <c r="G958" s="202"/>
      <c r="H958" s="203"/>
    </row>
    <row r="959" spans="1:8" s="204" customFormat="1" ht="12">
      <c r="A959" s="755"/>
      <c r="B959" s="404"/>
      <c r="C959" s="405" t="s">
        <v>39</v>
      </c>
      <c r="D959" s="406"/>
      <c r="E959" s="407">
        <f>SUM(E958:E958)</f>
        <v>1</v>
      </c>
      <c r="F959" s="208"/>
      <c r="G959" s="202"/>
      <c r="H959" s="203"/>
    </row>
    <row r="960" spans="1:8" s="204" customFormat="1" ht="12">
      <c r="A960" s="755"/>
      <c r="B960" s="404"/>
      <c r="C960" s="405"/>
      <c r="D960" s="406"/>
      <c r="E960" s="407"/>
      <c r="F960" s="208"/>
      <c r="G960" s="202"/>
      <c r="H960" s="203"/>
    </row>
    <row r="961" spans="1:118" ht="25.5">
      <c r="A961" s="754">
        <v>7</v>
      </c>
      <c r="B961" s="421" t="s">
        <v>2</v>
      </c>
      <c r="C961" s="422" t="s">
        <v>365</v>
      </c>
      <c r="D961" s="358"/>
      <c r="E961" s="3" t="s">
        <v>50</v>
      </c>
      <c r="F961" s="216">
        <f>SUM(H937:H960)/100</f>
        <v>0</v>
      </c>
      <c r="G961" s="23"/>
      <c r="H961" s="205">
        <f>F961*G961</f>
        <v>0</v>
      </c>
      <c r="I961" s="218"/>
      <c r="J961" s="218"/>
      <c r="K961" s="218"/>
      <c r="L961" s="218"/>
      <c r="M961" s="218"/>
      <c r="N961" s="218"/>
      <c r="O961" s="218"/>
      <c r="P961" s="218"/>
      <c r="Q961" s="218"/>
      <c r="R961" s="218"/>
      <c r="S961" s="218"/>
      <c r="T961" s="218"/>
      <c r="U961" s="218"/>
      <c r="V961" s="218"/>
      <c r="W961" s="218"/>
      <c r="X961" s="218"/>
      <c r="Y961" s="218"/>
      <c r="Z961" s="218"/>
      <c r="AA961" s="218"/>
      <c r="AB961" s="218"/>
      <c r="AC961" s="218"/>
      <c r="AD961" s="218"/>
      <c r="AE961" s="218"/>
      <c r="AF961" s="218"/>
      <c r="AG961" s="218"/>
      <c r="AH961" s="218"/>
      <c r="AI961" s="218"/>
      <c r="AJ961" s="218"/>
      <c r="AK961" s="218"/>
      <c r="AL961" s="218"/>
      <c r="AM961" s="218"/>
      <c r="AN961" s="218"/>
      <c r="AO961" s="218"/>
      <c r="AP961" s="218"/>
      <c r="AQ961" s="218"/>
      <c r="AR961" s="218"/>
      <c r="AS961" s="218"/>
      <c r="AT961" s="218"/>
      <c r="AU961" s="218"/>
      <c r="AV961" s="218"/>
      <c r="AW961" s="218"/>
      <c r="AX961" s="218"/>
      <c r="AY961" s="218"/>
      <c r="AZ961" s="218"/>
      <c r="BA961" s="218"/>
      <c r="BB961" s="218"/>
      <c r="BC961" s="218"/>
      <c r="BD961" s="218"/>
      <c r="BE961" s="218"/>
      <c r="BF961" s="218"/>
      <c r="BG961" s="218"/>
      <c r="BH961" s="218"/>
      <c r="BI961" s="218"/>
      <c r="BJ961" s="218"/>
      <c r="BK961" s="218"/>
      <c r="BL961" s="218"/>
      <c r="BM961" s="218"/>
      <c r="BN961" s="218"/>
      <c r="BO961" s="218"/>
      <c r="BP961" s="218"/>
      <c r="BQ961" s="218"/>
      <c r="BR961" s="218"/>
      <c r="BS961" s="218"/>
      <c r="BT961" s="218"/>
      <c r="BU961" s="218"/>
      <c r="BV961" s="218"/>
      <c r="BW961" s="218"/>
      <c r="BX961" s="218"/>
      <c r="BY961" s="218"/>
      <c r="BZ961" s="218"/>
      <c r="CA961" s="218"/>
      <c r="CB961" s="218"/>
      <c r="CC961" s="218"/>
      <c r="CD961" s="218"/>
      <c r="CE961" s="218"/>
      <c r="CF961" s="218"/>
      <c r="CG961" s="218"/>
      <c r="CH961" s="218"/>
      <c r="CI961" s="218"/>
      <c r="CJ961" s="218"/>
      <c r="CK961" s="218"/>
      <c r="CL961" s="218"/>
      <c r="CM961" s="218"/>
      <c r="CN961" s="218"/>
      <c r="CO961" s="218"/>
      <c r="CP961" s="218"/>
      <c r="CQ961" s="218"/>
      <c r="CR961" s="218"/>
      <c r="CS961" s="218"/>
      <c r="CT961" s="218"/>
      <c r="CU961" s="218"/>
      <c r="CV961" s="218"/>
      <c r="CW961" s="218"/>
      <c r="CX961" s="218"/>
      <c r="CY961" s="218"/>
      <c r="CZ961" s="218"/>
      <c r="DA961" s="218"/>
      <c r="DB961" s="218"/>
      <c r="DC961" s="218"/>
      <c r="DD961" s="218"/>
      <c r="DE961" s="218"/>
      <c r="DF961" s="218"/>
      <c r="DG961" s="218"/>
      <c r="DH961" s="218"/>
      <c r="DI961" s="218"/>
      <c r="DJ961" s="218"/>
      <c r="DK961" s="218"/>
      <c r="DL961" s="218"/>
      <c r="DM961" s="218"/>
      <c r="DN961" s="218"/>
    </row>
    <row r="962" spans="1:118" ht="15.75" customHeight="1">
      <c r="A962" s="754"/>
      <c r="B962" s="587"/>
      <c r="C962" s="537"/>
      <c r="D962" s="358"/>
      <c r="E962" s="4"/>
      <c r="F962" s="209"/>
      <c r="G962" s="23"/>
      <c r="H962" s="205"/>
      <c r="I962" s="218"/>
      <c r="J962" s="218"/>
      <c r="K962" s="218"/>
      <c r="L962" s="218"/>
      <c r="M962" s="218"/>
      <c r="N962" s="218"/>
      <c r="O962" s="218"/>
      <c r="P962" s="218"/>
      <c r="Q962" s="218"/>
      <c r="R962" s="218"/>
      <c r="S962" s="218"/>
      <c r="T962" s="218"/>
      <c r="U962" s="218"/>
      <c r="V962" s="218"/>
      <c r="W962" s="218"/>
      <c r="X962" s="218"/>
      <c r="Y962" s="218"/>
      <c r="Z962" s="218"/>
      <c r="AA962" s="218"/>
      <c r="AB962" s="218"/>
      <c r="AC962" s="218"/>
      <c r="AD962" s="218"/>
      <c r="AE962" s="218"/>
      <c r="AF962" s="218"/>
      <c r="AG962" s="218"/>
      <c r="AH962" s="218"/>
      <c r="AI962" s="218"/>
      <c r="AJ962" s="218"/>
      <c r="AK962" s="218"/>
      <c r="AL962" s="218"/>
      <c r="AM962" s="218"/>
      <c r="AN962" s="218"/>
      <c r="AO962" s="218"/>
      <c r="AP962" s="218"/>
      <c r="AQ962" s="218"/>
      <c r="AR962" s="218"/>
      <c r="AS962" s="218"/>
      <c r="AT962" s="218"/>
      <c r="AU962" s="218"/>
      <c r="AV962" s="218"/>
      <c r="AW962" s="218"/>
      <c r="AX962" s="218"/>
      <c r="AY962" s="218"/>
      <c r="AZ962" s="218"/>
      <c r="BA962" s="218"/>
      <c r="BB962" s="218"/>
      <c r="BC962" s="218"/>
      <c r="BD962" s="218"/>
      <c r="BE962" s="218"/>
      <c r="BF962" s="218"/>
      <c r="BG962" s="218"/>
      <c r="BH962" s="218"/>
      <c r="BI962" s="218"/>
      <c r="BJ962" s="218"/>
      <c r="BK962" s="218"/>
      <c r="BL962" s="218"/>
      <c r="BM962" s="218"/>
      <c r="BN962" s="218"/>
      <c r="BO962" s="218"/>
      <c r="BP962" s="218"/>
      <c r="BQ962" s="218"/>
      <c r="BR962" s="218"/>
      <c r="BS962" s="218"/>
      <c r="BT962" s="218"/>
      <c r="BU962" s="218"/>
      <c r="BV962" s="218"/>
      <c r="BW962" s="218"/>
      <c r="BX962" s="218"/>
      <c r="BY962" s="218"/>
      <c r="BZ962" s="218"/>
      <c r="CA962" s="218"/>
      <c r="CB962" s="218"/>
      <c r="CC962" s="218"/>
      <c r="CD962" s="218"/>
      <c r="CE962" s="218"/>
      <c r="CF962" s="218"/>
      <c r="CG962" s="218"/>
      <c r="CH962" s="218"/>
      <c r="CI962" s="218"/>
      <c r="CJ962" s="218"/>
      <c r="CK962" s="218"/>
      <c r="CL962" s="218"/>
      <c r="CM962" s="218"/>
      <c r="CN962" s="218"/>
      <c r="CO962" s="218"/>
      <c r="CP962" s="218"/>
      <c r="CQ962" s="218"/>
      <c r="CR962" s="218"/>
      <c r="CS962" s="218"/>
      <c r="CT962" s="218"/>
      <c r="CU962" s="218"/>
      <c r="CV962" s="218"/>
      <c r="CW962" s="218"/>
      <c r="CX962" s="218"/>
      <c r="CY962" s="218"/>
      <c r="CZ962" s="218"/>
      <c r="DA962" s="218"/>
      <c r="DB962" s="218"/>
      <c r="DC962" s="218"/>
      <c r="DD962" s="218"/>
      <c r="DE962" s="218"/>
      <c r="DF962" s="218"/>
      <c r="DG962" s="218"/>
      <c r="DH962" s="218"/>
      <c r="DI962" s="218"/>
      <c r="DJ962" s="218"/>
      <c r="DK962" s="218"/>
      <c r="DL962" s="218"/>
      <c r="DM962" s="218"/>
      <c r="DN962" s="218"/>
    </row>
    <row r="963" spans="1:118" ht="15.75" customHeight="1">
      <c r="A963" s="754"/>
      <c r="B963" s="551"/>
      <c r="C963" s="583" t="s">
        <v>1069</v>
      </c>
      <c r="D963" s="546" t="s">
        <v>1219</v>
      </c>
      <c r="E963" s="396"/>
      <c r="F963" s="209"/>
      <c r="G963" s="23"/>
      <c r="H963" s="397">
        <f>SUM(H964:H980)</f>
        <v>0</v>
      </c>
      <c r="I963" s="218"/>
      <c r="J963" s="218"/>
      <c r="K963" s="218"/>
      <c r="L963" s="218"/>
      <c r="M963" s="218"/>
      <c r="N963" s="218"/>
      <c r="O963" s="218"/>
      <c r="P963" s="218"/>
      <c r="Q963" s="218"/>
      <c r="R963" s="218"/>
      <c r="S963" s="218"/>
      <c r="T963" s="218"/>
      <c r="U963" s="218"/>
      <c r="V963" s="218"/>
      <c r="W963" s="218"/>
      <c r="X963" s="218"/>
      <c r="Y963" s="218"/>
      <c r="Z963" s="218"/>
      <c r="AA963" s="218"/>
      <c r="AB963" s="218"/>
      <c r="AC963" s="218"/>
      <c r="AD963" s="218"/>
      <c r="AE963" s="218"/>
      <c r="AF963" s="218"/>
      <c r="AG963" s="218"/>
      <c r="AH963" s="218"/>
      <c r="AI963" s="218"/>
      <c r="AJ963" s="218"/>
      <c r="AK963" s="218"/>
      <c r="AL963" s="218"/>
      <c r="AM963" s="218"/>
      <c r="AN963" s="218"/>
      <c r="AO963" s="218"/>
      <c r="AP963" s="218"/>
      <c r="AQ963" s="218"/>
      <c r="AR963" s="218"/>
      <c r="AS963" s="218"/>
      <c r="AT963" s="218"/>
      <c r="AU963" s="218"/>
      <c r="AV963" s="218"/>
      <c r="AW963" s="218"/>
      <c r="AX963" s="218"/>
      <c r="AY963" s="218"/>
      <c r="AZ963" s="218"/>
      <c r="BA963" s="218"/>
      <c r="BB963" s="218"/>
      <c r="BC963" s="218"/>
      <c r="BD963" s="218"/>
      <c r="BE963" s="218"/>
      <c r="BF963" s="218"/>
      <c r="BG963" s="218"/>
      <c r="BH963" s="218"/>
      <c r="BI963" s="218"/>
      <c r="BJ963" s="218"/>
      <c r="BK963" s="218"/>
      <c r="BL963" s="218"/>
      <c r="BM963" s="218"/>
      <c r="BN963" s="218"/>
      <c r="BO963" s="218"/>
      <c r="BP963" s="218"/>
      <c r="BQ963" s="218"/>
      <c r="BR963" s="218"/>
      <c r="BS963" s="218"/>
      <c r="BT963" s="218"/>
      <c r="BU963" s="218"/>
      <c r="BV963" s="218"/>
      <c r="BW963" s="218"/>
      <c r="BX963" s="218"/>
      <c r="BY963" s="218"/>
      <c r="BZ963" s="218"/>
      <c r="CA963" s="218"/>
      <c r="CB963" s="218"/>
      <c r="CC963" s="218"/>
      <c r="CD963" s="218"/>
      <c r="CE963" s="218"/>
      <c r="CF963" s="218"/>
      <c r="CG963" s="218"/>
      <c r="CH963" s="218"/>
      <c r="CI963" s="218"/>
      <c r="CJ963" s="218"/>
      <c r="CK963" s="218"/>
      <c r="CL963" s="218"/>
      <c r="CM963" s="218"/>
      <c r="CN963" s="218"/>
      <c r="CO963" s="218"/>
      <c r="CP963" s="218"/>
      <c r="CQ963" s="218"/>
      <c r="CR963" s="218"/>
      <c r="CS963" s="218"/>
      <c r="CT963" s="218"/>
      <c r="CU963" s="218"/>
      <c r="CV963" s="218"/>
      <c r="CW963" s="218"/>
      <c r="CX963" s="218"/>
      <c r="CY963" s="218"/>
      <c r="CZ963" s="218"/>
      <c r="DA963" s="218"/>
      <c r="DB963" s="218"/>
      <c r="DC963" s="218"/>
      <c r="DD963" s="218"/>
      <c r="DE963" s="218"/>
      <c r="DF963" s="218"/>
      <c r="DG963" s="218"/>
      <c r="DH963" s="218"/>
      <c r="DI963" s="218"/>
      <c r="DJ963" s="218"/>
      <c r="DK963" s="218"/>
      <c r="DL963" s="218"/>
      <c r="DM963" s="218"/>
      <c r="DN963" s="218"/>
    </row>
    <row r="964" spans="1:118" ht="24">
      <c r="A964" s="754">
        <v>1</v>
      </c>
      <c r="B964" s="551" t="s">
        <v>362</v>
      </c>
      <c r="C964" s="552" t="s">
        <v>363</v>
      </c>
      <c r="D964" s="423" t="s">
        <v>382</v>
      </c>
      <c r="E964" s="396" t="s">
        <v>45</v>
      </c>
      <c r="F964" s="584">
        <f>E966</f>
        <v>1</v>
      </c>
      <c r="G964" s="23"/>
      <c r="H964" s="205">
        <f>F964*G964</f>
        <v>0</v>
      </c>
      <c r="I964" s="218"/>
      <c r="J964" s="218"/>
      <c r="K964" s="218"/>
      <c r="L964" s="218"/>
      <c r="M964" s="218"/>
      <c r="N964" s="218"/>
      <c r="O964" s="218"/>
      <c r="P964" s="218"/>
      <c r="Q964" s="218"/>
      <c r="R964" s="218"/>
      <c r="S964" s="218"/>
      <c r="T964" s="218"/>
      <c r="U964" s="218"/>
      <c r="V964" s="218"/>
      <c r="W964" s="218"/>
      <c r="X964" s="218"/>
      <c r="Y964" s="218"/>
      <c r="Z964" s="218"/>
      <c r="AA964" s="218"/>
      <c r="AB964" s="218"/>
      <c r="AC964" s="218"/>
      <c r="AD964" s="218"/>
      <c r="AE964" s="218"/>
      <c r="AF964" s="218"/>
      <c r="AG964" s="218"/>
      <c r="AH964" s="218"/>
      <c r="AI964" s="218"/>
      <c r="AJ964" s="218"/>
      <c r="AK964" s="218"/>
      <c r="AL964" s="218"/>
      <c r="AM964" s="218"/>
      <c r="AN964" s="218"/>
      <c r="AO964" s="218"/>
      <c r="AP964" s="218"/>
      <c r="AQ964" s="218"/>
      <c r="AR964" s="218"/>
      <c r="AS964" s="218"/>
      <c r="AT964" s="218"/>
      <c r="AU964" s="218"/>
      <c r="AV964" s="218"/>
      <c r="AW964" s="218"/>
      <c r="AX964" s="218"/>
      <c r="AY964" s="218"/>
      <c r="AZ964" s="218"/>
      <c r="BA964" s="218"/>
      <c r="BB964" s="218"/>
      <c r="BC964" s="218"/>
      <c r="BD964" s="218"/>
      <c r="BE964" s="218"/>
      <c r="BF964" s="218"/>
      <c r="BG964" s="218"/>
      <c r="BH964" s="218"/>
      <c r="BI964" s="218"/>
      <c r="BJ964" s="218"/>
      <c r="BK964" s="218"/>
      <c r="BL964" s="218"/>
      <c r="BM964" s="218"/>
      <c r="BN964" s="218"/>
      <c r="BO964" s="218"/>
      <c r="BP964" s="218"/>
      <c r="BQ964" s="218"/>
      <c r="BR964" s="218"/>
      <c r="BS964" s="218"/>
      <c r="BT964" s="218"/>
      <c r="BU964" s="218"/>
      <c r="BV964" s="218"/>
      <c r="BW964" s="218"/>
      <c r="BX964" s="218"/>
      <c r="BY964" s="218"/>
      <c r="BZ964" s="218"/>
      <c r="CA964" s="218"/>
      <c r="CB964" s="218"/>
      <c r="CC964" s="218"/>
      <c r="CD964" s="218"/>
      <c r="CE964" s="218"/>
      <c r="CF964" s="218"/>
      <c r="CG964" s="218"/>
      <c r="CH964" s="218"/>
      <c r="CI964" s="218"/>
      <c r="CJ964" s="218"/>
      <c r="CK964" s="218"/>
      <c r="CL964" s="218"/>
      <c r="CM964" s="218"/>
      <c r="CN964" s="218"/>
      <c r="CO964" s="218"/>
      <c r="CP964" s="218"/>
      <c r="CQ964" s="218"/>
      <c r="CR964" s="218"/>
      <c r="CS964" s="218"/>
      <c r="CT964" s="218"/>
      <c r="CU964" s="218"/>
      <c r="CV964" s="218"/>
      <c r="CW964" s="218"/>
      <c r="CX964" s="218"/>
      <c r="CY964" s="218"/>
      <c r="CZ964" s="218"/>
      <c r="DA964" s="218"/>
      <c r="DB964" s="218"/>
      <c r="DC964" s="218"/>
      <c r="DD964" s="218"/>
      <c r="DE964" s="218"/>
      <c r="DF964" s="218"/>
      <c r="DG964" s="218"/>
      <c r="DH964" s="218"/>
      <c r="DI964" s="218"/>
      <c r="DJ964" s="218"/>
      <c r="DK964" s="218"/>
      <c r="DL964" s="218"/>
      <c r="DM964" s="218"/>
      <c r="DN964" s="218"/>
    </row>
    <row r="965" spans="1:118" s="204" customFormat="1" ht="12">
      <c r="A965" s="755"/>
      <c r="B965" s="437" t="s">
        <v>364</v>
      </c>
      <c r="C965" s="409">
        <v>1</v>
      </c>
      <c r="D965" s="402"/>
      <c r="E965" s="411">
        <f>C965</f>
        <v>1</v>
      </c>
      <c r="F965" s="538"/>
      <c r="G965" s="539"/>
      <c r="H965" s="203"/>
      <c r="I965" s="540"/>
      <c r="J965" s="540"/>
      <c r="K965" s="540"/>
      <c r="L965" s="540"/>
      <c r="M965" s="540"/>
      <c r="N965" s="540"/>
      <c r="O965" s="540"/>
      <c r="P965" s="540"/>
      <c r="Q965" s="540"/>
      <c r="R965" s="540"/>
      <c r="S965" s="540"/>
      <c r="T965" s="540"/>
      <c r="U965" s="540"/>
      <c r="V965" s="540"/>
      <c r="W965" s="540"/>
      <c r="X965" s="540"/>
      <c r="Y965" s="540"/>
      <c r="Z965" s="540"/>
      <c r="AA965" s="540"/>
      <c r="AB965" s="540"/>
      <c r="AC965" s="540"/>
      <c r="AD965" s="540"/>
      <c r="AE965" s="540"/>
      <c r="AF965" s="540"/>
      <c r="AG965" s="540"/>
      <c r="AH965" s="540"/>
      <c r="AI965" s="540"/>
      <c r="AJ965" s="540"/>
      <c r="AK965" s="540"/>
      <c r="AL965" s="540"/>
      <c r="AM965" s="540"/>
      <c r="AN965" s="540"/>
      <c r="AO965" s="540"/>
      <c r="AP965" s="540"/>
      <c r="AQ965" s="540"/>
      <c r="AR965" s="540"/>
      <c r="AS965" s="540"/>
      <c r="AT965" s="540"/>
      <c r="AU965" s="540"/>
      <c r="AV965" s="540"/>
      <c r="AW965" s="540"/>
      <c r="AX965" s="540"/>
      <c r="AY965" s="540"/>
      <c r="AZ965" s="540"/>
      <c r="BA965" s="540"/>
      <c r="BB965" s="540"/>
      <c r="BC965" s="540"/>
      <c r="BD965" s="540"/>
      <c r="BE965" s="540"/>
      <c r="BF965" s="540"/>
      <c r="BG965" s="540"/>
      <c r="BH965" s="540"/>
      <c r="BI965" s="540"/>
      <c r="BJ965" s="540"/>
      <c r="BK965" s="540"/>
      <c r="BL965" s="540"/>
      <c r="BM965" s="540"/>
      <c r="BN965" s="540"/>
      <c r="BO965" s="540"/>
      <c r="BP965" s="540"/>
      <c r="BQ965" s="540"/>
      <c r="BR965" s="540"/>
      <c r="BS965" s="540"/>
      <c r="BT965" s="540"/>
      <c r="BU965" s="540"/>
      <c r="BV965" s="540"/>
      <c r="BW965" s="540"/>
      <c r="BX965" s="540"/>
      <c r="BY965" s="540"/>
      <c r="BZ965" s="540"/>
      <c r="CA965" s="540"/>
      <c r="CB965" s="540"/>
      <c r="CC965" s="540"/>
      <c r="CD965" s="540"/>
      <c r="CE965" s="540"/>
      <c r="CF965" s="540"/>
      <c r="CG965" s="540"/>
      <c r="CH965" s="540"/>
      <c r="CI965" s="540"/>
      <c r="CJ965" s="540"/>
      <c r="CK965" s="540"/>
      <c r="CL965" s="540"/>
      <c r="CM965" s="540"/>
      <c r="CN965" s="540"/>
      <c r="CO965" s="540"/>
      <c r="CP965" s="540"/>
      <c r="CQ965" s="540"/>
      <c r="CR965" s="540"/>
      <c r="CS965" s="540"/>
      <c r="CT965" s="540"/>
      <c r="CU965" s="540"/>
      <c r="CV965" s="540"/>
      <c r="CW965" s="540"/>
      <c r="CX965" s="540"/>
      <c r="CY965" s="540"/>
      <c r="CZ965" s="540"/>
      <c r="DA965" s="540"/>
      <c r="DB965" s="540"/>
      <c r="DC965" s="540"/>
      <c r="DD965" s="540"/>
      <c r="DE965" s="540"/>
      <c r="DF965" s="540"/>
      <c r="DG965" s="540"/>
      <c r="DH965" s="540"/>
      <c r="DI965" s="540"/>
      <c r="DJ965" s="540"/>
      <c r="DK965" s="540"/>
      <c r="DL965" s="540"/>
      <c r="DM965" s="540"/>
      <c r="DN965" s="540"/>
    </row>
    <row r="966" spans="1:118" s="204" customFormat="1" ht="12">
      <c r="A966" s="755"/>
      <c r="B966" s="588"/>
      <c r="C966" s="413" t="s">
        <v>39</v>
      </c>
      <c r="D966" s="484"/>
      <c r="E966" s="414">
        <f>SUM(E965:E965)</f>
        <v>1</v>
      </c>
      <c r="F966" s="538"/>
      <c r="G966" s="539"/>
      <c r="H966" s="203"/>
      <c r="I966" s="540"/>
      <c r="J966" s="540"/>
      <c r="K966" s="540"/>
      <c r="L966" s="540"/>
      <c r="M966" s="540"/>
      <c r="N966" s="540"/>
      <c r="O966" s="540"/>
      <c r="P966" s="540"/>
      <c r="Q966" s="540"/>
      <c r="R966" s="540"/>
      <c r="S966" s="540"/>
      <c r="T966" s="540"/>
      <c r="U966" s="540"/>
      <c r="V966" s="540"/>
      <c r="W966" s="540"/>
      <c r="X966" s="540"/>
      <c r="Y966" s="540"/>
      <c r="Z966" s="540"/>
      <c r="AA966" s="540"/>
      <c r="AB966" s="540"/>
      <c r="AC966" s="540"/>
      <c r="AD966" s="540"/>
      <c r="AE966" s="540"/>
      <c r="AF966" s="540"/>
      <c r="AG966" s="540"/>
      <c r="AH966" s="540"/>
      <c r="AI966" s="540"/>
      <c r="AJ966" s="540"/>
      <c r="AK966" s="540"/>
      <c r="AL966" s="540"/>
      <c r="AM966" s="540"/>
      <c r="AN966" s="540"/>
      <c r="AO966" s="540"/>
      <c r="AP966" s="540"/>
      <c r="AQ966" s="540"/>
      <c r="AR966" s="540"/>
      <c r="AS966" s="540"/>
      <c r="AT966" s="540"/>
      <c r="AU966" s="540"/>
      <c r="AV966" s="540"/>
      <c r="AW966" s="540"/>
      <c r="AX966" s="540"/>
      <c r="AY966" s="540"/>
      <c r="AZ966" s="540"/>
      <c r="BA966" s="540"/>
      <c r="BB966" s="540"/>
      <c r="BC966" s="540"/>
      <c r="BD966" s="540"/>
      <c r="BE966" s="540"/>
      <c r="BF966" s="540"/>
      <c r="BG966" s="540"/>
      <c r="BH966" s="540"/>
      <c r="BI966" s="540"/>
      <c r="BJ966" s="540"/>
      <c r="BK966" s="540"/>
      <c r="BL966" s="540"/>
      <c r="BM966" s="540"/>
      <c r="BN966" s="540"/>
      <c r="BO966" s="540"/>
      <c r="BP966" s="540"/>
      <c r="BQ966" s="540"/>
      <c r="BR966" s="540"/>
      <c r="BS966" s="540"/>
      <c r="BT966" s="540"/>
      <c r="BU966" s="540"/>
      <c r="BV966" s="540"/>
      <c r="BW966" s="540"/>
      <c r="BX966" s="540"/>
      <c r="BY966" s="540"/>
      <c r="BZ966" s="540"/>
      <c r="CA966" s="540"/>
      <c r="CB966" s="540"/>
      <c r="CC966" s="540"/>
      <c r="CD966" s="540"/>
      <c r="CE966" s="540"/>
      <c r="CF966" s="540"/>
      <c r="CG966" s="540"/>
      <c r="CH966" s="540"/>
      <c r="CI966" s="540"/>
      <c r="CJ966" s="540"/>
      <c r="CK966" s="540"/>
      <c r="CL966" s="540"/>
      <c r="CM966" s="540"/>
      <c r="CN966" s="540"/>
      <c r="CO966" s="540"/>
      <c r="CP966" s="540"/>
      <c r="CQ966" s="540"/>
      <c r="CR966" s="540"/>
      <c r="CS966" s="540"/>
      <c r="CT966" s="540"/>
      <c r="CU966" s="540"/>
      <c r="CV966" s="540"/>
      <c r="CW966" s="540"/>
      <c r="CX966" s="540"/>
      <c r="CY966" s="540"/>
      <c r="CZ966" s="540"/>
      <c r="DA966" s="540"/>
      <c r="DB966" s="540"/>
      <c r="DC966" s="540"/>
      <c r="DD966" s="540"/>
      <c r="DE966" s="540"/>
      <c r="DF966" s="540"/>
      <c r="DG966" s="540"/>
      <c r="DH966" s="540"/>
      <c r="DI966" s="540"/>
      <c r="DJ966" s="540"/>
      <c r="DK966" s="540"/>
      <c r="DL966" s="540"/>
      <c r="DM966" s="540"/>
      <c r="DN966" s="540"/>
    </row>
    <row r="967" spans="1:118" s="204" customFormat="1" ht="15.75" customHeight="1">
      <c r="A967" s="755"/>
      <c r="B967" s="585"/>
      <c r="C967" s="586"/>
      <c r="D967" s="406"/>
      <c r="E967" s="426"/>
      <c r="F967" s="412"/>
      <c r="G967" s="202"/>
      <c r="H967" s="203"/>
      <c r="I967" s="540"/>
      <c r="J967" s="540"/>
      <c r="K967" s="540"/>
      <c r="L967" s="540"/>
      <c r="M967" s="540"/>
      <c r="N967" s="540"/>
      <c r="O967" s="540"/>
      <c r="P967" s="540"/>
      <c r="Q967" s="540"/>
      <c r="R967" s="540"/>
      <c r="S967" s="540"/>
      <c r="T967" s="540"/>
      <c r="U967" s="540"/>
      <c r="V967" s="540"/>
      <c r="W967" s="540"/>
      <c r="X967" s="540"/>
      <c r="Y967" s="540"/>
      <c r="Z967" s="540"/>
      <c r="AA967" s="540"/>
      <c r="AB967" s="540"/>
      <c r="AC967" s="540"/>
      <c r="AD967" s="540"/>
      <c r="AE967" s="540"/>
      <c r="AF967" s="540"/>
      <c r="AG967" s="540"/>
      <c r="AH967" s="540"/>
      <c r="AI967" s="540"/>
      <c r="AJ967" s="540"/>
      <c r="AK967" s="540"/>
      <c r="AL967" s="540"/>
      <c r="AM967" s="540"/>
      <c r="AN967" s="540"/>
      <c r="AO967" s="540"/>
      <c r="AP967" s="540"/>
      <c r="AQ967" s="540"/>
      <c r="AR967" s="540"/>
      <c r="AS967" s="540"/>
      <c r="AT967" s="540"/>
      <c r="AU967" s="540"/>
      <c r="AV967" s="540"/>
      <c r="AW967" s="540"/>
      <c r="AX967" s="540"/>
      <c r="AY967" s="540"/>
      <c r="AZ967" s="540"/>
      <c r="BA967" s="540"/>
      <c r="BB967" s="540"/>
      <c r="BC967" s="540"/>
      <c r="BD967" s="540"/>
      <c r="BE967" s="540"/>
      <c r="BF967" s="540"/>
      <c r="BG967" s="540"/>
      <c r="BH967" s="540"/>
      <c r="BI967" s="540"/>
      <c r="BJ967" s="540"/>
      <c r="BK967" s="540"/>
      <c r="BL967" s="540"/>
      <c r="BM967" s="540"/>
      <c r="BN967" s="540"/>
      <c r="BO967" s="540"/>
      <c r="BP967" s="540"/>
      <c r="BQ967" s="540"/>
      <c r="BR967" s="540"/>
      <c r="BS967" s="540"/>
      <c r="BT967" s="540"/>
      <c r="BU967" s="540"/>
      <c r="BV967" s="540"/>
      <c r="BW967" s="540"/>
      <c r="BX967" s="540"/>
      <c r="BY967" s="540"/>
      <c r="BZ967" s="540"/>
      <c r="CA967" s="540"/>
      <c r="CB967" s="540"/>
      <c r="CC967" s="540"/>
      <c r="CD967" s="540"/>
      <c r="CE967" s="540"/>
      <c r="CF967" s="540"/>
      <c r="CG967" s="540"/>
      <c r="CH967" s="540"/>
      <c r="CI967" s="540"/>
      <c r="CJ967" s="540"/>
      <c r="CK967" s="540"/>
      <c r="CL967" s="540"/>
      <c r="CM967" s="540"/>
      <c r="CN967" s="540"/>
      <c r="CO967" s="540"/>
      <c r="CP967" s="540"/>
      <c r="CQ967" s="540"/>
      <c r="CR967" s="540"/>
      <c r="CS967" s="540"/>
      <c r="CT967" s="540"/>
      <c r="CU967" s="540"/>
      <c r="CV967" s="540"/>
      <c r="CW967" s="540"/>
      <c r="CX967" s="540"/>
      <c r="CY967" s="540"/>
      <c r="CZ967" s="540"/>
      <c r="DA967" s="540"/>
      <c r="DB967" s="540"/>
      <c r="DC967" s="540"/>
      <c r="DD967" s="540"/>
      <c r="DE967" s="540"/>
      <c r="DF967" s="540"/>
      <c r="DG967" s="540"/>
      <c r="DH967" s="540"/>
      <c r="DI967" s="540"/>
      <c r="DJ967" s="540"/>
      <c r="DK967" s="540"/>
      <c r="DL967" s="540"/>
      <c r="DM967" s="540"/>
      <c r="DN967" s="540"/>
    </row>
    <row r="968" spans="1:118" ht="24">
      <c r="A968" s="754">
        <v>2</v>
      </c>
      <c r="B968" s="551" t="s">
        <v>790</v>
      </c>
      <c r="C968" s="552" t="s">
        <v>791</v>
      </c>
      <c r="D968" s="423" t="s">
        <v>792</v>
      </c>
      <c r="E968" s="396" t="s">
        <v>45</v>
      </c>
      <c r="F968" s="584">
        <f>E970</f>
        <v>1</v>
      </c>
      <c r="G968" s="23"/>
      <c r="H968" s="205">
        <f>F968*G968</f>
        <v>0</v>
      </c>
      <c r="I968" s="218"/>
      <c r="J968" s="218"/>
      <c r="K968" s="218"/>
      <c r="L968" s="218"/>
      <c r="M968" s="218"/>
      <c r="N968" s="218"/>
      <c r="O968" s="218"/>
      <c r="P968" s="218"/>
      <c r="Q968" s="218"/>
      <c r="R968" s="218"/>
      <c r="S968" s="218"/>
      <c r="T968" s="218"/>
      <c r="U968" s="218"/>
      <c r="V968" s="218"/>
      <c r="W968" s="218"/>
      <c r="X968" s="218"/>
      <c r="Y968" s="218"/>
      <c r="Z968" s="218"/>
      <c r="AA968" s="218"/>
      <c r="AB968" s="218"/>
      <c r="AC968" s="218"/>
      <c r="AD968" s="218"/>
      <c r="AE968" s="218"/>
      <c r="AF968" s="218"/>
      <c r="AG968" s="218"/>
      <c r="AH968" s="218"/>
      <c r="AI968" s="218"/>
      <c r="AJ968" s="218"/>
      <c r="AK968" s="218"/>
      <c r="AL968" s="218"/>
      <c r="AM968" s="218"/>
      <c r="AN968" s="218"/>
      <c r="AO968" s="218"/>
      <c r="AP968" s="218"/>
      <c r="AQ968" s="218"/>
      <c r="AR968" s="218"/>
      <c r="AS968" s="218"/>
      <c r="AT968" s="218"/>
      <c r="AU968" s="218"/>
      <c r="AV968" s="218"/>
      <c r="AW968" s="218"/>
      <c r="AX968" s="218"/>
      <c r="AY968" s="218"/>
      <c r="AZ968" s="218"/>
      <c r="BA968" s="218"/>
      <c r="BB968" s="218"/>
      <c r="BC968" s="218"/>
      <c r="BD968" s="218"/>
      <c r="BE968" s="218"/>
      <c r="BF968" s="218"/>
      <c r="BG968" s="218"/>
      <c r="BH968" s="218"/>
      <c r="BI968" s="218"/>
      <c r="BJ968" s="218"/>
      <c r="BK968" s="218"/>
      <c r="BL968" s="218"/>
      <c r="BM968" s="218"/>
      <c r="BN968" s="218"/>
      <c r="BO968" s="218"/>
      <c r="BP968" s="218"/>
      <c r="BQ968" s="218"/>
      <c r="BR968" s="218"/>
      <c r="BS968" s="218"/>
      <c r="BT968" s="218"/>
      <c r="BU968" s="218"/>
      <c r="BV968" s="218"/>
      <c r="BW968" s="218"/>
      <c r="BX968" s="218"/>
      <c r="BY968" s="218"/>
      <c r="BZ968" s="218"/>
      <c r="CA968" s="218"/>
      <c r="CB968" s="218"/>
      <c r="CC968" s="218"/>
      <c r="CD968" s="218"/>
      <c r="CE968" s="218"/>
      <c r="CF968" s="218"/>
      <c r="CG968" s="218"/>
      <c r="CH968" s="218"/>
      <c r="CI968" s="218"/>
      <c r="CJ968" s="218"/>
      <c r="CK968" s="218"/>
      <c r="CL968" s="218"/>
      <c r="CM968" s="218"/>
      <c r="CN968" s="218"/>
      <c r="CO968" s="218"/>
      <c r="CP968" s="218"/>
      <c r="CQ968" s="218"/>
      <c r="CR968" s="218"/>
      <c r="CS968" s="218"/>
      <c r="CT968" s="218"/>
      <c r="CU968" s="218"/>
      <c r="CV968" s="218"/>
      <c r="CW968" s="218"/>
      <c r="CX968" s="218"/>
      <c r="CY968" s="218"/>
      <c r="CZ968" s="218"/>
      <c r="DA968" s="218"/>
      <c r="DB968" s="218"/>
      <c r="DC968" s="218"/>
      <c r="DD968" s="218"/>
      <c r="DE968" s="218"/>
      <c r="DF968" s="218"/>
      <c r="DG968" s="218"/>
      <c r="DH968" s="218"/>
      <c r="DI968" s="218"/>
      <c r="DJ968" s="218"/>
      <c r="DK968" s="218"/>
      <c r="DL968" s="218"/>
      <c r="DM968" s="218"/>
      <c r="DN968" s="218"/>
    </row>
    <row r="969" spans="1:118" s="204" customFormat="1" ht="36">
      <c r="A969" s="755"/>
      <c r="B969" s="400" t="s">
        <v>794</v>
      </c>
      <c r="C969" s="409">
        <v>1</v>
      </c>
      <c r="D969" s="402"/>
      <c r="E969" s="411">
        <f>C969</f>
        <v>1</v>
      </c>
      <c r="F969" s="538"/>
      <c r="G969" s="539"/>
      <c r="H969" s="203"/>
      <c r="I969" s="540"/>
      <c r="J969" s="540"/>
      <c r="K969" s="540"/>
      <c r="L969" s="540"/>
      <c r="M969" s="540"/>
      <c r="N969" s="540"/>
      <c r="O969" s="540"/>
      <c r="P969" s="540"/>
      <c r="Q969" s="540"/>
      <c r="R969" s="540"/>
      <c r="S969" s="540"/>
      <c r="T969" s="540"/>
      <c r="U969" s="540"/>
      <c r="V969" s="540"/>
      <c r="W969" s="540"/>
      <c r="X969" s="540"/>
      <c r="Y969" s="540"/>
      <c r="Z969" s="540"/>
      <c r="AA969" s="540"/>
      <c r="AB969" s="540"/>
      <c r="AC969" s="540"/>
      <c r="AD969" s="540"/>
      <c r="AE969" s="540"/>
      <c r="AF969" s="540"/>
      <c r="AG969" s="540"/>
      <c r="AH969" s="540"/>
      <c r="AI969" s="540"/>
      <c r="AJ969" s="540"/>
      <c r="AK969" s="540"/>
      <c r="AL969" s="540"/>
      <c r="AM969" s="540"/>
      <c r="AN969" s="540"/>
      <c r="AO969" s="540"/>
      <c r="AP969" s="540"/>
      <c r="AQ969" s="540"/>
      <c r="AR969" s="540"/>
      <c r="AS969" s="540"/>
      <c r="AT969" s="540"/>
      <c r="AU969" s="540"/>
      <c r="AV969" s="540"/>
      <c r="AW969" s="540"/>
      <c r="AX969" s="540"/>
      <c r="AY969" s="540"/>
      <c r="AZ969" s="540"/>
      <c r="BA969" s="540"/>
      <c r="BB969" s="540"/>
      <c r="BC969" s="540"/>
      <c r="BD969" s="540"/>
      <c r="BE969" s="540"/>
      <c r="BF969" s="540"/>
      <c r="BG969" s="540"/>
      <c r="BH969" s="540"/>
      <c r="BI969" s="540"/>
      <c r="BJ969" s="540"/>
      <c r="BK969" s="540"/>
      <c r="BL969" s="540"/>
      <c r="BM969" s="540"/>
      <c r="BN969" s="540"/>
      <c r="BO969" s="540"/>
      <c r="BP969" s="540"/>
      <c r="BQ969" s="540"/>
      <c r="BR969" s="540"/>
      <c r="BS969" s="540"/>
      <c r="BT969" s="540"/>
      <c r="BU969" s="540"/>
      <c r="BV969" s="540"/>
      <c r="BW969" s="540"/>
      <c r="BX969" s="540"/>
      <c r="BY969" s="540"/>
      <c r="BZ969" s="540"/>
      <c r="CA969" s="540"/>
      <c r="CB969" s="540"/>
      <c r="CC969" s="540"/>
      <c r="CD969" s="540"/>
      <c r="CE969" s="540"/>
      <c r="CF969" s="540"/>
      <c r="CG969" s="540"/>
      <c r="CH969" s="540"/>
      <c r="CI969" s="540"/>
      <c r="CJ969" s="540"/>
      <c r="CK969" s="540"/>
      <c r="CL969" s="540"/>
      <c r="CM969" s="540"/>
      <c r="CN969" s="540"/>
      <c r="CO969" s="540"/>
      <c r="CP969" s="540"/>
      <c r="CQ969" s="540"/>
      <c r="CR969" s="540"/>
      <c r="CS969" s="540"/>
      <c r="CT969" s="540"/>
      <c r="CU969" s="540"/>
      <c r="CV969" s="540"/>
      <c r="CW969" s="540"/>
      <c r="CX969" s="540"/>
      <c r="CY969" s="540"/>
      <c r="CZ969" s="540"/>
      <c r="DA969" s="540"/>
      <c r="DB969" s="540"/>
      <c r="DC969" s="540"/>
      <c r="DD969" s="540"/>
      <c r="DE969" s="540"/>
      <c r="DF969" s="540"/>
      <c r="DG969" s="540"/>
      <c r="DH969" s="540"/>
      <c r="DI969" s="540"/>
      <c r="DJ969" s="540"/>
      <c r="DK969" s="540"/>
      <c r="DL969" s="540"/>
      <c r="DM969" s="540"/>
      <c r="DN969" s="540"/>
    </row>
    <row r="970" spans="1:118" s="204" customFormat="1" ht="12">
      <c r="A970" s="755"/>
      <c r="B970" s="588"/>
      <c r="C970" s="413" t="s">
        <v>39</v>
      </c>
      <c r="D970" s="484"/>
      <c r="E970" s="414">
        <f>SUM(E969:E969)</f>
        <v>1</v>
      </c>
      <c r="F970" s="538"/>
      <c r="G970" s="539"/>
      <c r="H970" s="203"/>
      <c r="I970" s="540"/>
      <c r="J970" s="540"/>
      <c r="K970" s="540"/>
      <c r="L970" s="540"/>
      <c r="M970" s="540"/>
      <c r="N970" s="540"/>
      <c r="O970" s="540"/>
      <c r="P970" s="540"/>
      <c r="Q970" s="540"/>
      <c r="R970" s="540"/>
      <c r="S970" s="540"/>
      <c r="T970" s="540"/>
      <c r="U970" s="540"/>
      <c r="V970" s="540"/>
      <c r="W970" s="540"/>
      <c r="X970" s="540"/>
      <c r="Y970" s="540"/>
      <c r="Z970" s="540"/>
      <c r="AA970" s="540"/>
      <c r="AB970" s="540"/>
      <c r="AC970" s="540"/>
      <c r="AD970" s="540"/>
      <c r="AE970" s="540"/>
      <c r="AF970" s="540"/>
      <c r="AG970" s="540"/>
      <c r="AH970" s="540"/>
      <c r="AI970" s="540"/>
      <c r="AJ970" s="540"/>
      <c r="AK970" s="540"/>
      <c r="AL970" s="540"/>
      <c r="AM970" s="540"/>
      <c r="AN970" s="540"/>
      <c r="AO970" s="540"/>
      <c r="AP970" s="540"/>
      <c r="AQ970" s="540"/>
      <c r="AR970" s="540"/>
      <c r="AS970" s="540"/>
      <c r="AT970" s="540"/>
      <c r="AU970" s="540"/>
      <c r="AV970" s="540"/>
      <c r="AW970" s="540"/>
      <c r="AX970" s="540"/>
      <c r="AY970" s="540"/>
      <c r="AZ970" s="540"/>
      <c r="BA970" s="540"/>
      <c r="BB970" s="540"/>
      <c r="BC970" s="540"/>
      <c r="BD970" s="540"/>
      <c r="BE970" s="540"/>
      <c r="BF970" s="540"/>
      <c r="BG970" s="540"/>
      <c r="BH970" s="540"/>
      <c r="BI970" s="540"/>
      <c r="BJ970" s="540"/>
      <c r="BK970" s="540"/>
      <c r="BL970" s="540"/>
      <c r="BM970" s="540"/>
      <c r="BN970" s="540"/>
      <c r="BO970" s="540"/>
      <c r="BP970" s="540"/>
      <c r="BQ970" s="540"/>
      <c r="BR970" s="540"/>
      <c r="BS970" s="540"/>
      <c r="BT970" s="540"/>
      <c r="BU970" s="540"/>
      <c r="BV970" s="540"/>
      <c r="BW970" s="540"/>
      <c r="BX970" s="540"/>
      <c r="BY970" s="540"/>
      <c r="BZ970" s="540"/>
      <c r="CA970" s="540"/>
      <c r="CB970" s="540"/>
      <c r="CC970" s="540"/>
      <c r="CD970" s="540"/>
      <c r="CE970" s="540"/>
      <c r="CF970" s="540"/>
      <c r="CG970" s="540"/>
      <c r="CH970" s="540"/>
      <c r="CI970" s="540"/>
      <c r="CJ970" s="540"/>
      <c r="CK970" s="540"/>
      <c r="CL970" s="540"/>
      <c r="CM970" s="540"/>
      <c r="CN970" s="540"/>
      <c r="CO970" s="540"/>
      <c r="CP970" s="540"/>
      <c r="CQ970" s="540"/>
      <c r="CR970" s="540"/>
      <c r="CS970" s="540"/>
      <c r="CT970" s="540"/>
      <c r="CU970" s="540"/>
      <c r="CV970" s="540"/>
      <c r="CW970" s="540"/>
      <c r="CX970" s="540"/>
      <c r="CY970" s="540"/>
      <c r="CZ970" s="540"/>
      <c r="DA970" s="540"/>
      <c r="DB970" s="540"/>
      <c r="DC970" s="540"/>
      <c r="DD970" s="540"/>
      <c r="DE970" s="540"/>
      <c r="DF970" s="540"/>
      <c r="DG970" s="540"/>
      <c r="DH970" s="540"/>
      <c r="DI970" s="540"/>
      <c r="DJ970" s="540"/>
      <c r="DK970" s="540"/>
      <c r="DL970" s="540"/>
      <c r="DM970" s="540"/>
      <c r="DN970" s="540"/>
    </row>
    <row r="971" spans="1:118" s="204" customFormat="1" ht="15.75" customHeight="1">
      <c r="A971" s="755"/>
      <c r="B971" s="585"/>
      <c r="C971" s="586"/>
      <c r="D971" s="406"/>
      <c r="E971" s="426"/>
      <c r="F971" s="412"/>
      <c r="G971" s="202"/>
      <c r="H971" s="203"/>
      <c r="I971" s="540"/>
      <c r="J971" s="540"/>
      <c r="K971" s="540"/>
      <c r="L971" s="540"/>
      <c r="M971" s="540"/>
      <c r="N971" s="540"/>
      <c r="O971" s="540"/>
      <c r="P971" s="540"/>
      <c r="Q971" s="540"/>
      <c r="R971" s="540"/>
      <c r="S971" s="540"/>
      <c r="T971" s="540"/>
      <c r="U971" s="540"/>
      <c r="V971" s="540"/>
      <c r="W971" s="540"/>
      <c r="X971" s="540"/>
      <c r="Y971" s="540"/>
      <c r="Z971" s="540"/>
      <c r="AA971" s="540"/>
      <c r="AB971" s="540"/>
      <c r="AC971" s="540"/>
      <c r="AD971" s="540"/>
      <c r="AE971" s="540"/>
      <c r="AF971" s="540"/>
      <c r="AG971" s="540"/>
      <c r="AH971" s="540"/>
      <c r="AI971" s="540"/>
      <c r="AJ971" s="540"/>
      <c r="AK971" s="540"/>
      <c r="AL971" s="540"/>
      <c r="AM971" s="540"/>
      <c r="AN971" s="540"/>
      <c r="AO971" s="540"/>
      <c r="AP971" s="540"/>
      <c r="AQ971" s="540"/>
      <c r="AR971" s="540"/>
      <c r="AS971" s="540"/>
      <c r="AT971" s="540"/>
      <c r="AU971" s="540"/>
      <c r="AV971" s="540"/>
      <c r="AW971" s="540"/>
      <c r="AX971" s="540"/>
      <c r="AY971" s="540"/>
      <c r="AZ971" s="540"/>
      <c r="BA971" s="540"/>
      <c r="BB971" s="540"/>
      <c r="BC971" s="540"/>
      <c r="BD971" s="540"/>
      <c r="BE971" s="540"/>
      <c r="BF971" s="540"/>
      <c r="BG971" s="540"/>
      <c r="BH971" s="540"/>
      <c r="BI971" s="540"/>
      <c r="BJ971" s="540"/>
      <c r="BK971" s="540"/>
      <c r="BL971" s="540"/>
      <c r="BM971" s="540"/>
      <c r="BN971" s="540"/>
      <c r="BO971" s="540"/>
      <c r="BP971" s="540"/>
      <c r="BQ971" s="540"/>
      <c r="BR971" s="540"/>
      <c r="BS971" s="540"/>
      <c r="BT971" s="540"/>
      <c r="BU971" s="540"/>
      <c r="BV971" s="540"/>
      <c r="BW971" s="540"/>
      <c r="BX971" s="540"/>
      <c r="BY971" s="540"/>
      <c r="BZ971" s="540"/>
      <c r="CA971" s="540"/>
      <c r="CB971" s="540"/>
      <c r="CC971" s="540"/>
      <c r="CD971" s="540"/>
      <c r="CE971" s="540"/>
      <c r="CF971" s="540"/>
      <c r="CG971" s="540"/>
      <c r="CH971" s="540"/>
      <c r="CI971" s="540"/>
      <c r="CJ971" s="540"/>
      <c r="CK971" s="540"/>
      <c r="CL971" s="540"/>
      <c r="CM971" s="540"/>
      <c r="CN971" s="540"/>
      <c r="CO971" s="540"/>
      <c r="CP971" s="540"/>
      <c r="CQ971" s="540"/>
      <c r="CR971" s="540"/>
      <c r="CS971" s="540"/>
      <c r="CT971" s="540"/>
      <c r="CU971" s="540"/>
      <c r="CV971" s="540"/>
      <c r="CW971" s="540"/>
      <c r="CX971" s="540"/>
      <c r="CY971" s="540"/>
      <c r="CZ971" s="540"/>
      <c r="DA971" s="540"/>
      <c r="DB971" s="540"/>
      <c r="DC971" s="540"/>
      <c r="DD971" s="540"/>
      <c r="DE971" s="540"/>
      <c r="DF971" s="540"/>
      <c r="DG971" s="540"/>
      <c r="DH971" s="540"/>
      <c r="DI971" s="540"/>
      <c r="DJ971" s="540"/>
      <c r="DK971" s="540"/>
      <c r="DL971" s="540"/>
      <c r="DM971" s="540"/>
      <c r="DN971" s="540"/>
    </row>
    <row r="972" spans="1:118" ht="24">
      <c r="A972" s="754">
        <v>3</v>
      </c>
      <c r="B972" s="551" t="s">
        <v>793</v>
      </c>
      <c r="C972" s="552" t="s">
        <v>791</v>
      </c>
      <c r="D972" s="423" t="s">
        <v>792</v>
      </c>
      <c r="E972" s="396" t="s">
        <v>45</v>
      </c>
      <c r="F972" s="584">
        <f>E974</f>
        <v>1</v>
      </c>
      <c r="G972" s="23"/>
      <c r="H972" s="205">
        <f>F972*G972</f>
        <v>0</v>
      </c>
      <c r="I972" s="218"/>
      <c r="J972" s="218"/>
      <c r="K972" s="218"/>
      <c r="L972" s="218"/>
      <c r="M972" s="218"/>
      <c r="N972" s="218"/>
      <c r="O972" s="218"/>
      <c r="P972" s="218"/>
      <c r="Q972" s="218"/>
      <c r="R972" s="218"/>
      <c r="S972" s="218"/>
      <c r="T972" s="218"/>
      <c r="U972" s="218"/>
      <c r="V972" s="218"/>
      <c r="W972" s="218"/>
      <c r="X972" s="218"/>
      <c r="Y972" s="218"/>
      <c r="Z972" s="218"/>
      <c r="AA972" s="218"/>
      <c r="AB972" s="218"/>
      <c r="AC972" s="218"/>
      <c r="AD972" s="218"/>
      <c r="AE972" s="218"/>
      <c r="AF972" s="218"/>
      <c r="AG972" s="218"/>
      <c r="AH972" s="218"/>
      <c r="AI972" s="218"/>
      <c r="AJ972" s="218"/>
      <c r="AK972" s="218"/>
      <c r="AL972" s="218"/>
      <c r="AM972" s="218"/>
      <c r="AN972" s="218"/>
      <c r="AO972" s="218"/>
      <c r="AP972" s="218"/>
      <c r="AQ972" s="218"/>
      <c r="AR972" s="218"/>
      <c r="AS972" s="218"/>
      <c r="AT972" s="218"/>
      <c r="AU972" s="218"/>
      <c r="AV972" s="218"/>
      <c r="AW972" s="218"/>
      <c r="AX972" s="218"/>
      <c r="AY972" s="218"/>
      <c r="AZ972" s="218"/>
      <c r="BA972" s="218"/>
      <c r="BB972" s="218"/>
      <c r="BC972" s="218"/>
      <c r="BD972" s="218"/>
      <c r="BE972" s="218"/>
      <c r="BF972" s="218"/>
      <c r="BG972" s="218"/>
      <c r="BH972" s="218"/>
      <c r="BI972" s="218"/>
      <c r="BJ972" s="218"/>
      <c r="BK972" s="218"/>
      <c r="BL972" s="218"/>
      <c r="BM972" s="218"/>
      <c r="BN972" s="218"/>
      <c r="BO972" s="218"/>
      <c r="BP972" s="218"/>
      <c r="BQ972" s="218"/>
      <c r="BR972" s="218"/>
      <c r="BS972" s="218"/>
      <c r="BT972" s="218"/>
      <c r="BU972" s="218"/>
      <c r="BV972" s="218"/>
      <c r="BW972" s="218"/>
      <c r="BX972" s="218"/>
      <c r="BY972" s="218"/>
      <c r="BZ972" s="218"/>
      <c r="CA972" s="218"/>
      <c r="CB972" s="218"/>
      <c r="CC972" s="218"/>
      <c r="CD972" s="218"/>
      <c r="CE972" s="218"/>
      <c r="CF972" s="218"/>
      <c r="CG972" s="218"/>
      <c r="CH972" s="218"/>
      <c r="CI972" s="218"/>
      <c r="CJ972" s="218"/>
      <c r="CK972" s="218"/>
      <c r="CL972" s="218"/>
      <c r="CM972" s="218"/>
      <c r="CN972" s="218"/>
      <c r="CO972" s="218"/>
      <c r="CP972" s="218"/>
      <c r="CQ972" s="218"/>
      <c r="CR972" s="218"/>
      <c r="CS972" s="218"/>
      <c r="CT972" s="218"/>
      <c r="CU972" s="218"/>
      <c r="CV972" s="218"/>
      <c r="CW972" s="218"/>
      <c r="CX972" s="218"/>
      <c r="CY972" s="218"/>
      <c r="CZ972" s="218"/>
      <c r="DA972" s="218"/>
      <c r="DB972" s="218"/>
      <c r="DC972" s="218"/>
      <c r="DD972" s="218"/>
      <c r="DE972" s="218"/>
      <c r="DF972" s="218"/>
      <c r="DG972" s="218"/>
      <c r="DH972" s="218"/>
      <c r="DI972" s="218"/>
      <c r="DJ972" s="218"/>
      <c r="DK972" s="218"/>
      <c r="DL972" s="218"/>
      <c r="DM972" s="218"/>
      <c r="DN972" s="218"/>
    </row>
    <row r="973" spans="1:118" s="204" customFormat="1" ht="36">
      <c r="A973" s="755"/>
      <c r="B973" s="400" t="s">
        <v>795</v>
      </c>
      <c r="C973" s="409">
        <v>1</v>
      </c>
      <c r="D973" s="402"/>
      <c r="E973" s="411">
        <f>C973</f>
        <v>1</v>
      </c>
      <c r="F973" s="538"/>
      <c r="G973" s="539"/>
      <c r="H973" s="203"/>
      <c r="I973" s="540"/>
      <c r="J973" s="540"/>
      <c r="K973" s="540"/>
      <c r="L973" s="540"/>
      <c r="M973" s="540"/>
      <c r="N973" s="540"/>
      <c r="O973" s="540"/>
      <c r="P973" s="540"/>
      <c r="Q973" s="540"/>
      <c r="R973" s="540"/>
      <c r="S973" s="540"/>
      <c r="T973" s="540"/>
      <c r="U973" s="540"/>
      <c r="V973" s="540"/>
      <c r="W973" s="540"/>
      <c r="X973" s="540"/>
      <c r="Y973" s="540"/>
      <c r="Z973" s="540"/>
      <c r="AA973" s="540"/>
      <c r="AB973" s="540"/>
      <c r="AC973" s="540"/>
      <c r="AD973" s="540"/>
      <c r="AE973" s="540"/>
      <c r="AF973" s="540"/>
      <c r="AG973" s="540"/>
      <c r="AH973" s="540"/>
      <c r="AI973" s="540"/>
      <c r="AJ973" s="540"/>
      <c r="AK973" s="540"/>
      <c r="AL973" s="540"/>
      <c r="AM973" s="540"/>
      <c r="AN973" s="540"/>
      <c r="AO973" s="540"/>
      <c r="AP973" s="540"/>
      <c r="AQ973" s="540"/>
      <c r="AR973" s="540"/>
      <c r="AS973" s="540"/>
      <c r="AT973" s="540"/>
      <c r="AU973" s="540"/>
      <c r="AV973" s="540"/>
      <c r="AW973" s="540"/>
      <c r="AX973" s="540"/>
      <c r="AY973" s="540"/>
      <c r="AZ973" s="540"/>
      <c r="BA973" s="540"/>
      <c r="BB973" s="540"/>
      <c r="BC973" s="540"/>
      <c r="BD973" s="540"/>
      <c r="BE973" s="540"/>
      <c r="BF973" s="540"/>
      <c r="BG973" s="540"/>
      <c r="BH973" s="540"/>
      <c r="BI973" s="540"/>
      <c r="BJ973" s="540"/>
      <c r="BK973" s="540"/>
      <c r="BL973" s="540"/>
      <c r="BM973" s="540"/>
      <c r="BN973" s="540"/>
      <c r="BO973" s="540"/>
      <c r="BP973" s="540"/>
      <c r="BQ973" s="540"/>
      <c r="BR973" s="540"/>
      <c r="BS973" s="540"/>
      <c r="BT973" s="540"/>
      <c r="BU973" s="540"/>
      <c r="BV973" s="540"/>
      <c r="BW973" s="540"/>
      <c r="BX973" s="540"/>
      <c r="BY973" s="540"/>
      <c r="BZ973" s="540"/>
      <c r="CA973" s="540"/>
      <c r="CB973" s="540"/>
      <c r="CC973" s="540"/>
      <c r="CD973" s="540"/>
      <c r="CE973" s="540"/>
      <c r="CF973" s="540"/>
      <c r="CG973" s="540"/>
      <c r="CH973" s="540"/>
      <c r="CI973" s="540"/>
      <c r="CJ973" s="540"/>
      <c r="CK973" s="540"/>
      <c r="CL973" s="540"/>
      <c r="CM973" s="540"/>
      <c r="CN973" s="540"/>
      <c r="CO973" s="540"/>
      <c r="CP973" s="540"/>
      <c r="CQ973" s="540"/>
      <c r="CR973" s="540"/>
      <c r="CS973" s="540"/>
      <c r="CT973" s="540"/>
      <c r="CU973" s="540"/>
      <c r="CV973" s="540"/>
      <c r="CW973" s="540"/>
      <c r="CX973" s="540"/>
      <c r="CY973" s="540"/>
      <c r="CZ973" s="540"/>
      <c r="DA973" s="540"/>
      <c r="DB973" s="540"/>
      <c r="DC973" s="540"/>
      <c r="DD973" s="540"/>
      <c r="DE973" s="540"/>
      <c r="DF973" s="540"/>
      <c r="DG973" s="540"/>
      <c r="DH973" s="540"/>
      <c r="DI973" s="540"/>
      <c r="DJ973" s="540"/>
      <c r="DK973" s="540"/>
      <c r="DL973" s="540"/>
      <c r="DM973" s="540"/>
      <c r="DN973" s="540"/>
    </row>
    <row r="974" spans="1:118" s="204" customFormat="1" ht="12">
      <c r="A974" s="755"/>
      <c r="B974" s="588"/>
      <c r="C974" s="413" t="s">
        <v>39</v>
      </c>
      <c r="D974" s="484"/>
      <c r="E974" s="414">
        <f>SUM(E973:E973)</f>
        <v>1</v>
      </c>
      <c r="F974" s="538"/>
      <c r="G974" s="539"/>
      <c r="H974" s="203"/>
      <c r="I974" s="540"/>
      <c r="J974" s="540"/>
      <c r="K974" s="540"/>
      <c r="L974" s="540"/>
      <c r="M974" s="540"/>
      <c r="N974" s="540"/>
      <c r="O974" s="540"/>
      <c r="P974" s="540"/>
      <c r="Q974" s="540"/>
      <c r="R974" s="540"/>
      <c r="S974" s="540"/>
      <c r="T974" s="540"/>
      <c r="U974" s="540"/>
      <c r="V974" s="540"/>
      <c r="W974" s="540"/>
      <c r="X974" s="540"/>
      <c r="Y974" s="540"/>
      <c r="Z974" s="540"/>
      <c r="AA974" s="540"/>
      <c r="AB974" s="540"/>
      <c r="AC974" s="540"/>
      <c r="AD974" s="540"/>
      <c r="AE974" s="540"/>
      <c r="AF974" s="540"/>
      <c r="AG974" s="540"/>
      <c r="AH974" s="540"/>
      <c r="AI974" s="540"/>
      <c r="AJ974" s="540"/>
      <c r="AK974" s="540"/>
      <c r="AL974" s="540"/>
      <c r="AM974" s="540"/>
      <c r="AN974" s="540"/>
      <c r="AO974" s="540"/>
      <c r="AP974" s="540"/>
      <c r="AQ974" s="540"/>
      <c r="AR974" s="540"/>
      <c r="AS974" s="540"/>
      <c r="AT974" s="540"/>
      <c r="AU974" s="540"/>
      <c r="AV974" s="540"/>
      <c r="AW974" s="540"/>
      <c r="AX974" s="540"/>
      <c r="AY974" s="540"/>
      <c r="AZ974" s="540"/>
      <c r="BA974" s="540"/>
      <c r="BB974" s="540"/>
      <c r="BC974" s="540"/>
      <c r="BD974" s="540"/>
      <c r="BE974" s="540"/>
      <c r="BF974" s="540"/>
      <c r="BG974" s="540"/>
      <c r="BH974" s="540"/>
      <c r="BI974" s="540"/>
      <c r="BJ974" s="540"/>
      <c r="BK974" s="540"/>
      <c r="BL974" s="540"/>
      <c r="BM974" s="540"/>
      <c r="BN974" s="540"/>
      <c r="BO974" s="540"/>
      <c r="BP974" s="540"/>
      <c r="BQ974" s="540"/>
      <c r="BR974" s="540"/>
      <c r="BS974" s="540"/>
      <c r="BT974" s="540"/>
      <c r="BU974" s="540"/>
      <c r="BV974" s="540"/>
      <c r="BW974" s="540"/>
      <c r="BX974" s="540"/>
      <c r="BY974" s="540"/>
      <c r="BZ974" s="540"/>
      <c r="CA974" s="540"/>
      <c r="CB974" s="540"/>
      <c r="CC974" s="540"/>
      <c r="CD974" s="540"/>
      <c r="CE974" s="540"/>
      <c r="CF974" s="540"/>
      <c r="CG974" s="540"/>
      <c r="CH974" s="540"/>
      <c r="CI974" s="540"/>
      <c r="CJ974" s="540"/>
      <c r="CK974" s="540"/>
      <c r="CL974" s="540"/>
      <c r="CM974" s="540"/>
      <c r="CN974" s="540"/>
      <c r="CO974" s="540"/>
      <c r="CP974" s="540"/>
      <c r="CQ974" s="540"/>
      <c r="CR974" s="540"/>
      <c r="CS974" s="540"/>
      <c r="CT974" s="540"/>
      <c r="CU974" s="540"/>
      <c r="CV974" s="540"/>
      <c r="CW974" s="540"/>
      <c r="CX974" s="540"/>
      <c r="CY974" s="540"/>
      <c r="CZ974" s="540"/>
      <c r="DA974" s="540"/>
      <c r="DB974" s="540"/>
      <c r="DC974" s="540"/>
      <c r="DD974" s="540"/>
      <c r="DE974" s="540"/>
      <c r="DF974" s="540"/>
      <c r="DG974" s="540"/>
      <c r="DH974" s="540"/>
      <c r="DI974" s="540"/>
      <c r="DJ974" s="540"/>
      <c r="DK974" s="540"/>
      <c r="DL974" s="540"/>
      <c r="DM974" s="540"/>
      <c r="DN974" s="540"/>
    </row>
    <row r="975" spans="1:118" s="204" customFormat="1" ht="15.75" customHeight="1">
      <c r="A975" s="755"/>
      <c r="B975" s="585"/>
      <c r="C975" s="586"/>
      <c r="D975" s="406"/>
      <c r="E975" s="426"/>
      <c r="F975" s="412"/>
      <c r="G975" s="202"/>
      <c r="H975" s="203"/>
      <c r="I975" s="540"/>
      <c r="J975" s="540"/>
      <c r="K975" s="540"/>
      <c r="L975" s="540"/>
      <c r="M975" s="540"/>
      <c r="N975" s="540"/>
      <c r="O975" s="540"/>
      <c r="P975" s="540"/>
      <c r="Q975" s="540"/>
      <c r="R975" s="540"/>
      <c r="S975" s="540"/>
      <c r="T975" s="540"/>
      <c r="U975" s="540"/>
      <c r="V975" s="540"/>
      <c r="W975" s="540"/>
      <c r="X975" s="540"/>
      <c r="Y975" s="540"/>
      <c r="Z975" s="540"/>
      <c r="AA975" s="540"/>
      <c r="AB975" s="540"/>
      <c r="AC975" s="540"/>
      <c r="AD975" s="540"/>
      <c r="AE975" s="540"/>
      <c r="AF975" s="540"/>
      <c r="AG975" s="540"/>
      <c r="AH975" s="540"/>
      <c r="AI975" s="540"/>
      <c r="AJ975" s="540"/>
      <c r="AK975" s="540"/>
      <c r="AL975" s="540"/>
      <c r="AM975" s="540"/>
      <c r="AN975" s="540"/>
      <c r="AO975" s="540"/>
      <c r="AP975" s="540"/>
      <c r="AQ975" s="540"/>
      <c r="AR975" s="540"/>
      <c r="AS975" s="540"/>
      <c r="AT975" s="540"/>
      <c r="AU975" s="540"/>
      <c r="AV975" s="540"/>
      <c r="AW975" s="540"/>
      <c r="AX975" s="540"/>
      <c r="AY975" s="540"/>
      <c r="AZ975" s="540"/>
      <c r="BA975" s="540"/>
      <c r="BB975" s="540"/>
      <c r="BC975" s="540"/>
      <c r="BD975" s="540"/>
      <c r="BE975" s="540"/>
      <c r="BF975" s="540"/>
      <c r="BG975" s="540"/>
      <c r="BH975" s="540"/>
      <c r="BI975" s="540"/>
      <c r="BJ975" s="540"/>
      <c r="BK975" s="540"/>
      <c r="BL975" s="540"/>
      <c r="BM975" s="540"/>
      <c r="BN975" s="540"/>
      <c r="BO975" s="540"/>
      <c r="BP975" s="540"/>
      <c r="BQ975" s="540"/>
      <c r="BR975" s="540"/>
      <c r="BS975" s="540"/>
      <c r="BT975" s="540"/>
      <c r="BU975" s="540"/>
      <c r="BV975" s="540"/>
      <c r="BW975" s="540"/>
      <c r="BX975" s="540"/>
      <c r="BY975" s="540"/>
      <c r="BZ975" s="540"/>
      <c r="CA975" s="540"/>
      <c r="CB975" s="540"/>
      <c r="CC975" s="540"/>
      <c r="CD975" s="540"/>
      <c r="CE975" s="540"/>
      <c r="CF975" s="540"/>
      <c r="CG975" s="540"/>
      <c r="CH975" s="540"/>
      <c r="CI975" s="540"/>
      <c r="CJ975" s="540"/>
      <c r="CK975" s="540"/>
      <c r="CL975" s="540"/>
      <c r="CM975" s="540"/>
      <c r="CN975" s="540"/>
      <c r="CO975" s="540"/>
      <c r="CP975" s="540"/>
      <c r="CQ975" s="540"/>
      <c r="CR975" s="540"/>
      <c r="CS975" s="540"/>
      <c r="CT975" s="540"/>
      <c r="CU975" s="540"/>
      <c r="CV975" s="540"/>
      <c r="CW975" s="540"/>
      <c r="CX975" s="540"/>
      <c r="CY975" s="540"/>
      <c r="CZ975" s="540"/>
      <c r="DA975" s="540"/>
      <c r="DB975" s="540"/>
      <c r="DC975" s="540"/>
      <c r="DD975" s="540"/>
      <c r="DE975" s="540"/>
      <c r="DF975" s="540"/>
      <c r="DG975" s="540"/>
      <c r="DH975" s="540"/>
      <c r="DI975" s="540"/>
      <c r="DJ975" s="540"/>
      <c r="DK975" s="540"/>
      <c r="DL975" s="540"/>
      <c r="DM975" s="540"/>
      <c r="DN975" s="540"/>
    </row>
    <row r="976" spans="1:118" ht="24">
      <c r="A976" s="754">
        <v>4</v>
      </c>
      <c r="B976" s="551" t="s">
        <v>796</v>
      </c>
      <c r="C976" s="552" t="s">
        <v>797</v>
      </c>
      <c r="D976" s="423" t="s">
        <v>798</v>
      </c>
      <c r="E976" s="396" t="s">
        <v>45</v>
      </c>
      <c r="F976" s="584">
        <f>E978</f>
        <v>8</v>
      </c>
      <c r="G976" s="23"/>
      <c r="H976" s="205">
        <f>F976*G976</f>
        <v>0</v>
      </c>
      <c r="I976" s="218"/>
      <c r="J976" s="218"/>
      <c r="K976" s="218"/>
      <c r="L976" s="218"/>
      <c r="M976" s="218"/>
      <c r="N976" s="218"/>
      <c r="O976" s="218"/>
      <c r="P976" s="218"/>
      <c r="Q976" s="218"/>
      <c r="R976" s="218"/>
      <c r="S976" s="218"/>
      <c r="T976" s="218"/>
      <c r="U976" s="218"/>
      <c r="V976" s="218"/>
      <c r="W976" s="218"/>
      <c r="X976" s="218"/>
      <c r="Y976" s="218"/>
      <c r="Z976" s="218"/>
      <c r="AA976" s="218"/>
      <c r="AB976" s="218"/>
      <c r="AC976" s="218"/>
      <c r="AD976" s="218"/>
      <c r="AE976" s="218"/>
      <c r="AF976" s="218"/>
      <c r="AG976" s="218"/>
      <c r="AH976" s="218"/>
      <c r="AI976" s="218"/>
      <c r="AJ976" s="218"/>
      <c r="AK976" s="218"/>
      <c r="AL976" s="218"/>
      <c r="AM976" s="218"/>
      <c r="AN976" s="218"/>
      <c r="AO976" s="218"/>
      <c r="AP976" s="218"/>
      <c r="AQ976" s="218"/>
      <c r="AR976" s="218"/>
      <c r="AS976" s="218"/>
      <c r="AT976" s="218"/>
      <c r="AU976" s="218"/>
      <c r="AV976" s="218"/>
      <c r="AW976" s="218"/>
      <c r="AX976" s="218"/>
      <c r="AY976" s="218"/>
      <c r="AZ976" s="218"/>
      <c r="BA976" s="218"/>
      <c r="BB976" s="218"/>
      <c r="BC976" s="218"/>
      <c r="BD976" s="218"/>
      <c r="BE976" s="218"/>
      <c r="BF976" s="218"/>
      <c r="BG976" s="218"/>
      <c r="BH976" s="218"/>
      <c r="BI976" s="218"/>
      <c r="BJ976" s="218"/>
      <c r="BK976" s="218"/>
      <c r="BL976" s="218"/>
      <c r="BM976" s="218"/>
      <c r="BN976" s="218"/>
      <c r="BO976" s="218"/>
      <c r="BP976" s="218"/>
      <c r="BQ976" s="218"/>
      <c r="BR976" s="218"/>
      <c r="BS976" s="218"/>
      <c r="BT976" s="218"/>
      <c r="BU976" s="218"/>
      <c r="BV976" s="218"/>
      <c r="BW976" s="218"/>
      <c r="BX976" s="218"/>
      <c r="BY976" s="218"/>
      <c r="BZ976" s="218"/>
      <c r="CA976" s="218"/>
      <c r="CB976" s="218"/>
      <c r="CC976" s="218"/>
      <c r="CD976" s="218"/>
      <c r="CE976" s="218"/>
      <c r="CF976" s="218"/>
      <c r="CG976" s="218"/>
      <c r="CH976" s="218"/>
      <c r="CI976" s="218"/>
      <c r="CJ976" s="218"/>
      <c r="CK976" s="218"/>
      <c r="CL976" s="218"/>
      <c r="CM976" s="218"/>
      <c r="CN976" s="218"/>
      <c r="CO976" s="218"/>
      <c r="CP976" s="218"/>
      <c r="CQ976" s="218"/>
      <c r="CR976" s="218"/>
      <c r="CS976" s="218"/>
      <c r="CT976" s="218"/>
      <c r="CU976" s="218"/>
      <c r="CV976" s="218"/>
      <c r="CW976" s="218"/>
      <c r="CX976" s="218"/>
      <c r="CY976" s="218"/>
      <c r="CZ976" s="218"/>
      <c r="DA976" s="218"/>
      <c r="DB976" s="218"/>
      <c r="DC976" s="218"/>
      <c r="DD976" s="218"/>
      <c r="DE976" s="218"/>
      <c r="DF976" s="218"/>
      <c r="DG976" s="218"/>
      <c r="DH976" s="218"/>
      <c r="DI976" s="218"/>
      <c r="DJ976" s="218"/>
      <c r="DK976" s="218"/>
      <c r="DL976" s="218"/>
      <c r="DM976" s="218"/>
      <c r="DN976" s="218"/>
    </row>
    <row r="977" spans="1:118" s="204" customFormat="1" ht="36">
      <c r="A977" s="755"/>
      <c r="B977" s="400" t="s">
        <v>799</v>
      </c>
      <c r="C977" s="409">
        <v>8</v>
      </c>
      <c r="D977" s="402"/>
      <c r="E977" s="411">
        <f>C977</f>
        <v>8</v>
      </c>
      <c r="F977" s="538"/>
      <c r="G977" s="539"/>
      <c r="H977" s="203"/>
      <c r="I977" s="540"/>
      <c r="J977" s="540"/>
      <c r="K977" s="540"/>
      <c r="L977" s="540"/>
      <c r="M977" s="540"/>
      <c r="N977" s="540"/>
      <c r="O977" s="540"/>
      <c r="P977" s="540"/>
      <c r="Q977" s="540"/>
      <c r="R977" s="540"/>
      <c r="S977" s="540"/>
      <c r="T977" s="540"/>
      <c r="U977" s="540"/>
      <c r="V977" s="540"/>
      <c r="W977" s="540"/>
      <c r="X977" s="540"/>
      <c r="Y977" s="540"/>
      <c r="Z977" s="540"/>
      <c r="AA977" s="540"/>
      <c r="AB977" s="540"/>
      <c r="AC977" s="540"/>
      <c r="AD977" s="540"/>
      <c r="AE977" s="540"/>
      <c r="AF977" s="540"/>
      <c r="AG977" s="540"/>
      <c r="AH977" s="540"/>
      <c r="AI977" s="540"/>
      <c r="AJ977" s="540"/>
      <c r="AK977" s="540"/>
      <c r="AL977" s="540"/>
      <c r="AM977" s="540"/>
      <c r="AN977" s="540"/>
      <c r="AO977" s="540"/>
      <c r="AP977" s="540"/>
      <c r="AQ977" s="540"/>
      <c r="AR977" s="540"/>
      <c r="AS977" s="540"/>
      <c r="AT977" s="540"/>
      <c r="AU977" s="540"/>
      <c r="AV977" s="540"/>
      <c r="AW977" s="540"/>
      <c r="AX977" s="540"/>
      <c r="AY977" s="540"/>
      <c r="AZ977" s="540"/>
      <c r="BA977" s="540"/>
      <c r="BB977" s="540"/>
      <c r="BC977" s="540"/>
      <c r="BD977" s="540"/>
      <c r="BE977" s="540"/>
      <c r="BF977" s="540"/>
      <c r="BG977" s="540"/>
      <c r="BH977" s="540"/>
      <c r="BI977" s="540"/>
      <c r="BJ977" s="540"/>
      <c r="BK977" s="540"/>
      <c r="BL977" s="540"/>
      <c r="BM977" s="540"/>
      <c r="BN977" s="540"/>
      <c r="BO977" s="540"/>
      <c r="BP977" s="540"/>
      <c r="BQ977" s="540"/>
      <c r="BR977" s="540"/>
      <c r="BS977" s="540"/>
      <c r="BT977" s="540"/>
      <c r="BU977" s="540"/>
      <c r="BV977" s="540"/>
      <c r="BW977" s="540"/>
      <c r="BX977" s="540"/>
      <c r="BY977" s="540"/>
      <c r="BZ977" s="540"/>
      <c r="CA977" s="540"/>
      <c r="CB977" s="540"/>
      <c r="CC977" s="540"/>
      <c r="CD977" s="540"/>
      <c r="CE977" s="540"/>
      <c r="CF977" s="540"/>
      <c r="CG977" s="540"/>
      <c r="CH977" s="540"/>
      <c r="CI977" s="540"/>
      <c r="CJ977" s="540"/>
      <c r="CK977" s="540"/>
      <c r="CL977" s="540"/>
      <c r="CM977" s="540"/>
      <c r="CN977" s="540"/>
      <c r="CO977" s="540"/>
      <c r="CP977" s="540"/>
      <c r="CQ977" s="540"/>
      <c r="CR977" s="540"/>
      <c r="CS977" s="540"/>
      <c r="CT977" s="540"/>
      <c r="CU977" s="540"/>
      <c r="CV977" s="540"/>
      <c r="CW977" s="540"/>
      <c r="CX977" s="540"/>
      <c r="CY977" s="540"/>
      <c r="CZ977" s="540"/>
      <c r="DA977" s="540"/>
      <c r="DB977" s="540"/>
      <c r="DC977" s="540"/>
      <c r="DD977" s="540"/>
      <c r="DE977" s="540"/>
      <c r="DF977" s="540"/>
      <c r="DG977" s="540"/>
      <c r="DH977" s="540"/>
      <c r="DI977" s="540"/>
      <c r="DJ977" s="540"/>
      <c r="DK977" s="540"/>
      <c r="DL977" s="540"/>
      <c r="DM977" s="540"/>
      <c r="DN977" s="540"/>
    </row>
    <row r="978" spans="1:118" s="204" customFormat="1" ht="12">
      <c r="A978" s="755"/>
      <c r="B978" s="588"/>
      <c r="C978" s="413" t="s">
        <v>39</v>
      </c>
      <c r="D978" s="484"/>
      <c r="E978" s="414">
        <f>SUM(E977:E977)</f>
        <v>8</v>
      </c>
      <c r="F978" s="538"/>
      <c r="G978" s="539"/>
      <c r="H978" s="203"/>
      <c r="I978" s="540"/>
      <c r="J978" s="540"/>
      <c r="K978" s="540"/>
      <c r="L978" s="540"/>
      <c r="M978" s="540"/>
      <c r="N978" s="540"/>
      <c r="O978" s="540"/>
      <c r="P978" s="540"/>
      <c r="Q978" s="540"/>
      <c r="R978" s="540"/>
      <c r="S978" s="540"/>
      <c r="T978" s="540"/>
      <c r="U978" s="540"/>
      <c r="V978" s="540"/>
      <c r="W978" s="540"/>
      <c r="X978" s="540"/>
      <c r="Y978" s="540"/>
      <c r="Z978" s="540"/>
      <c r="AA978" s="540"/>
      <c r="AB978" s="540"/>
      <c r="AC978" s="540"/>
      <c r="AD978" s="540"/>
      <c r="AE978" s="540"/>
      <c r="AF978" s="540"/>
      <c r="AG978" s="540"/>
      <c r="AH978" s="540"/>
      <c r="AI978" s="540"/>
      <c r="AJ978" s="540"/>
      <c r="AK978" s="540"/>
      <c r="AL978" s="540"/>
      <c r="AM978" s="540"/>
      <c r="AN978" s="540"/>
      <c r="AO978" s="540"/>
      <c r="AP978" s="540"/>
      <c r="AQ978" s="540"/>
      <c r="AR978" s="540"/>
      <c r="AS978" s="540"/>
      <c r="AT978" s="540"/>
      <c r="AU978" s="540"/>
      <c r="AV978" s="540"/>
      <c r="AW978" s="540"/>
      <c r="AX978" s="540"/>
      <c r="AY978" s="540"/>
      <c r="AZ978" s="540"/>
      <c r="BA978" s="540"/>
      <c r="BB978" s="540"/>
      <c r="BC978" s="540"/>
      <c r="BD978" s="540"/>
      <c r="BE978" s="540"/>
      <c r="BF978" s="540"/>
      <c r="BG978" s="540"/>
      <c r="BH978" s="540"/>
      <c r="BI978" s="540"/>
      <c r="BJ978" s="540"/>
      <c r="BK978" s="540"/>
      <c r="BL978" s="540"/>
      <c r="BM978" s="540"/>
      <c r="BN978" s="540"/>
      <c r="BO978" s="540"/>
      <c r="BP978" s="540"/>
      <c r="BQ978" s="540"/>
      <c r="BR978" s="540"/>
      <c r="BS978" s="540"/>
      <c r="BT978" s="540"/>
      <c r="BU978" s="540"/>
      <c r="BV978" s="540"/>
      <c r="BW978" s="540"/>
      <c r="BX978" s="540"/>
      <c r="BY978" s="540"/>
      <c r="BZ978" s="540"/>
      <c r="CA978" s="540"/>
      <c r="CB978" s="540"/>
      <c r="CC978" s="540"/>
      <c r="CD978" s="540"/>
      <c r="CE978" s="540"/>
      <c r="CF978" s="540"/>
      <c r="CG978" s="540"/>
      <c r="CH978" s="540"/>
      <c r="CI978" s="540"/>
      <c r="CJ978" s="540"/>
      <c r="CK978" s="540"/>
      <c r="CL978" s="540"/>
      <c r="CM978" s="540"/>
      <c r="CN978" s="540"/>
      <c r="CO978" s="540"/>
      <c r="CP978" s="540"/>
      <c r="CQ978" s="540"/>
      <c r="CR978" s="540"/>
      <c r="CS978" s="540"/>
      <c r="CT978" s="540"/>
      <c r="CU978" s="540"/>
      <c r="CV978" s="540"/>
      <c r="CW978" s="540"/>
      <c r="CX978" s="540"/>
      <c r="CY978" s="540"/>
      <c r="CZ978" s="540"/>
      <c r="DA978" s="540"/>
      <c r="DB978" s="540"/>
      <c r="DC978" s="540"/>
      <c r="DD978" s="540"/>
      <c r="DE978" s="540"/>
      <c r="DF978" s="540"/>
      <c r="DG978" s="540"/>
      <c r="DH978" s="540"/>
      <c r="DI978" s="540"/>
      <c r="DJ978" s="540"/>
      <c r="DK978" s="540"/>
      <c r="DL978" s="540"/>
      <c r="DM978" s="540"/>
      <c r="DN978" s="540"/>
    </row>
    <row r="979" spans="1:118" s="204" customFormat="1" ht="15.75" customHeight="1">
      <c r="A979" s="755"/>
      <c r="B979" s="585"/>
      <c r="C979" s="586"/>
      <c r="D979" s="406"/>
      <c r="E979" s="426"/>
      <c r="F979" s="412"/>
      <c r="G979" s="202"/>
      <c r="H979" s="203"/>
      <c r="I979" s="540"/>
      <c r="J979" s="540"/>
      <c r="K979" s="540"/>
      <c r="L979" s="540"/>
      <c r="M979" s="540"/>
      <c r="N979" s="540"/>
      <c r="O979" s="540"/>
      <c r="P979" s="540"/>
      <c r="Q979" s="540"/>
      <c r="R979" s="540"/>
      <c r="S979" s="540"/>
      <c r="T979" s="540"/>
      <c r="U979" s="540"/>
      <c r="V979" s="540"/>
      <c r="W979" s="540"/>
      <c r="X979" s="540"/>
      <c r="Y979" s="540"/>
      <c r="Z979" s="540"/>
      <c r="AA979" s="540"/>
      <c r="AB979" s="540"/>
      <c r="AC979" s="540"/>
      <c r="AD979" s="540"/>
      <c r="AE979" s="540"/>
      <c r="AF979" s="540"/>
      <c r="AG979" s="540"/>
      <c r="AH979" s="540"/>
      <c r="AI979" s="540"/>
      <c r="AJ979" s="540"/>
      <c r="AK979" s="540"/>
      <c r="AL979" s="540"/>
      <c r="AM979" s="540"/>
      <c r="AN979" s="540"/>
      <c r="AO979" s="540"/>
      <c r="AP979" s="540"/>
      <c r="AQ979" s="540"/>
      <c r="AR979" s="540"/>
      <c r="AS979" s="540"/>
      <c r="AT979" s="540"/>
      <c r="AU979" s="540"/>
      <c r="AV979" s="540"/>
      <c r="AW979" s="540"/>
      <c r="AX979" s="540"/>
      <c r="AY979" s="540"/>
      <c r="AZ979" s="540"/>
      <c r="BA979" s="540"/>
      <c r="BB979" s="540"/>
      <c r="BC979" s="540"/>
      <c r="BD979" s="540"/>
      <c r="BE979" s="540"/>
      <c r="BF979" s="540"/>
      <c r="BG979" s="540"/>
      <c r="BH979" s="540"/>
      <c r="BI979" s="540"/>
      <c r="BJ979" s="540"/>
      <c r="BK979" s="540"/>
      <c r="BL979" s="540"/>
      <c r="BM979" s="540"/>
      <c r="BN979" s="540"/>
      <c r="BO979" s="540"/>
      <c r="BP979" s="540"/>
      <c r="BQ979" s="540"/>
      <c r="BR979" s="540"/>
      <c r="BS979" s="540"/>
      <c r="BT979" s="540"/>
      <c r="BU979" s="540"/>
      <c r="BV979" s="540"/>
      <c r="BW979" s="540"/>
      <c r="BX979" s="540"/>
      <c r="BY979" s="540"/>
      <c r="BZ979" s="540"/>
      <c r="CA979" s="540"/>
      <c r="CB979" s="540"/>
      <c r="CC979" s="540"/>
      <c r="CD979" s="540"/>
      <c r="CE979" s="540"/>
      <c r="CF979" s="540"/>
      <c r="CG979" s="540"/>
      <c r="CH979" s="540"/>
      <c r="CI979" s="540"/>
      <c r="CJ979" s="540"/>
      <c r="CK979" s="540"/>
      <c r="CL979" s="540"/>
      <c r="CM979" s="540"/>
      <c r="CN979" s="540"/>
      <c r="CO979" s="540"/>
      <c r="CP979" s="540"/>
      <c r="CQ979" s="540"/>
      <c r="CR979" s="540"/>
      <c r="CS979" s="540"/>
      <c r="CT979" s="540"/>
      <c r="CU979" s="540"/>
      <c r="CV979" s="540"/>
      <c r="CW979" s="540"/>
      <c r="CX979" s="540"/>
      <c r="CY979" s="540"/>
      <c r="CZ979" s="540"/>
      <c r="DA979" s="540"/>
      <c r="DB979" s="540"/>
      <c r="DC979" s="540"/>
      <c r="DD979" s="540"/>
      <c r="DE979" s="540"/>
      <c r="DF979" s="540"/>
      <c r="DG979" s="540"/>
      <c r="DH979" s="540"/>
      <c r="DI979" s="540"/>
      <c r="DJ979" s="540"/>
      <c r="DK979" s="540"/>
      <c r="DL979" s="540"/>
      <c r="DM979" s="540"/>
      <c r="DN979" s="540"/>
    </row>
    <row r="980" spans="1:118" ht="25.5">
      <c r="A980" s="754">
        <v>5</v>
      </c>
      <c r="B980" s="421" t="s">
        <v>2</v>
      </c>
      <c r="C980" s="422" t="s">
        <v>365</v>
      </c>
      <c r="D980" s="358"/>
      <c r="E980" s="3" t="s">
        <v>50</v>
      </c>
      <c r="F980" s="216">
        <f>SUM(H964:H979)/100</f>
        <v>0</v>
      </c>
      <c r="G980" s="23"/>
      <c r="H980" s="205">
        <f>F980*G980</f>
        <v>0</v>
      </c>
      <c r="I980" s="218"/>
      <c r="J980" s="218"/>
      <c r="K980" s="218"/>
      <c r="L980" s="218"/>
      <c r="M980" s="218"/>
      <c r="N980" s="218"/>
      <c r="O980" s="218"/>
      <c r="P980" s="218"/>
      <c r="Q980" s="218"/>
      <c r="R980" s="218"/>
      <c r="S980" s="218"/>
      <c r="T980" s="218"/>
      <c r="U980" s="218"/>
      <c r="V980" s="218"/>
      <c r="W980" s="218"/>
      <c r="X980" s="218"/>
      <c r="Y980" s="218"/>
      <c r="Z980" s="218"/>
      <c r="AA980" s="218"/>
      <c r="AB980" s="218"/>
      <c r="AC980" s="218"/>
      <c r="AD980" s="218"/>
      <c r="AE980" s="218"/>
      <c r="AF980" s="218"/>
      <c r="AG980" s="218"/>
      <c r="AH980" s="218"/>
      <c r="AI980" s="218"/>
      <c r="AJ980" s="218"/>
      <c r="AK980" s="218"/>
      <c r="AL980" s="218"/>
      <c r="AM980" s="218"/>
      <c r="AN980" s="218"/>
      <c r="AO980" s="218"/>
      <c r="AP980" s="218"/>
      <c r="AQ980" s="218"/>
      <c r="AR980" s="218"/>
      <c r="AS980" s="218"/>
      <c r="AT980" s="218"/>
      <c r="AU980" s="218"/>
      <c r="AV980" s="218"/>
      <c r="AW980" s="218"/>
      <c r="AX980" s="218"/>
      <c r="AY980" s="218"/>
      <c r="AZ980" s="218"/>
      <c r="BA980" s="218"/>
      <c r="BB980" s="218"/>
      <c r="BC980" s="218"/>
      <c r="BD980" s="218"/>
      <c r="BE980" s="218"/>
      <c r="BF980" s="218"/>
      <c r="BG980" s="218"/>
      <c r="BH980" s="218"/>
      <c r="BI980" s="218"/>
      <c r="BJ980" s="218"/>
      <c r="BK980" s="218"/>
      <c r="BL980" s="218"/>
      <c r="BM980" s="218"/>
      <c r="BN980" s="218"/>
      <c r="BO980" s="218"/>
      <c r="BP980" s="218"/>
      <c r="BQ980" s="218"/>
      <c r="BR980" s="218"/>
      <c r="BS980" s="218"/>
      <c r="BT980" s="218"/>
      <c r="BU980" s="218"/>
      <c r="BV980" s="218"/>
      <c r="BW980" s="218"/>
      <c r="BX980" s="218"/>
      <c r="BY980" s="218"/>
      <c r="BZ980" s="218"/>
      <c r="CA980" s="218"/>
      <c r="CB980" s="218"/>
      <c r="CC980" s="218"/>
      <c r="CD980" s="218"/>
      <c r="CE980" s="218"/>
      <c r="CF980" s="218"/>
      <c r="CG980" s="218"/>
      <c r="CH980" s="218"/>
      <c r="CI980" s="218"/>
      <c r="CJ980" s="218"/>
      <c r="CK980" s="218"/>
      <c r="CL980" s="218"/>
      <c r="CM980" s="218"/>
      <c r="CN980" s="218"/>
      <c r="CO980" s="218"/>
      <c r="CP980" s="218"/>
      <c r="CQ980" s="218"/>
      <c r="CR980" s="218"/>
      <c r="CS980" s="218"/>
      <c r="CT980" s="218"/>
      <c r="CU980" s="218"/>
      <c r="CV980" s="218"/>
      <c r="CW980" s="218"/>
      <c r="CX980" s="218"/>
      <c r="CY980" s="218"/>
      <c r="CZ980" s="218"/>
      <c r="DA980" s="218"/>
      <c r="DB980" s="218"/>
      <c r="DC980" s="218"/>
      <c r="DD980" s="218"/>
      <c r="DE980" s="218"/>
      <c r="DF980" s="218"/>
      <c r="DG980" s="218"/>
      <c r="DH980" s="218"/>
      <c r="DI980" s="218"/>
      <c r="DJ980" s="218"/>
      <c r="DK980" s="218"/>
      <c r="DL980" s="218"/>
      <c r="DM980" s="218"/>
      <c r="DN980" s="218"/>
    </row>
    <row r="981" spans="1:118" ht="15.75" customHeight="1">
      <c r="A981" s="754"/>
      <c r="B981" s="587"/>
      <c r="C981" s="537"/>
      <c r="D981" s="358"/>
      <c r="E981" s="4"/>
      <c r="F981" s="209"/>
      <c r="G981" s="23"/>
      <c r="H981" s="205"/>
      <c r="I981" s="218"/>
      <c r="J981" s="218"/>
      <c r="K981" s="218"/>
      <c r="L981" s="218"/>
      <c r="M981" s="218"/>
      <c r="N981" s="218"/>
      <c r="O981" s="218"/>
      <c r="P981" s="218"/>
      <c r="Q981" s="218"/>
      <c r="R981" s="218"/>
      <c r="S981" s="218"/>
      <c r="T981" s="218"/>
      <c r="U981" s="218"/>
      <c r="V981" s="218"/>
      <c r="W981" s="218"/>
      <c r="X981" s="218"/>
      <c r="Y981" s="218"/>
      <c r="Z981" s="218"/>
      <c r="AA981" s="218"/>
      <c r="AB981" s="218"/>
      <c r="AC981" s="218"/>
      <c r="AD981" s="218"/>
      <c r="AE981" s="218"/>
      <c r="AF981" s="218"/>
      <c r="AG981" s="218"/>
      <c r="AH981" s="218"/>
      <c r="AI981" s="218"/>
      <c r="AJ981" s="218"/>
      <c r="AK981" s="218"/>
      <c r="AL981" s="218"/>
      <c r="AM981" s="218"/>
      <c r="AN981" s="218"/>
      <c r="AO981" s="218"/>
      <c r="AP981" s="218"/>
      <c r="AQ981" s="218"/>
      <c r="AR981" s="218"/>
      <c r="AS981" s="218"/>
      <c r="AT981" s="218"/>
      <c r="AU981" s="218"/>
      <c r="AV981" s="218"/>
      <c r="AW981" s="218"/>
      <c r="AX981" s="218"/>
      <c r="AY981" s="218"/>
      <c r="AZ981" s="218"/>
      <c r="BA981" s="218"/>
      <c r="BB981" s="218"/>
      <c r="BC981" s="218"/>
      <c r="BD981" s="218"/>
      <c r="BE981" s="218"/>
      <c r="BF981" s="218"/>
      <c r="BG981" s="218"/>
      <c r="BH981" s="218"/>
      <c r="BI981" s="218"/>
      <c r="BJ981" s="218"/>
      <c r="BK981" s="218"/>
      <c r="BL981" s="218"/>
      <c r="BM981" s="218"/>
      <c r="BN981" s="218"/>
      <c r="BO981" s="218"/>
      <c r="BP981" s="218"/>
      <c r="BQ981" s="218"/>
      <c r="BR981" s="218"/>
      <c r="BS981" s="218"/>
      <c r="BT981" s="218"/>
      <c r="BU981" s="218"/>
      <c r="BV981" s="218"/>
      <c r="BW981" s="218"/>
      <c r="BX981" s="218"/>
      <c r="BY981" s="218"/>
      <c r="BZ981" s="218"/>
      <c r="CA981" s="218"/>
      <c r="CB981" s="218"/>
      <c r="CC981" s="218"/>
      <c r="CD981" s="218"/>
      <c r="CE981" s="218"/>
      <c r="CF981" s="218"/>
      <c r="CG981" s="218"/>
      <c r="CH981" s="218"/>
      <c r="CI981" s="218"/>
      <c r="CJ981" s="218"/>
      <c r="CK981" s="218"/>
      <c r="CL981" s="218"/>
      <c r="CM981" s="218"/>
      <c r="CN981" s="218"/>
      <c r="CO981" s="218"/>
      <c r="CP981" s="218"/>
      <c r="CQ981" s="218"/>
      <c r="CR981" s="218"/>
      <c r="CS981" s="218"/>
      <c r="CT981" s="218"/>
      <c r="CU981" s="218"/>
      <c r="CV981" s="218"/>
      <c r="CW981" s="218"/>
      <c r="CX981" s="218"/>
      <c r="CY981" s="218"/>
      <c r="CZ981" s="218"/>
      <c r="DA981" s="218"/>
      <c r="DB981" s="218"/>
      <c r="DC981" s="218"/>
      <c r="DD981" s="218"/>
      <c r="DE981" s="218"/>
      <c r="DF981" s="218"/>
      <c r="DG981" s="218"/>
      <c r="DH981" s="218"/>
      <c r="DI981" s="218"/>
      <c r="DJ981" s="218"/>
      <c r="DK981" s="218"/>
      <c r="DL981" s="218"/>
      <c r="DM981" s="218"/>
      <c r="DN981" s="218"/>
    </row>
    <row r="982" spans="1:118" ht="15.75" customHeight="1">
      <c r="A982" s="754"/>
      <c r="B982" s="551"/>
      <c r="C982" s="583" t="s">
        <v>1442</v>
      </c>
      <c r="D982" s="546" t="s">
        <v>1219</v>
      </c>
      <c r="E982" s="396"/>
      <c r="F982" s="209"/>
      <c r="G982" s="23"/>
      <c r="H982" s="397">
        <f>SUM(H983:H996)</f>
        <v>0</v>
      </c>
      <c r="I982" s="218"/>
      <c r="J982" s="218"/>
      <c r="K982" s="218"/>
      <c r="L982" s="218"/>
      <c r="M982" s="218"/>
      <c r="N982" s="218"/>
      <c r="O982" s="218"/>
      <c r="P982" s="218"/>
      <c r="Q982" s="218"/>
      <c r="R982" s="218"/>
      <c r="S982" s="218"/>
      <c r="T982" s="218"/>
      <c r="U982" s="218"/>
      <c r="V982" s="218"/>
      <c r="W982" s="218"/>
      <c r="X982" s="218"/>
      <c r="Y982" s="218"/>
      <c r="Z982" s="218"/>
      <c r="AA982" s="218"/>
      <c r="AB982" s="218"/>
      <c r="AC982" s="218"/>
      <c r="AD982" s="218"/>
      <c r="AE982" s="218"/>
      <c r="AF982" s="218"/>
      <c r="AG982" s="218"/>
      <c r="AH982" s="218"/>
      <c r="AI982" s="218"/>
      <c r="AJ982" s="218"/>
      <c r="AK982" s="218"/>
      <c r="AL982" s="218"/>
      <c r="AM982" s="218"/>
      <c r="AN982" s="218"/>
      <c r="AO982" s="218"/>
      <c r="AP982" s="218"/>
      <c r="AQ982" s="218"/>
      <c r="AR982" s="218"/>
      <c r="AS982" s="218"/>
      <c r="AT982" s="218"/>
      <c r="AU982" s="218"/>
      <c r="AV982" s="218"/>
      <c r="AW982" s="218"/>
      <c r="AX982" s="218"/>
      <c r="AY982" s="218"/>
      <c r="AZ982" s="218"/>
      <c r="BA982" s="218"/>
      <c r="BB982" s="218"/>
      <c r="BC982" s="218"/>
      <c r="BD982" s="218"/>
      <c r="BE982" s="218"/>
      <c r="BF982" s="218"/>
      <c r="BG982" s="218"/>
      <c r="BH982" s="218"/>
      <c r="BI982" s="218"/>
      <c r="BJ982" s="218"/>
      <c r="BK982" s="218"/>
      <c r="BL982" s="218"/>
      <c r="BM982" s="218"/>
      <c r="BN982" s="218"/>
      <c r="BO982" s="218"/>
      <c r="BP982" s="218"/>
      <c r="BQ982" s="218"/>
      <c r="BR982" s="218"/>
      <c r="BS982" s="218"/>
      <c r="BT982" s="218"/>
      <c r="BU982" s="218"/>
      <c r="BV982" s="218"/>
      <c r="BW982" s="218"/>
      <c r="BX982" s="218"/>
      <c r="BY982" s="218"/>
      <c r="BZ982" s="218"/>
      <c r="CA982" s="218"/>
      <c r="CB982" s="218"/>
      <c r="CC982" s="218"/>
      <c r="CD982" s="218"/>
      <c r="CE982" s="218"/>
      <c r="CF982" s="218"/>
      <c r="CG982" s="218"/>
      <c r="CH982" s="218"/>
      <c r="CI982" s="218"/>
      <c r="CJ982" s="218"/>
      <c r="CK982" s="218"/>
      <c r="CL982" s="218"/>
      <c r="CM982" s="218"/>
      <c r="CN982" s="218"/>
      <c r="CO982" s="218"/>
      <c r="CP982" s="218"/>
      <c r="CQ982" s="218"/>
      <c r="CR982" s="218"/>
      <c r="CS982" s="218"/>
      <c r="CT982" s="218"/>
      <c r="CU982" s="218"/>
      <c r="CV982" s="218"/>
      <c r="CW982" s="218"/>
      <c r="CX982" s="218"/>
      <c r="CY982" s="218"/>
      <c r="CZ982" s="218"/>
      <c r="DA982" s="218"/>
      <c r="DB982" s="218"/>
      <c r="DC982" s="218"/>
      <c r="DD982" s="218"/>
      <c r="DE982" s="218"/>
      <c r="DF982" s="218"/>
      <c r="DG982" s="218"/>
      <c r="DH982" s="218"/>
      <c r="DI982" s="218"/>
      <c r="DJ982" s="218"/>
      <c r="DK982" s="218"/>
      <c r="DL982" s="218"/>
      <c r="DM982" s="218"/>
      <c r="DN982" s="218"/>
    </row>
    <row r="983" spans="1:118" ht="13.5" customHeight="1">
      <c r="A983" s="754">
        <v>1</v>
      </c>
      <c r="B983" s="589" t="s">
        <v>1439</v>
      </c>
      <c r="C983" s="552" t="s">
        <v>1438</v>
      </c>
      <c r="D983" s="358"/>
      <c r="E983" s="396" t="s">
        <v>45</v>
      </c>
      <c r="F983" s="584">
        <f>E985</f>
        <v>1</v>
      </c>
      <c r="G983" s="23"/>
      <c r="H983" s="205">
        <f>F983*G983</f>
        <v>0</v>
      </c>
      <c r="I983" s="218"/>
      <c r="J983" s="218"/>
      <c r="K983" s="218"/>
      <c r="L983" s="218"/>
      <c r="M983" s="218"/>
      <c r="N983" s="218"/>
      <c r="O983" s="218"/>
      <c r="P983" s="218"/>
      <c r="Q983" s="218"/>
      <c r="R983" s="218"/>
      <c r="S983" s="218"/>
      <c r="T983" s="218"/>
      <c r="U983" s="218"/>
      <c r="V983" s="218"/>
      <c r="W983" s="218"/>
      <c r="X983" s="218"/>
      <c r="Y983" s="218"/>
      <c r="Z983" s="218"/>
      <c r="AA983" s="218"/>
      <c r="AB983" s="218"/>
      <c r="AC983" s="218"/>
      <c r="AD983" s="218"/>
      <c r="AE983" s="218"/>
      <c r="AF983" s="218"/>
      <c r="AG983" s="218"/>
      <c r="AH983" s="218"/>
      <c r="AI983" s="218"/>
      <c r="AJ983" s="218"/>
      <c r="AK983" s="218"/>
      <c r="AL983" s="218"/>
      <c r="AM983" s="218"/>
      <c r="AN983" s="218"/>
      <c r="AO983" s="218"/>
      <c r="AP983" s="218"/>
      <c r="AQ983" s="218"/>
      <c r="AR983" s="218"/>
      <c r="AS983" s="218"/>
      <c r="AT983" s="218"/>
      <c r="AU983" s="218"/>
      <c r="AV983" s="218"/>
      <c r="AW983" s="218"/>
      <c r="AX983" s="218"/>
      <c r="AY983" s="218"/>
      <c r="AZ983" s="218"/>
      <c r="BA983" s="218"/>
      <c r="BB983" s="218"/>
      <c r="BC983" s="218"/>
      <c r="BD983" s="218"/>
      <c r="BE983" s="218"/>
      <c r="BF983" s="218"/>
      <c r="BG983" s="218"/>
      <c r="BH983" s="218"/>
      <c r="BI983" s="218"/>
      <c r="BJ983" s="218"/>
      <c r="BK983" s="218"/>
      <c r="BL983" s="218"/>
      <c r="BM983" s="218"/>
      <c r="BN983" s="218"/>
      <c r="BO983" s="218"/>
      <c r="BP983" s="218"/>
      <c r="BQ983" s="218"/>
      <c r="BR983" s="218"/>
      <c r="BS983" s="218"/>
      <c r="BT983" s="218"/>
      <c r="BU983" s="218"/>
      <c r="BV983" s="218"/>
      <c r="BW983" s="218"/>
      <c r="BX983" s="218"/>
      <c r="BY983" s="218"/>
      <c r="BZ983" s="218"/>
      <c r="CA983" s="218"/>
      <c r="CB983" s="218"/>
      <c r="CC983" s="218"/>
      <c r="CD983" s="218"/>
      <c r="CE983" s="218"/>
      <c r="CF983" s="218"/>
      <c r="CG983" s="218"/>
      <c r="CH983" s="218"/>
      <c r="CI983" s="218"/>
      <c r="CJ983" s="218"/>
      <c r="CK983" s="218"/>
      <c r="CL983" s="218"/>
      <c r="CM983" s="218"/>
      <c r="CN983" s="218"/>
      <c r="CO983" s="218"/>
      <c r="CP983" s="218"/>
      <c r="CQ983" s="218"/>
      <c r="CR983" s="218"/>
      <c r="CS983" s="218"/>
      <c r="CT983" s="218"/>
      <c r="CU983" s="218"/>
      <c r="CV983" s="218"/>
      <c r="CW983" s="218"/>
      <c r="CX983" s="218"/>
      <c r="CY983" s="218"/>
      <c r="CZ983" s="218"/>
      <c r="DA983" s="218"/>
      <c r="DB983" s="218"/>
      <c r="DC983" s="218"/>
      <c r="DD983" s="218"/>
      <c r="DE983" s="218"/>
      <c r="DF983" s="218"/>
      <c r="DG983" s="218"/>
      <c r="DH983" s="218"/>
      <c r="DI983" s="218"/>
      <c r="DJ983" s="218"/>
      <c r="DK983" s="218"/>
      <c r="DL983" s="218"/>
      <c r="DM983" s="218"/>
      <c r="DN983" s="218"/>
    </row>
    <row r="984" spans="1:118" s="204" customFormat="1" ht="12">
      <c r="A984" s="755"/>
      <c r="B984" s="400"/>
      <c r="C984" s="401">
        <v>1</v>
      </c>
      <c r="D984" s="402"/>
      <c r="E984" s="403">
        <f>C984</f>
        <v>1</v>
      </c>
      <c r="F984" s="538"/>
      <c r="G984" s="539"/>
      <c r="H984" s="203"/>
      <c r="I984" s="540"/>
      <c r="J984" s="540"/>
      <c r="K984" s="540"/>
      <c r="L984" s="540"/>
      <c r="M984" s="540"/>
      <c r="N984" s="540"/>
      <c r="O984" s="540"/>
      <c r="P984" s="540"/>
      <c r="Q984" s="540"/>
      <c r="R984" s="540"/>
      <c r="S984" s="540"/>
      <c r="T984" s="540"/>
      <c r="U984" s="540"/>
      <c r="V984" s="540"/>
      <c r="W984" s="540"/>
      <c r="X984" s="540"/>
      <c r="Y984" s="540"/>
      <c r="Z984" s="540"/>
      <c r="AA984" s="540"/>
      <c r="AB984" s="540"/>
      <c r="AC984" s="540"/>
      <c r="AD984" s="540"/>
      <c r="AE984" s="540"/>
      <c r="AF984" s="540"/>
      <c r="AG984" s="540"/>
      <c r="AH984" s="540"/>
      <c r="AI984" s="540"/>
      <c r="AJ984" s="540"/>
      <c r="AK984" s="540"/>
      <c r="AL984" s="540"/>
      <c r="AM984" s="540"/>
      <c r="AN984" s="540"/>
      <c r="AO984" s="540"/>
      <c r="AP984" s="540"/>
      <c r="AQ984" s="540"/>
      <c r="AR984" s="540"/>
      <c r="AS984" s="540"/>
      <c r="AT984" s="540"/>
      <c r="AU984" s="540"/>
      <c r="AV984" s="540"/>
      <c r="AW984" s="540"/>
      <c r="AX984" s="540"/>
      <c r="AY984" s="540"/>
      <c r="AZ984" s="540"/>
      <c r="BA984" s="540"/>
      <c r="BB984" s="540"/>
      <c r="BC984" s="540"/>
      <c r="BD984" s="540"/>
      <c r="BE984" s="540"/>
      <c r="BF984" s="540"/>
      <c r="BG984" s="540"/>
      <c r="BH984" s="540"/>
      <c r="BI984" s="540"/>
      <c r="BJ984" s="540"/>
      <c r="BK984" s="540"/>
      <c r="BL984" s="540"/>
      <c r="BM984" s="540"/>
      <c r="BN984" s="540"/>
      <c r="BO984" s="540"/>
      <c r="BP984" s="540"/>
      <c r="BQ984" s="540"/>
      <c r="BR984" s="540"/>
      <c r="BS984" s="540"/>
      <c r="BT984" s="540"/>
      <c r="BU984" s="540"/>
      <c r="BV984" s="540"/>
      <c r="BW984" s="540"/>
      <c r="BX984" s="540"/>
      <c r="BY984" s="540"/>
      <c r="BZ984" s="540"/>
      <c r="CA984" s="540"/>
      <c r="CB984" s="540"/>
      <c r="CC984" s="540"/>
      <c r="CD984" s="540"/>
      <c r="CE984" s="540"/>
      <c r="CF984" s="540"/>
      <c r="CG984" s="540"/>
      <c r="CH984" s="540"/>
      <c r="CI984" s="540"/>
      <c r="CJ984" s="540"/>
      <c r="CK984" s="540"/>
      <c r="CL984" s="540"/>
      <c r="CM984" s="540"/>
      <c r="CN984" s="540"/>
      <c r="CO984" s="540"/>
      <c r="CP984" s="540"/>
      <c r="CQ984" s="540"/>
      <c r="CR984" s="540"/>
      <c r="CS984" s="540"/>
      <c r="CT984" s="540"/>
      <c r="CU984" s="540"/>
      <c r="CV984" s="540"/>
      <c r="CW984" s="540"/>
      <c r="CX984" s="540"/>
      <c r="CY984" s="540"/>
      <c r="CZ984" s="540"/>
      <c r="DA984" s="540"/>
      <c r="DB984" s="540"/>
      <c r="DC984" s="540"/>
      <c r="DD984" s="540"/>
      <c r="DE984" s="540"/>
      <c r="DF984" s="540"/>
      <c r="DG984" s="540"/>
      <c r="DH984" s="540"/>
      <c r="DI984" s="540"/>
      <c r="DJ984" s="540"/>
      <c r="DK984" s="540"/>
      <c r="DL984" s="540"/>
      <c r="DM984" s="540"/>
      <c r="DN984" s="540"/>
    </row>
    <row r="985" spans="1:118" s="204" customFormat="1" ht="12">
      <c r="A985" s="755"/>
      <c r="B985" s="456"/>
      <c r="C985" s="405" t="s">
        <v>39</v>
      </c>
      <c r="D985" s="487"/>
      <c r="E985" s="407">
        <f>SUM(E984:E984)</f>
        <v>1</v>
      </c>
      <c r="F985" s="538"/>
      <c r="G985" s="539"/>
      <c r="H985" s="203"/>
      <c r="I985" s="540"/>
      <c r="J985" s="540"/>
      <c r="K985" s="540"/>
      <c r="L985" s="540"/>
      <c r="M985" s="540"/>
      <c r="N985" s="540"/>
      <c r="O985" s="540"/>
      <c r="P985" s="540"/>
      <c r="Q985" s="540"/>
      <c r="R985" s="540"/>
      <c r="S985" s="540"/>
      <c r="T985" s="540"/>
      <c r="U985" s="540"/>
      <c r="V985" s="540"/>
      <c r="W985" s="540"/>
      <c r="X985" s="540"/>
      <c r="Y985" s="540"/>
      <c r="Z985" s="540"/>
      <c r="AA985" s="540"/>
      <c r="AB985" s="540"/>
      <c r="AC985" s="540"/>
      <c r="AD985" s="540"/>
      <c r="AE985" s="540"/>
      <c r="AF985" s="540"/>
      <c r="AG985" s="540"/>
      <c r="AH985" s="540"/>
      <c r="AI985" s="540"/>
      <c r="AJ985" s="540"/>
      <c r="AK985" s="540"/>
      <c r="AL985" s="540"/>
      <c r="AM985" s="540"/>
      <c r="AN985" s="540"/>
      <c r="AO985" s="540"/>
      <c r="AP985" s="540"/>
      <c r="AQ985" s="540"/>
      <c r="AR985" s="540"/>
      <c r="AS985" s="540"/>
      <c r="AT985" s="540"/>
      <c r="AU985" s="540"/>
      <c r="AV985" s="540"/>
      <c r="AW985" s="540"/>
      <c r="AX985" s="540"/>
      <c r="AY985" s="540"/>
      <c r="AZ985" s="540"/>
      <c r="BA985" s="540"/>
      <c r="BB985" s="540"/>
      <c r="BC985" s="540"/>
      <c r="BD985" s="540"/>
      <c r="BE985" s="540"/>
      <c r="BF985" s="540"/>
      <c r="BG985" s="540"/>
      <c r="BH985" s="540"/>
      <c r="BI985" s="540"/>
      <c r="BJ985" s="540"/>
      <c r="BK985" s="540"/>
      <c r="BL985" s="540"/>
      <c r="BM985" s="540"/>
      <c r="BN985" s="540"/>
      <c r="BO985" s="540"/>
      <c r="BP985" s="540"/>
      <c r="BQ985" s="540"/>
      <c r="BR985" s="540"/>
      <c r="BS985" s="540"/>
      <c r="BT985" s="540"/>
      <c r="BU985" s="540"/>
      <c r="BV985" s="540"/>
      <c r="BW985" s="540"/>
      <c r="BX985" s="540"/>
      <c r="BY985" s="540"/>
      <c r="BZ985" s="540"/>
      <c r="CA985" s="540"/>
      <c r="CB985" s="540"/>
      <c r="CC985" s="540"/>
      <c r="CD985" s="540"/>
      <c r="CE985" s="540"/>
      <c r="CF985" s="540"/>
      <c r="CG985" s="540"/>
      <c r="CH985" s="540"/>
      <c r="CI985" s="540"/>
      <c r="CJ985" s="540"/>
      <c r="CK985" s="540"/>
      <c r="CL985" s="540"/>
      <c r="CM985" s="540"/>
      <c r="CN985" s="540"/>
      <c r="CO985" s="540"/>
      <c r="CP985" s="540"/>
      <c r="CQ985" s="540"/>
      <c r="CR985" s="540"/>
      <c r="CS985" s="540"/>
      <c r="CT985" s="540"/>
      <c r="CU985" s="540"/>
      <c r="CV985" s="540"/>
      <c r="CW985" s="540"/>
      <c r="CX985" s="540"/>
      <c r="CY985" s="540"/>
      <c r="CZ985" s="540"/>
      <c r="DA985" s="540"/>
      <c r="DB985" s="540"/>
      <c r="DC985" s="540"/>
      <c r="DD985" s="540"/>
      <c r="DE985" s="540"/>
      <c r="DF985" s="540"/>
      <c r="DG985" s="540"/>
      <c r="DH985" s="540"/>
      <c r="DI985" s="540"/>
      <c r="DJ985" s="540"/>
      <c r="DK985" s="540"/>
      <c r="DL985" s="540"/>
      <c r="DM985" s="540"/>
      <c r="DN985" s="540"/>
    </row>
    <row r="986" spans="1:118" s="204" customFormat="1" ht="12">
      <c r="A986" s="755"/>
      <c r="B986" s="456"/>
      <c r="C986" s="405"/>
      <c r="D986" s="487"/>
      <c r="E986" s="407"/>
      <c r="F986" s="538"/>
      <c r="G986" s="539"/>
      <c r="H986" s="203"/>
      <c r="I986" s="540"/>
      <c r="J986" s="540"/>
      <c r="K986" s="540"/>
      <c r="L986" s="540"/>
      <c r="M986" s="540"/>
      <c r="N986" s="540"/>
      <c r="O986" s="540"/>
      <c r="P986" s="540"/>
      <c r="Q986" s="540"/>
      <c r="R986" s="540"/>
      <c r="S986" s="540"/>
      <c r="T986" s="540"/>
      <c r="U986" s="540"/>
      <c r="V986" s="540"/>
      <c r="W986" s="540"/>
      <c r="X986" s="540"/>
      <c r="Y986" s="540"/>
      <c r="Z986" s="540"/>
      <c r="AA986" s="540"/>
      <c r="AB986" s="540"/>
      <c r="AC986" s="540"/>
      <c r="AD986" s="540"/>
      <c r="AE986" s="540"/>
      <c r="AF986" s="540"/>
      <c r="AG986" s="540"/>
      <c r="AH986" s="540"/>
      <c r="AI986" s="540"/>
      <c r="AJ986" s="540"/>
      <c r="AK986" s="540"/>
      <c r="AL986" s="540"/>
      <c r="AM986" s="540"/>
      <c r="AN986" s="540"/>
      <c r="AO986" s="540"/>
      <c r="AP986" s="540"/>
      <c r="AQ986" s="540"/>
      <c r="AR986" s="540"/>
      <c r="AS986" s="540"/>
      <c r="AT986" s="540"/>
      <c r="AU986" s="540"/>
      <c r="AV986" s="540"/>
      <c r="AW986" s="540"/>
      <c r="AX986" s="540"/>
      <c r="AY986" s="540"/>
      <c r="AZ986" s="540"/>
      <c r="BA986" s="540"/>
      <c r="BB986" s="540"/>
      <c r="BC986" s="540"/>
      <c r="BD986" s="540"/>
      <c r="BE986" s="540"/>
      <c r="BF986" s="540"/>
      <c r="BG986" s="540"/>
      <c r="BH986" s="540"/>
      <c r="BI986" s="540"/>
      <c r="BJ986" s="540"/>
      <c r="BK986" s="540"/>
      <c r="BL986" s="540"/>
      <c r="BM986" s="540"/>
      <c r="BN986" s="540"/>
      <c r="BO986" s="540"/>
      <c r="BP986" s="540"/>
      <c r="BQ986" s="540"/>
      <c r="BR986" s="540"/>
      <c r="BS986" s="540"/>
      <c r="BT986" s="540"/>
      <c r="BU986" s="540"/>
      <c r="BV986" s="540"/>
      <c r="BW986" s="540"/>
      <c r="BX986" s="540"/>
      <c r="BY986" s="540"/>
      <c r="BZ986" s="540"/>
      <c r="CA986" s="540"/>
      <c r="CB986" s="540"/>
      <c r="CC986" s="540"/>
      <c r="CD986" s="540"/>
      <c r="CE986" s="540"/>
      <c r="CF986" s="540"/>
      <c r="CG986" s="540"/>
      <c r="CH986" s="540"/>
      <c r="CI986" s="540"/>
      <c r="CJ986" s="540"/>
      <c r="CK986" s="540"/>
      <c r="CL986" s="540"/>
      <c r="CM986" s="540"/>
      <c r="CN986" s="540"/>
      <c r="CO986" s="540"/>
      <c r="CP986" s="540"/>
      <c r="CQ986" s="540"/>
      <c r="CR986" s="540"/>
      <c r="CS986" s="540"/>
      <c r="CT986" s="540"/>
      <c r="CU986" s="540"/>
      <c r="CV986" s="540"/>
      <c r="CW986" s="540"/>
      <c r="CX986" s="540"/>
      <c r="CY986" s="540"/>
      <c r="CZ986" s="540"/>
      <c r="DA986" s="540"/>
      <c r="DB986" s="540"/>
      <c r="DC986" s="540"/>
      <c r="DD986" s="540"/>
      <c r="DE986" s="540"/>
      <c r="DF986" s="540"/>
      <c r="DG986" s="540"/>
      <c r="DH986" s="540"/>
      <c r="DI986" s="540"/>
      <c r="DJ986" s="540"/>
      <c r="DK986" s="540"/>
      <c r="DL986" s="540"/>
      <c r="DM986" s="540"/>
      <c r="DN986" s="540"/>
    </row>
    <row r="987" spans="1:8" s="493" customFormat="1" ht="12.75">
      <c r="A987" s="757">
        <v>2</v>
      </c>
      <c r="B987" s="589" t="s">
        <v>1441</v>
      </c>
      <c r="C987" s="589" t="s">
        <v>77</v>
      </c>
      <c r="D987" s="590"/>
      <c r="E987" s="591" t="s">
        <v>65</v>
      </c>
      <c r="F987" s="211">
        <f>E989</f>
        <v>13</v>
      </c>
      <c r="G987" s="212"/>
      <c r="H987" s="213">
        <f>F987*G987</f>
        <v>0</v>
      </c>
    </row>
    <row r="988" spans="1:8" s="204" customFormat="1" ht="12">
      <c r="A988" s="755"/>
      <c r="B988" s="400"/>
      <c r="C988" s="401">
        <v>13</v>
      </c>
      <c r="D988" s="402"/>
      <c r="E988" s="403">
        <f>C988</f>
        <v>13</v>
      </c>
      <c r="F988" s="208"/>
      <c r="G988" s="202"/>
      <c r="H988" s="203"/>
    </row>
    <row r="989" spans="1:8" s="204" customFormat="1" ht="12">
      <c r="A989" s="755"/>
      <c r="B989" s="404"/>
      <c r="C989" s="405" t="s">
        <v>39</v>
      </c>
      <c r="D989" s="406"/>
      <c r="E989" s="407">
        <f>SUM(E988:E988)</f>
        <v>13</v>
      </c>
      <c r="F989" s="208"/>
      <c r="G989" s="202"/>
      <c r="H989" s="203"/>
    </row>
    <row r="990" spans="1:8" s="204" customFormat="1" ht="12">
      <c r="A990" s="755"/>
      <c r="B990" s="404"/>
      <c r="C990" s="405"/>
      <c r="D990" s="406"/>
      <c r="E990" s="407"/>
      <c r="F990" s="208"/>
      <c r="G990" s="202"/>
      <c r="H990" s="203"/>
    </row>
    <row r="991" spans="1:8" s="493" customFormat="1" ht="12.75">
      <c r="A991" s="757">
        <v>3</v>
      </c>
      <c r="B991" s="589" t="s">
        <v>1474</v>
      </c>
      <c r="C991" s="589" t="s">
        <v>1440</v>
      </c>
      <c r="D991" s="590"/>
      <c r="E991" s="591" t="s">
        <v>45</v>
      </c>
      <c r="F991" s="211">
        <f>E993</f>
        <v>1</v>
      </c>
      <c r="G991" s="212"/>
      <c r="H991" s="213">
        <f>F991*G991</f>
        <v>0</v>
      </c>
    </row>
    <row r="992" spans="1:8" s="204" customFormat="1" ht="12">
      <c r="A992" s="755"/>
      <c r="B992" s="400"/>
      <c r="C992" s="401">
        <v>1</v>
      </c>
      <c r="D992" s="402"/>
      <c r="E992" s="403">
        <f>C992</f>
        <v>1</v>
      </c>
      <c r="F992" s="208"/>
      <c r="G992" s="202"/>
      <c r="H992" s="203"/>
    </row>
    <row r="993" spans="1:8" s="204" customFormat="1" ht="12">
      <c r="A993" s="755"/>
      <c r="B993" s="404"/>
      <c r="C993" s="405" t="s">
        <v>39</v>
      </c>
      <c r="D993" s="406"/>
      <c r="E993" s="407">
        <f>E992</f>
        <v>1</v>
      </c>
      <c r="F993" s="208"/>
      <c r="G993" s="202"/>
      <c r="H993" s="203"/>
    </row>
    <row r="994" spans="1:8" s="204" customFormat="1" ht="12">
      <c r="A994" s="760"/>
      <c r="B994" s="592"/>
      <c r="C994" s="593"/>
      <c r="D994" s="594"/>
      <c r="E994" s="595"/>
      <c r="F994" s="596"/>
      <c r="G994" s="597"/>
      <c r="H994" s="598"/>
    </row>
    <row r="995" spans="1:8" s="493" customFormat="1" ht="12.75">
      <c r="A995" s="757">
        <v>4</v>
      </c>
      <c r="B995" s="589" t="s">
        <v>1475</v>
      </c>
      <c r="C995" s="490" t="s">
        <v>17</v>
      </c>
      <c r="D995" s="491"/>
      <c r="E995" s="591" t="s">
        <v>45</v>
      </c>
      <c r="F995" s="211">
        <f>E996</f>
        <v>1</v>
      </c>
      <c r="G995" s="212"/>
      <c r="H995" s="213">
        <f>F995*G995</f>
        <v>0</v>
      </c>
    </row>
    <row r="996" spans="1:8" s="204" customFormat="1" ht="12">
      <c r="A996" s="755"/>
      <c r="B996" s="400"/>
      <c r="C996" s="401">
        <v>1</v>
      </c>
      <c r="D996" s="402"/>
      <c r="E996" s="403">
        <f>C996</f>
        <v>1</v>
      </c>
      <c r="F996" s="208"/>
      <c r="G996" s="202"/>
      <c r="H996" s="203"/>
    </row>
    <row r="997" spans="1:8" s="204" customFormat="1" ht="12">
      <c r="A997" s="755"/>
      <c r="B997" s="472"/>
      <c r="C997" s="599"/>
      <c r="D997" s="600"/>
      <c r="E997" s="601"/>
      <c r="F997" s="602"/>
      <c r="G997" s="539"/>
      <c r="H997" s="203"/>
    </row>
    <row r="998" spans="1:8" ht="12.75">
      <c r="A998" s="754"/>
      <c r="B998" s="441"/>
      <c r="C998" s="395" t="s">
        <v>60</v>
      </c>
      <c r="D998" s="546" t="s">
        <v>1220</v>
      </c>
      <c r="E998" s="396"/>
      <c r="F998" s="209"/>
      <c r="G998" s="23"/>
      <c r="H998" s="397">
        <f>SUM(H999:H1012)</f>
        <v>0</v>
      </c>
    </row>
    <row r="999" spans="1:8" ht="29.25" customHeight="1">
      <c r="A999" s="754">
        <v>1</v>
      </c>
      <c r="B999" s="603" t="s">
        <v>1045</v>
      </c>
      <c r="C999" s="604" t="s">
        <v>1297</v>
      </c>
      <c r="D999" s="605" t="s">
        <v>1298</v>
      </c>
      <c r="E999" s="518" t="s">
        <v>40</v>
      </c>
      <c r="F999" s="606">
        <f>E1003</f>
        <v>293.85</v>
      </c>
      <c r="G999" s="23"/>
      <c r="H999" s="205">
        <f>F999*G999</f>
        <v>0</v>
      </c>
    </row>
    <row r="1000" spans="1:8" s="434" customFormat="1" ht="12">
      <c r="A1000" s="756"/>
      <c r="B1000" s="428"/>
      <c r="C1000" s="429" t="s">
        <v>292</v>
      </c>
      <c r="D1000" s="430"/>
      <c r="E1000" s="431"/>
      <c r="F1000" s="607"/>
      <c r="G1000" s="432"/>
      <c r="H1000" s="433"/>
    </row>
    <row r="1001" spans="1:8" s="434" customFormat="1" ht="12">
      <c r="A1001" s="756"/>
      <c r="B1001" s="428" t="s">
        <v>43</v>
      </c>
      <c r="C1001" s="429">
        <f>'Legenda místností'!I89</f>
        <v>182.18</v>
      </c>
      <c r="D1001" s="430"/>
      <c r="E1001" s="431">
        <f>C1001</f>
        <v>182.18</v>
      </c>
      <c r="F1001" s="432"/>
      <c r="G1001" s="432"/>
      <c r="H1001" s="433"/>
    </row>
    <row r="1002" spans="1:8" s="434" customFormat="1" ht="12">
      <c r="A1002" s="756"/>
      <c r="B1002" s="428" t="s">
        <v>42</v>
      </c>
      <c r="C1002" s="429">
        <f>'Legenda místností'!I186</f>
        <v>111.67</v>
      </c>
      <c r="D1002" s="430"/>
      <c r="E1002" s="431">
        <f>C1002</f>
        <v>111.67</v>
      </c>
      <c r="F1002" s="432"/>
      <c r="G1002" s="432"/>
      <c r="H1002" s="433"/>
    </row>
    <row r="1003" spans="1:8" s="204" customFormat="1" ht="12">
      <c r="A1003" s="755"/>
      <c r="B1003" s="456"/>
      <c r="C1003" s="405" t="s">
        <v>39</v>
      </c>
      <c r="D1003" s="487"/>
      <c r="E1003" s="407">
        <f>SUM(E1000:E1002)</f>
        <v>293.85</v>
      </c>
      <c r="F1003" s="412"/>
      <c r="G1003" s="202"/>
      <c r="H1003" s="203"/>
    </row>
    <row r="1004" spans="1:8" ht="12.75">
      <c r="A1004" s="754"/>
      <c r="B1004" s="448"/>
      <c r="C1004" s="608"/>
      <c r="D1004" s="529"/>
      <c r="E1004" s="609"/>
      <c r="F1004" s="209"/>
      <c r="G1004" s="23"/>
      <c r="H1004" s="205"/>
    </row>
    <row r="1005" spans="1:8" ht="29.25" customHeight="1">
      <c r="A1005" s="754">
        <v>2</v>
      </c>
      <c r="B1005" s="603" t="s">
        <v>56</v>
      </c>
      <c r="C1005" s="604" t="s">
        <v>1296</v>
      </c>
      <c r="D1005" s="605"/>
      <c r="E1005" s="518" t="s">
        <v>40</v>
      </c>
      <c r="F1005" s="606">
        <f>E1010</f>
        <v>337.9275</v>
      </c>
      <c r="G1005" s="23"/>
      <c r="H1005" s="205">
        <f>F1005*G1005</f>
        <v>0</v>
      </c>
    </row>
    <row r="1006" spans="1:8" s="434" customFormat="1" ht="12">
      <c r="A1006" s="756"/>
      <c r="B1006" s="428"/>
      <c r="C1006" s="429" t="s">
        <v>292</v>
      </c>
      <c r="D1006" s="430"/>
      <c r="E1006" s="431"/>
      <c r="F1006" s="607"/>
      <c r="G1006" s="432"/>
      <c r="H1006" s="433"/>
    </row>
    <row r="1007" spans="1:8" s="434" customFormat="1" ht="12">
      <c r="A1007" s="756"/>
      <c r="B1007" s="428" t="s">
        <v>43</v>
      </c>
      <c r="C1007" s="429">
        <f>C1001</f>
        <v>182.18</v>
      </c>
      <c r="D1007" s="430"/>
      <c r="E1007" s="431">
        <f>C1007</f>
        <v>182.18</v>
      </c>
      <c r="F1007" s="432"/>
      <c r="G1007" s="432"/>
      <c r="H1007" s="433"/>
    </row>
    <row r="1008" spans="1:8" s="434" customFormat="1" ht="12">
      <c r="A1008" s="756"/>
      <c r="B1008" s="428" t="s">
        <v>42</v>
      </c>
      <c r="C1008" s="429">
        <f>C1002</f>
        <v>111.67</v>
      </c>
      <c r="D1008" s="430"/>
      <c r="E1008" s="431">
        <f>C1008</f>
        <v>111.67</v>
      </c>
      <c r="F1008" s="432"/>
      <c r="G1008" s="432"/>
      <c r="H1008" s="433"/>
    </row>
    <row r="1009" spans="1:8" s="434" customFormat="1" ht="12">
      <c r="A1009" s="756"/>
      <c r="B1009" s="428" t="s">
        <v>1285</v>
      </c>
      <c r="C1009" s="429">
        <v>0.15</v>
      </c>
      <c r="D1009" s="430"/>
      <c r="E1009" s="431">
        <f>SUM(E1007:E1008)*C1009</f>
        <v>44.0775</v>
      </c>
      <c r="F1009" s="432"/>
      <c r="G1009" s="432"/>
      <c r="H1009" s="433"/>
    </row>
    <row r="1010" spans="1:8" s="204" customFormat="1" ht="12">
      <c r="A1010" s="755"/>
      <c r="B1010" s="456"/>
      <c r="C1010" s="405" t="s">
        <v>39</v>
      </c>
      <c r="D1010" s="487"/>
      <c r="E1010" s="407">
        <f>SUM(E1007:E1009)</f>
        <v>337.9275</v>
      </c>
      <c r="F1010" s="412"/>
      <c r="G1010" s="202"/>
      <c r="H1010" s="203"/>
    </row>
    <row r="1011" spans="1:8" ht="12.75">
      <c r="A1011" s="754"/>
      <c r="B1011" s="448"/>
      <c r="C1011" s="608"/>
      <c r="D1011" s="529"/>
      <c r="E1011" s="609"/>
      <c r="F1011" s="209"/>
      <c r="G1011" s="23"/>
      <c r="H1011" s="205"/>
    </row>
    <row r="1012" spans="1:8" ht="12.75">
      <c r="A1012" s="754">
        <v>3</v>
      </c>
      <c r="B1012" s="421" t="s">
        <v>61</v>
      </c>
      <c r="C1012" s="422" t="s">
        <v>1046</v>
      </c>
      <c r="D1012" s="610"/>
      <c r="E1012" s="611" t="s">
        <v>50</v>
      </c>
      <c r="F1012" s="612">
        <f>SUM(H999:H1011)/100</f>
        <v>0</v>
      </c>
      <c r="G1012" s="23"/>
      <c r="H1012" s="205">
        <f>F1012*G1012</f>
        <v>0</v>
      </c>
    </row>
    <row r="1013" spans="1:8" ht="14.25" customHeight="1">
      <c r="A1013" s="754"/>
      <c r="B1013" s="441"/>
      <c r="C1013" s="395"/>
      <c r="D1013" s="356"/>
      <c r="E1013" s="396"/>
      <c r="F1013" s="209"/>
      <c r="G1013" s="23"/>
      <c r="H1013" s="205"/>
    </row>
    <row r="1014" spans="1:8" ht="12.75">
      <c r="A1014" s="754"/>
      <c r="B1014" s="441"/>
      <c r="C1014" s="395" t="s">
        <v>1033</v>
      </c>
      <c r="D1014" s="515" t="s">
        <v>1220</v>
      </c>
      <c r="E1014" s="396"/>
      <c r="F1014" s="209"/>
      <c r="G1014" s="23"/>
      <c r="H1014" s="397">
        <f>SUM(H1015:H1021)</f>
        <v>0</v>
      </c>
    </row>
    <row r="1015" spans="1:8" ht="57.75" customHeight="1">
      <c r="A1015" s="754">
        <v>1</v>
      </c>
      <c r="B1015" s="421" t="s">
        <v>1034</v>
      </c>
      <c r="C1015" s="422" t="s">
        <v>1035</v>
      </c>
      <c r="D1015" s="605" t="s">
        <v>1047</v>
      </c>
      <c r="E1015" s="518" t="s">
        <v>40</v>
      </c>
      <c r="F1015" s="606">
        <f>E1019</f>
        <v>422.57000000000005</v>
      </c>
      <c r="G1015" s="23"/>
      <c r="H1015" s="205">
        <f>F1015*G1015</f>
        <v>0</v>
      </c>
    </row>
    <row r="1016" spans="1:8" s="434" customFormat="1" ht="12">
      <c r="A1016" s="756"/>
      <c r="B1016" s="428"/>
      <c r="C1016" s="429" t="s">
        <v>292</v>
      </c>
      <c r="D1016" s="430"/>
      <c r="E1016" s="431"/>
      <c r="F1016" s="607"/>
      <c r="G1016" s="432"/>
      <c r="H1016" s="433"/>
    </row>
    <row r="1017" spans="1:8" s="434" customFormat="1" ht="12">
      <c r="A1017" s="756"/>
      <c r="B1017" s="428" t="s">
        <v>43</v>
      </c>
      <c r="C1017" s="429">
        <f>'Legenda místností'!J89</f>
        <v>269.55</v>
      </c>
      <c r="D1017" s="430"/>
      <c r="E1017" s="431">
        <f>C1017</f>
        <v>269.55</v>
      </c>
      <c r="F1017" s="432"/>
      <c r="G1017" s="432"/>
      <c r="H1017" s="433"/>
    </row>
    <row r="1018" spans="1:8" s="434" customFormat="1" ht="12">
      <c r="A1018" s="756"/>
      <c r="B1018" s="428" t="s">
        <v>42</v>
      </c>
      <c r="C1018" s="429">
        <f>'Legenda místností'!J186</f>
        <v>153.02</v>
      </c>
      <c r="D1018" s="430"/>
      <c r="E1018" s="431">
        <f>C1018</f>
        <v>153.02</v>
      </c>
      <c r="F1018" s="432"/>
      <c r="G1018" s="432"/>
      <c r="H1018" s="433"/>
    </row>
    <row r="1019" spans="1:8" s="204" customFormat="1" ht="12">
      <c r="A1019" s="755"/>
      <c r="B1019" s="456"/>
      <c r="C1019" s="405" t="s">
        <v>39</v>
      </c>
      <c r="D1019" s="487"/>
      <c r="E1019" s="407">
        <f>SUM(E1017:E1018)</f>
        <v>422.57000000000005</v>
      </c>
      <c r="F1019" s="412"/>
      <c r="G1019" s="202"/>
      <c r="H1019" s="203"/>
    </row>
    <row r="1020" spans="1:8" s="204" customFormat="1" ht="12">
      <c r="A1020" s="755"/>
      <c r="B1020" s="400"/>
      <c r="C1020" s="474"/>
      <c r="D1020" s="487"/>
      <c r="E1020" s="420"/>
      <c r="F1020" s="412"/>
      <c r="G1020" s="202"/>
      <c r="H1020" s="203"/>
    </row>
    <row r="1021" spans="1:8" ht="12.75">
      <c r="A1021" s="754">
        <v>2</v>
      </c>
      <c r="B1021" s="421" t="s">
        <v>1036</v>
      </c>
      <c r="C1021" s="422" t="s">
        <v>1037</v>
      </c>
      <c r="D1021" s="543"/>
      <c r="E1021" s="544" t="s">
        <v>50</v>
      </c>
      <c r="F1021" s="613">
        <f>SUM(H1015:H1020)/100</f>
        <v>0</v>
      </c>
      <c r="G1021" s="23"/>
      <c r="H1021" s="205">
        <f>F1021*G1021</f>
        <v>0</v>
      </c>
    </row>
    <row r="1022" spans="1:8" ht="12.75">
      <c r="A1022" s="754"/>
      <c r="B1022" s="614"/>
      <c r="C1022" s="465"/>
      <c r="D1022" s="543"/>
      <c r="E1022" s="544"/>
      <c r="F1022" s="613"/>
      <c r="G1022" s="217"/>
      <c r="H1022" s="205"/>
    </row>
    <row r="1023" spans="1:8" ht="12.75">
      <c r="A1023" s="754"/>
      <c r="B1023" s="441"/>
      <c r="C1023" s="395" t="s">
        <v>66</v>
      </c>
      <c r="D1023" s="515" t="s">
        <v>1220</v>
      </c>
      <c r="E1023" s="396"/>
      <c r="F1023" s="209"/>
      <c r="G1023" s="23"/>
      <c r="H1023" s="397">
        <f>SUM(H1024:H1045)</f>
        <v>0</v>
      </c>
    </row>
    <row r="1024" spans="1:8" ht="25.5">
      <c r="A1024" s="754">
        <v>1</v>
      </c>
      <c r="B1024" s="455" t="s">
        <v>1044</v>
      </c>
      <c r="C1024" s="353" t="s">
        <v>1282</v>
      </c>
      <c r="D1024" s="605" t="s">
        <v>1283</v>
      </c>
      <c r="E1024" s="399" t="s">
        <v>40</v>
      </c>
      <c r="F1024" s="210">
        <f>E1028</f>
        <v>941.7399999999999</v>
      </c>
      <c r="G1024" s="23"/>
      <c r="H1024" s="205">
        <f>F1024*G1024/100</f>
        <v>0</v>
      </c>
    </row>
    <row r="1025" spans="1:8" s="434" customFormat="1" ht="12">
      <c r="A1025" s="756"/>
      <c r="B1025" s="428"/>
      <c r="C1025" s="429" t="s">
        <v>292</v>
      </c>
      <c r="D1025" s="430"/>
      <c r="E1025" s="431"/>
      <c r="F1025" s="607"/>
      <c r="G1025" s="432"/>
      <c r="H1025" s="433"/>
    </row>
    <row r="1026" spans="1:8" s="434" customFormat="1" ht="12">
      <c r="A1026" s="756"/>
      <c r="B1026" s="428" t="s">
        <v>43</v>
      </c>
      <c r="C1026" s="429">
        <f>'Legenda místností'!L89</f>
        <v>245.60000000000002</v>
      </c>
      <c r="D1026" s="430"/>
      <c r="E1026" s="431">
        <f>C1026</f>
        <v>245.60000000000002</v>
      </c>
      <c r="F1026" s="432"/>
      <c r="G1026" s="432"/>
      <c r="H1026" s="433"/>
    </row>
    <row r="1027" spans="1:8" s="434" customFormat="1" ht="12">
      <c r="A1027" s="756"/>
      <c r="B1027" s="428" t="s">
        <v>42</v>
      </c>
      <c r="C1027" s="429">
        <f>'Legenda místností'!L186</f>
        <v>696.1399999999999</v>
      </c>
      <c r="D1027" s="430"/>
      <c r="E1027" s="431">
        <f>C1027</f>
        <v>696.1399999999999</v>
      </c>
      <c r="F1027" s="432"/>
      <c r="G1027" s="432"/>
      <c r="H1027" s="433"/>
    </row>
    <row r="1028" spans="1:8" s="204" customFormat="1" ht="12">
      <c r="A1028" s="755"/>
      <c r="B1028" s="404"/>
      <c r="C1028" s="405" t="s">
        <v>39</v>
      </c>
      <c r="D1028" s="406"/>
      <c r="E1028" s="407">
        <f>SUM(E1026:E1027)</f>
        <v>941.7399999999999</v>
      </c>
      <c r="F1028" s="208"/>
      <c r="G1028" s="202"/>
      <c r="H1028" s="203"/>
    </row>
    <row r="1029" spans="1:8" s="204" customFormat="1" ht="12">
      <c r="A1029" s="755"/>
      <c r="B1029" s="615"/>
      <c r="C1029" s="405"/>
      <c r="D1029" s="406"/>
      <c r="E1029" s="407"/>
      <c r="F1029" s="208"/>
      <c r="G1029" s="202"/>
      <c r="H1029" s="203"/>
    </row>
    <row r="1030" spans="1:8" ht="12.75">
      <c r="A1030" s="754">
        <v>2</v>
      </c>
      <c r="B1030" s="455" t="s">
        <v>56</v>
      </c>
      <c r="C1030" s="353" t="s">
        <v>1284</v>
      </c>
      <c r="D1030" s="605"/>
      <c r="E1030" s="399" t="s">
        <v>40</v>
      </c>
      <c r="F1030" s="210">
        <f>E1035</f>
        <v>1083.0009999999997</v>
      </c>
      <c r="G1030" s="23"/>
      <c r="H1030" s="205">
        <f>F1030*G1030</f>
        <v>0</v>
      </c>
    </row>
    <row r="1031" spans="1:8" s="434" customFormat="1" ht="12">
      <c r="A1031" s="756"/>
      <c r="B1031" s="428"/>
      <c r="C1031" s="429" t="s">
        <v>292</v>
      </c>
      <c r="D1031" s="430"/>
      <c r="E1031" s="431"/>
      <c r="F1031" s="607"/>
      <c r="G1031" s="432"/>
      <c r="H1031" s="433"/>
    </row>
    <row r="1032" spans="1:8" s="434" customFormat="1" ht="12">
      <c r="A1032" s="756"/>
      <c r="B1032" s="428" t="s">
        <v>43</v>
      </c>
      <c r="C1032" s="429">
        <f>C1026</f>
        <v>245.60000000000002</v>
      </c>
      <c r="D1032" s="430"/>
      <c r="E1032" s="431">
        <f>C1032</f>
        <v>245.60000000000002</v>
      </c>
      <c r="F1032" s="432"/>
      <c r="G1032" s="432"/>
      <c r="H1032" s="433"/>
    </row>
    <row r="1033" spans="1:8" s="434" customFormat="1" ht="12">
      <c r="A1033" s="756"/>
      <c r="B1033" s="428" t="s">
        <v>42</v>
      </c>
      <c r="C1033" s="429">
        <f>C1027</f>
        <v>696.1399999999999</v>
      </c>
      <c r="D1033" s="430"/>
      <c r="E1033" s="431">
        <f>C1033</f>
        <v>696.1399999999999</v>
      </c>
      <c r="F1033" s="432"/>
      <c r="G1033" s="432"/>
      <c r="H1033" s="433"/>
    </row>
    <row r="1034" spans="1:8" s="434" customFormat="1" ht="12">
      <c r="A1034" s="756"/>
      <c r="B1034" s="428" t="s">
        <v>1285</v>
      </c>
      <c r="C1034" s="429">
        <v>0.15</v>
      </c>
      <c r="D1034" s="430"/>
      <c r="E1034" s="431">
        <f>SUM(E1032:E1033)*C1034</f>
        <v>141.26099999999997</v>
      </c>
      <c r="F1034" s="432"/>
      <c r="G1034" s="432"/>
      <c r="H1034" s="433"/>
    </row>
    <row r="1035" spans="1:8" s="204" customFormat="1" ht="12">
      <c r="A1035" s="755"/>
      <c r="B1035" s="404"/>
      <c r="C1035" s="405" t="s">
        <v>39</v>
      </c>
      <c r="D1035" s="406"/>
      <c r="E1035" s="407">
        <f>SUM(E1032:E1034)</f>
        <v>1083.0009999999997</v>
      </c>
      <c r="F1035" s="208"/>
      <c r="G1035" s="202"/>
      <c r="H1035" s="203"/>
    </row>
    <row r="1036" spans="1:8" s="204" customFormat="1" ht="12">
      <c r="A1036" s="755"/>
      <c r="B1036" s="404"/>
      <c r="C1036" s="405"/>
      <c r="D1036" s="406"/>
      <c r="E1036" s="407"/>
      <c r="F1036" s="208"/>
      <c r="G1036" s="202"/>
      <c r="H1036" s="203"/>
    </row>
    <row r="1037" spans="1:8" ht="12.75">
      <c r="A1037" s="754">
        <v>3</v>
      </c>
      <c r="B1037" s="455" t="s">
        <v>56</v>
      </c>
      <c r="C1037" s="353" t="s">
        <v>1286</v>
      </c>
      <c r="D1037" s="605"/>
      <c r="E1037" s="399" t="s">
        <v>45</v>
      </c>
      <c r="F1037" s="210">
        <f>E1039</f>
        <v>1</v>
      </c>
      <c r="G1037" s="23"/>
      <c r="H1037" s="205">
        <f>F1037*G1037</f>
        <v>0</v>
      </c>
    </row>
    <row r="1038" spans="1:8" s="434" customFormat="1" ht="12">
      <c r="A1038" s="756"/>
      <c r="B1038" s="428"/>
      <c r="C1038" s="429">
        <v>1</v>
      </c>
      <c r="D1038" s="430"/>
      <c r="E1038" s="431">
        <f>C1038</f>
        <v>1</v>
      </c>
      <c r="F1038" s="432"/>
      <c r="G1038" s="432"/>
      <c r="H1038" s="433"/>
    </row>
    <row r="1039" spans="1:8" s="204" customFormat="1" ht="12">
      <c r="A1039" s="755"/>
      <c r="B1039" s="404"/>
      <c r="C1039" s="405" t="s">
        <v>39</v>
      </c>
      <c r="D1039" s="406"/>
      <c r="E1039" s="407">
        <f>SUM(E1038:E1038)</f>
        <v>1</v>
      </c>
      <c r="F1039" s="208"/>
      <c r="G1039" s="202"/>
      <c r="H1039" s="203"/>
    </row>
    <row r="1040" spans="1:8" s="204" customFormat="1" ht="12">
      <c r="A1040" s="755"/>
      <c r="B1040" s="615"/>
      <c r="C1040" s="405"/>
      <c r="D1040" s="406"/>
      <c r="E1040" s="407"/>
      <c r="F1040" s="208"/>
      <c r="G1040" s="202"/>
      <c r="H1040" s="203"/>
    </row>
    <row r="1041" spans="1:8" ht="12.75">
      <c r="A1041" s="754">
        <v>4</v>
      </c>
      <c r="B1041" s="455" t="s">
        <v>56</v>
      </c>
      <c r="C1041" s="353" t="s">
        <v>1287</v>
      </c>
      <c r="D1041" s="605"/>
      <c r="E1041" s="399" t="s">
        <v>45</v>
      </c>
      <c r="F1041" s="210">
        <f>E1043</f>
        <v>1</v>
      </c>
      <c r="G1041" s="23"/>
      <c r="H1041" s="205">
        <f>F1041*G1041</f>
        <v>0</v>
      </c>
    </row>
    <row r="1042" spans="1:8" s="434" customFormat="1" ht="12">
      <c r="A1042" s="756"/>
      <c r="B1042" s="428"/>
      <c r="C1042" s="429">
        <v>1</v>
      </c>
      <c r="D1042" s="430"/>
      <c r="E1042" s="431">
        <f>C1042</f>
        <v>1</v>
      </c>
      <c r="F1042" s="432"/>
      <c r="G1042" s="432"/>
      <c r="H1042" s="433"/>
    </row>
    <row r="1043" spans="1:8" s="204" customFormat="1" ht="12">
      <c r="A1043" s="755"/>
      <c r="B1043" s="404"/>
      <c r="C1043" s="405" t="s">
        <v>39</v>
      </c>
      <c r="D1043" s="406"/>
      <c r="E1043" s="407">
        <f>SUM(E1042:E1042)</f>
        <v>1</v>
      </c>
      <c r="F1043" s="208"/>
      <c r="G1043" s="202"/>
      <c r="H1043" s="203"/>
    </row>
    <row r="1044" spans="1:8" s="204" customFormat="1" ht="12">
      <c r="A1044" s="755"/>
      <c r="B1044" s="615"/>
      <c r="C1044" s="405"/>
      <c r="D1044" s="406"/>
      <c r="E1044" s="407"/>
      <c r="F1044" s="208"/>
      <c r="G1044" s="202"/>
      <c r="H1044" s="203"/>
    </row>
    <row r="1045" spans="1:8" ht="12.75">
      <c r="A1045" s="754">
        <v>5</v>
      </c>
      <c r="B1045" s="421" t="s">
        <v>67</v>
      </c>
      <c r="C1045" s="616" t="s">
        <v>1043</v>
      </c>
      <c r="D1045" s="543"/>
      <c r="E1045" s="544" t="s">
        <v>50</v>
      </c>
      <c r="F1045" s="613">
        <f>SUM(H1024:H1044)/100</f>
        <v>0</v>
      </c>
      <c r="G1045" s="23"/>
      <c r="H1045" s="205">
        <f>F1045*G1045</f>
        <v>0</v>
      </c>
    </row>
    <row r="1046" spans="1:8" ht="12.75">
      <c r="A1046" s="754"/>
      <c r="B1046" s="441"/>
      <c r="C1046" s="395"/>
      <c r="D1046" s="356"/>
      <c r="E1046" s="396"/>
      <c r="F1046" s="209"/>
      <c r="G1046" s="23"/>
      <c r="H1046" s="205"/>
    </row>
    <row r="1047" spans="1:8" ht="12.75">
      <c r="A1047" s="754"/>
      <c r="B1047" s="441"/>
      <c r="C1047" s="395" t="s">
        <v>1048</v>
      </c>
      <c r="D1047" s="515" t="s">
        <v>1220</v>
      </c>
      <c r="E1047" s="396"/>
      <c r="F1047" s="209"/>
      <c r="G1047" s="23"/>
      <c r="H1047" s="397">
        <f>SUM(H1048:H1059)</f>
        <v>0</v>
      </c>
    </row>
    <row r="1048" spans="1:8" ht="25.5">
      <c r="A1048" s="754">
        <v>1</v>
      </c>
      <c r="B1048" s="455" t="s">
        <v>1049</v>
      </c>
      <c r="C1048" s="353" t="s">
        <v>1291</v>
      </c>
      <c r="D1048" s="605" t="s">
        <v>1288</v>
      </c>
      <c r="E1048" s="399" t="s">
        <v>40</v>
      </c>
      <c r="F1048" s="210">
        <f>E1051</f>
        <v>126.72999999999999</v>
      </c>
      <c r="G1048" s="23"/>
      <c r="H1048" s="205">
        <f>F1048*G1048</f>
        <v>0</v>
      </c>
    </row>
    <row r="1049" spans="1:9" s="434" customFormat="1" ht="12">
      <c r="A1049" s="756"/>
      <c r="B1049" s="428"/>
      <c r="C1049" s="429" t="s">
        <v>292</v>
      </c>
      <c r="D1049" s="430"/>
      <c r="E1049" s="431"/>
      <c r="F1049" s="607"/>
      <c r="G1049" s="432"/>
      <c r="H1049" s="433"/>
      <c r="I1049" s="617"/>
    </row>
    <row r="1050" spans="1:8" s="434" customFormat="1" ht="12">
      <c r="A1050" s="756"/>
      <c r="B1050" s="428" t="s">
        <v>43</v>
      </c>
      <c r="C1050" s="429">
        <f>'Legenda místností'!K89</f>
        <v>126.72999999999999</v>
      </c>
      <c r="D1050" s="430"/>
      <c r="E1050" s="431">
        <f>C1050</f>
        <v>126.72999999999999</v>
      </c>
      <c r="F1050" s="432"/>
      <c r="G1050" s="432"/>
      <c r="H1050" s="433"/>
    </row>
    <row r="1051" spans="1:8" s="204" customFormat="1" ht="12">
      <c r="A1051" s="755"/>
      <c r="B1051" s="404"/>
      <c r="C1051" s="405" t="s">
        <v>39</v>
      </c>
      <c r="D1051" s="406"/>
      <c r="E1051" s="407">
        <f>SUM(E1050:E1050)</f>
        <v>126.72999999999999</v>
      </c>
      <c r="F1051" s="208"/>
      <c r="G1051" s="202"/>
      <c r="H1051" s="203"/>
    </row>
    <row r="1052" spans="1:8" s="204" customFormat="1" ht="12">
      <c r="A1052" s="755"/>
      <c r="B1052" s="615"/>
      <c r="C1052" s="405"/>
      <c r="D1052" s="406"/>
      <c r="E1052" s="407"/>
      <c r="F1052" s="208"/>
      <c r="G1052" s="202"/>
      <c r="H1052" s="203"/>
    </row>
    <row r="1053" spans="1:8" ht="25.5">
      <c r="A1053" s="754">
        <v>2</v>
      </c>
      <c r="B1053" s="455" t="s">
        <v>56</v>
      </c>
      <c r="C1053" s="353" t="s">
        <v>1289</v>
      </c>
      <c r="D1053" s="605"/>
      <c r="E1053" s="399" t="s">
        <v>40</v>
      </c>
      <c r="F1053" s="210">
        <f>E1057</f>
        <v>145.7395</v>
      </c>
      <c r="G1053" s="23"/>
      <c r="H1053" s="205">
        <f>F1053*G1053</f>
        <v>0</v>
      </c>
    </row>
    <row r="1054" spans="1:9" s="434" customFormat="1" ht="12">
      <c r="A1054" s="756"/>
      <c r="B1054" s="428"/>
      <c r="C1054" s="429" t="s">
        <v>292</v>
      </c>
      <c r="D1054" s="430"/>
      <c r="E1054" s="431"/>
      <c r="F1054" s="607"/>
      <c r="G1054" s="432"/>
      <c r="H1054" s="433"/>
      <c r="I1054" s="617"/>
    </row>
    <row r="1055" spans="1:8" s="434" customFormat="1" ht="12">
      <c r="A1055" s="756"/>
      <c r="B1055" s="428" t="s">
        <v>43</v>
      </c>
      <c r="C1055" s="429">
        <f>C1050</f>
        <v>126.72999999999999</v>
      </c>
      <c r="D1055" s="430"/>
      <c r="E1055" s="431">
        <f>C1055</f>
        <v>126.72999999999999</v>
      </c>
      <c r="F1055" s="432"/>
      <c r="G1055" s="432"/>
      <c r="H1055" s="433"/>
    </row>
    <row r="1056" spans="1:8" s="434" customFormat="1" ht="12">
      <c r="A1056" s="756"/>
      <c r="B1056" s="428" t="s">
        <v>1285</v>
      </c>
      <c r="C1056" s="429">
        <v>0.15</v>
      </c>
      <c r="D1056" s="430"/>
      <c r="E1056" s="431">
        <f>E1055*C1056</f>
        <v>19.0095</v>
      </c>
      <c r="F1056" s="432"/>
      <c r="G1056" s="432"/>
      <c r="H1056" s="433"/>
    </row>
    <row r="1057" spans="1:8" s="204" customFormat="1" ht="12">
      <c r="A1057" s="755"/>
      <c r="B1057" s="404"/>
      <c r="C1057" s="405" t="s">
        <v>39</v>
      </c>
      <c r="D1057" s="406"/>
      <c r="E1057" s="407">
        <f>SUM(E1055:E1056)</f>
        <v>145.7395</v>
      </c>
      <c r="F1057" s="208"/>
      <c r="G1057" s="202"/>
      <c r="H1057" s="203"/>
    </row>
    <row r="1058" spans="1:8" s="204" customFormat="1" ht="12">
      <c r="A1058" s="755"/>
      <c r="B1058" s="615"/>
      <c r="C1058" s="405"/>
      <c r="D1058" s="406"/>
      <c r="E1058" s="407"/>
      <c r="F1058" s="208"/>
      <c r="G1058" s="202"/>
      <c r="H1058" s="203"/>
    </row>
    <row r="1059" spans="1:8" ht="12.75">
      <c r="A1059" s="754">
        <v>3</v>
      </c>
      <c r="B1059" s="421" t="s">
        <v>1050</v>
      </c>
      <c r="C1059" s="422" t="s">
        <v>1051</v>
      </c>
      <c r="D1059" s="543"/>
      <c r="E1059" s="544" t="s">
        <v>50</v>
      </c>
      <c r="F1059" s="613">
        <f>SUM(H1048:H1058)/100</f>
        <v>0</v>
      </c>
      <c r="G1059" s="23"/>
      <c r="H1059" s="205">
        <f>F1059*G1059</f>
        <v>0</v>
      </c>
    </row>
    <row r="1060" spans="1:9" ht="12.75">
      <c r="A1060" s="754"/>
      <c r="B1060" s="441"/>
      <c r="C1060" s="395"/>
      <c r="D1060" s="356"/>
      <c r="E1060" s="396"/>
      <c r="F1060" s="209"/>
      <c r="G1060" s="23"/>
      <c r="H1060" s="205"/>
      <c r="I1060" s="618"/>
    </row>
    <row r="1061" spans="1:8" ht="12.75">
      <c r="A1061" s="754"/>
      <c r="B1061" s="449"/>
      <c r="C1061" s="395" t="s">
        <v>70</v>
      </c>
      <c r="D1061" s="515" t="s">
        <v>1220</v>
      </c>
      <c r="E1061" s="396"/>
      <c r="F1061" s="209"/>
      <c r="G1061" s="23"/>
      <c r="H1061" s="397">
        <f>SUM(H1062:H1079)</f>
        <v>0</v>
      </c>
    </row>
    <row r="1062" spans="1:8" ht="25.5">
      <c r="A1062" s="754">
        <v>1</v>
      </c>
      <c r="B1062" s="464" t="s">
        <v>1294</v>
      </c>
      <c r="C1062" s="465" t="s">
        <v>1292</v>
      </c>
      <c r="D1062" s="605" t="s">
        <v>1290</v>
      </c>
      <c r="E1062" s="399" t="s">
        <v>40</v>
      </c>
      <c r="F1062" s="210">
        <f>E1066</f>
        <v>1005.7870000000003</v>
      </c>
      <c r="G1062" s="23"/>
      <c r="H1062" s="205">
        <f>F1062*G1062</f>
        <v>0</v>
      </c>
    </row>
    <row r="1063" spans="1:8" ht="12.75">
      <c r="A1063" s="754"/>
      <c r="B1063" s="448"/>
      <c r="C1063" s="429" t="s">
        <v>292</v>
      </c>
      <c r="D1063" s="529"/>
      <c r="E1063" s="619"/>
      <c r="F1063" s="207"/>
      <c r="G1063" s="23"/>
      <c r="H1063" s="205"/>
    </row>
    <row r="1064" spans="1:8" s="204" customFormat="1" ht="12">
      <c r="A1064" s="755"/>
      <c r="B1064" s="428" t="s">
        <v>43</v>
      </c>
      <c r="C1064" s="474">
        <f>'Legenda místností'!T89</f>
        <v>553.5040000000001</v>
      </c>
      <c r="D1064" s="487"/>
      <c r="E1064" s="403">
        <f>C1064</f>
        <v>553.5040000000001</v>
      </c>
      <c r="F1064" s="208"/>
      <c r="G1064" s="202"/>
      <c r="H1064" s="203"/>
    </row>
    <row r="1065" spans="1:8" s="434" customFormat="1" ht="12">
      <c r="A1065" s="756"/>
      <c r="B1065" s="428" t="s">
        <v>42</v>
      </c>
      <c r="C1065" s="429">
        <f>'Legenda místností'!T186</f>
        <v>452.2830000000001</v>
      </c>
      <c r="D1065" s="430"/>
      <c r="E1065" s="431">
        <f>C1065</f>
        <v>452.2830000000001</v>
      </c>
      <c r="F1065" s="432"/>
      <c r="G1065" s="432"/>
      <c r="H1065" s="433"/>
    </row>
    <row r="1066" spans="1:8" ht="12.75">
      <c r="A1066" s="754"/>
      <c r="B1066" s="441"/>
      <c r="C1066" s="355" t="s">
        <v>39</v>
      </c>
      <c r="D1066" s="356"/>
      <c r="E1066" s="350">
        <f>SUM(E1063:E1065)</f>
        <v>1005.7870000000003</v>
      </c>
      <c r="F1066" s="207"/>
      <c r="G1066" s="23"/>
      <c r="H1066" s="205"/>
    </row>
    <row r="1067" spans="1:8" ht="12.75">
      <c r="A1067" s="754"/>
      <c r="B1067" s="534"/>
      <c r="C1067" s="465"/>
      <c r="D1067" s="356"/>
      <c r="E1067" s="396"/>
      <c r="F1067" s="209"/>
      <c r="G1067" s="23"/>
      <c r="H1067" s="205"/>
    </row>
    <row r="1068" spans="1:8" ht="12.75">
      <c r="A1068" s="754">
        <v>2</v>
      </c>
      <c r="B1068" s="464" t="s">
        <v>56</v>
      </c>
      <c r="C1068" s="465" t="s">
        <v>1293</v>
      </c>
      <c r="D1068" s="605"/>
      <c r="E1068" s="399" t="s">
        <v>40</v>
      </c>
      <c r="F1068" s="210">
        <f>E1073</f>
        <v>1156.6550500000003</v>
      </c>
      <c r="G1068" s="23"/>
      <c r="H1068" s="205">
        <f>F1068*G1068</f>
        <v>0</v>
      </c>
    </row>
    <row r="1069" spans="1:8" ht="12.75">
      <c r="A1069" s="754"/>
      <c r="B1069" s="448"/>
      <c r="C1069" s="429" t="s">
        <v>292</v>
      </c>
      <c r="D1069" s="529"/>
      <c r="E1069" s="619"/>
      <c r="F1069" s="207"/>
      <c r="G1069" s="23"/>
      <c r="H1069" s="205"/>
    </row>
    <row r="1070" spans="1:8" s="204" customFormat="1" ht="12">
      <c r="A1070" s="755"/>
      <c r="B1070" s="428" t="s">
        <v>43</v>
      </c>
      <c r="C1070" s="474">
        <f>C1064</f>
        <v>553.5040000000001</v>
      </c>
      <c r="D1070" s="487"/>
      <c r="E1070" s="403">
        <f>C1070</f>
        <v>553.5040000000001</v>
      </c>
      <c r="F1070" s="208"/>
      <c r="G1070" s="202"/>
      <c r="H1070" s="203"/>
    </row>
    <row r="1071" spans="1:8" s="434" customFormat="1" ht="12">
      <c r="A1071" s="756"/>
      <c r="B1071" s="428" t="s">
        <v>42</v>
      </c>
      <c r="C1071" s="429">
        <f>C1065</f>
        <v>452.2830000000001</v>
      </c>
      <c r="D1071" s="430"/>
      <c r="E1071" s="431">
        <f>C1071</f>
        <v>452.2830000000001</v>
      </c>
      <c r="F1071" s="432"/>
      <c r="G1071" s="432"/>
      <c r="H1071" s="433"/>
    </row>
    <row r="1072" spans="1:8" s="434" customFormat="1" ht="12">
      <c r="A1072" s="756"/>
      <c r="B1072" s="428" t="s">
        <v>1285</v>
      </c>
      <c r="C1072" s="429">
        <v>0.15</v>
      </c>
      <c r="D1072" s="430"/>
      <c r="E1072" s="431">
        <f>SUM(E1070:E1071)*C1072</f>
        <v>150.86805000000004</v>
      </c>
      <c r="F1072" s="432"/>
      <c r="G1072" s="432"/>
      <c r="H1072" s="433"/>
    </row>
    <row r="1073" spans="1:8" ht="12.75">
      <c r="A1073" s="754"/>
      <c r="B1073" s="441"/>
      <c r="C1073" s="355" t="s">
        <v>39</v>
      </c>
      <c r="D1073" s="356"/>
      <c r="E1073" s="350">
        <f>SUM(E1070:E1072)</f>
        <v>1156.6550500000003</v>
      </c>
      <c r="F1073" s="207"/>
      <c r="G1073" s="23"/>
      <c r="H1073" s="205"/>
    </row>
    <row r="1074" spans="1:8" ht="12.75">
      <c r="A1074" s="754"/>
      <c r="B1074" s="534"/>
      <c r="C1074" s="465"/>
      <c r="D1074" s="356"/>
      <c r="E1074" s="396"/>
      <c r="F1074" s="209"/>
      <c r="G1074" s="23"/>
      <c r="H1074" s="205"/>
    </row>
    <row r="1075" spans="1:8" ht="12.75">
      <c r="A1075" s="754">
        <v>3</v>
      </c>
      <c r="B1075" s="464" t="s">
        <v>56</v>
      </c>
      <c r="C1075" s="465" t="s">
        <v>1295</v>
      </c>
      <c r="D1075" s="605"/>
      <c r="E1075" s="399" t="s">
        <v>45</v>
      </c>
      <c r="F1075" s="210">
        <f>E1077</f>
        <v>1</v>
      </c>
      <c r="G1075" s="23"/>
      <c r="H1075" s="205">
        <f>F1075*G1075</f>
        <v>0</v>
      </c>
    </row>
    <row r="1076" spans="1:8" s="204" customFormat="1" ht="12">
      <c r="A1076" s="755"/>
      <c r="B1076" s="428"/>
      <c r="C1076" s="474">
        <v>1</v>
      </c>
      <c r="D1076" s="487"/>
      <c r="E1076" s="403">
        <f>C1076</f>
        <v>1</v>
      </c>
      <c r="F1076" s="208"/>
      <c r="G1076" s="202"/>
      <c r="H1076" s="203"/>
    </row>
    <row r="1077" spans="1:8" ht="12.75">
      <c r="A1077" s="754"/>
      <c r="B1077" s="441"/>
      <c r="C1077" s="355" t="s">
        <v>39</v>
      </c>
      <c r="D1077" s="356"/>
      <c r="E1077" s="350">
        <f>SUM(E1076:E1076)</f>
        <v>1</v>
      </c>
      <c r="F1077" s="207"/>
      <c r="G1077" s="23"/>
      <c r="H1077" s="205"/>
    </row>
    <row r="1078" spans="1:8" ht="12.75">
      <c r="A1078" s="754"/>
      <c r="B1078" s="534"/>
      <c r="C1078" s="465"/>
      <c r="D1078" s="356"/>
      <c r="E1078" s="396"/>
      <c r="F1078" s="209"/>
      <c r="G1078" s="23"/>
      <c r="H1078" s="205"/>
    </row>
    <row r="1079" spans="1:8" ht="12.75">
      <c r="A1079" s="754">
        <v>4</v>
      </c>
      <c r="B1079" s="421" t="s">
        <v>71</v>
      </c>
      <c r="C1079" s="422" t="s">
        <v>1068</v>
      </c>
      <c r="D1079" s="356"/>
      <c r="E1079" s="544" t="s">
        <v>50</v>
      </c>
      <c r="F1079" s="613">
        <f>SUM(H1062:H1078)/100</f>
        <v>0</v>
      </c>
      <c r="G1079" s="23"/>
      <c r="H1079" s="205">
        <f>F1079*G1079</f>
        <v>0</v>
      </c>
    </row>
    <row r="1080" spans="1:8" ht="12.75">
      <c r="A1080" s="754"/>
      <c r="B1080" s="449"/>
      <c r="C1080" s="395"/>
      <c r="D1080" s="356"/>
      <c r="E1080" s="396"/>
      <c r="F1080" s="209"/>
      <c r="G1080" s="23"/>
      <c r="H1080" s="205"/>
    </row>
    <row r="1081" spans="1:8" ht="12.75">
      <c r="A1081" s="754"/>
      <c r="B1081" s="449"/>
      <c r="C1081" s="395" t="s">
        <v>1090</v>
      </c>
      <c r="D1081" s="356"/>
      <c r="E1081" s="396"/>
      <c r="F1081" s="209"/>
      <c r="G1081" s="23"/>
      <c r="H1081" s="397">
        <f>SUM(H1082:H1087)</f>
        <v>0</v>
      </c>
    </row>
    <row r="1082" spans="1:8" ht="12.75">
      <c r="A1082" s="754">
        <v>1</v>
      </c>
      <c r="B1082" s="455" t="s">
        <v>1091</v>
      </c>
      <c r="C1082" s="357" t="s">
        <v>1092</v>
      </c>
      <c r="D1082" s="354"/>
      <c r="E1082" s="399" t="s">
        <v>40</v>
      </c>
      <c r="F1082" s="210">
        <f>E1086</f>
        <v>7589.9108400000005</v>
      </c>
      <c r="G1082" s="23"/>
      <c r="H1082" s="205">
        <f>F1082*G1082</f>
        <v>0</v>
      </c>
    </row>
    <row r="1083" spans="1:8" s="204" customFormat="1" ht="12">
      <c r="A1083" s="755"/>
      <c r="B1083" s="428" t="s">
        <v>52</v>
      </c>
      <c r="C1083" s="429">
        <f>E513+E526+E533</f>
        <v>990.9416</v>
      </c>
      <c r="D1083" s="489"/>
      <c r="E1083" s="403">
        <f>C1083</f>
        <v>990.9416</v>
      </c>
      <c r="F1083" s="457"/>
      <c r="G1083" s="458"/>
      <c r="H1083" s="459"/>
    </row>
    <row r="1084" spans="1:8" s="204" customFormat="1" ht="12">
      <c r="A1084" s="755"/>
      <c r="B1084" s="428" t="s">
        <v>43</v>
      </c>
      <c r="C1084" s="429">
        <f>E514+E520+E527+E534</f>
        <v>2959.0675</v>
      </c>
      <c r="D1084" s="489"/>
      <c r="E1084" s="403">
        <f>C1084</f>
        <v>2959.0675</v>
      </c>
      <c r="F1084" s="457"/>
      <c r="G1084" s="458"/>
      <c r="H1084" s="459"/>
    </row>
    <row r="1085" spans="1:8" s="204" customFormat="1" ht="12">
      <c r="A1085" s="755"/>
      <c r="B1085" s="428" t="s">
        <v>42</v>
      </c>
      <c r="C1085" s="429">
        <f>E515+E521+E528+E535</f>
        <v>3639.9017400000002</v>
      </c>
      <c r="D1085" s="489"/>
      <c r="E1085" s="403">
        <f>C1085</f>
        <v>3639.9017400000002</v>
      </c>
      <c r="F1085" s="457"/>
      <c r="G1085" s="458"/>
      <c r="H1085" s="459"/>
    </row>
    <row r="1086" spans="1:8" s="204" customFormat="1" ht="12">
      <c r="A1086" s="755"/>
      <c r="B1086" s="404"/>
      <c r="C1086" s="405" t="s">
        <v>39</v>
      </c>
      <c r="D1086" s="406"/>
      <c r="E1086" s="407">
        <f>SUM(E1083:E1085)</f>
        <v>7589.9108400000005</v>
      </c>
      <c r="F1086" s="208"/>
      <c r="G1086" s="202"/>
      <c r="H1086" s="203"/>
    </row>
    <row r="1087" spans="1:8" s="218" customFormat="1" ht="13.5" thickBot="1">
      <c r="A1087" s="761"/>
      <c r="B1087" s="620"/>
      <c r="C1087" s="621"/>
      <c r="D1087" s="622"/>
      <c r="E1087" s="623"/>
      <c r="F1087" s="623"/>
      <c r="G1087" s="624"/>
      <c r="H1087" s="625"/>
    </row>
    <row r="1088" spans="2:8" s="218" customFormat="1" ht="12.75">
      <c r="B1088" s="626"/>
      <c r="C1088" s="627"/>
      <c r="D1088" s="628"/>
      <c r="E1088" s="629"/>
      <c r="F1088" s="630"/>
      <c r="G1088" s="631"/>
      <c r="H1088" s="632"/>
    </row>
    <row r="1089" spans="2:8" s="218" customFormat="1" ht="15">
      <c r="B1089" s="633"/>
      <c r="C1089" s="634" t="s">
        <v>53</v>
      </c>
      <c r="D1089" s="635"/>
      <c r="E1089" s="636"/>
      <c r="F1089" s="637"/>
      <c r="G1089" s="638"/>
      <c r="H1089" s="639">
        <f>SUM(H18:H1087)/2</f>
        <v>0</v>
      </c>
    </row>
    <row r="1090" spans="2:8" s="218" customFormat="1" ht="12.75">
      <c r="B1090" s="633"/>
      <c r="C1090" s="627"/>
      <c r="D1090" s="628"/>
      <c r="E1090" s="629"/>
      <c r="F1090" s="630"/>
      <c r="G1090" s="631"/>
      <c r="H1090" s="632"/>
    </row>
    <row r="1091" spans="2:8" s="218" customFormat="1" ht="14.25" customHeight="1">
      <c r="B1091" s="640" t="s">
        <v>68</v>
      </c>
      <c r="C1091" s="766" t="s">
        <v>24</v>
      </c>
      <c r="D1091" s="767"/>
      <c r="E1091" s="767"/>
      <c r="F1091" s="630"/>
      <c r="G1091" s="631"/>
      <c r="H1091" s="632"/>
    </row>
    <row r="1092" spans="2:8" s="218" customFormat="1" ht="20.25" customHeight="1">
      <c r="B1092" s="640"/>
      <c r="C1092" s="770" t="s">
        <v>25</v>
      </c>
      <c r="D1092" s="767"/>
      <c r="E1092" s="767"/>
      <c r="F1092" s="630"/>
      <c r="G1092" s="631"/>
      <c r="H1092" s="632"/>
    </row>
    <row r="1093" spans="2:8" s="218" customFormat="1" ht="27" customHeight="1">
      <c r="B1093" s="640"/>
      <c r="C1093" s="766" t="s">
        <v>80</v>
      </c>
      <c r="D1093" s="767"/>
      <c r="E1093" s="767"/>
      <c r="F1093" s="630"/>
      <c r="G1093" s="631"/>
      <c r="H1093" s="632"/>
    </row>
    <row r="1094" spans="2:8" s="218" customFormat="1" ht="18" customHeight="1">
      <c r="B1094" s="641"/>
      <c r="C1094" s="766" t="s">
        <v>26</v>
      </c>
      <c r="D1094" s="767"/>
      <c r="E1094" s="767"/>
      <c r="F1094" s="630"/>
      <c r="G1094" s="631"/>
      <c r="H1094" s="632"/>
    </row>
    <row r="1095" spans="2:8" s="218" customFormat="1" ht="19.5" customHeight="1">
      <c r="B1095" s="641"/>
      <c r="C1095" s="766" t="s">
        <v>81</v>
      </c>
      <c r="D1095" s="767"/>
      <c r="E1095" s="767"/>
      <c r="F1095" s="630"/>
      <c r="G1095" s="631"/>
      <c r="H1095" s="632"/>
    </row>
    <row r="1096" spans="2:8" s="218" customFormat="1" ht="19.5" customHeight="1">
      <c r="B1096" s="641"/>
      <c r="C1096" s="766" t="s">
        <v>27</v>
      </c>
      <c r="D1096" s="767"/>
      <c r="E1096" s="767"/>
      <c r="F1096" s="630"/>
      <c r="G1096" s="631"/>
      <c r="H1096" s="632"/>
    </row>
    <row r="1097" spans="2:5" ht="34.5" customHeight="1">
      <c r="B1097" s="642"/>
      <c r="C1097" s="767" t="s">
        <v>82</v>
      </c>
      <c r="D1097" s="767"/>
      <c r="E1097" s="767"/>
    </row>
    <row r="1098" spans="2:5" ht="34.5" customHeight="1">
      <c r="B1098" s="642"/>
      <c r="C1098" s="767" t="s">
        <v>83</v>
      </c>
      <c r="D1098" s="767"/>
      <c r="E1098" s="767"/>
    </row>
  </sheetData>
  <sheetProtection/>
  <mergeCells count="9">
    <mergeCell ref="C1096:E1096"/>
    <mergeCell ref="C1097:E1097"/>
    <mergeCell ref="C1098:E1098"/>
    <mergeCell ref="B15:C15"/>
    <mergeCell ref="C1091:E1091"/>
    <mergeCell ref="C1092:E1092"/>
    <mergeCell ref="C1093:E1093"/>
    <mergeCell ref="C1094:E1094"/>
    <mergeCell ref="C1095:E1095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63" r:id="rId1"/>
  <headerFooter alignWithMargins="0">
    <oddFooter>&amp;C&amp;"Times New Roman,Obyčejné"&amp;12&amp;P&amp;RRaudnitzův dům - bydlení pro seniory_Rozklad ceny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214"/>
  <sheetViews>
    <sheetView view="pageBreakPreview" zoomScaleSheetLayoutView="100" zoomScalePageLayoutView="0" workbookViewId="0" topLeftCell="A105">
      <selection activeCell="F113" sqref="F113:P113"/>
    </sheetView>
  </sheetViews>
  <sheetFormatPr defaultColWidth="9.00390625" defaultRowHeight="12.75"/>
  <cols>
    <col min="1" max="1" width="6.375" style="0" customWidth="1"/>
    <col min="2" max="2" width="1.25" style="0" customWidth="1"/>
    <col min="3" max="4" width="3.25390625" style="0" customWidth="1"/>
    <col min="5" max="5" width="13.25390625" style="0" customWidth="1"/>
    <col min="6" max="7" width="8.75390625" style="0" customWidth="1"/>
    <col min="8" max="8" width="9.75390625" style="0" customWidth="1"/>
    <col min="9" max="9" width="5.375" style="0" customWidth="1"/>
    <col min="10" max="10" width="4.00390625" style="0" customWidth="1"/>
    <col min="12" max="12" width="9.25390625" style="0" customWidth="1"/>
    <col min="13" max="14" width="4.75390625" style="0" customWidth="1"/>
    <col min="15" max="15" width="1.625" style="0" customWidth="1"/>
    <col min="16" max="16" width="9.75390625" style="0" customWidth="1"/>
    <col min="17" max="17" width="3.25390625" style="0" customWidth="1"/>
    <col min="18" max="18" width="1.25" style="0" customWidth="1"/>
    <col min="19" max="19" width="6.25390625" style="0" customWidth="1"/>
    <col min="20" max="20" width="23.125" style="0" hidden="1" customWidth="1"/>
    <col min="21" max="21" width="12.75390625" style="0" hidden="1" customWidth="1"/>
    <col min="22" max="22" width="9.625" style="0" hidden="1" customWidth="1"/>
    <col min="23" max="23" width="12.75390625" style="0" hidden="1" customWidth="1"/>
    <col min="24" max="24" width="9.375" style="0" hidden="1" customWidth="1"/>
    <col min="25" max="25" width="11.75390625" style="0" hidden="1" customWidth="1"/>
    <col min="26" max="26" width="8.625" style="0" hidden="1" customWidth="1"/>
    <col min="27" max="27" width="11.75390625" style="0" hidden="1" customWidth="1"/>
    <col min="28" max="28" width="12.75390625" style="0" hidden="1" customWidth="1"/>
    <col min="29" max="29" width="8.625" style="0" customWidth="1"/>
    <col min="30" max="30" width="11.75390625" style="0" customWidth="1"/>
    <col min="31" max="31" width="12.75390625" style="0" customWidth="1"/>
  </cols>
  <sheetData>
    <row r="1" spans="1:66" ht="21.75" customHeight="1">
      <c r="A1" s="84"/>
      <c r="B1" s="85"/>
      <c r="C1" s="85"/>
      <c r="D1" s="86" t="s">
        <v>535</v>
      </c>
      <c r="E1" s="85"/>
      <c r="F1" s="87" t="s">
        <v>536</v>
      </c>
      <c r="G1" s="87"/>
      <c r="H1" s="819" t="s">
        <v>537</v>
      </c>
      <c r="I1" s="819"/>
      <c r="J1" s="819"/>
      <c r="K1" s="819"/>
      <c r="L1" s="87" t="s">
        <v>538</v>
      </c>
      <c r="M1" s="85"/>
      <c r="N1" s="85"/>
      <c r="O1" s="86" t="s">
        <v>539</v>
      </c>
      <c r="P1" s="85"/>
      <c r="Q1" s="85"/>
      <c r="R1" s="85"/>
      <c r="S1" s="87" t="s">
        <v>540</v>
      </c>
      <c r="T1" s="87"/>
      <c r="U1" s="84"/>
      <c r="V1" s="84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</row>
    <row r="2" spans="3:46" ht="36.75" customHeight="1">
      <c r="C2" s="820" t="s">
        <v>541</v>
      </c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S2" s="818" t="s">
        <v>542</v>
      </c>
      <c r="T2" s="818"/>
      <c r="U2" s="818"/>
      <c r="V2" s="818"/>
      <c r="W2" s="818"/>
      <c r="X2" s="818"/>
      <c r="Y2" s="818"/>
      <c r="Z2" s="818"/>
      <c r="AA2" s="818"/>
      <c r="AB2" s="818"/>
      <c r="AC2" s="818"/>
      <c r="AT2" s="89" t="s">
        <v>1114</v>
      </c>
    </row>
    <row r="3" spans="2:46" ht="6.75" customHeight="1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2"/>
      <c r="AT3" s="89" t="s">
        <v>544</v>
      </c>
    </row>
    <row r="4" spans="2:46" ht="36.75" customHeight="1">
      <c r="B4" s="93"/>
      <c r="C4" s="787" t="s">
        <v>545</v>
      </c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94"/>
      <c r="T4" s="95" t="s">
        <v>546</v>
      </c>
      <c r="AT4" s="89" t="s">
        <v>547</v>
      </c>
    </row>
    <row r="5" spans="2:18" ht="6.75" customHeight="1">
      <c r="B5" s="93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4"/>
    </row>
    <row r="6" spans="2:18" ht="24.75" customHeight="1">
      <c r="B6" s="93"/>
      <c r="C6" s="96"/>
      <c r="D6" s="195" t="s">
        <v>31</v>
      </c>
      <c r="E6" s="96"/>
      <c r="F6" s="789" t="s">
        <v>548</v>
      </c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96"/>
      <c r="R6" s="94"/>
    </row>
    <row r="7" spans="2:18" s="98" customFormat="1" ht="32.25" customHeight="1">
      <c r="B7" s="99"/>
      <c r="C7" s="100"/>
      <c r="D7" s="101" t="s">
        <v>549</v>
      </c>
      <c r="E7" s="316"/>
      <c r="F7" s="822" t="s">
        <v>1115</v>
      </c>
      <c r="G7" s="823"/>
      <c r="H7" s="823"/>
      <c r="I7" s="823"/>
      <c r="J7" s="823"/>
      <c r="K7" s="823"/>
      <c r="L7" s="823"/>
      <c r="M7" s="823"/>
      <c r="N7" s="823"/>
      <c r="O7" s="823"/>
      <c r="P7" s="823"/>
      <c r="Q7" s="100"/>
      <c r="R7" s="102"/>
    </row>
    <row r="8" spans="2:18" s="98" customFormat="1" ht="14.25" customHeight="1">
      <c r="B8" s="99"/>
      <c r="C8" s="100"/>
      <c r="D8" s="195" t="s">
        <v>551</v>
      </c>
      <c r="E8" s="316"/>
      <c r="F8" s="323" t="s">
        <v>552</v>
      </c>
      <c r="G8" s="316"/>
      <c r="H8" s="316"/>
      <c r="I8" s="316"/>
      <c r="J8" s="316"/>
      <c r="K8" s="316"/>
      <c r="L8" s="316"/>
      <c r="M8" s="324" t="s">
        <v>553</v>
      </c>
      <c r="N8" s="316"/>
      <c r="O8" s="323" t="s">
        <v>552</v>
      </c>
      <c r="P8" s="316"/>
      <c r="Q8" s="100"/>
      <c r="R8" s="102"/>
    </row>
    <row r="9" spans="2:18" s="98" customFormat="1" ht="14.25" customHeight="1">
      <c r="B9" s="99"/>
      <c r="C9" s="100"/>
      <c r="D9" s="195" t="s">
        <v>554</v>
      </c>
      <c r="E9" s="316"/>
      <c r="F9" s="323" t="s">
        <v>555</v>
      </c>
      <c r="G9" s="316"/>
      <c r="H9" s="316"/>
      <c r="I9" s="316"/>
      <c r="J9" s="316"/>
      <c r="K9" s="316"/>
      <c r="L9" s="316"/>
      <c r="M9" s="324" t="s">
        <v>556</v>
      </c>
      <c r="N9" s="316"/>
      <c r="O9" s="815"/>
      <c r="P9" s="816"/>
      <c r="Q9" s="100"/>
      <c r="R9" s="102"/>
    </row>
    <row r="10" spans="2:18" s="98" customFormat="1" ht="10.5" customHeight="1">
      <c r="B10" s="99"/>
      <c r="C10" s="100"/>
      <c r="D10" s="100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100"/>
      <c r="R10" s="102"/>
    </row>
    <row r="11" spans="2:18" s="98" customFormat="1" ht="14.25" customHeight="1">
      <c r="B11" s="99"/>
      <c r="C11" s="100"/>
      <c r="D11" s="195" t="s">
        <v>557</v>
      </c>
      <c r="E11" s="316"/>
      <c r="F11" s="316"/>
      <c r="G11" s="316"/>
      <c r="H11" s="316"/>
      <c r="I11" s="316"/>
      <c r="J11" s="316"/>
      <c r="K11" s="316"/>
      <c r="L11" s="316"/>
      <c r="M11" s="324" t="s">
        <v>558</v>
      </c>
      <c r="N11" s="316"/>
      <c r="O11" s="813"/>
      <c r="P11" s="813"/>
      <c r="Q11" s="100"/>
      <c r="R11" s="102"/>
    </row>
    <row r="12" spans="2:18" s="98" customFormat="1" ht="18" customHeight="1">
      <c r="B12" s="99"/>
      <c r="C12" s="100"/>
      <c r="D12" s="100"/>
      <c r="E12" s="323" t="s">
        <v>559</v>
      </c>
      <c r="F12" s="316"/>
      <c r="G12" s="316"/>
      <c r="H12" s="316"/>
      <c r="I12" s="316"/>
      <c r="J12" s="316"/>
      <c r="K12" s="316"/>
      <c r="L12" s="316"/>
      <c r="M12" s="324" t="s">
        <v>560</v>
      </c>
      <c r="N12" s="316"/>
      <c r="O12" s="813"/>
      <c r="P12" s="813"/>
      <c r="Q12" s="100"/>
      <c r="R12" s="102"/>
    </row>
    <row r="13" spans="2:18" s="98" customFormat="1" ht="6.75" customHeight="1">
      <c r="B13" s="99"/>
      <c r="C13" s="100"/>
      <c r="D13" s="100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100"/>
      <c r="R13" s="102"/>
    </row>
    <row r="14" spans="2:18" s="98" customFormat="1" ht="14.25" customHeight="1">
      <c r="B14" s="99"/>
      <c r="C14" s="100"/>
      <c r="D14" s="195" t="s">
        <v>561</v>
      </c>
      <c r="E14" s="316"/>
      <c r="F14" s="316"/>
      <c r="G14" s="316"/>
      <c r="H14" s="316"/>
      <c r="I14" s="316"/>
      <c r="J14" s="316"/>
      <c r="K14" s="316"/>
      <c r="L14" s="316"/>
      <c r="M14" s="324" t="s">
        <v>558</v>
      </c>
      <c r="N14" s="316"/>
      <c r="O14" s="817"/>
      <c r="P14" s="813"/>
      <c r="Q14" s="100"/>
      <c r="R14" s="102"/>
    </row>
    <row r="15" spans="2:18" s="98" customFormat="1" ht="18" customHeight="1">
      <c r="B15" s="99"/>
      <c r="C15" s="100"/>
      <c r="D15" s="100"/>
      <c r="E15" s="817"/>
      <c r="F15" s="813"/>
      <c r="G15" s="813"/>
      <c r="H15" s="813"/>
      <c r="I15" s="813"/>
      <c r="J15" s="813"/>
      <c r="K15" s="813"/>
      <c r="L15" s="813"/>
      <c r="M15" s="324" t="s">
        <v>560</v>
      </c>
      <c r="N15" s="316"/>
      <c r="O15" s="817"/>
      <c r="P15" s="813"/>
      <c r="Q15" s="100"/>
      <c r="R15" s="102"/>
    </row>
    <row r="16" spans="2:18" s="98" customFormat="1" ht="6.75" customHeight="1">
      <c r="B16" s="99"/>
      <c r="C16" s="100"/>
      <c r="D16" s="100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100"/>
      <c r="R16" s="102"/>
    </row>
    <row r="17" spans="2:18" s="98" customFormat="1" ht="14.25" customHeight="1">
      <c r="B17" s="99"/>
      <c r="C17" s="100"/>
      <c r="D17" s="195" t="s">
        <v>562</v>
      </c>
      <c r="E17" s="316"/>
      <c r="F17" s="316"/>
      <c r="G17" s="316"/>
      <c r="H17" s="316"/>
      <c r="I17" s="316"/>
      <c r="J17" s="316"/>
      <c r="K17" s="316"/>
      <c r="L17" s="316"/>
      <c r="M17" s="324" t="s">
        <v>558</v>
      </c>
      <c r="N17" s="316"/>
      <c r="O17" s="813"/>
      <c r="P17" s="813"/>
      <c r="Q17" s="100"/>
      <c r="R17" s="102"/>
    </row>
    <row r="18" spans="2:18" s="98" customFormat="1" ht="18" customHeight="1">
      <c r="B18" s="99"/>
      <c r="C18" s="100"/>
      <c r="D18" s="100"/>
      <c r="E18" s="323"/>
      <c r="F18" s="316"/>
      <c r="G18" s="316"/>
      <c r="H18" s="316"/>
      <c r="I18" s="316"/>
      <c r="J18" s="316"/>
      <c r="K18" s="316"/>
      <c r="L18" s="316"/>
      <c r="M18" s="324" t="s">
        <v>560</v>
      </c>
      <c r="N18" s="316"/>
      <c r="O18" s="813"/>
      <c r="P18" s="813"/>
      <c r="Q18" s="100"/>
      <c r="R18" s="102"/>
    </row>
    <row r="19" spans="2:18" s="98" customFormat="1" ht="6.75" customHeight="1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2"/>
    </row>
    <row r="20" spans="2:18" s="98" customFormat="1" ht="14.25" customHeight="1">
      <c r="B20" s="99"/>
      <c r="C20" s="100"/>
      <c r="D20" s="195" t="s">
        <v>563</v>
      </c>
      <c r="E20" s="100"/>
      <c r="F20" s="100"/>
      <c r="G20" s="100"/>
      <c r="H20" s="100"/>
      <c r="I20" s="100"/>
      <c r="J20" s="100"/>
      <c r="K20" s="100"/>
      <c r="L20" s="100"/>
      <c r="M20" s="195" t="s">
        <v>558</v>
      </c>
      <c r="N20" s="100"/>
      <c r="O20" s="793"/>
      <c r="P20" s="793"/>
      <c r="Q20" s="100"/>
      <c r="R20" s="102"/>
    </row>
    <row r="21" spans="2:18" s="98" customFormat="1" ht="18" customHeight="1">
      <c r="B21" s="99"/>
      <c r="C21" s="100"/>
      <c r="D21" s="100"/>
      <c r="E21" s="103"/>
      <c r="F21" s="100"/>
      <c r="G21" s="100"/>
      <c r="H21" s="100"/>
      <c r="I21" s="100"/>
      <c r="J21" s="100"/>
      <c r="K21" s="100"/>
      <c r="L21" s="100"/>
      <c r="M21" s="195" t="s">
        <v>560</v>
      </c>
      <c r="N21" s="100"/>
      <c r="O21" s="793"/>
      <c r="P21" s="793"/>
      <c r="Q21" s="100"/>
      <c r="R21" s="102"/>
    </row>
    <row r="22" spans="2:18" s="98" customFormat="1" ht="6.75" customHeight="1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2"/>
    </row>
    <row r="23" spans="2:18" s="98" customFormat="1" ht="14.25" customHeight="1">
      <c r="B23" s="99"/>
      <c r="C23" s="100"/>
      <c r="D23" s="195" t="s">
        <v>534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2"/>
    </row>
    <row r="24" spans="2:18" s="98" customFormat="1" ht="22.5" customHeight="1">
      <c r="B24" s="99"/>
      <c r="C24" s="100"/>
      <c r="D24" s="100"/>
      <c r="E24" s="814" t="s">
        <v>552</v>
      </c>
      <c r="F24" s="814"/>
      <c r="G24" s="814"/>
      <c r="H24" s="814"/>
      <c r="I24" s="814"/>
      <c r="J24" s="814"/>
      <c r="K24" s="814"/>
      <c r="L24" s="814"/>
      <c r="M24" s="100"/>
      <c r="N24" s="100"/>
      <c r="O24" s="100"/>
      <c r="P24" s="100"/>
      <c r="Q24" s="100"/>
      <c r="R24" s="102"/>
    </row>
    <row r="25" spans="2:18" s="98" customFormat="1" ht="6.75" customHeight="1">
      <c r="B25" s="99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2"/>
    </row>
    <row r="26" spans="2:18" s="98" customFormat="1" ht="6.75" customHeight="1">
      <c r="B26" s="99"/>
      <c r="C26" s="100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0"/>
      <c r="R26" s="102"/>
    </row>
    <row r="27" spans="2:18" s="98" customFormat="1" ht="14.25" customHeight="1">
      <c r="B27" s="99"/>
      <c r="C27" s="100"/>
      <c r="D27" s="105" t="s">
        <v>564</v>
      </c>
      <c r="E27" s="100"/>
      <c r="F27" s="100"/>
      <c r="G27" s="100"/>
      <c r="H27" s="100"/>
      <c r="I27" s="100"/>
      <c r="J27" s="100"/>
      <c r="K27" s="100"/>
      <c r="L27" s="100"/>
      <c r="M27" s="811">
        <f>N88</f>
        <v>0</v>
      </c>
      <c r="N27" s="811"/>
      <c r="O27" s="811"/>
      <c r="P27" s="811"/>
      <c r="Q27" s="100"/>
      <c r="R27" s="102"/>
    </row>
    <row r="28" spans="2:18" s="98" customFormat="1" ht="14.25" customHeight="1">
      <c r="B28" s="99"/>
      <c r="C28" s="100"/>
      <c r="D28" s="106" t="s">
        <v>565</v>
      </c>
      <c r="E28" s="100"/>
      <c r="F28" s="100"/>
      <c r="G28" s="100"/>
      <c r="H28" s="100"/>
      <c r="I28" s="100"/>
      <c r="J28" s="100"/>
      <c r="K28" s="100"/>
      <c r="L28" s="100"/>
      <c r="M28" s="811">
        <f>N97</f>
        <v>0</v>
      </c>
      <c r="N28" s="811"/>
      <c r="O28" s="811"/>
      <c r="P28" s="811"/>
      <c r="Q28" s="100"/>
      <c r="R28" s="102"/>
    </row>
    <row r="29" spans="2:18" s="98" customFormat="1" ht="6.75" customHeight="1"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2"/>
    </row>
    <row r="30" spans="2:18" s="98" customFormat="1" ht="24.75" customHeight="1">
      <c r="B30" s="99"/>
      <c r="C30" s="100"/>
      <c r="D30" s="107" t="s">
        <v>566</v>
      </c>
      <c r="E30" s="100"/>
      <c r="F30" s="100"/>
      <c r="G30" s="100"/>
      <c r="H30" s="100"/>
      <c r="I30" s="100"/>
      <c r="J30" s="100"/>
      <c r="K30" s="100"/>
      <c r="L30" s="100"/>
      <c r="M30" s="812">
        <f>ROUND(M27+M28,2)</f>
        <v>0</v>
      </c>
      <c r="N30" s="788"/>
      <c r="O30" s="788"/>
      <c r="P30" s="788"/>
      <c r="Q30" s="100"/>
      <c r="R30" s="102"/>
    </row>
    <row r="31" spans="2:18" s="98" customFormat="1" ht="6.75" customHeight="1">
      <c r="B31" s="99"/>
      <c r="C31" s="100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0"/>
      <c r="R31" s="102"/>
    </row>
    <row r="32" spans="2:18" s="98" customFormat="1" ht="14.25" customHeight="1" hidden="1">
      <c r="B32" s="99"/>
      <c r="C32" s="100"/>
      <c r="D32" s="108" t="s">
        <v>89</v>
      </c>
      <c r="E32" s="108" t="s">
        <v>567</v>
      </c>
      <c r="F32" s="109">
        <v>0.21</v>
      </c>
      <c r="G32" s="110" t="s">
        <v>568</v>
      </c>
      <c r="H32" s="810">
        <f>ROUND((((SUM(BE97:BE104)+SUM(BE122:BE198))+SUM(BE206:BE210))),2)</f>
        <v>0</v>
      </c>
      <c r="I32" s="788"/>
      <c r="J32" s="788"/>
      <c r="K32" s="100"/>
      <c r="L32" s="100"/>
      <c r="M32" s="810">
        <f>ROUND(((ROUND((SUM(BE97:BE104)+SUM(BE122:BE198)),2)*F32)+SUM(BE206:BE210)*F32),2)</f>
        <v>0</v>
      </c>
      <c r="N32" s="788"/>
      <c r="O32" s="788"/>
      <c r="P32" s="788"/>
      <c r="Q32" s="100"/>
      <c r="R32" s="102"/>
    </row>
    <row r="33" spans="2:18" s="98" customFormat="1" ht="14.25" customHeight="1" hidden="1">
      <c r="B33" s="99"/>
      <c r="C33" s="100"/>
      <c r="D33" s="100"/>
      <c r="E33" s="108" t="s">
        <v>569</v>
      </c>
      <c r="F33" s="109">
        <v>0.15</v>
      </c>
      <c r="G33" s="110" t="s">
        <v>568</v>
      </c>
      <c r="H33" s="810">
        <f>ROUND((((SUM(BF97:BF104)+SUM(BF122:BF198))+SUM(BF206:BF210))),2)</f>
        <v>0</v>
      </c>
      <c r="I33" s="788"/>
      <c r="J33" s="788"/>
      <c r="K33" s="100"/>
      <c r="L33" s="100"/>
      <c r="M33" s="810">
        <f>ROUND(((ROUND((SUM(BF97:BF104)+SUM(BF122:BF198)),2)*F33)+SUM(BF206:BF210)*F33),2)</f>
        <v>0</v>
      </c>
      <c r="N33" s="788"/>
      <c r="O33" s="788"/>
      <c r="P33" s="788"/>
      <c r="Q33" s="100"/>
      <c r="R33" s="102"/>
    </row>
    <row r="34" spans="2:18" s="98" customFormat="1" ht="14.25" customHeight="1">
      <c r="B34" s="99"/>
      <c r="C34" s="100"/>
      <c r="D34" s="108" t="s">
        <v>89</v>
      </c>
      <c r="E34" s="108" t="s">
        <v>570</v>
      </c>
      <c r="F34" s="109">
        <v>0.21</v>
      </c>
      <c r="G34" s="110" t="s">
        <v>568</v>
      </c>
      <c r="H34" s="810">
        <f>ROUND((((SUM(BG97:BG104)+SUM(BG122:BG198))+SUM(BG206:BG210))),2)</f>
        <v>0</v>
      </c>
      <c r="I34" s="788"/>
      <c r="J34" s="788"/>
      <c r="K34" s="100"/>
      <c r="L34" s="100"/>
      <c r="M34" s="810">
        <v>0</v>
      </c>
      <c r="N34" s="788"/>
      <c r="O34" s="788"/>
      <c r="P34" s="788"/>
      <c r="Q34" s="100"/>
      <c r="R34" s="102"/>
    </row>
    <row r="35" spans="2:18" s="98" customFormat="1" ht="14.25" customHeight="1">
      <c r="B35" s="99"/>
      <c r="C35" s="100"/>
      <c r="D35" s="100"/>
      <c r="E35" s="108" t="s">
        <v>571</v>
      </c>
      <c r="F35" s="109">
        <v>0.15</v>
      </c>
      <c r="G35" s="110" t="s">
        <v>568</v>
      </c>
      <c r="H35" s="810">
        <f>ROUND((((SUM(BH97:BH104)+SUM(BH122:BH198))+SUM(BH206:BH210))),2)</f>
        <v>0</v>
      </c>
      <c r="I35" s="788"/>
      <c r="J35" s="788"/>
      <c r="K35" s="100"/>
      <c r="L35" s="100"/>
      <c r="M35" s="810">
        <v>0</v>
      </c>
      <c r="N35" s="788"/>
      <c r="O35" s="788"/>
      <c r="P35" s="788"/>
      <c r="Q35" s="100"/>
      <c r="R35" s="102"/>
    </row>
    <row r="36" spans="2:18" s="98" customFormat="1" ht="14.25" customHeight="1" hidden="1">
      <c r="B36" s="99"/>
      <c r="C36" s="100"/>
      <c r="D36" s="100"/>
      <c r="E36" s="108" t="s">
        <v>572</v>
      </c>
      <c r="F36" s="109">
        <v>0</v>
      </c>
      <c r="G36" s="110" t="s">
        <v>568</v>
      </c>
      <c r="H36" s="810">
        <f>ROUND((((SUM(BI97:BI104)+SUM(BI122:BI198))+SUM(BI206:BI210))),2)</f>
        <v>0</v>
      </c>
      <c r="I36" s="788"/>
      <c r="J36" s="788"/>
      <c r="K36" s="100"/>
      <c r="L36" s="100"/>
      <c r="M36" s="810">
        <v>0</v>
      </c>
      <c r="N36" s="788"/>
      <c r="O36" s="788"/>
      <c r="P36" s="788"/>
      <c r="Q36" s="100"/>
      <c r="R36" s="102"/>
    </row>
    <row r="37" spans="2:18" s="98" customFormat="1" ht="6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2"/>
    </row>
    <row r="38" spans="2:18" s="98" customFormat="1" ht="24.75" customHeight="1">
      <c r="B38" s="99"/>
      <c r="C38" s="196"/>
      <c r="D38" s="112" t="s">
        <v>573</v>
      </c>
      <c r="E38" s="113"/>
      <c r="F38" s="113"/>
      <c r="G38" s="114" t="s">
        <v>574</v>
      </c>
      <c r="H38" s="115" t="s">
        <v>575</v>
      </c>
      <c r="I38" s="113"/>
      <c r="J38" s="113"/>
      <c r="K38" s="113"/>
      <c r="L38" s="807"/>
      <c r="M38" s="807"/>
      <c r="N38" s="807"/>
      <c r="O38" s="807"/>
      <c r="P38" s="808"/>
      <c r="Q38" s="196"/>
      <c r="R38" s="102"/>
    </row>
    <row r="39" spans="2:18" s="98" customFormat="1" ht="14.25" customHeight="1"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2"/>
    </row>
    <row r="40" spans="2:18" s="98" customFormat="1" ht="14.25" customHeight="1"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2"/>
    </row>
    <row r="41" spans="2:18" ht="12.75">
      <c r="B41" s="93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4"/>
    </row>
    <row r="42" spans="2:18" ht="12.75">
      <c r="B42" s="93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4"/>
    </row>
    <row r="43" spans="2:18" ht="12.75">
      <c r="B43" s="93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4"/>
    </row>
    <row r="44" spans="2:18" ht="12.75">
      <c r="B44" s="93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4"/>
    </row>
    <row r="45" spans="2:18" ht="12.75">
      <c r="B45" s="93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4"/>
    </row>
    <row r="46" spans="2:18" ht="12.75">
      <c r="B46" s="93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4"/>
    </row>
    <row r="47" spans="2:18" ht="12.75">
      <c r="B47" s="93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4"/>
    </row>
    <row r="48" spans="2:18" ht="12.75">
      <c r="B48" s="93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4"/>
    </row>
    <row r="49" spans="2:18" ht="12.75">
      <c r="B49" s="93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4"/>
    </row>
    <row r="50" spans="2:18" s="98" customFormat="1" ht="15">
      <c r="B50" s="99"/>
      <c r="C50" s="100"/>
      <c r="D50" s="116" t="s">
        <v>576</v>
      </c>
      <c r="E50" s="104"/>
      <c r="F50" s="104"/>
      <c r="G50" s="104"/>
      <c r="H50" s="117"/>
      <c r="I50" s="100"/>
      <c r="J50" s="116" t="s">
        <v>577</v>
      </c>
      <c r="K50" s="104"/>
      <c r="L50" s="104"/>
      <c r="M50" s="104"/>
      <c r="N50" s="104"/>
      <c r="O50" s="104"/>
      <c r="P50" s="117"/>
      <c r="Q50" s="100"/>
      <c r="R50" s="102"/>
    </row>
    <row r="51" spans="2:18" ht="12.75">
      <c r="B51" s="93"/>
      <c r="C51" s="96"/>
      <c r="D51" s="118"/>
      <c r="E51" s="96"/>
      <c r="F51" s="96"/>
      <c r="G51" s="96"/>
      <c r="H51" s="119"/>
      <c r="I51" s="96"/>
      <c r="J51" s="118"/>
      <c r="K51" s="96"/>
      <c r="L51" s="96"/>
      <c r="M51" s="96"/>
      <c r="N51" s="96"/>
      <c r="O51" s="96"/>
      <c r="P51" s="119"/>
      <c r="Q51" s="96"/>
      <c r="R51" s="94"/>
    </row>
    <row r="52" spans="2:18" ht="12.75">
      <c r="B52" s="93"/>
      <c r="C52" s="96"/>
      <c r="D52" s="118"/>
      <c r="E52" s="96"/>
      <c r="F52" s="96"/>
      <c r="G52" s="96"/>
      <c r="H52" s="119"/>
      <c r="I52" s="96"/>
      <c r="J52" s="118"/>
      <c r="K52" s="96"/>
      <c r="L52" s="96"/>
      <c r="M52" s="96"/>
      <c r="N52" s="96"/>
      <c r="O52" s="96"/>
      <c r="P52" s="119"/>
      <c r="Q52" s="96"/>
      <c r="R52" s="94"/>
    </row>
    <row r="53" spans="2:18" ht="12.75">
      <c r="B53" s="93"/>
      <c r="C53" s="96"/>
      <c r="D53" s="118"/>
      <c r="E53" s="96"/>
      <c r="F53" s="96"/>
      <c r="G53" s="96"/>
      <c r="H53" s="119"/>
      <c r="I53" s="96"/>
      <c r="J53" s="118"/>
      <c r="K53" s="96"/>
      <c r="L53" s="96"/>
      <c r="M53" s="96"/>
      <c r="N53" s="96"/>
      <c r="O53" s="96"/>
      <c r="P53" s="119"/>
      <c r="Q53" s="96"/>
      <c r="R53" s="94"/>
    </row>
    <row r="54" spans="2:18" ht="12.75">
      <c r="B54" s="93"/>
      <c r="C54" s="96"/>
      <c r="D54" s="118"/>
      <c r="E54" s="96"/>
      <c r="F54" s="96"/>
      <c r="G54" s="96"/>
      <c r="H54" s="119"/>
      <c r="I54" s="96"/>
      <c r="J54" s="118"/>
      <c r="K54" s="96"/>
      <c r="L54" s="96"/>
      <c r="M54" s="96"/>
      <c r="N54" s="96"/>
      <c r="O54" s="96"/>
      <c r="P54" s="119"/>
      <c r="Q54" s="96"/>
      <c r="R54" s="94"/>
    </row>
    <row r="55" spans="2:18" ht="12.75">
      <c r="B55" s="93"/>
      <c r="C55" s="96"/>
      <c r="D55" s="118"/>
      <c r="E55" s="96"/>
      <c r="F55" s="96"/>
      <c r="G55" s="96"/>
      <c r="H55" s="119"/>
      <c r="I55" s="96"/>
      <c r="J55" s="118"/>
      <c r="K55" s="96"/>
      <c r="L55" s="96"/>
      <c r="M55" s="96"/>
      <c r="N55" s="96"/>
      <c r="O55" s="96"/>
      <c r="P55" s="119"/>
      <c r="Q55" s="96"/>
      <c r="R55" s="94"/>
    </row>
    <row r="56" spans="2:18" ht="12.75">
      <c r="B56" s="93"/>
      <c r="C56" s="96"/>
      <c r="D56" s="118"/>
      <c r="E56" s="96"/>
      <c r="F56" s="96"/>
      <c r="G56" s="96"/>
      <c r="H56" s="119"/>
      <c r="I56" s="96"/>
      <c r="J56" s="118"/>
      <c r="K56" s="96"/>
      <c r="L56" s="96"/>
      <c r="M56" s="96"/>
      <c r="N56" s="96"/>
      <c r="O56" s="96"/>
      <c r="P56" s="119"/>
      <c r="Q56" s="96"/>
      <c r="R56" s="94"/>
    </row>
    <row r="57" spans="2:18" ht="12.75">
      <c r="B57" s="93"/>
      <c r="C57" s="96"/>
      <c r="D57" s="118"/>
      <c r="E57" s="96"/>
      <c r="F57" s="96"/>
      <c r="G57" s="96"/>
      <c r="H57" s="119"/>
      <c r="I57" s="96"/>
      <c r="J57" s="118"/>
      <c r="K57" s="96"/>
      <c r="L57" s="96"/>
      <c r="M57" s="96"/>
      <c r="N57" s="96"/>
      <c r="O57" s="96"/>
      <c r="P57" s="119"/>
      <c r="Q57" s="96"/>
      <c r="R57" s="94"/>
    </row>
    <row r="58" spans="2:18" ht="12.75">
      <c r="B58" s="93"/>
      <c r="C58" s="96"/>
      <c r="D58" s="118"/>
      <c r="E58" s="96"/>
      <c r="F58" s="96"/>
      <c r="G58" s="96"/>
      <c r="H58" s="119"/>
      <c r="I58" s="96"/>
      <c r="J58" s="118"/>
      <c r="K58" s="96"/>
      <c r="L58" s="96"/>
      <c r="M58" s="96"/>
      <c r="N58" s="96"/>
      <c r="O58" s="96"/>
      <c r="P58" s="119"/>
      <c r="Q58" s="96"/>
      <c r="R58" s="94"/>
    </row>
    <row r="59" spans="2:18" s="98" customFormat="1" ht="15">
      <c r="B59" s="99"/>
      <c r="C59" s="100"/>
      <c r="D59" s="120" t="s">
        <v>578</v>
      </c>
      <c r="E59" s="121"/>
      <c r="F59" s="121"/>
      <c r="G59" s="122" t="s">
        <v>579</v>
      </c>
      <c r="H59" s="123"/>
      <c r="I59" s="100"/>
      <c r="J59" s="120" t="s">
        <v>578</v>
      </c>
      <c r="K59" s="121"/>
      <c r="L59" s="121"/>
      <c r="M59" s="121"/>
      <c r="N59" s="122" t="s">
        <v>579</v>
      </c>
      <c r="O59" s="121"/>
      <c r="P59" s="123"/>
      <c r="Q59" s="100"/>
      <c r="R59" s="102"/>
    </row>
    <row r="60" spans="2:18" ht="12.75">
      <c r="B60" s="93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4"/>
    </row>
    <row r="61" spans="2:18" s="98" customFormat="1" ht="15">
      <c r="B61" s="99"/>
      <c r="C61" s="100"/>
      <c r="D61" s="116" t="s">
        <v>580</v>
      </c>
      <c r="E61" s="104"/>
      <c r="F61" s="104"/>
      <c r="G61" s="104"/>
      <c r="H61" s="117"/>
      <c r="I61" s="100"/>
      <c r="J61" s="116" t="s">
        <v>581</v>
      </c>
      <c r="K61" s="104"/>
      <c r="L61" s="104"/>
      <c r="M61" s="104"/>
      <c r="N61" s="104"/>
      <c r="O61" s="104"/>
      <c r="P61" s="117"/>
      <c r="Q61" s="100"/>
      <c r="R61" s="102"/>
    </row>
    <row r="62" spans="2:18" ht="12.75">
      <c r="B62" s="93"/>
      <c r="C62" s="96"/>
      <c r="D62" s="118"/>
      <c r="E62" s="96"/>
      <c r="F62" s="96"/>
      <c r="G62" s="96"/>
      <c r="H62" s="119"/>
      <c r="I62" s="96"/>
      <c r="J62" s="118"/>
      <c r="K62" s="96"/>
      <c r="L62" s="96"/>
      <c r="M62" s="96"/>
      <c r="N62" s="96"/>
      <c r="O62" s="96"/>
      <c r="P62" s="119"/>
      <c r="Q62" s="96"/>
      <c r="R62" s="94"/>
    </row>
    <row r="63" spans="2:18" ht="12.75">
      <c r="B63" s="93"/>
      <c r="C63" s="96"/>
      <c r="D63" s="118"/>
      <c r="E63" s="96"/>
      <c r="F63" s="96"/>
      <c r="G63" s="96"/>
      <c r="H63" s="119"/>
      <c r="I63" s="96"/>
      <c r="J63" s="118"/>
      <c r="K63" s="96"/>
      <c r="L63" s="96"/>
      <c r="M63" s="96"/>
      <c r="N63" s="96"/>
      <c r="O63" s="96"/>
      <c r="P63" s="119"/>
      <c r="Q63" s="96"/>
      <c r="R63" s="94"/>
    </row>
    <row r="64" spans="2:18" ht="12.75">
      <c r="B64" s="93"/>
      <c r="C64" s="96"/>
      <c r="D64" s="118"/>
      <c r="E64" s="96"/>
      <c r="F64" s="96"/>
      <c r="G64" s="96"/>
      <c r="H64" s="119"/>
      <c r="I64" s="96"/>
      <c r="J64" s="118"/>
      <c r="K64" s="96"/>
      <c r="L64" s="96"/>
      <c r="M64" s="96"/>
      <c r="N64" s="96"/>
      <c r="O64" s="96"/>
      <c r="P64" s="119"/>
      <c r="Q64" s="96"/>
      <c r="R64" s="94"/>
    </row>
    <row r="65" spans="2:18" ht="12.75">
      <c r="B65" s="93"/>
      <c r="C65" s="96"/>
      <c r="D65" s="118"/>
      <c r="E65" s="96"/>
      <c r="F65" s="96"/>
      <c r="G65" s="96"/>
      <c r="H65" s="119"/>
      <c r="I65" s="96"/>
      <c r="J65" s="118"/>
      <c r="K65" s="96"/>
      <c r="L65" s="96"/>
      <c r="M65" s="96"/>
      <c r="N65" s="96"/>
      <c r="O65" s="96"/>
      <c r="P65" s="119"/>
      <c r="Q65" s="96"/>
      <c r="R65" s="94"/>
    </row>
    <row r="66" spans="2:18" ht="12.75">
      <c r="B66" s="93"/>
      <c r="C66" s="96"/>
      <c r="D66" s="118"/>
      <c r="E66" s="96"/>
      <c r="F66" s="96"/>
      <c r="G66" s="96"/>
      <c r="H66" s="119"/>
      <c r="I66" s="96"/>
      <c r="J66" s="118"/>
      <c r="K66" s="96"/>
      <c r="L66" s="96"/>
      <c r="M66" s="96"/>
      <c r="N66" s="96"/>
      <c r="O66" s="96"/>
      <c r="P66" s="119"/>
      <c r="Q66" s="96"/>
      <c r="R66" s="94"/>
    </row>
    <row r="67" spans="2:18" ht="12.75">
      <c r="B67" s="93"/>
      <c r="C67" s="96"/>
      <c r="D67" s="118"/>
      <c r="E67" s="96"/>
      <c r="F67" s="96"/>
      <c r="G67" s="96"/>
      <c r="H67" s="119"/>
      <c r="I67" s="96"/>
      <c r="J67" s="118"/>
      <c r="K67" s="96"/>
      <c r="L67" s="96"/>
      <c r="M67" s="96"/>
      <c r="N67" s="96"/>
      <c r="O67" s="96"/>
      <c r="P67" s="119"/>
      <c r="Q67" s="96"/>
      <c r="R67" s="94"/>
    </row>
    <row r="68" spans="2:18" ht="12.75">
      <c r="B68" s="93"/>
      <c r="C68" s="96"/>
      <c r="D68" s="118"/>
      <c r="E68" s="96"/>
      <c r="F68" s="96"/>
      <c r="G68" s="96"/>
      <c r="H68" s="119"/>
      <c r="I68" s="96"/>
      <c r="J68" s="118"/>
      <c r="K68" s="96"/>
      <c r="L68" s="96"/>
      <c r="M68" s="96"/>
      <c r="N68" s="96"/>
      <c r="O68" s="96"/>
      <c r="P68" s="119"/>
      <c r="Q68" s="96"/>
      <c r="R68" s="94"/>
    </row>
    <row r="69" spans="2:18" ht="12.75">
      <c r="B69" s="93"/>
      <c r="C69" s="96"/>
      <c r="D69" s="118"/>
      <c r="E69" s="96"/>
      <c r="F69" s="96"/>
      <c r="G69" s="96"/>
      <c r="H69" s="119"/>
      <c r="I69" s="96"/>
      <c r="J69" s="118"/>
      <c r="K69" s="96"/>
      <c r="L69" s="96"/>
      <c r="M69" s="96"/>
      <c r="N69" s="96"/>
      <c r="O69" s="96"/>
      <c r="P69" s="119"/>
      <c r="Q69" s="96"/>
      <c r="R69" s="94"/>
    </row>
    <row r="70" spans="2:18" s="98" customFormat="1" ht="15">
      <c r="B70" s="99"/>
      <c r="C70" s="100"/>
      <c r="D70" s="120" t="s">
        <v>578</v>
      </c>
      <c r="E70" s="121"/>
      <c r="F70" s="121"/>
      <c r="G70" s="122" t="s">
        <v>579</v>
      </c>
      <c r="H70" s="123"/>
      <c r="I70" s="100"/>
      <c r="J70" s="120" t="s">
        <v>578</v>
      </c>
      <c r="K70" s="121"/>
      <c r="L70" s="121"/>
      <c r="M70" s="121"/>
      <c r="N70" s="122" t="s">
        <v>579</v>
      </c>
      <c r="O70" s="121"/>
      <c r="P70" s="123"/>
      <c r="Q70" s="100"/>
      <c r="R70" s="102"/>
    </row>
    <row r="71" spans="2:18" s="98" customFormat="1" ht="14.25" customHeight="1">
      <c r="B71" s="124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6"/>
    </row>
    <row r="75" spans="2:18" s="98" customFormat="1" ht="6.7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98" customFormat="1" ht="36.75" customHeight="1">
      <c r="B76" s="99"/>
      <c r="C76" s="787" t="s">
        <v>582</v>
      </c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09"/>
      <c r="P76" s="809"/>
      <c r="Q76" s="809"/>
      <c r="R76" s="102"/>
      <c r="T76" s="130"/>
      <c r="U76" s="130"/>
    </row>
    <row r="77" spans="2:21" s="98" customFormat="1" ht="6.75" customHeight="1"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2"/>
      <c r="T77" s="130"/>
      <c r="U77" s="130"/>
    </row>
    <row r="78" spans="2:21" s="98" customFormat="1" ht="30" customHeight="1">
      <c r="B78" s="99"/>
      <c r="C78" s="195" t="s">
        <v>31</v>
      </c>
      <c r="D78" s="100"/>
      <c r="E78" s="100"/>
      <c r="F78" s="789" t="str">
        <f>F6</f>
        <v>Raudnitzův dům - Bydlení pro seniory</v>
      </c>
      <c r="G78" s="790"/>
      <c r="H78" s="790"/>
      <c r="I78" s="790"/>
      <c r="J78" s="790"/>
      <c r="K78" s="790"/>
      <c r="L78" s="790"/>
      <c r="M78" s="790"/>
      <c r="N78" s="790"/>
      <c r="O78" s="790"/>
      <c r="P78" s="790"/>
      <c r="Q78" s="100"/>
      <c r="R78" s="102"/>
      <c r="T78" s="130"/>
      <c r="U78" s="130"/>
    </row>
    <row r="79" spans="2:21" s="98" customFormat="1" ht="36.75" customHeight="1">
      <c r="B79" s="99"/>
      <c r="C79" s="131" t="s">
        <v>549</v>
      </c>
      <c r="D79" s="100"/>
      <c r="E79" s="100"/>
      <c r="F79" s="791" t="str">
        <f>F7</f>
        <v>D.1.4.1 - Zdravotně technické instalace</v>
      </c>
      <c r="G79" s="788"/>
      <c r="H79" s="788"/>
      <c r="I79" s="788"/>
      <c r="J79" s="788"/>
      <c r="K79" s="788"/>
      <c r="L79" s="788"/>
      <c r="M79" s="788"/>
      <c r="N79" s="788"/>
      <c r="O79" s="788"/>
      <c r="P79" s="788"/>
      <c r="Q79" s="100"/>
      <c r="R79" s="102"/>
      <c r="T79" s="130"/>
      <c r="U79" s="130"/>
    </row>
    <row r="80" spans="2:21" s="98" customFormat="1" ht="6.75" customHeight="1">
      <c r="B80" s="99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2"/>
      <c r="T80" s="130"/>
      <c r="U80" s="130"/>
    </row>
    <row r="81" spans="2:21" s="98" customFormat="1" ht="18" customHeight="1">
      <c r="B81" s="99"/>
      <c r="C81" s="195" t="s">
        <v>554</v>
      </c>
      <c r="D81" s="100"/>
      <c r="E81" s="100"/>
      <c r="F81" s="103" t="str">
        <f>F9</f>
        <v>Hlubočepská 2/33, 15000 Praha 5 - Hlubočepy</v>
      </c>
      <c r="G81" s="100"/>
      <c r="H81" s="100"/>
      <c r="I81" s="100"/>
      <c r="J81" s="100"/>
      <c r="K81" s="195" t="s">
        <v>556</v>
      </c>
      <c r="L81" s="100"/>
      <c r="M81" s="792"/>
      <c r="N81" s="792"/>
      <c r="O81" s="792"/>
      <c r="P81" s="792"/>
      <c r="Q81" s="100"/>
      <c r="R81" s="102"/>
      <c r="T81" s="130"/>
      <c r="U81" s="130"/>
    </row>
    <row r="82" spans="2:21" s="98" customFormat="1" ht="6.75" customHeight="1">
      <c r="B82" s="99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2"/>
      <c r="T82" s="130"/>
      <c r="U82" s="130"/>
    </row>
    <row r="83" spans="2:21" s="98" customFormat="1" ht="15">
      <c r="B83" s="99"/>
      <c r="C83" s="195" t="s">
        <v>557</v>
      </c>
      <c r="D83" s="100"/>
      <c r="E83" s="100"/>
      <c r="F83" s="103" t="str">
        <f>E12</f>
        <v>Městská část Praha 5, náměstí 14.října 1381/4, Smíchov, 15000 Praha 5</v>
      </c>
      <c r="G83" s="100"/>
      <c r="H83" s="100"/>
      <c r="I83" s="100"/>
      <c r="J83" s="100"/>
      <c r="K83" s="195" t="s">
        <v>562</v>
      </c>
      <c r="L83" s="100"/>
      <c r="M83" s="793"/>
      <c r="N83" s="793"/>
      <c r="O83" s="793"/>
      <c r="P83" s="793"/>
      <c r="Q83" s="793"/>
      <c r="R83" s="102"/>
      <c r="T83" s="130"/>
      <c r="U83" s="130"/>
    </row>
    <row r="84" spans="2:21" s="98" customFormat="1" ht="14.25" customHeight="1">
      <c r="B84" s="99"/>
      <c r="C84" s="195" t="s">
        <v>561</v>
      </c>
      <c r="D84" s="100"/>
      <c r="E84" s="100"/>
      <c r="F84" s="103"/>
      <c r="G84" s="100"/>
      <c r="H84" s="100"/>
      <c r="I84" s="100"/>
      <c r="J84" s="100"/>
      <c r="K84" s="195" t="s">
        <v>563</v>
      </c>
      <c r="L84" s="100"/>
      <c r="M84" s="793">
        <f>E21</f>
        <v>0</v>
      </c>
      <c r="N84" s="793"/>
      <c r="O84" s="793"/>
      <c r="P84" s="793"/>
      <c r="Q84" s="793"/>
      <c r="R84" s="102"/>
      <c r="T84" s="130"/>
      <c r="U84" s="130"/>
    </row>
    <row r="85" spans="2:21" s="98" customFormat="1" ht="9.75" customHeight="1"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2"/>
      <c r="T85" s="130"/>
      <c r="U85" s="130"/>
    </row>
    <row r="86" spans="2:21" s="98" customFormat="1" ht="29.25" customHeight="1">
      <c r="B86" s="99"/>
      <c r="C86" s="804" t="s">
        <v>583</v>
      </c>
      <c r="D86" s="805"/>
      <c r="E86" s="805"/>
      <c r="F86" s="805"/>
      <c r="G86" s="805"/>
      <c r="H86" s="196"/>
      <c r="I86" s="196"/>
      <c r="J86" s="196"/>
      <c r="K86" s="196"/>
      <c r="L86" s="196"/>
      <c r="M86" s="196"/>
      <c r="N86" s="804" t="s">
        <v>584</v>
      </c>
      <c r="O86" s="805"/>
      <c r="P86" s="805"/>
      <c r="Q86" s="805"/>
      <c r="R86" s="102"/>
      <c r="T86" s="130"/>
      <c r="U86" s="130"/>
    </row>
    <row r="87" spans="2:21" s="98" customFormat="1" ht="9.75" customHeight="1"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2"/>
      <c r="T87" s="130"/>
      <c r="U87" s="130"/>
    </row>
    <row r="88" spans="2:47" s="98" customFormat="1" ht="29.25" customHeight="1">
      <c r="B88" s="99"/>
      <c r="C88" s="132" t="s">
        <v>585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806">
        <f>N122</f>
        <v>0</v>
      </c>
      <c r="O88" s="799"/>
      <c r="P88" s="799"/>
      <c r="Q88" s="799"/>
      <c r="R88" s="102"/>
      <c r="T88" s="130"/>
      <c r="U88" s="130"/>
      <c r="AU88" s="89" t="s">
        <v>586</v>
      </c>
    </row>
    <row r="89" spans="2:21" s="133" customFormat="1" ht="24.75" customHeight="1">
      <c r="B89" s="134"/>
      <c r="C89" s="197"/>
      <c r="D89" s="136" t="s">
        <v>1116</v>
      </c>
      <c r="E89" s="197"/>
      <c r="F89" s="197"/>
      <c r="G89" s="197"/>
      <c r="H89" s="197"/>
      <c r="I89" s="197"/>
      <c r="J89" s="197"/>
      <c r="K89" s="197"/>
      <c r="L89" s="197"/>
      <c r="M89" s="197"/>
      <c r="N89" s="786">
        <f>N123</f>
        <v>0</v>
      </c>
      <c r="O89" s="801"/>
      <c r="P89" s="801"/>
      <c r="Q89" s="801"/>
      <c r="R89" s="137"/>
      <c r="T89" s="138"/>
      <c r="U89" s="138"/>
    </row>
    <row r="90" spans="2:21" s="139" customFormat="1" ht="19.5" customHeight="1">
      <c r="B90" s="140"/>
      <c r="C90" s="198"/>
      <c r="D90" s="199" t="s">
        <v>1117</v>
      </c>
      <c r="E90" s="198"/>
      <c r="F90" s="198"/>
      <c r="G90" s="198"/>
      <c r="H90" s="198"/>
      <c r="I90" s="198"/>
      <c r="J90" s="198"/>
      <c r="K90" s="198"/>
      <c r="L90" s="198"/>
      <c r="M90" s="198"/>
      <c r="N90" s="802">
        <f>N124</f>
        <v>0</v>
      </c>
      <c r="O90" s="803"/>
      <c r="P90" s="803"/>
      <c r="Q90" s="803"/>
      <c r="R90" s="143"/>
      <c r="T90" s="144"/>
      <c r="U90" s="144"/>
    </row>
    <row r="91" spans="2:21" s="133" customFormat="1" ht="24.75" customHeight="1">
      <c r="B91" s="134"/>
      <c r="C91" s="197"/>
      <c r="D91" s="136" t="s">
        <v>1118</v>
      </c>
      <c r="E91" s="197"/>
      <c r="F91" s="197"/>
      <c r="G91" s="197"/>
      <c r="H91" s="197"/>
      <c r="I91" s="197"/>
      <c r="J91" s="197"/>
      <c r="K91" s="197"/>
      <c r="L91" s="197"/>
      <c r="M91" s="197"/>
      <c r="N91" s="786">
        <f>N159</f>
        <v>0</v>
      </c>
      <c r="O91" s="801"/>
      <c r="P91" s="801"/>
      <c r="Q91" s="801"/>
      <c r="R91" s="137"/>
      <c r="T91" s="138"/>
      <c r="U91" s="138"/>
    </row>
    <row r="92" spans="2:21" s="139" customFormat="1" ht="19.5" customHeight="1">
      <c r="B92" s="140"/>
      <c r="C92" s="198"/>
      <c r="D92" s="199" t="s">
        <v>1119</v>
      </c>
      <c r="E92" s="198"/>
      <c r="F92" s="198"/>
      <c r="G92" s="198"/>
      <c r="H92" s="198"/>
      <c r="I92" s="198"/>
      <c r="J92" s="198"/>
      <c r="K92" s="198"/>
      <c r="L92" s="198"/>
      <c r="M92" s="198"/>
      <c r="N92" s="802">
        <f>N160</f>
        <v>0</v>
      </c>
      <c r="O92" s="803"/>
      <c r="P92" s="803"/>
      <c r="Q92" s="803"/>
      <c r="R92" s="143"/>
      <c r="T92" s="144"/>
      <c r="U92" s="144"/>
    </row>
    <row r="93" spans="2:21" s="133" customFormat="1" ht="24.75" customHeight="1">
      <c r="B93" s="134"/>
      <c r="C93" s="197"/>
      <c r="D93" s="136" t="s">
        <v>1120</v>
      </c>
      <c r="E93" s="197"/>
      <c r="F93" s="197"/>
      <c r="G93" s="197"/>
      <c r="H93" s="197"/>
      <c r="I93" s="197"/>
      <c r="J93" s="197"/>
      <c r="K93" s="197"/>
      <c r="L93" s="197"/>
      <c r="M93" s="197"/>
      <c r="N93" s="786">
        <f>N180</f>
        <v>0</v>
      </c>
      <c r="O93" s="801"/>
      <c r="P93" s="801"/>
      <c r="Q93" s="801"/>
      <c r="R93" s="137"/>
      <c r="T93" s="138"/>
      <c r="U93" s="138"/>
    </row>
    <row r="94" spans="2:21" s="139" customFormat="1" ht="19.5" customHeight="1">
      <c r="B94" s="140"/>
      <c r="C94" s="198"/>
      <c r="D94" s="199" t="s">
        <v>1121</v>
      </c>
      <c r="E94" s="198"/>
      <c r="F94" s="198"/>
      <c r="G94" s="198"/>
      <c r="H94" s="198"/>
      <c r="I94" s="198"/>
      <c r="J94" s="198"/>
      <c r="K94" s="198"/>
      <c r="L94" s="198"/>
      <c r="M94" s="198"/>
      <c r="N94" s="802">
        <f>N181</f>
        <v>0</v>
      </c>
      <c r="O94" s="803"/>
      <c r="P94" s="803"/>
      <c r="Q94" s="803"/>
      <c r="R94" s="143"/>
      <c r="T94" s="144"/>
      <c r="U94" s="144"/>
    </row>
    <row r="95" spans="2:21" s="133" customFormat="1" ht="21.75" customHeight="1">
      <c r="B95" s="134"/>
      <c r="C95" s="197"/>
      <c r="D95" s="136" t="s">
        <v>1122</v>
      </c>
      <c r="E95" s="197"/>
      <c r="F95" s="197"/>
      <c r="G95" s="197"/>
      <c r="H95" s="197"/>
      <c r="I95" s="197"/>
      <c r="J95" s="197"/>
      <c r="K95" s="197"/>
      <c r="L95" s="197"/>
      <c r="M95" s="197"/>
      <c r="N95" s="785">
        <f>N204</f>
        <v>0</v>
      </c>
      <c r="O95" s="801"/>
      <c r="P95" s="801"/>
      <c r="Q95" s="801"/>
      <c r="R95" s="137"/>
      <c r="T95" s="138"/>
      <c r="U95" s="138"/>
    </row>
    <row r="96" spans="2:21" s="139" customFormat="1" ht="19.5" customHeight="1">
      <c r="B96" s="140"/>
      <c r="C96" s="198"/>
      <c r="D96" s="199" t="s">
        <v>1123</v>
      </c>
      <c r="E96" s="198"/>
      <c r="F96" s="198"/>
      <c r="G96" s="198"/>
      <c r="H96" s="198"/>
      <c r="I96" s="198"/>
      <c r="J96" s="198"/>
      <c r="K96" s="198"/>
      <c r="L96" s="198"/>
      <c r="M96" s="198"/>
      <c r="N96" s="802">
        <f>N205</f>
        <v>0</v>
      </c>
      <c r="O96" s="803"/>
      <c r="P96" s="803"/>
      <c r="Q96" s="803"/>
      <c r="R96" s="143"/>
      <c r="T96" s="144"/>
      <c r="U96" s="144"/>
    </row>
    <row r="97" spans="2:21" s="98" customFormat="1" ht="29.25" customHeight="1">
      <c r="B97" s="99"/>
      <c r="C97" s="132" t="s">
        <v>593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799">
        <f>ROUND(N98+N99+N100+N101+N102+N103,2)</f>
        <v>0</v>
      </c>
      <c r="O97" s="800"/>
      <c r="P97" s="800"/>
      <c r="Q97" s="800"/>
      <c r="R97" s="102"/>
      <c r="T97" s="145"/>
      <c r="U97" s="146" t="s">
        <v>89</v>
      </c>
    </row>
    <row r="98" spans="2:65" s="98" customFormat="1" ht="18" customHeight="1">
      <c r="B98" s="99"/>
      <c r="C98" s="100"/>
      <c r="D98" s="794" t="s">
        <v>102</v>
      </c>
      <c r="E98" s="795"/>
      <c r="F98" s="795"/>
      <c r="G98" s="795"/>
      <c r="H98" s="795"/>
      <c r="I98" s="322"/>
      <c r="J98" s="322"/>
      <c r="K98" s="322"/>
      <c r="L98" s="322"/>
      <c r="M98" s="322"/>
      <c r="N98" s="796">
        <f>ROUND(N88*T98,2)</f>
        <v>0</v>
      </c>
      <c r="O98" s="797"/>
      <c r="P98" s="797"/>
      <c r="Q98" s="797"/>
      <c r="R98" s="102"/>
      <c r="S98" s="147"/>
      <c r="T98" s="148"/>
      <c r="U98" s="149" t="s">
        <v>571</v>
      </c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1" t="s">
        <v>594</v>
      </c>
      <c r="AZ98" s="150"/>
      <c r="BA98" s="150"/>
      <c r="BB98" s="150"/>
      <c r="BC98" s="150"/>
      <c r="BD98" s="150"/>
      <c r="BE98" s="152">
        <f aca="true" t="shared" si="0" ref="BE98:BE103">IF(U98="základní",N98,0)</f>
        <v>0</v>
      </c>
      <c r="BF98" s="152">
        <f aca="true" t="shared" si="1" ref="BF98:BF103">IF(U98="snížená",N98,0)</f>
        <v>0</v>
      </c>
      <c r="BG98" s="152">
        <f aca="true" t="shared" si="2" ref="BG98:BG103">IF(U98="zákl. přenesená",N98,0)</f>
        <v>0</v>
      </c>
      <c r="BH98" s="152">
        <f aca="true" t="shared" si="3" ref="BH98:BH103">IF(U98="sníž. přenesená",N98,0)</f>
        <v>0</v>
      </c>
      <c r="BI98" s="152">
        <f aca="true" t="shared" si="4" ref="BI98:BI103">IF(U98="nulová",N98,0)</f>
        <v>0</v>
      </c>
      <c r="BJ98" s="151" t="s">
        <v>595</v>
      </c>
      <c r="BK98" s="150"/>
      <c r="BL98" s="150"/>
      <c r="BM98" s="150"/>
    </row>
    <row r="99" spans="2:65" s="98" customFormat="1" ht="18" customHeight="1">
      <c r="B99" s="99"/>
      <c r="C99" s="100"/>
      <c r="D99" s="794" t="s">
        <v>596</v>
      </c>
      <c r="E99" s="795"/>
      <c r="F99" s="795"/>
      <c r="G99" s="795"/>
      <c r="H99" s="795"/>
      <c r="I99" s="322"/>
      <c r="J99" s="322"/>
      <c r="K99" s="322"/>
      <c r="L99" s="322"/>
      <c r="M99" s="322"/>
      <c r="N99" s="796">
        <f>ROUND(N88*T99,2)</f>
        <v>0</v>
      </c>
      <c r="O99" s="797"/>
      <c r="P99" s="797"/>
      <c r="Q99" s="797"/>
      <c r="R99" s="102"/>
      <c r="S99" s="147"/>
      <c r="T99" s="148"/>
      <c r="U99" s="149" t="s">
        <v>571</v>
      </c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1" t="s">
        <v>594</v>
      </c>
      <c r="AZ99" s="150"/>
      <c r="BA99" s="150"/>
      <c r="BB99" s="150"/>
      <c r="BC99" s="150"/>
      <c r="BD99" s="150"/>
      <c r="BE99" s="152">
        <f t="shared" si="0"/>
        <v>0</v>
      </c>
      <c r="BF99" s="152">
        <f t="shared" si="1"/>
        <v>0</v>
      </c>
      <c r="BG99" s="152">
        <f t="shared" si="2"/>
        <v>0</v>
      </c>
      <c r="BH99" s="152">
        <f t="shared" si="3"/>
        <v>0</v>
      </c>
      <c r="BI99" s="152">
        <f t="shared" si="4"/>
        <v>0</v>
      </c>
      <c r="BJ99" s="151" t="s">
        <v>595</v>
      </c>
      <c r="BK99" s="150"/>
      <c r="BL99" s="150"/>
      <c r="BM99" s="150"/>
    </row>
    <row r="100" spans="2:65" s="98" customFormat="1" ht="18" customHeight="1">
      <c r="B100" s="99"/>
      <c r="C100" s="100"/>
      <c r="D100" s="794" t="s">
        <v>103</v>
      </c>
      <c r="E100" s="795"/>
      <c r="F100" s="795"/>
      <c r="G100" s="795"/>
      <c r="H100" s="795"/>
      <c r="I100" s="322"/>
      <c r="J100" s="322"/>
      <c r="K100" s="322"/>
      <c r="L100" s="322"/>
      <c r="M100" s="322"/>
      <c r="N100" s="796">
        <f>ROUND(N88*T100,2)</f>
        <v>0</v>
      </c>
      <c r="O100" s="797"/>
      <c r="P100" s="797"/>
      <c r="Q100" s="797"/>
      <c r="R100" s="102"/>
      <c r="S100" s="147"/>
      <c r="T100" s="148"/>
      <c r="U100" s="149" t="s">
        <v>571</v>
      </c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1" t="s">
        <v>594</v>
      </c>
      <c r="AZ100" s="150"/>
      <c r="BA100" s="150"/>
      <c r="BB100" s="150"/>
      <c r="BC100" s="150"/>
      <c r="BD100" s="150"/>
      <c r="BE100" s="152">
        <f t="shared" si="0"/>
        <v>0</v>
      </c>
      <c r="BF100" s="152">
        <f t="shared" si="1"/>
        <v>0</v>
      </c>
      <c r="BG100" s="152">
        <f t="shared" si="2"/>
        <v>0</v>
      </c>
      <c r="BH100" s="152">
        <f t="shared" si="3"/>
        <v>0</v>
      </c>
      <c r="BI100" s="152">
        <f t="shared" si="4"/>
        <v>0</v>
      </c>
      <c r="BJ100" s="151" t="s">
        <v>595</v>
      </c>
      <c r="BK100" s="150"/>
      <c r="BL100" s="150"/>
      <c r="BM100" s="150"/>
    </row>
    <row r="101" spans="2:65" s="98" customFormat="1" ht="18" customHeight="1">
      <c r="B101" s="99"/>
      <c r="C101" s="100"/>
      <c r="D101" s="794" t="s">
        <v>597</v>
      </c>
      <c r="E101" s="795"/>
      <c r="F101" s="795"/>
      <c r="G101" s="795"/>
      <c r="H101" s="795"/>
      <c r="I101" s="322"/>
      <c r="J101" s="322"/>
      <c r="K101" s="322"/>
      <c r="L101" s="322"/>
      <c r="M101" s="322"/>
      <c r="N101" s="796">
        <f>ROUND(N88*T101,2)</f>
        <v>0</v>
      </c>
      <c r="O101" s="797"/>
      <c r="P101" s="797"/>
      <c r="Q101" s="797"/>
      <c r="R101" s="102"/>
      <c r="S101" s="147"/>
      <c r="T101" s="148"/>
      <c r="U101" s="149" t="s">
        <v>571</v>
      </c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1" t="s">
        <v>594</v>
      </c>
      <c r="AZ101" s="150"/>
      <c r="BA101" s="150"/>
      <c r="BB101" s="150"/>
      <c r="BC101" s="150"/>
      <c r="BD101" s="150"/>
      <c r="BE101" s="152">
        <f t="shared" si="0"/>
        <v>0</v>
      </c>
      <c r="BF101" s="152">
        <f t="shared" si="1"/>
        <v>0</v>
      </c>
      <c r="BG101" s="152">
        <f t="shared" si="2"/>
        <v>0</v>
      </c>
      <c r="BH101" s="152">
        <f t="shared" si="3"/>
        <v>0</v>
      </c>
      <c r="BI101" s="152">
        <f t="shared" si="4"/>
        <v>0</v>
      </c>
      <c r="BJ101" s="151" t="s">
        <v>595</v>
      </c>
      <c r="BK101" s="150"/>
      <c r="BL101" s="150"/>
      <c r="BM101" s="150"/>
    </row>
    <row r="102" spans="2:65" s="98" customFormat="1" ht="18" customHeight="1">
      <c r="B102" s="99"/>
      <c r="C102" s="100"/>
      <c r="D102" s="794" t="s">
        <v>598</v>
      </c>
      <c r="E102" s="795"/>
      <c r="F102" s="795"/>
      <c r="G102" s="795"/>
      <c r="H102" s="795"/>
      <c r="I102" s="322"/>
      <c r="J102" s="322"/>
      <c r="K102" s="322"/>
      <c r="L102" s="322"/>
      <c r="M102" s="322"/>
      <c r="N102" s="796">
        <f>ROUND(N88*T102,2)</f>
        <v>0</v>
      </c>
      <c r="O102" s="797"/>
      <c r="P102" s="797"/>
      <c r="Q102" s="797"/>
      <c r="R102" s="102"/>
      <c r="S102" s="147"/>
      <c r="T102" s="148"/>
      <c r="U102" s="149" t="s">
        <v>571</v>
      </c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1" t="s">
        <v>594</v>
      </c>
      <c r="AZ102" s="150"/>
      <c r="BA102" s="150"/>
      <c r="BB102" s="150"/>
      <c r="BC102" s="150"/>
      <c r="BD102" s="150"/>
      <c r="BE102" s="152">
        <f t="shared" si="0"/>
        <v>0</v>
      </c>
      <c r="BF102" s="152">
        <f t="shared" si="1"/>
        <v>0</v>
      </c>
      <c r="BG102" s="152">
        <f t="shared" si="2"/>
        <v>0</v>
      </c>
      <c r="BH102" s="152">
        <f t="shared" si="3"/>
        <v>0</v>
      </c>
      <c r="BI102" s="152">
        <f t="shared" si="4"/>
        <v>0</v>
      </c>
      <c r="BJ102" s="151" t="s">
        <v>595</v>
      </c>
      <c r="BK102" s="150"/>
      <c r="BL102" s="150"/>
      <c r="BM102" s="150"/>
    </row>
    <row r="103" spans="2:65" s="98" customFormat="1" ht="18" customHeight="1">
      <c r="B103" s="99"/>
      <c r="C103" s="100"/>
      <c r="D103" s="325" t="s">
        <v>599</v>
      </c>
      <c r="E103" s="322"/>
      <c r="F103" s="322"/>
      <c r="G103" s="322"/>
      <c r="H103" s="322"/>
      <c r="I103" s="322"/>
      <c r="J103" s="322"/>
      <c r="K103" s="322"/>
      <c r="L103" s="322"/>
      <c r="M103" s="322"/>
      <c r="N103" s="796">
        <f>ROUND(N88*T103,2)</f>
        <v>0</v>
      </c>
      <c r="O103" s="797"/>
      <c r="P103" s="797"/>
      <c r="Q103" s="797"/>
      <c r="R103" s="102"/>
      <c r="S103" s="147"/>
      <c r="T103" s="153"/>
      <c r="U103" s="154" t="s">
        <v>571</v>
      </c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1" t="s">
        <v>600</v>
      </c>
      <c r="AZ103" s="150"/>
      <c r="BA103" s="150"/>
      <c r="BB103" s="150"/>
      <c r="BC103" s="150"/>
      <c r="BD103" s="150"/>
      <c r="BE103" s="152">
        <f t="shared" si="0"/>
        <v>0</v>
      </c>
      <c r="BF103" s="152">
        <f t="shared" si="1"/>
        <v>0</v>
      </c>
      <c r="BG103" s="152">
        <f t="shared" si="2"/>
        <v>0</v>
      </c>
      <c r="BH103" s="152">
        <f t="shared" si="3"/>
        <v>0</v>
      </c>
      <c r="BI103" s="152">
        <f t="shared" si="4"/>
        <v>0</v>
      </c>
      <c r="BJ103" s="151" t="s">
        <v>595</v>
      </c>
      <c r="BK103" s="150"/>
      <c r="BL103" s="150"/>
      <c r="BM103" s="150"/>
    </row>
    <row r="104" spans="2:21" s="98" customFormat="1" ht="12.75">
      <c r="B104" s="99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2"/>
      <c r="T104" s="130"/>
      <c r="U104" s="130"/>
    </row>
    <row r="105" spans="2:21" s="98" customFormat="1" ht="29.25" customHeight="1">
      <c r="B105" s="99"/>
      <c r="C105" s="155" t="s">
        <v>601</v>
      </c>
      <c r="D105" s="196"/>
      <c r="E105" s="196"/>
      <c r="F105" s="196"/>
      <c r="G105" s="196"/>
      <c r="H105" s="196"/>
      <c r="I105" s="196"/>
      <c r="J105" s="196"/>
      <c r="K105" s="196"/>
      <c r="L105" s="798">
        <f>ROUND(SUM(N88+N97),2)</f>
        <v>0</v>
      </c>
      <c r="M105" s="798"/>
      <c r="N105" s="798"/>
      <c r="O105" s="798"/>
      <c r="P105" s="798"/>
      <c r="Q105" s="798"/>
      <c r="R105" s="102"/>
      <c r="T105" s="130"/>
      <c r="U105" s="130"/>
    </row>
    <row r="106" spans="2:21" s="98" customFormat="1" ht="6.75" customHeight="1">
      <c r="B106" s="124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6"/>
      <c r="T106" s="130"/>
      <c r="U106" s="130"/>
    </row>
    <row r="110" spans="2:18" s="98" customFormat="1" ht="6.75" customHeight="1">
      <c r="B110" s="156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8"/>
    </row>
    <row r="111" spans="2:18" s="98" customFormat="1" ht="36.75" customHeight="1">
      <c r="B111" s="99"/>
      <c r="C111" s="787" t="s">
        <v>602</v>
      </c>
      <c r="D111" s="788"/>
      <c r="E111" s="788"/>
      <c r="F111" s="788"/>
      <c r="G111" s="788"/>
      <c r="H111" s="788"/>
      <c r="I111" s="788"/>
      <c r="J111" s="788"/>
      <c r="K111" s="788"/>
      <c r="L111" s="788"/>
      <c r="M111" s="788"/>
      <c r="N111" s="788"/>
      <c r="O111" s="788"/>
      <c r="P111" s="788"/>
      <c r="Q111" s="788"/>
      <c r="R111" s="102"/>
    </row>
    <row r="112" spans="2:18" s="98" customFormat="1" ht="6.75" customHeight="1">
      <c r="B112" s="99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2"/>
    </row>
    <row r="113" spans="2:18" s="98" customFormat="1" ht="30" customHeight="1">
      <c r="B113" s="99"/>
      <c r="C113" s="195" t="s">
        <v>31</v>
      </c>
      <c r="D113" s="100"/>
      <c r="E113" s="100"/>
      <c r="F113" s="789" t="str">
        <f>F6</f>
        <v>Raudnitzův dům - Bydlení pro seniory</v>
      </c>
      <c r="G113" s="790"/>
      <c r="H113" s="790"/>
      <c r="I113" s="790"/>
      <c r="J113" s="790"/>
      <c r="K113" s="790"/>
      <c r="L113" s="790"/>
      <c r="M113" s="790"/>
      <c r="N113" s="790"/>
      <c r="O113" s="790"/>
      <c r="P113" s="790"/>
      <c r="Q113" s="100"/>
      <c r="R113" s="102"/>
    </row>
    <row r="114" spans="2:18" s="98" customFormat="1" ht="36.75" customHeight="1">
      <c r="B114" s="99"/>
      <c r="C114" s="131" t="s">
        <v>549</v>
      </c>
      <c r="D114" s="100"/>
      <c r="E114" s="100"/>
      <c r="F114" s="791" t="str">
        <f>F7</f>
        <v>D.1.4.1 - Zdravotně technické instalace</v>
      </c>
      <c r="G114" s="788"/>
      <c r="H114" s="788"/>
      <c r="I114" s="788"/>
      <c r="J114" s="788"/>
      <c r="K114" s="788"/>
      <c r="L114" s="788"/>
      <c r="M114" s="788"/>
      <c r="N114" s="788"/>
      <c r="O114" s="788"/>
      <c r="P114" s="788"/>
      <c r="Q114" s="100"/>
      <c r="R114" s="102"/>
    </row>
    <row r="115" spans="2:18" s="98" customFormat="1" ht="6.75" customHeight="1">
      <c r="B115" s="99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2"/>
    </row>
    <row r="116" spans="2:18" s="98" customFormat="1" ht="18" customHeight="1">
      <c r="B116" s="99"/>
      <c r="C116" s="195" t="s">
        <v>554</v>
      </c>
      <c r="D116" s="100"/>
      <c r="E116" s="100"/>
      <c r="F116" s="103" t="str">
        <f>F9</f>
        <v>Hlubočepská 2/33, 15000 Praha 5 - Hlubočepy</v>
      </c>
      <c r="G116" s="100"/>
      <c r="H116" s="100"/>
      <c r="I116" s="100"/>
      <c r="J116" s="100"/>
      <c r="K116" s="195" t="s">
        <v>556</v>
      </c>
      <c r="L116" s="100"/>
      <c r="M116" s="792"/>
      <c r="N116" s="792"/>
      <c r="O116" s="792"/>
      <c r="P116" s="792"/>
      <c r="Q116" s="100"/>
      <c r="R116" s="102"/>
    </row>
    <row r="117" spans="2:18" s="98" customFormat="1" ht="6.75" customHeight="1">
      <c r="B117" s="99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2"/>
    </row>
    <row r="118" spans="2:18" s="98" customFormat="1" ht="15">
      <c r="B118" s="99"/>
      <c r="C118" s="195" t="s">
        <v>557</v>
      </c>
      <c r="D118" s="100"/>
      <c r="E118" s="100"/>
      <c r="F118" s="103" t="str">
        <f>E12</f>
        <v>Městská část Praha 5, náměstí 14.října 1381/4, Smíchov, 15000 Praha 5</v>
      </c>
      <c r="G118" s="100"/>
      <c r="H118" s="100"/>
      <c r="I118" s="100"/>
      <c r="J118" s="100"/>
      <c r="K118" s="195" t="s">
        <v>562</v>
      </c>
      <c r="L118" s="100"/>
      <c r="M118" s="793"/>
      <c r="N118" s="793"/>
      <c r="O118" s="793"/>
      <c r="P118" s="793"/>
      <c r="Q118" s="793"/>
      <c r="R118" s="102"/>
    </row>
    <row r="119" spans="2:18" s="98" customFormat="1" ht="14.25" customHeight="1">
      <c r="B119" s="99"/>
      <c r="C119" s="195" t="s">
        <v>561</v>
      </c>
      <c r="D119" s="100"/>
      <c r="E119" s="100"/>
      <c r="F119" s="103"/>
      <c r="G119" s="100"/>
      <c r="H119" s="100"/>
      <c r="I119" s="100"/>
      <c r="J119" s="100"/>
      <c r="K119" s="195" t="s">
        <v>563</v>
      </c>
      <c r="L119" s="100"/>
      <c r="M119" s="793">
        <f>E21</f>
        <v>0</v>
      </c>
      <c r="N119" s="793"/>
      <c r="O119" s="793"/>
      <c r="P119" s="793"/>
      <c r="Q119" s="793"/>
      <c r="R119" s="102"/>
    </row>
    <row r="120" spans="2:18" s="98" customFormat="1" ht="9.75" customHeight="1">
      <c r="B120" s="99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2"/>
    </row>
    <row r="121" spans="2:27" s="159" customFormat="1" ht="29.25" customHeight="1">
      <c r="B121" s="160"/>
      <c r="C121" s="161" t="s">
        <v>603</v>
      </c>
      <c r="D121" s="200" t="s">
        <v>604</v>
      </c>
      <c r="E121" s="200" t="s">
        <v>605</v>
      </c>
      <c r="F121" s="780" t="s">
        <v>32</v>
      </c>
      <c r="G121" s="780"/>
      <c r="H121" s="780"/>
      <c r="I121" s="780"/>
      <c r="J121" s="200" t="s">
        <v>34</v>
      </c>
      <c r="K121" s="200" t="s">
        <v>606</v>
      </c>
      <c r="L121" s="781" t="s">
        <v>607</v>
      </c>
      <c r="M121" s="781"/>
      <c r="N121" s="780" t="s">
        <v>584</v>
      </c>
      <c r="O121" s="780"/>
      <c r="P121" s="780"/>
      <c r="Q121" s="782"/>
      <c r="R121" s="163"/>
      <c r="T121" s="164" t="s">
        <v>608</v>
      </c>
      <c r="U121" s="165" t="s">
        <v>89</v>
      </c>
      <c r="V121" s="165" t="s">
        <v>609</v>
      </c>
      <c r="W121" s="165" t="s">
        <v>610</v>
      </c>
      <c r="X121" s="165" t="s">
        <v>611</v>
      </c>
      <c r="Y121" s="165" t="s">
        <v>612</v>
      </c>
      <c r="Z121" s="165" t="s">
        <v>613</v>
      </c>
      <c r="AA121" s="166" t="s">
        <v>614</v>
      </c>
    </row>
    <row r="122" spans="2:63" s="98" customFormat="1" ht="29.25" customHeight="1">
      <c r="B122" s="99"/>
      <c r="C122" s="167" t="s">
        <v>564</v>
      </c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783">
        <f>SUM(N123+N159+N180+N204)</f>
        <v>0</v>
      </c>
      <c r="O122" s="784"/>
      <c r="P122" s="784"/>
      <c r="Q122" s="784"/>
      <c r="R122" s="102"/>
      <c r="T122" s="168"/>
      <c r="U122" s="104"/>
      <c r="V122" s="104"/>
      <c r="W122" s="169" t="e">
        <f>W123+W159+W180+W204</f>
        <v>#REF!</v>
      </c>
      <c r="X122" s="104"/>
      <c r="Y122" s="169" t="e">
        <f>Y123+Y159+Y180+Y204</f>
        <v>#REF!</v>
      </c>
      <c r="Z122" s="104"/>
      <c r="AA122" s="170" t="e">
        <f>AA123+AA159+AA180+AA204</f>
        <v>#REF!</v>
      </c>
      <c r="AT122" s="89" t="s">
        <v>615</v>
      </c>
      <c r="AU122" s="89" t="s">
        <v>586</v>
      </c>
      <c r="BK122" s="171" t="e">
        <f>BK123+BK159+BK180+BK204</f>
        <v>#REF!</v>
      </c>
    </row>
    <row r="123" spans="2:63" s="172" customFormat="1" ht="36.75" customHeight="1">
      <c r="B123" s="173"/>
      <c r="C123" s="174"/>
      <c r="D123" s="175" t="s">
        <v>1116</v>
      </c>
      <c r="E123" s="175"/>
      <c r="F123" s="175"/>
      <c r="G123" s="175"/>
      <c r="H123" s="175"/>
      <c r="I123" s="175"/>
      <c r="J123" s="175"/>
      <c r="K123" s="175"/>
      <c r="L123" s="175"/>
      <c r="M123" s="175"/>
      <c r="N123" s="785">
        <f>SUM(N124)</f>
        <v>0</v>
      </c>
      <c r="O123" s="786"/>
      <c r="P123" s="786"/>
      <c r="Q123" s="786"/>
      <c r="R123" s="176"/>
      <c r="T123" s="177"/>
      <c r="U123" s="174"/>
      <c r="V123" s="174"/>
      <c r="W123" s="178">
        <f>W124</f>
        <v>0</v>
      </c>
      <c r="X123" s="174"/>
      <c r="Y123" s="178">
        <f>Y124</f>
        <v>0</v>
      </c>
      <c r="Z123" s="174"/>
      <c r="AA123" s="179">
        <f>AA124</f>
        <v>0</v>
      </c>
      <c r="AR123" s="180" t="s">
        <v>544</v>
      </c>
      <c r="AT123" s="181" t="s">
        <v>615</v>
      </c>
      <c r="AU123" s="181" t="s">
        <v>616</v>
      </c>
      <c r="AY123" s="180" t="s">
        <v>617</v>
      </c>
      <c r="BK123" s="182">
        <f>BK124</f>
        <v>0</v>
      </c>
    </row>
    <row r="124" spans="2:63" s="172" customFormat="1" ht="19.5" customHeight="1">
      <c r="B124" s="173"/>
      <c r="C124" s="174"/>
      <c r="D124" s="183" t="s">
        <v>1117</v>
      </c>
      <c r="E124" s="183"/>
      <c r="F124" s="183"/>
      <c r="G124" s="183"/>
      <c r="H124" s="183"/>
      <c r="I124" s="183"/>
      <c r="J124" s="183"/>
      <c r="K124" s="183"/>
      <c r="L124" s="183"/>
      <c r="M124" s="183"/>
      <c r="N124" s="778">
        <f>SUM(N125:Q158)</f>
        <v>0</v>
      </c>
      <c r="O124" s="779"/>
      <c r="P124" s="779"/>
      <c r="Q124" s="779"/>
      <c r="R124" s="176"/>
      <c r="T124" s="177"/>
      <c r="U124" s="174"/>
      <c r="V124" s="174"/>
      <c r="W124" s="178">
        <f>SUM(W125:W158)</f>
        <v>0</v>
      </c>
      <c r="X124" s="174"/>
      <c r="Y124" s="178">
        <f>SUM(Y125:Y158)</f>
        <v>0</v>
      </c>
      <c r="Z124" s="174"/>
      <c r="AA124" s="179">
        <f>SUM(AA125:AA158)</f>
        <v>0</v>
      </c>
      <c r="AR124" s="180" t="s">
        <v>544</v>
      </c>
      <c r="AT124" s="181" t="s">
        <v>615</v>
      </c>
      <c r="AU124" s="181" t="s">
        <v>544</v>
      </c>
      <c r="AY124" s="180" t="s">
        <v>617</v>
      </c>
      <c r="BK124" s="182">
        <f>SUM(BK125:BK158)</f>
        <v>0</v>
      </c>
    </row>
    <row r="125" spans="2:65" s="98" customFormat="1" ht="31.5" customHeight="1">
      <c r="B125" s="99"/>
      <c r="C125" s="184">
        <v>1</v>
      </c>
      <c r="D125" s="184" t="s">
        <v>618</v>
      </c>
      <c r="E125" s="185"/>
      <c r="F125" s="773" t="s">
        <v>1124</v>
      </c>
      <c r="G125" s="773"/>
      <c r="H125" s="773"/>
      <c r="I125" s="773"/>
      <c r="J125" s="186" t="s">
        <v>65</v>
      </c>
      <c r="K125" s="187">
        <v>32</v>
      </c>
      <c r="L125" s="774"/>
      <c r="M125" s="775"/>
      <c r="N125" s="772">
        <f aca="true" t="shared" si="5" ref="N125:N158">ROUND(L125*K125,0)</f>
        <v>0</v>
      </c>
      <c r="O125" s="772"/>
      <c r="P125" s="772"/>
      <c r="Q125" s="772"/>
      <c r="R125" s="102"/>
      <c r="T125" s="188" t="s">
        <v>552</v>
      </c>
      <c r="U125" s="189" t="s">
        <v>571</v>
      </c>
      <c r="V125" s="100"/>
      <c r="W125" s="190">
        <f aca="true" t="shared" si="6" ref="W125:W158">V125*K125</f>
        <v>0</v>
      </c>
      <c r="X125" s="190">
        <v>0</v>
      </c>
      <c r="Y125" s="190">
        <f aca="true" t="shared" si="7" ref="Y125:Y158">X125*K125</f>
        <v>0</v>
      </c>
      <c r="Z125" s="190">
        <v>0</v>
      </c>
      <c r="AA125" s="191">
        <f aca="true" t="shared" si="8" ref="AA125:AA158">Z125*K125</f>
        <v>0</v>
      </c>
      <c r="AR125" s="89" t="s">
        <v>619</v>
      </c>
      <c r="AT125" s="89" t="s">
        <v>618</v>
      </c>
      <c r="AU125" s="89" t="s">
        <v>620</v>
      </c>
      <c r="AY125" s="89" t="s">
        <v>617</v>
      </c>
      <c r="BE125" s="192">
        <f aca="true" t="shared" si="9" ref="BE125:BE158">IF(U125="základní",N125,0)</f>
        <v>0</v>
      </c>
      <c r="BF125" s="192">
        <f aca="true" t="shared" si="10" ref="BF125:BF158">IF(U125="snížená",N125,0)</f>
        <v>0</v>
      </c>
      <c r="BG125" s="192">
        <f aca="true" t="shared" si="11" ref="BG125:BG158">IF(U125="zákl. přenesená",N125,0)</f>
        <v>0</v>
      </c>
      <c r="BH125" s="192">
        <f aca="true" t="shared" si="12" ref="BH125:BH158">IF(U125="sníž. přenesená",N125,0)</f>
        <v>0</v>
      </c>
      <c r="BI125" s="192">
        <f aca="true" t="shared" si="13" ref="BI125:BI158">IF(U125="nulová",N125,0)</f>
        <v>0</v>
      </c>
      <c r="BJ125" s="89" t="s">
        <v>595</v>
      </c>
      <c r="BK125" s="192">
        <f aca="true" t="shared" si="14" ref="BK125:BK158">ROUND(L125*K125,0)</f>
        <v>0</v>
      </c>
      <c r="BL125" s="89" t="s">
        <v>619</v>
      </c>
      <c r="BM125" s="89" t="s">
        <v>620</v>
      </c>
    </row>
    <row r="126" spans="2:65" s="98" customFormat="1" ht="31.5" customHeight="1">
      <c r="B126" s="99"/>
      <c r="C126" s="184">
        <v>2</v>
      </c>
      <c r="D126" s="184" t="s">
        <v>618</v>
      </c>
      <c r="E126" s="185"/>
      <c r="F126" s="773" t="s">
        <v>1125</v>
      </c>
      <c r="G126" s="773"/>
      <c r="H126" s="773"/>
      <c r="I126" s="773"/>
      <c r="J126" s="186" t="s">
        <v>65</v>
      </c>
      <c r="K126" s="187">
        <v>5</v>
      </c>
      <c r="L126" s="774"/>
      <c r="M126" s="775"/>
      <c r="N126" s="772">
        <f t="shared" si="5"/>
        <v>0</v>
      </c>
      <c r="O126" s="772"/>
      <c r="P126" s="772"/>
      <c r="Q126" s="772"/>
      <c r="R126" s="102"/>
      <c r="T126" s="188" t="s">
        <v>552</v>
      </c>
      <c r="U126" s="189" t="s">
        <v>571</v>
      </c>
      <c r="V126" s="100"/>
      <c r="W126" s="190">
        <f t="shared" si="6"/>
        <v>0</v>
      </c>
      <c r="X126" s="190">
        <v>0</v>
      </c>
      <c r="Y126" s="190">
        <f t="shared" si="7"/>
        <v>0</v>
      </c>
      <c r="Z126" s="190">
        <v>0</v>
      </c>
      <c r="AA126" s="191">
        <f t="shared" si="8"/>
        <v>0</v>
      </c>
      <c r="AR126" s="89" t="s">
        <v>619</v>
      </c>
      <c r="AT126" s="89" t="s">
        <v>618</v>
      </c>
      <c r="AU126" s="89" t="s">
        <v>620</v>
      </c>
      <c r="AY126" s="89" t="s">
        <v>617</v>
      </c>
      <c r="BE126" s="192">
        <f t="shared" si="9"/>
        <v>0</v>
      </c>
      <c r="BF126" s="192">
        <f t="shared" si="10"/>
        <v>0</v>
      </c>
      <c r="BG126" s="192">
        <f t="shared" si="11"/>
        <v>0</v>
      </c>
      <c r="BH126" s="192">
        <f t="shared" si="12"/>
        <v>0</v>
      </c>
      <c r="BI126" s="192">
        <f t="shared" si="13"/>
        <v>0</v>
      </c>
      <c r="BJ126" s="89" t="s">
        <v>595</v>
      </c>
      <c r="BK126" s="192">
        <f t="shared" si="14"/>
        <v>0</v>
      </c>
      <c r="BL126" s="89" t="s">
        <v>619</v>
      </c>
      <c r="BM126" s="89" t="s">
        <v>620</v>
      </c>
    </row>
    <row r="127" spans="2:65" s="98" customFormat="1" ht="81" customHeight="1">
      <c r="B127" s="99"/>
      <c r="C127" s="184">
        <v>3</v>
      </c>
      <c r="D127" s="184" t="s">
        <v>618</v>
      </c>
      <c r="E127" s="185"/>
      <c r="F127" s="773" t="s">
        <v>1126</v>
      </c>
      <c r="G127" s="773"/>
      <c r="H127" s="773"/>
      <c r="I127" s="773"/>
      <c r="J127" s="186" t="s">
        <v>65</v>
      </c>
      <c r="K127" s="187">
        <v>4</v>
      </c>
      <c r="L127" s="774"/>
      <c r="M127" s="775"/>
      <c r="N127" s="772">
        <f t="shared" si="5"/>
        <v>0</v>
      </c>
      <c r="O127" s="772"/>
      <c r="P127" s="772"/>
      <c r="Q127" s="772"/>
      <c r="R127" s="102"/>
      <c r="T127" s="188" t="s">
        <v>552</v>
      </c>
      <c r="U127" s="189" t="s">
        <v>571</v>
      </c>
      <c r="V127" s="100"/>
      <c r="W127" s="190">
        <f t="shared" si="6"/>
        <v>0</v>
      </c>
      <c r="X127" s="190">
        <v>0</v>
      </c>
      <c r="Y127" s="190">
        <f t="shared" si="7"/>
        <v>0</v>
      </c>
      <c r="Z127" s="190">
        <v>0</v>
      </c>
      <c r="AA127" s="191">
        <f t="shared" si="8"/>
        <v>0</v>
      </c>
      <c r="AR127" s="89" t="s">
        <v>619</v>
      </c>
      <c r="AT127" s="89" t="s">
        <v>618</v>
      </c>
      <c r="AU127" s="89" t="s">
        <v>620</v>
      </c>
      <c r="AY127" s="89" t="s">
        <v>617</v>
      </c>
      <c r="BE127" s="192">
        <f t="shared" si="9"/>
        <v>0</v>
      </c>
      <c r="BF127" s="192">
        <f t="shared" si="10"/>
        <v>0</v>
      </c>
      <c r="BG127" s="192">
        <f t="shared" si="11"/>
        <v>0</v>
      </c>
      <c r="BH127" s="192">
        <f t="shared" si="12"/>
        <v>0</v>
      </c>
      <c r="BI127" s="192">
        <f t="shared" si="13"/>
        <v>0</v>
      </c>
      <c r="BJ127" s="89" t="s">
        <v>595</v>
      </c>
      <c r="BK127" s="192">
        <f t="shared" si="14"/>
        <v>0</v>
      </c>
      <c r="BL127" s="89" t="s">
        <v>619</v>
      </c>
      <c r="BM127" s="89" t="s">
        <v>1127</v>
      </c>
    </row>
    <row r="128" spans="2:65" s="98" customFormat="1" ht="31.5" customHeight="1">
      <c r="B128" s="99"/>
      <c r="C128" s="184">
        <v>4</v>
      </c>
      <c r="D128" s="184" t="s">
        <v>618</v>
      </c>
      <c r="E128" s="185"/>
      <c r="F128" s="773" t="s">
        <v>1128</v>
      </c>
      <c r="G128" s="773"/>
      <c r="H128" s="773"/>
      <c r="I128" s="773"/>
      <c r="J128" s="186" t="s">
        <v>65</v>
      </c>
      <c r="K128" s="187">
        <v>2</v>
      </c>
      <c r="L128" s="774"/>
      <c r="M128" s="775"/>
      <c r="N128" s="772">
        <f t="shared" si="5"/>
        <v>0</v>
      </c>
      <c r="O128" s="772"/>
      <c r="P128" s="772"/>
      <c r="Q128" s="772"/>
      <c r="R128" s="102"/>
      <c r="T128" s="188" t="s">
        <v>552</v>
      </c>
      <c r="U128" s="189" t="s">
        <v>571</v>
      </c>
      <c r="V128" s="100"/>
      <c r="W128" s="190">
        <f t="shared" si="6"/>
        <v>0</v>
      </c>
      <c r="X128" s="190">
        <v>0</v>
      </c>
      <c r="Y128" s="190">
        <f t="shared" si="7"/>
        <v>0</v>
      </c>
      <c r="Z128" s="190">
        <v>0</v>
      </c>
      <c r="AA128" s="191">
        <f t="shared" si="8"/>
        <v>0</v>
      </c>
      <c r="AR128" s="89" t="s">
        <v>619</v>
      </c>
      <c r="AT128" s="89" t="s">
        <v>618</v>
      </c>
      <c r="AU128" s="89" t="s">
        <v>620</v>
      </c>
      <c r="AY128" s="89" t="s">
        <v>617</v>
      </c>
      <c r="BE128" s="192">
        <f t="shared" si="9"/>
        <v>0</v>
      </c>
      <c r="BF128" s="192">
        <f t="shared" si="10"/>
        <v>0</v>
      </c>
      <c r="BG128" s="192">
        <f t="shared" si="11"/>
        <v>0</v>
      </c>
      <c r="BH128" s="192">
        <f t="shared" si="12"/>
        <v>0</v>
      </c>
      <c r="BI128" s="192">
        <f t="shared" si="13"/>
        <v>0</v>
      </c>
      <c r="BJ128" s="89" t="s">
        <v>595</v>
      </c>
      <c r="BK128" s="192">
        <f t="shared" si="14"/>
        <v>0</v>
      </c>
      <c r="BL128" s="89" t="s">
        <v>619</v>
      </c>
      <c r="BM128" s="89" t="s">
        <v>1129</v>
      </c>
    </row>
    <row r="129" spans="2:65" s="98" customFormat="1" ht="31.5" customHeight="1">
      <c r="B129" s="99"/>
      <c r="C129" s="184">
        <v>5</v>
      </c>
      <c r="D129" s="184" t="s">
        <v>618</v>
      </c>
      <c r="E129" s="185"/>
      <c r="F129" s="773" t="s">
        <v>1130</v>
      </c>
      <c r="G129" s="773"/>
      <c r="H129" s="773"/>
      <c r="I129" s="773"/>
      <c r="J129" s="186" t="s">
        <v>1131</v>
      </c>
      <c r="K129" s="187">
        <v>423</v>
      </c>
      <c r="L129" s="774"/>
      <c r="M129" s="775"/>
      <c r="N129" s="772">
        <f t="shared" si="5"/>
        <v>0</v>
      </c>
      <c r="O129" s="772"/>
      <c r="P129" s="772"/>
      <c r="Q129" s="772"/>
      <c r="R129" s="102"/>
      <c r="T129" s="188" t="s">
        <v>552</v>
      </c>
      <c r="U129" s="189" t="s">
        <v>571</v>
      </c>
      <c r="V129" s="100"/>
      <c r="W129" s="190">
        <f t="shared" si="6"/>
        <v>0</v>
      </c>
      <c r="X129" s="190">
        <v>0</v>
      </c>
      <c r="Y129" s="190">
        <f t="shared" si="7"/>
        <v>0</v>
      </c>
      <c r="Z129" s="190">
        <v>0</v>
      </c>
      <c r="AA129" s="191">
        <f t="shared" si="8"/>
        <v>0</v>
      </c>
      <c r="AR129" s="89" t="s">
        <v>619</v>
      </c>
      <c r="AT129" s="89" t="s">
        <v>618</v>
      </c>
      <c r="AU129" s="89" t="s">
        <v>620</v>
      </c>
      <c r="AY129" s="89" t="s">
        <v>617</v>
      </c>
      <c r="BE129" s="192">
        <f t="shared" si="9"/>
        <v>0</v>
      </c>
      <c r="BF129" s="192">
        <f t="shared" si="10"/>
        <v>0</v>
      </c>
      <c r="BG129" s="192">
        <f t="shared" si="11"/>
        <v>0</v>
      </c>
      <c r="BH129" s="192">
        <f t="shared" si="12"/>
        <v>0</v>
      </c>
      <c r="BI129" s="192">
        <f t="shared" si="13"/>
        <v>0</v>
      </c>
      <c r="BJ129" s="89" t="s">
        <v>595</v>
      </c>
      <c r="BK129" s="192">
        <f t="shared" si="14"/>
        <v>0</v>
      </c>
      <c r="BL129" s="89" t="s">
        <v>619</v>
      </c>
      <c r="BM129" s="89" t="s">
        <v>1132</v>
      </c>
    </row>
    <row r="130" spans="2:65" s="98" customFormat="1" ht="31.5" customHeight="1">
      <c r="B130" s="99"/>
      <c r="C130" s="184">
        <v>6</v>
      </c>
      <c r="D130" s="184" t="s">
        <v>618</v>
      </c>
      <c r="E130" s="185"/>
      <c r="F130" s="773" t="s">
        <v>1133</v>
      </c>
      <c r="G130" s="773"/>
      <c r="H130" s="773"/>
      <c r="I130" s="773"/>
      <c r="J130" s="186" t="s">
        <v>1131</v>
      </c>
      <c r="K130" s="187">
        <v>102</v>
      </c>
      <c r="L130" s="774"/>
      <c r="M130" s="775"/>
      <c r="N130" s="772">
        <f t="shared" si="5"/>
        <v>0</v>
      </c>
      <c r="O130" s="772"/>
      <c r="P130" s="772"/>
      <c r="Q130" s="772"/>
      <c r="R130" s="102"/>
      <c r="T130" s="188" t="s">
        <v>552</v>
      </c>
      <c r="U130" s="189" t="s">
        <v>571</v>
      </c>
      <c r="V130" s="100"/>
      <c r="W130" s="190">
        <f t="shared" si="6"/>
        <v>0</v>
      </c>
      <c r="X130" s="190">
        <v>0</v>
      </c>
      <c r="Y130" s="190">
        <f t="shared" si="7"/>
        <v>0</v>
      </c>
      <c r="Z130" s="190">
        <v>0</v>
      </c>
      <c r="AA130" s="191">
        <f t="shared" si="8"/>
        <v>0</v>
      </c>
      <c r="AR130" s="89" t="s">
        <v>619</v>
      </c>
      <c r="AT130" s="89" t="s">
        <v>618</v>
      </c>
      <c r="AU130" s="89" t="s">
        <v>620</v>
      </c>
      <c r="AY130" s="89" t="s">
        <v>617</v>
      </c>
      <c r="BE130" s="192">
        <f t="shared" si="9"/>
        <v>0</v>
      </c>
      <c r="BF130" s="192">
        <f t="shared" si="10"/>
        <v>0</v>
      </c>
      <c r="BG130" s="192">
        <f t="shared" si="11"/>
        <v>0</v>
      </c>
      <c r="BH130" s="192">
        <f t="shared" si="12"/>
        <v>0</v>
      </c>
      <c r="BI130" s="192">
        <f t="shared" si="13"/>
        <v>0</v>
      </c>
      <c r="BJ130" s="89" t="s">
        <v>595</v>
      </c>
      <c r="BK130" s="192">
        <f t="shared" si="14"/>
        <v>0</v>
      </c>
      <c r="BL130" s="89" t="s">
        <v>619</v>
      </c>
      <c r="BM130" s="89" t="s">
        <v>1134</v>
      </c>
    </row>
    <row r="131" spans="2:65" s="98" customFormat="1" ht="31.5" customHeight="1">
      <c r="B131" s="99"/>
      <c r="C131" s="184">
        <v>7</v>
      </c>
      <c r="D131" s="184" t="s">
        <v>618</v>
      </c>
      <c r="E131" s="185"/>
      <c r="F131" s="773" t="s">
        <v>1135</v>
      </c>
      <c r="G131" s="773"/>
      <c r="H131" s="773"/>
      <c r="I131" s="773"/>
      <c r="J131" s="186" t="s">
        <v>1131</v>
      </c>
      <c r="K131" s="187">
        <v>104</v>
      </c>
      <c r="L131" s="774"/>
      <c r="M131" s="775"/>
      <c r="N131" s="772">
        <f t="shared" si="5"/>
        <v>0</v>
      </c>
      <c r="O131" s="772"/>
      <c r="P131" s="772"/>
      <c r="Q131" s="772"/>
      <c r="R131" s="102"/>
      <c r="T131" s="188" t="s">
        <v>552</v>
      </c>
      <c r="U131" s="189" t="s">
        <v>571</v>
      </c>
      <c r="V131" s="100"/>
      <c r="W131" s="190">
        <f t="shared" si="6"/>
        <v>0</v>
      </c>
      <c r="X131" s="190">
        <v>0</v>
      </c>
      <c r="Y131" s="190">
        <f t="shared" si="7"/>
        <v>0</v>
      </c>
      <c r="Z131" s="190">
        <v>0</v>
      </c>
      <c r="AA131" s="191">
        <f t="shared" si="8"/>
        <v>0</v>
      </c>
      <c r="AR131" s="89" t="s">
        <v>619</v>
      </c>
      <c r="AT131" s="89" t="s">
        <v>618</v>
      </c>
      <c r="AU131" s="89" t="s">
        <v>620</v>
      </c>
      <c r="AY131" s="89" t="s">
        <v>617</v>
      </c>
      <c r="BE131" s="192">
        <f t="shared" si="9"/>
        <v>0</v>
      </c>
      <c r="BF131" s="192">
        <f t="shared" si="10"/>
        <v>0</v>
      </c>
      <c r="BG131" s="192">
        <f t="shared" si="11"/>
        <v>0</v>
      </c>
      <c r="BH131" s="192">
        <f t="shared" si="12"/>
        <v>0</v>
      </c>
      <c r="BI131" s="192">
        <f t="shared" si="13"/>
        <v>0</v>
      </c>
      <c r="BJ131" s="89" t="s">
        <v>595</v>
      </c>
      <c r="BK131" s="192">
        <f t="shared" si="14"/>
        <v>0</v>
      </c>
      <c r="BL131" s="89" t="s">
        <v>619</v>
      </c>
      <c r="BM131" s="89" t="s">
        <v>1136</v>
      </c>
    </row>
    <row r="132" spans="2:65" s="98" customFormat="1" ht="31.5" customHeight="1">
      <c r="B132" s="99"/>
      <c r="C132" s="184">
        <v>8</v>
      </c>
      <c r="D132" s="184" t="s">
        <v>618</v>
      </c>
      <c r="E132" s="185"/>
      <c r="F132" s="773" t="s">
        <v>1137</v>
      </c>
      <c r="G132" s="773"/>
      <c r="H132" s="773"/>
      <c r="I132" s="773"/>
      <c r="J132" s="186" t="s">
        <v>1131</v>
      </c>
      <c r="K132" s="187">
        <v>74</v>
      </c>
      <c r="L132" s="774"/>
      <c r="M132" s="775"/>
      <c r="N132" s="772">
        <f t="shared" si="5"/>
        <v>0</v>
      </c>
      <c r="O132" s="772"/>
      <c r="P132" s="772"/>
      <c r="Q132" s="772"/>
      <c r="R132" s="102"/>
      <c r="T132" s="188" t="s">
        <v>552</v>
      </c>
      <c r="U132" s="189" t="s">
        <v>571</v>
      </c>
      <c r="V132" s="100"/>
      <c r="W132" s="190">
        <f t="shared" si="6"/>
        <v>0</v>
      </c>
      <c r="X132" s="190">
        <v>0</v>
      </c>
      <c r="Y132" s="190">
        <f t="shared" si="7"/>
        <v>0</v>
      </c>
      <c r="Z132" s="190">
        <v>0</v>
      </c>
      <c r="AA132" s="191">
        <f t="shared" si="8"/>
        <v>0</v>
      </c>
      <c r="AR132" s="89" t="s">
        <v>619</v>
      </c>
      <c r="AT132" s="89" t="s">
        <v>618</v>
      </c>
      <c r="AU132" s="89" t="s">
        <v>620</v>
      </c>
      <c r="AY132" s="89" t="s">
        <v>617</v>
      </c>
      <c r="BE132" s="192">
        <f t="shared" si="9"/>
        <v>0</v>
      </c>
      <c r="BF132" s="192">
        <f t="shared" si="10"/>
        <v>0</v>
      </c>
      <c r="BG132" s="192">
        <f t="shared" si="11"/>
        <v>0</v>
      </c>
      <c r="BH132" s="192">
        <f t="shared" si="12"/>
        <v>0</v>
      </c>
      <c r="BI132" s="192">
        <f t="shared" si="13"/>
        <v>0</v>
      </c>
      <c r="BJ132" s="89" t="s">
        <v>595</v>
      </c>
      <c r="BK132" s="192">
        <f t="shared" si="14"/>
        <v>0</v>
      </c>
      <c r="BL132" s="89" t="s">
        <v>619</v>
      </c>
      <c r="BM132" s="89" t="s">
        <v>636</v>
      </c>
    </row>
    <row r="133" spans="2:65" s="98" customFormat="1" ht="31.5" customHeight="1">
      <c r="B133" s="99"/>
      <c r="C133" s="184">
        <v>9</v>
      </c>
      <c r="D133" s="184" t="s">
        <v>618</v>
      </c>
      <c r="E133" s="185"/>
      <c r="F133" s="773" t="s">
        <v>1138</v>
      </c>
      <c r="G133" s="773"/>
      <c r="H133" s="773"/>
      <c r="I133" s="773"/>
      <c r="J133" s="186" t="s">
        <v>1131</v>
      </c>
      <c r="K133" s="187">
        <v>384</v>
      </c>
      <c r="L133" s="774"/>
      <c r="M133" s="775"/>
      <c r="N133" s="772">
        <f t="shared" si="5"/>
        <v>0</v>
      </c>
      <c r="O133" s="772"/>
      <c r="P133" s="772"/>
      <c r="Q133" s="772"/>
      <c r="R133" s="102"/>
      <c r="T133" s="188" t="s">
        <v>552</v>
      </c>
      <c r="U133" s="189" t="s">
        <v>571</v>
      </c>
      <c r="V133" s="100"/>
      <c r="W133" s="190">
        <f t="shared" si="6"/>
        <v>0</v>
      </c>
      <c r="X133" s="190">
        <v>0</v>
      </c>
      <c r="Y133" s="190">
        <f t="shared" si="7"/>
        <v>0</v>
      </c>
      <c r="Z133" s="190">
        <v>0</v>
      </c>
      <c r="AA133" s="191">
        <f t="shared" si="8"/>
        <v>0</v>
      </c>
      <c r="AR133" s="89" t="s">
        <v>619</v>
      </c>
      <c r="AT133" s="89" t="s">
        <v>618</v>
      </c>
      <c r="AU133" s="89" t="s">
        <v>620</v>
      </c>
      <c r="AY133" s="89" t="s">
        <v>617</v>
      </c>
      <c r="BE133" s="192">
        <f t="shared" si="9"/>
        <v>0</v>
      </c>
      <c r="BF133" s="192">
        <f t="shared" si="10"/>
        <v>0</v>
      </c>
      <c r="BG133" s="192">
        <f t="shared" si="11"/>
        <v>0</v>
      </c>
      <c r="BH133" s="192">
        <f t="shared" si="12"/>
        <v>0</v>
      </c>
      <c r="BI133" s="192">
        <f t="shared" si="13"/>
        <v>0</v>
      </c>
      <c r="BJ133" s="89" t="s">
        <v>595</v>
      </c>
      <c r="BK133" s="192">
        <f t="shared" si="14"/>
        <v>0</v>
      </c>
      <c r="BL133" s="89" t="s">
        <v>619</v>
      </c>
      <c r="BM133" s="89" t="s">
        <v>1139</v>
      </c>
    </row>
    <row r="134" spans="2:65" s="98" customFormat="1" ht="31.5" customHeight="1">
      <c r="B134" s="99"/>
      <c r="C134" s="184">
        <v>10</v>
      </c>
      <c r="D134" s="184" t="s">
        <v>618</v>
      </c>
      <c r="E134" s="185"/>
      <c r="F134" s="773" t="s">
        <v>1140</v>
      </c>
      <c r="G134" s="773"/>
      <c r="H134" s="773"/>
      <c r="I134" s="773"/>
      <c r="J134" s="186" t="s">
        <v>1131</v>
      </c>
      <c r="K134" s="187">
        <v>60</v>
      </c>
      <c r="L134" s="774"/>
      <c r="M134" s="775"/>
      <c r="N134" s="772">
        <f t="shared" si="5"/>
        <v>0</v>
      </c>
      <c r="O134" s="772"/>
      <c r="P134" s="772"/>
      <c r="Q134" s="772"/>
      <c r="R134" s="102"/>
      <c r="T134" s="188" t="s">
        <v>552</v>
      </c>
      <c r="U134" s="189" t="s">
        <v>571</v>
      </c>
      <c r="V134" s="100"/>
      <c r="W134" s="190">
        <f t="shared" si="6"/>
        <v>0</v>
      </c>
      <c r="X134" s="190">
        <v>0</v>
      </c>
      <c r="Y134" s="190">
        <f t="shared" si="7"/>
        <v>0</v>
      </c>
      <c r="Z134" s="190">
        <v>0</v>
      </c>
      <c r="AA134" s="191">
        <f t="shared" si="8"/>
        <v>0</v>
      </c>
      <c r="AR134" s="89" t="s">
        <v>619</v>
      </c>
      <c r="AT134" s="89" t="s">
        <v>618</v>
      </c>
      <c r="AU134" s="89" t="s">
        <v>620</v>
      </c>
      <c r="AY134" s="89" t="s">
        <v>617</v>
      </c>
      <c r="BE134" s="192">
        <f t="shared" si="9"/>
        <v>0</v>
      </c>
      <c r="BF134" s="192">
        <f t="shared" si="10"/>
        <v>0</v>
      </c>
      <c r="BG134" s="192">
        <f t="shared" si="11"/>
        <v>0</v>
      </c>
      <c r="BH134" s="192">
        <f t="shared" si="12"/>
        <v>0</v>
      </c>
      <c r="BI134" s="192">
        <f t="shared" si="13"/>
        <v>0</v>
      </c>
      <c r="BJ134" s="89" t="s">
        <v>595</v>
      </c>
      <c r="BK134" s="192">
        <f t="shared" si="14"/>
        <v>0</v>
      </c>
      <c r="BL134" s="89" t="s">
        <v>619</v>
      </c>
      <c r="BM134" s="89" t="s">
        <v>647</v>
      </c>
    </row>
    <row r="135" spans="2:65" s="98" customFormat="1" ht="44.25" customHeight="1">
      <c r="B135" s="99"/>
      <c r="C135" s="184">
        <v>11</v>
      </c>
      <c r="D135" s="184" t="s">
        <v>618</v>
      </c>
      <c r="E135" s="185"/>
      <c r="F135" s="773" t="s">
        <v>1141</v>
      </c>
      <c r="G135" s="773"/>
      <c r="H135" s="773"/>
      <c r="I135" s="773"/>
      <c r="J135" s="186" t="s">
        <v>1131</v>
      </c>
      <c r="K135" s="187">
        <v>21</v>
      </c>
      <c r="L135" s="774"/>
      <c r="M135" s="775"/>
      <c r="N135" s="772">
        <f t="shared" si="5"/>
        <v>0</v>
      </c>
      <c r="O135" s="772"/>
      <c r="P135" s="772"/>
      <c r="Q135" s="772"/>
      <c r="R135" s="102"/>
      <c r="T135" s="188" t="s">
        <v>552</v>
      </c>
      <c r="U135" s="189" t="s">
        <v>571</v>
      </c>
      <c r="V135" s="100"/>
      <c r="W135" s="190">
        <f t="shared" si="6"/>
        <v>0</v>
      </c>
      <c r="X135" s="190">
        <v>0</v>
      </c>
      <c r="Y135" s="190">
        <f t="shared" si="7"/>
        <v>0</v>
      </c>
      <c r="Z135" s="190">
        <v>0</v>
      </c>
      <c r="AA135" s="191">
        <f t="shared" si="8"/>
        <v>0</v>
      </c>
      <c r="AR135" s="89" t="s">
        <v>619</v>
      </c>
      <c r="AT135" s="89" t="s">
        <v>618</v>
      </c>
      <c r="AU135" s="89" t="s">
        <v>620</v>
      </c>
      <c r="AY135" s="89" t="s">
        <v>617</v>
      </c>
      <c r="BE135" s="192">
        <f t="shared" si="9"/>
        <v>0</v>
      </c>
      <c r="BF135" s="192">
        <f t="shared" si="10"/>
        <v>0</v>
      </c>
      <c r="BG135" s="192">
        <f t="shared" si="11"/>
        <v>0</v>
      </c>
      <c r="BH135" s="192">
        <f t="shared" si="12"/>
        <v>0</v>
      </c>
      <c r="BI135" s="192">
        <f t="shared" si="13"/>
        <v>0</v>
      </c>
      <c r="BJ135" s="89" t="s">
        <v>595</v>
      </c>
      <c r="BK135" s="192">
        <f t="shared" si="14"/>
        <v>0</v>
      </c>
      <c r="BL135" s="89" t="s">
        <v>619</v>
      </c>
      <c r="BM135" s="89" t="s">
        <v>1142</v>
      </c>
    </row>
    <row r="136" spans="2:65" s="98" customFormat="1" ht="44.25" customHeight="1">
      <c r="B136" s="99"/>
      <c r="C136" s="184">
        <v>12</v>
      </c>
      <c r="D136" s="184" t="s">
        <v>618</v>
      </c>
      <c r="E136" s="185"/>
      <c r="F136" s="773" t="s">
        <v>1143</v>
      </c>
      <c r="G136" s="773"/>
      <c r="H136" s="773"/>
      <c r="I136" s="773"/>
      <c r="J136" s="186" t="s">
        <v>1131</v>
      </c>
      <c r="K136" s="187">
        <v>49</v>
      </c>
      <c r="L136" s="774"/>
      <c r="M136" s="775"/>
      <c r="N136" s="772">
        <f t="shared" si="5"/>
        <v>0</v>
      </c>
      <c r="O136" s="772"/>
      <c r="P136" s="772"/>
      <c r="Q136" s="772"/>
      <c r="R136" s="102"/>
      <c r="T136" s="188" t="s">
        <v>552</v>
      </c>
      <c r="U136" s="189" t="s">
        <v>571</v>
      </c>
      <c r="V136" s="100"/>
      <c r="W136" s="190">
        <f t="shared" si="6"/>
        <v>0</v>
      </c>
      <c r="X136" s="190">
        <v>0</v>
      </c>
      <c r="Y136" s="190">
        <f t="shared" si="7"/>
        <v>0</v>
      </c>
      <c r="Z136" s="190">
        <v>0</v>
      </c>
      <c r="AA136" s="191">
        <f t="shared" si="8"/>
        <v>0</v>
      </c>
      <c r="AR136" s="89" t="s">
        <v>619</v>
      </c>
      <c r="AT136" s="89" t="s">
        <v>618</v>
      </c>
      <c r="AU136" s="89" t="s">
        <v>620</v>
      </c>
      <c r="AY136" s="89" t="s">
        <v>617</v>
      </c>
      <c r="BE136" s="192">
        <f t="shared" si="9"/>
        <v>0</v>
      </c>
      <c r="BF136" s="192">
        <f t="shared" si="10"/>
        <v>0</v>
      </c>
      <c r="BG136" s="192">
        <f t="shared" si="11"/>
        <v>0</v>
      </c>
      <c r="BH136" s="192">
        <f t="shared" si="12"/>
        <v>0</v>
      </c>
      <c r="BI136" s="192">
        <f t="shared" si="13"/>
        <v>0</v>
      </c>
      <c r="BJ136" s="89" t="s">
        <v>595</v>
      </c>
      <c r="BK136" s="192">
        <f t="shared" si="14"/>
        <v>0</v>
      </c>
      <c r="BL136" s="89" t="s">
        <v>619</v>
      </c>
      <c r="BM136" s="89" t="s">
        <v>1142</v>
      </c>
    </row>
    <row r="137" spans="2:65" s="98" customFormat="1" ht="44.25" customHeight="1">
      <c r="B137" s="99"/>
      <c r="C137" s="184">
        <v>13</v>
      </c>
      <c r="D137" s="184" t="s">
        <v>618</v>
      </c>
      <c r="E137" s="185"/>
      <c r="F137" s="773" t="s">
        <v>1144</v>
      </c>
      <c r="G137" s="773"/>
      <c r="H137" s="773"/>
      <c r="I137" s="773"/>
      <c r="J137" s="186" t="s">
        <v>1131</v>
      </c>
      <c r="K137" s="187">
        <v>62</v>
      </c>
      <c r="L137" s="774"/>
      <c r="M137" s="775"/>
      <c r="N137" s="772">
        <f t="shared" si="5"/>
        <v>0</v>
      </c>
      <c r="O137" s="772"/>
      <c r="P137" s="772"/>
      <c r="Q137" s="772"/>
      <c r="R137" s="102"/>
      <c r="T137" s="188" t="s">
        <v>552</v>
      </c>
      <c r="U137" s="189" t="s">
        <v>571</v>
      </c>
      <c r="V137" s="100"/>
      <c r="W137" s="190">
        <f t="shared" si="6"/>
        <v>0</v>
      </c>
      <c r="X137" s="190">
        <v>0</v>
      </c>
      <c r="Y137" s="190">
        <f t="shared" si="7"/>
        <v>0</v>
      </c>
      <c r="Z137" s="190">
        <v>0</v>
      </c>
      <c r="AA137" s="191">
        <f t="shared" si="8"/>
        <v>0</v>
      </c>
      <c r="AR137" s="89" t="s">
        <v>619</v>
      </c>
      <c r="AT137" s="89" t="s">
        <v>618</v>
      </c>
      <c r="AU137" s="89" t="s">
        <v>620</v>
      </c>
      <c r="AY137" s="89" t="s">
        <v>617</v>
      </c>
      <c r="BE137" s="192">
        <f t="shared" si="9"/>
        <v>0</v>
      </c>
      <c r="BF137" s="192">
        <f t="shared" si="10"/>
        <v>0</v>
      </c>
      <c r="BG137" s="192">
        <f t="shared" si="11"/>
        <v>0</v>
      </c>
      <c r="BH137" s="192">
        <f t="shared" si="12"/>
        <v>0</v>
      </c>
      <c r="BI137" s="192">
        <f t="shared" si="13"/>
        <v>0</v>
      </c>
      <c r="BJ137" s="89" t="s">
        <v>595</v>
      </c>
      <c r="BK137" s="192">
        <f t="shared" si="14"/>
        <v>0</v>
      </c>
      <c r="BL137" s="89" t="s">
        <v>619</v>
      </c>
      <c r="BM137" s="89" t="s">
        <v>1142</v>
      </c>
    </row>
    <row r="138" spans="2:65" s="98" customFormat="1" ht="47.25" customHeight="1">
      <c r="B138" s="99"/>
      <c r="C138" s="184">
        <v>14</v>
      </c>
      <c r="D138" s="184" t="s">
        <v>618</v>
      </c>
      <c r="E138" s="185"/>
      <c r="F138" s="773" t="s">
        <v>1145</v>
      </c>
      <c r="G138" s="773"/>
      <c r="H138" s="773"/>
      <c r="I138" s="773"/>
      <c r="J138" s="186" t="s">
        <v>1131</v>
      </c>
      <c r="K138" s="187">
        <v>153</v>
      </c>
      <c r="L138" s="774"/>
      <c r="M138" s="775"/>
      <c r="N138" s="772">
        <f t="shared" si="5"/>
        <v>0</v>
      </c>
      <c r="O138" s="772"/>
      <c r="P138" s="772"/>
      <c r="Q138" s="772"/>
      <c r="R138" s="102"/>
      <c r="T138" s="188" t="s">
        <v>552</v>
      </c>
      <c r="U138" s="189" t="s">
        <v>571</v>
      </c>
      <c r="V138" s="100"/>
      <c r="W138" s="190">
        <f t="shared" si="6"/>
        <v>0</v>
      </c>
      <c r="X138" s="190">
        <v>0</v>
      </c>
      <c r="Y138" s="190">
        <f t="shared" si="7"/>
        <v>0</v>
      </c>
      <c r="Z138" s="190">
        <v>0</v>
      </c>
      <c r="AA138" s="191">
        <f t="shared" si="8"/>
        <v>0</v>
      </c>
      <c r="AR138" s="89" t="s">
        <v>619</v>
      </c>
      <c r="AT138" s="89" t="s">
        <v>618</v>
      </c>
      <c r="AU138" s="89" t="s">
        <v>620</v>
      </c>
      <c r="AY138" s="89" t="s">
        <v>617</v>
      </c>
      <c r="BE138" s="192">
        <f t="shared" si="9"/>
        <v>0</v>
      </c>
      <c r="BF138" s="192">
        <f t="shared" si="10"/>
        <v>0</v>
      </c>
      <c r="BG138" s="192">
        <f t="shared" si="11"/>
        <v>0</v>
      </c>
      <c r="BH138" s="192">
        <f t="shared" si="12"/>
        <v>0</v>
      </c>
      <c r="BI138" s="192">
        <f t="shared" si="13"/>
        <v>0</v>
      </c>
      <c r="BJ138" s="89" t="s">
        <v>595</v>
      </c>
      <c r="BK138" s="192">
        <f t="shared" si="14"/>
        <v>0</v>
      </c>
      <c r="BL138" s="89" t="s">
        <v>619</v>
      </c>
      <c r="BM138" s="89" t="s">
        <v>1146</v>
      </c>
    </row>
    <row r="139" spans="2:65" s="98" customFormat="1" ht="30" customHeight="1">
      <c r="B139" s="99"/>
      <c r="C139" s="184">
        <v>15</v>
      </c>
      <c r="D139" s="184" t="s">
        <v>618</v>
      </c>
      <c r="E139" s="185"/>
      <c r="F139" s="773" t="s">
        <v>1147</v>
      </c>
      <c r="G139" s="773"/>
      <c r="H139" s="773"/>
      <c r="I139" s="773"/>
      <c r="J139" s="186" t="s">
        <v>45</v>
      </c>
      <c r="K139" s="187">
        <v>32</v>
      </c>
      <c r="L139" s="774"/>
      <c r="M139" s="775"/>
      <c r="N139" s="772">
        <f t="shared" si="5"/>
        <v>0</v>
      </c>
      <c r="O139" s="772"/>
      <c r="P139" s="772"/>
      <c r="Q139" s="772"/>
      <c r="R139" s="102"/>
      <c r="T139" s="188" t="s">
        <v>552</v>
      </c>
      <c r="U139" s="189" t="s">
        <v>571</v>
      </c>
      <c r="V139" s="100"/>
      <c r="W139" s="190">
        <f t="shared" si="6"/>
        <v>0</v>
      </c>
      <c r="X139" s="190">
        <v>0</v>
      </c>
      <c r="Y139" s="190">
        <f t="shared" si="7"/>
        <v>0</v>
      </c>
      <c r="Z139" s="190">
        <v>0</v>
      </c>
      <c r="AA139" s="191">
        <f t="shared" si="8"/>
        <v>0</v>
      </c>
      <c r="AR139" s="89" t="s">
        <v>619</v>
      </c>
      <c r="AT139" s="89" t="s">
        <v>618</v>
      </c>
      <c r="AU139" s="89" t="s">
        <v>620</v>
      </c>
      <c r="AY139" s="89" t="s">
        <v>617</v>
      </c>
      <c r="BE139" s="192">
        <f t="shared" si="9"/>
        <v>0</v>
      </c>
      <c r="BF139" s="192">
        <f t="shared" si="10"/>
        <v>0</v>
      </c>
      <c r="BG139" s="192">
        <f t="shared" si="11"/>
        <v>0</v>
      </c>
      <c r="BH139" s="192">
        <f t="shared" si="12"/>
        <v>0</v>
      </c>
      <c r="BI139" s="192">
        <f t="shared" si="13"/>
        <v>0</v>
      </c>
      <c r="BJ139" s="89" t="s">
        <v>595</v>
      </c>
      <c r="BK139" s="192">
        <f t="shared" si="14"/>
        <v>0</v>
      </c>
      <c r="BL139" s="89" t="s">
        <v>619</v>
      </c>
      <c r="BM139" s="89" t="s">
        <v>1148</v>
      </c>
    </row>
    <row r="140" spans="2:65" s="98" customFormat="1" ht="22.5" customHeight="1">
      <c r="B140" s="99"/>
      <c r="C140" s="184">
        <v>16</v>
      </c>
      <c r="D140" s="184" t="s">
        <v>618</v>
      </c>
      <c r="E140" s="185"/>
      <c r="F140" s="773" t="s">
        <v>1149</v>
      </c>
      <c r="G140" s="773"/>
      <c r="H140" s="773"/>
      <c r="I140" s="773"/>
      <c r="J140" s="186" t="s">
        <v>45</v>
      </c>
      <c r="K140" s="187">
        <v>2</v>
      </c>
      <c r="L140" s="774"/>
      <c r="M140" s="775"/>
      <c r="N140" s="772">
        <f t="shared" si="5"/>
        <v>0</v>
      </c>
      <c r="O140" s="772"/>
      <c r="P140" s="772"/>
      <c r="Q140" s="772"/>
      <c r="R140" s="102"/>
      <c r="T140" s="188" t="s">
        <v>552</v>
      </c>
      <c r="U140" s="189" t="s">
        <v>571</v>
      </c>
      <c r="V140" s="100"/>
      <c r="W140" s="190">
        <f t="shared" si="6"/>
        <v>0</v>
      </c>
      <c r="X140" s="190">
        <v>0</v>
      </c>
      <c r="Y140" s="190">
        <f t="shared" si="7"/>
        <v>0</v>
      </c>
      <c r="Z140" s="190">
        <v>0</v>
      </c>
      <c r="AA140" s="191">
        <f t="shared" si="8"/>
        <v>0</v>
      </c>
      <c r="AR140" s="89" t="s">
        <v>619</v>
      </c>
      <c r="AT140" s="89" t="s">
        <v>618</v>
      </c>
      <c r="AU140" s="89" t="s">
        <v>620</v>
      </c>
      <c r="AY140" s="89" t="s">
        <v>617</v>
      </c>
      <c r="BE140" s="192">
        <f t="shared" si="9"/>
        <v>0</v>
      </c>
      <c r="BF140" s="192">
        <f t="shared" si="10"/>
        <v>0</v>
      </c>
      <c r="BG140" s="192">
        <f t="shared" si="11"/>
        <v>0</v>
      </c>
      <c r="BH140" s="192">
        <f t="shared" si="12"/>
        <v>0</v>
      </c>
      <c r="BI140" s="192">
        <f t="shared" si="13"/>
        <v>0</v>
      </c>
      <c r="BJ140" s="89" t="s">
        <v>595</v>
      </c>
      <c r="BK140" s="192">
        <f t="shared" si="14"/>
        <v>0</v>
      </c>
      <c r="BL140" s="89" t="s">
        <v>619</v>
      </c>
      <c r="BM140" s="89" t="s">
        <v>1148</v>
      </c>
    </row>
    <row r="141" spans="2:65" s="98" customFormat="1" ht="44.25" customHeight="1">
      <c r="B141" s="99"/>
      <c r="C141" s="184">
        <v>17</v>
      </c>
      <c r="D141" s="184" t="s">
        <v>618</v>
      </c>
      <c r="E141" s="185"/>
      <c r="F141" s="773" t="s">
        <v>1150</v>
      </c>
      <c r="G141" s="773"/>
      <c r="H141" s="773"/>
      <c r="I141" s="773"/>
      <c r="J141" s="186" t="s">
        <v>1131</v>
      </c>
      <c r="K141" s="187">
        <v>52</v>
      </c>
      <c r="L141" s="774"/>
      <c r="M141" s="775"/>
      <c r="N141" s="772">
        <f t="shared" si="5"/>
        <v>0</v>
      </c>
      <c r="O141" s="772"/>
      <c r="P141" s="772"/>
      <c r="Q141" s="772"/>
      <c r="R141" s="102"/>
      <c r="T141" s="188" t="s">
        <v>552</v>
      </c>
      <c r="U141" s="189" t="s">
        <v>571</v>
      </c>
      <c r="V141" s="100"/>
      <c r="W141" s="190">
        <f t="shared" si="6"/>
        <v>0</v>
      </c>
      <c r="X141" s="190">
        <v>0</v>
      </c>
      <c r="Y141" s="190">
        <f t="shared" si="7"/>
        <v>0</v>
      </c>
      <c r="Z141" s="190">
        <v>0</v>
      </c>
      <c r="AA141" s="191">
        <f t="shared" si="8"/>
        <v>0</v>
      </c>
      <c r="AR141" s="89" t="s">
        <v>619</v>
      </c>
      <c r="AT141" s="89" t="s">
        <v>618</v>
      </c>
      <c r="AU141" s="89" t="s">
        <v>620</v>
      </c>
      <c r="AY141" s="89" t="s">
        <v>617</v>
      </c>
      <c r="BE141" s="192">
        <f t="shared" si="9"/>
        <v>0</v>
      </c>
      <c r="BF141" s="192">
        <f t="shared" si="10"/>
        <v>0</v>
      </c>
      <c r="BG141" s="192">
        <f t="shared" si="11"/>
        <v>0</v>
      </c>
      <c r="BH141" s="192">
        <f t="shared" si="12"/>
        <v>0</v>
      </c>
      <c r="BI141" s="192">
        <f t="shared" si="13"/>
        <v>0</v>
      </c>
      <c r="BJ141" s="89" t="s">
        <v>595</v>
      </c>
      <c r="BK141" s="192">
        <f t="shared" si="14"/>
        <v>0</v>
      </c>
      <c r="BL141" s="89" t="s">
        <v>619</v>
      </c>
      <c r="BM141" s="89" t="s">
        <v>1146</v>
      </c>
    </row>
    <row r="142" spans="2:65" s="98" customFormat="1" ht="44.25" customHeight="1">
      <c r="B142" s="99"/>
      <c r="C142" s="184">
        <v>18</v>
      </c>
      <c r="D142" s="184" t="s">
        <v>618</v>
      </c>
      <c r="E142" s="185"/>
      <c r="F142" s="773" t="s">
        <v>1151</v>
      </c>
      <c r="G142" s="773"/>
      <c r="H142" s="773"/>
      <c r="I142" s="773"/>
      <c r="J142" s="186" t="s">
        <v>1131</v>
      </c>
      <c r="K142" s="187">
        <v>101</v>
      </c>
      <c r="L142" s="774"/>
      <c r="M142" s="775"/>
      <c r="N142" s="772">
        <f t="shared" si="5"/>
        <v>0</v>
      </c>
      <c r="O142" s="772"/>
      <c r="P142" s="772"/>
      <c r="Q142" s="772"/>
      <c r="R142" s="102"/>
      <c r="T142" s="188" t="s">
        <v>552</v>
      </c>
      <c r="U142" s="189" t="s">
        <v>571</v>
      </c>
      <c r="V142" s="100"/>
      <c r="W142" s="190">
        <f t="shared" si="6"/>
        <v>0</v>
      </c>
      <c r="X142" s="190">
        <v>0</v>
      </c>
      <c r="Y142" s="190">
        <f t="shared" si="7"/>
        <v>0</v>
      </c>
      <c r="Z142" s="190">
        <v>0</v>
      </c>
      <c r="AA142" s="191">
        <f t="shared" si="8"/>
        <v>0</v>
      </c>
      <c r="AR142" s="89" t="s">
        <v>619</v>
      </c>
      <c r="AT142" s="89" t="s">
        <v>618</v>
      </c>
      <c r="AU142" s="89" t="s">
        <v>620</v>
      </c>
      <c r="AY142" s="89" t="s">
        <v>617</v>
      </c>
      <c r="BE142" s="192">
        <f t="shared" si="9"/>
        <v>0</v>
      </c>
      <c r="BF142" s="192">
        <f t="shared" si="10"/>
        <v>0</v>
      </c>
      <c r="BG142" s="192">
        <f t="shared" si="11"/>
        <v>0</v>
      </c>
      <c r="BH142" s="192">
        <f t="shared" si="12"/>
        <v>0</v>
      </c>
      <c r="BI142" s="192">
        <f t="shared" si="13"/>
        <v>0</v>
      </c>
      <c r="BJ142" s="89" t="s">
        <v>595</v>
      </c>
      <c r="BK142" s="192">
        <f t="shared" si="14"/>
        <v>0</v>
      </c>
      <c r="BL142" s="89" t="s">
        <v>619</v>
      </c>
      <c r="BM142" s="89" t="s">
        <v>1146</v>
      </c>
    </row>
    <row r="143" spans="2:65" s="98" customFormat="1" ht="44.25" customHeight="1">
      <c r="B143" s="99"/>
      <c r="C143" s="184">
        <v>19</v>
      </c>
      <c r="D143" s="184" t="s">
        <v>618</v>
      </c>
      <c r="E143" s="185"/>
      <c r="F143" s="773" t="s">
        <v>1152</v>
      </c>
      <c r="G143" s="773"/>
      <c r="H143" s="773"/>
      <c r="I143" s="773"/>
      <c r="J143" s="186" t="s">
        <v>1131</v>
      </c>
      <c r="K143" s="187">
        <v>142</v>
      </c>
      <c r="L143" s="774"/>
      <c r="M143" s="775"/>
      <c r="N143" s="772">
        <f t="shared" si="5"/>
        <v>0</v>
      </c>
      <c r="O143" s="772"/>
      <c r="P143" s="772"/>
      <c r="Q143" s="772"/>
      <c r="R143" s="102"/>
      <c r="T143" s="188" t="s">
        <v>552</v>
      </c>
      <c r="U143" s="189" t="s">
        <v>571</v>
      </c>
      <c r="V143" s="100"/>
      <c r="W143" s="190">
        <f t="shared" si="6"/>
        <v>0</v>
      </c>
      <c r="X143" s="190">
        <v>0</v>
      </c>
      <c r="Y143" s="190">
        <f t="shared" si="7"/>
        <v>0</v>
      </c>
      <c r="Z143" s="190">
        <v>0</v>
      </c>
      <c r="AA143" s="191">
        <f t="shared" si="8"/>
        <v>0</v>
      </c>
      <c r="AR143" s="89" t="s">
        <v>619</v>
      </c>
      <c r="AT143" s="89" t="s">
        <v>618</v>
      </c>
      <c r="AU143" s="89" t="s">
        <v>620</v>
      </c>
      <c r="AY143" s="89" t="s">
        <v>617</v>
      </c>
      <c r="BE143" s="192">
        <f t="shared" si="9"/>
        <v>0</v>
      </c>
      <c r="BF143" s="192">
        <f t="shared" si="10"/>
        <v>0</v>
      </c>
      <c r="BG143" s="192">
        <f t="shared" si="11"/>
        <v>0</v>
      </c>
      <c r="BH143" s="192">
        <f t="shared" si="12"/>
        <v>0</v>
      </c>
      <c r="BI143" s="192">
        <f t="shared" si="13"/>
        <v>0</v>
      </c>
      <c r="BJ143" s="89" t="s">
        <v>595</v>
      </c>
      <c r="BK143" s="192">
        <f t="shared" si="14"/>
        <v>0</v>
      </c>
      <c r="BL143" s="89" t="s">
        <v>619</v>
      </c>
      <c r="BM143" s="89" t="s">
        <v>1146</v>
      </c>
    </row>
    <row r="144" spans="2:65" s="98" customFormat="1" ht="44.25" customHeight="1">
      <c r="B144" s="99"/>
      <c r="C144" s="184">
        <v>20</v>
      </c>
      <c r="D144" s="184" t="s">
        <v>618</v>
      </c>
      <c r="E144" s="185"/>
      <c r="F144" s="773" t="s">
        <v>1153</v>
      </c>
      <c r="G144" s="773"/>
      <c r="H144" s="773"/>
      <c r="I144" s="773"/>
      <c r="J144" s="186" t="s">
        <v>1131</v>
      </c>
      <c r="K144" s="187">
        <v>10</v>
      </c>
      <c r="L144" s="774"/>
      <c r="M144" s="775"/>
      <c r="N144" s="772">
        <f t="shared" si="5"/>
        <v>0</v>
      </c>
      <c r="O144" s="772"/>
      <c r="P144" s="772"/>
      <c r="Q144" s="772"/>
      <c r="R144" s="102"/>
      <c r="T144" s="188" t="s">
        <v>552</v>
      </c>
      <c r="U144" s="189" t="s">
        <v>571</v>
      </c>
      <c r="V144" s="100"/>
      <c r="W144" s="190">
        <f t="shared" si="6"/>
        <v>0</v>
      </c>
      <c r="X144" s="190">
        <v>0</v>
      </c>
      <c r="Y144" s="190">
        <f t="shared" si="7"/>
        <v>0</v>
      </c>
      <c r="Z144" s="190">
        <v>0</v>
      </c>
      <c r="AA144" s="191">
        <f t="shared" si="8"/>
        <v>0</v>
      </c>
      <c r="AR144" s="89" t="s">
        <v>619</v>
      </c>
      <c r="AT144" s="89" t="s">
        <v>618</v>
      </c>
      <c r="AU144" s="89" t="s">
        <v>620</v>
      </c>
      <c r="AY144" s="89" t="s">
        <v>617</v>
      </c>
      <c r="BE144" s="192">
        <f t="shared" si="9"/>
        <v>0</v>
      </c>
      <c r="BF144" s="192">
        <f t="shared" si="10"/>
        <v>0</v>
      </c>
      <c r="BG144" s="192">
        <f t="shared" si="11"/>
        <v>0</v>
      </c>
      <c r="BH144" s="192">
        <f t="shared" si="12"/>
        <v>0</v>
      </c>
      <c r="BI144" s="192">
        <f t="shared" si="13"/>
        <v>0</v>
      </c>
      <c r="BJ144" s="89" t="s">
        <v>595</v>
      </c>
      <c r="BK144" s="192">
        <f t="shared" si="14"/>
        <v>0</v>
      </c>
      <c r="BL144" s="89" t="s">
        <v>619</v>
      </c>
      <c r="BM144" s="89" t="s">
        <v>1146</v>
      </c>
    </row>
    <row r="145" spans="2:65" s="98" customFormat="1" ht="44.25" customHeight="1">
      <c r="B145" s="99"/>
      <c r="C145" s="184">
        <v>21</v>
      </c>
      <c r="D145" s="184" t="s">
        <v>618</v>
      </c>
      <c r="E145" s="185"/>
      <c r="F145" s="773" t="s">
        <v>1154</v>
      </c>
      <c r="G145" s="773"/>
      <c r="H145" s="773"/>
      <c r="I145" s="773"/>
      <c r="J145" s="186" t="s">
        <v>1131</v>
      </c>
      <c r="K145" s="187">
        <v>2</v>
      </c>
      <c r="L145" s="774"/>
      <c r="M145" s="775"/>
      <c r="N145" s="772">
        <f t="shared" si="5"/>
        <v>0</v>
      </c>
      <c r="O145" s="772"/>
      <c r="P145" s="772"/>
      <c r="Q145" s="772"/>
      <c r="R145" s="102"/>
      <c r="T145" s="188" t="s">
        <v>552</v>
      </c>
      <c r="U145" s="189" t="s">
        <v>571</v>
      </c>
      <c r="V145" s="100"/>
      <c r="W145" s="190">
        <f t="shared" si="6"/>
        <v>0</v>
      </c>
      <c r="X145" s="190">
        <v>0</v>
      </c>
      <c r="Y145" s="190">
        <f t="shared" si="7"/>
        <v>0</v>
      </c>
      <c r="Z145" s="190">
        <v>0</v>
      </c>
      <c r="AA145" s="191">
        <f t="shared" si="8"/>
        <v>0</v>
      </c>
      <c r="AR145" s="89" t="s">
        <v>619</v>
      </c>
      <c r="AT145" s="89" t="s">
        <v>618</v>
      </c>
      <c r="AU145" s="89" t="s">
        <v>620</v>
      </c>
      <c r="AY145" s="89" t="s">
        <v>617</v>
      </c>
      <c r="BE145" s="192">
        <f t="shared" si="9"/>
        <v>0</v>
      </c>
      <c r="BF145" s="192">
        <f t="shared" si="10"/>
        <v>0</v>
      </c>
      <c r="BG145" s="192">
        <f t="shared" si="11"/>
        <v>0</v>
      </c>
      <c r="BH145" s="192">
        <f t="shared" si="12"/>
        <v>0</v>
      </c>
      <c r="BI145" s="192">
        <f t="shared" si="13"/>
        <v>0</v>
      </c>
      <c r="BJ145" s="89" t="s">
        <v>595</v>
      </c>
      <c r="BK145" s="192">
        <f t="shared" si="14"/>
        <v>0</v>
      </c>
      <c r="BL145" s="89" t="s">
        <v>619</v>
      </c>
      <c r="BM145" s="89" t="s">
        <v>1146</v>
      </c>
    </row>
    <row r="146" spans="2:65" s="98" customFormat="1" ht="69.75" customHeight="1">
      <c r="B146" s="99"/>
      <c r="C146" s="184">
        <v>22</v>
      </c>
      <c r="D146" s="184" t="s">
        <v>618</v>
      </c>
      <c r="E146" s="185"/>
      <c r="F146" s="773" t="s">
        <v>1368</v>
      </c>
      <c r="G146" s="773"/>
      <c r="H146" s="773"/>
      <c r="I146" s="773"/>
      <c r="J146" s="186" t="s">
        <v>45</v>
      </c>
      <c r="K146" s="187">
        <v>1</v>
      </c>
      <c r="L146" s="774"/>
      <c r="M146" s="775"/>
      <c r="N146" s="772">
        <f t="shared" si="5"/>
        <v>0</v>
      </c>
      <c r="O146" s="772"/>
      <c r="P146" s="772"/>
      <c r="Q146" s="772"/>
      <c r="R146" s="102"/>
      <c r="T146" s="188" t="s">
        <v>552</v>
      </c>
      <c r="U146" s="189" t="s">
        <v>571</v>
      </c>
      <c r="V146" s="100"/>
      <c r="W146" s="190">
        <f t="shared" si="6"/>
        <v>0</v>
      </c>
      <c r="X146" s="190">
        <v>0</v>
      </c>
      <c r="Y146" s="190">
        <f t="shared" si="7"/>
        <v>0</v>
      </c>
      <c r="Z146" s="190">
        <v>0</v>
      </c>
      <c r="AA146" s="191">
        <f t="shared" si="8"/>
        <v>0</v>
      </c>
      <c r="AR146" s="89" t="s">
        <v>619</v>
      </c>
      <c r="AT146" s="89" t="s">
        <v>618</v>
      </c>
      <c r="AU146" s="89" t="s">
        <v>620</v>
      </c>
      <c r="AY146" s="89" t="s">
        <v>617</v>
      </c>
      <c r="BE146" s="192">
        <f t="shared" si="9"/>
        <v>0</v>
      </c>
      <c r="BF146" s="192">
        <f t="shared" si="10"/>
        <v>0</v>
      </c>
      <c r="BG146" s="192">
        <f t="shared" si="11"/>
        <v>0</v>
      </c>
      <c r="BH146" s="192">
        <f t="shared" si="12"/>
        <v>0</v>
      </c>
      <c r="BI146" s="192">
        <f t="shared" si="13"/>
        <v>0</v>
      </c>
      <c r="BJ146" s="89" t="s">
        <v>595</v>
      </c>
      <c r="BK146" s="192">
        <f t="shared" si="14"/>
        <v>0</v>
      </c>
      <c r="BL146" s="89" t="s">
        <v>619</v>
      </c>
      <c r="BM146" s="89" t="s">
        <v>652</v>
      </c>
    </row>
    <row r="147" spans="2:65" s="98" customFormat="1" ht="69.75" customHeight="1">
      <c r="B147" s="99"/>
      <c r="C147" s="184">
        <v>23</v>
      </c>
      <c r="D147" s="184" t="s">
        <v>618</v>
      </c>
      <c r="E147" s="185"/>
      <c r="F147" s="773" t="s">
        <v>1367</v>
      </c>
      <c r="G147" s="773"/>
      <c r="H147" s="773"/>
      <c r="I147" s="773"/>
      <c r="J147" s="186" t="s">
        <v>45</v>
      </c>
      <c r="K147" s="187">
        <v>1</v>
      </c>
      <c r="L147" s="774"/>
      <c r="M147" s="775"/>
      <c r="N147" s="772">
        <f t="shared" si="5"/>
        <v>0</v>
      </c>
      <c r="O147" s="772"/>
      <c r="P147" s="772"/>
      <c r="Q147" s="772"/>
      <c r="R147" s="102"/>
      <c r="T147" s="188" t="s">
        <v>552</v>
      </c>
      <c r="U147" s="189" t="s">
        <v>571</v>
      </c>
      <c r="V147" s="100"/>
      <c r="W147" s="190">
        <f t="shared" si="6"/>
        <v>0</v>
      </c>
      <c r="X147" s="190">
        <v>0</v>
      </c>
      <c r="Y147" s="190">
        <f t="shared" si="7"/>
        <v>0</v>
      </c>
      <c r="Z147" s="190">
        <v>0</v>
      </c>
      <c r="AA147" s="191">
        <f t="shared" si="8"/>
        <v>0</v>
      </c>
      <c r="AR147" s="89" t="s">
        <v>619</v>
      </c>
      <c r="AT147" s="89" t="s">
        <v>618</v>
      </c>
      <c r="AU147" s="89" t="s">
        <v>620</v>
      </c>
      <c r="AY147" s="89" t="s">
        <v>617</v>
      </c>
      <c r="BE147" s="192">
        <f t="shared" si="9"/>
        <v>0</v>
      </c>
      <c r="BF147" s="192">
        <f t="shared" si="10"/>
        <v>0</v>
      </c>
      <c r="BG147" s="192">
        <f t="shared" si="11"/>
        <v>0</v>
      </c>
      <c r="BH147" s="192">
        <f t="shared" si="12"/>
        <v>0</v>
      </c>
      <c r="BI147" s="192">
        <f t="shared" si="13"/>
        <v>0</v>
      </c>
      <c r="BJ147" s="89" t="s">
        <v>595</v>
      </c>
      <c r="BK147" s="192">
        <f t="shared" si="14"/>
        <v>0</v>
      </c>
      <c r="BL147" s="89" t="s">
        <v>619</v>
      </c>
      <c r="BM147" s="89" t="s">
        <v>652</v>
      </c>
    </row>
    <row r="148" spans="2:65" s="98" customFormat="1" ht="49.5" customHeight="1">
      <c r="B148" s="99"/>
      <c r="C148" s="184">
        <v>24</v>
      </c>
      <c r="D148" s="184" t="s">
        <v>618</v>
      </c>
      <c r="E148" s="185"/>
      <c r="F148" s="773" t="s">
        <v>1366</v>
      </c>
      <c r="G148" s="773"/>
      <c r="H148" s="773"/>
      <c r="I148" s="773"/>
      <c r="J148" s="186" t="s">
        <v>45</v>
      </c>
      <c r="K148" s="187">
        <v>5</v>
      </c>
      <c r="L148" s="774"/>
      <c r="M148" s="775"/>
      <c r="N148" s="772">
        <f t="shared" si="5"/>
        <v>0</v>
      </c>
      <c r="O148" s="772"/>
      <c r="P148" s="772"/>
      <c r="Q148" s="772"/>
      <c r="R148" s="102"/>
      <c r="T148" s="188" t="s">
        <v>552</v>
      </c>
      <c r="U148" s="189" t="s">
        <v>571</v>
      </c>
      <c r="V148" s="100"/>
      <c r="W148" s="190">
        <f t="shared" si="6"/>
        <v>0</v>
      </c>
      <c r="X148" s="190">
        <v>0</v>
      </c>
      <c r="Y148" s="190">
        <f t="shared" si="7"/>
        <v>0</v>
      </c>
      <c r="Z148" s="190">
        <v>0</v>
      </c>
      <c r="AA148" s="191">
        <f t="shared" si="8"/>
        <v>0</v>
      </c>
      <c r="AR148" s="89" t="s">
        <v>619</v>
      </c>
      <c r="AT148" s="89" t="s">
        <v>618</v>
      </c>
      <c r="AU148" s="89" t="s">
        <v>620</v>
      </c>
      <c r="AY148" s="89" t="s">
        <v>617</v>
      </c>
      <c r="BE148" s="192">
        <f t="shared" si="9"/>
        <v>0</v>
      </c>
      <c r="BF148" s="192">
        <f t="shared" si="10"/>
        <v>0</v>
      </c>
      <c r="BG148" s="192">
        <f t="shared" si="11"/>
        <v>0</v>
      </c>
      <c r="BH148" s="192">
        <f t="shared" si="12"/>
        <v>0</v>
      </c>
      <c r="BI148" s="192">
        <f t="shared" si="13"/>
        <v>0</v>
      </c>
      <c r="BJ148" s="89" t="s">
        <v>595</v>
      </c>
      <c r="BK148" s="192">
        <f t="shared" si="14"/>
        <v>0</v>
      </c>
      <c r="BL148" s="89" t="s">
        <v>619</v>
      </c>
      <c r="BM148" s="89" t="s">
        <v>1155</v>
      </c>
    </row>
    <row r="149" spans="2:65" s="98" customFormat="1" ht="42" customHeight="1">
      <c r="B149" s="99"/>
      <c r="C149" s="184">
        <v>25</v>
      </c>
      <c r="D149" s="184" t="s">
        <v>618</v>
      </c>
      <c r="E149" s="185"/>
      <c r="F149" s="773" t="s">
        <v>1369</v>
      </c>
      <c r="G149" s="773"/>
      <c r="H149" s="773"/>
      <c r="I149" s="773"/>
      <c r="J149" s="186" t="s">
        <v>45</v>
      </c>
      <c r="K149" s="187">
        <v>5</v>
      </c>
      <c r="L149" s="774"/>
      <c r="M149" s="775"/>
      <c r="N149" s="772">
        <f t="shared" si="5"/>
        <v>0</v>
      </c>
      <c r="O149" s="772"/>
      <c r="P149" s="772"/>
      <c r="Q149" s="772"/>
      <c r="R149" s="102"/>
      <c r="T149" s="188" t="s">
        <v>552</v>
      </c>
      <c r="U149" s="189" t="s">
        <v>571</v>
      </c>
      <c r="V149" s="100"/>
      <c r="W149" s="190">
        <f t="shared" si="6"/>
        <v>0</v>
      </c>
      <c r="X149" s="190">
        <v>0</v>
      </c>
      <c r="Y149" s="190">
        <f t="shared" si="7"/>
        <v>0</v>
      </c>
      <c r="Z149" s="190">
        <v>0</v>
      </c>
      <c r="AA149" s="191">
        <f t="shared" si="8"/>
        <v>0</v>
      </c>
      <c r="AR149" s="89" t="s">
        <v>619</v>
      </c>
      <c r="AT149" s="89" t="s">
        <v>618</v>
      </c>
      <c r="AU149" s="89" t="s">
        <v>620</v>
      </c>
      <c r="AY149" s="89" t="s">
        <v>617</v>
      </c>
      <c r="BE149" s="192">
        <f t="shared" si="9"/>
        <v>0</v>
      </c>
      <c r="BF149" s="192">
        <f t="shared" si="10"/>
        <v>0</v>
      </c>
      <c r="BG149" s="192">
        <f t="shared" si="11"/>
        <v>0</v>
      </c>
      <c r="BH149" s="192">
        <f t="shared" si="12"/>
        <v>0</v>
      </c>
      <c r="BI149" s="192">
        <f t="shared" si="13"/>
        <v>0</v>
      </c>
      <c r="BJ149" s="89" t="s">
        <v>595</v>
      </c>
      <c r="BK149" s="192">
        <f t="shared" si="14"/>
        <v>0</v>
      </c>
      <c r="BL149" s="89" t="s">
        <v>619</v>
      </c>
      <c r="BM149" s="89" t="s">
        <v>1155</v>
      </c>
    </row>
    <row r="150" spans="2:65" s="98" customFormat="1" ht="27.75" customHeight="1">
      <c r="B150" s="99"/>
      <c r="C150" s="184">
        <v>26</v>
      </c>
      <c r="D150" s="184" t="s">
        <v>618</v>
      </c>
      <c r="E150" s="185"/>
      <c r="F150" s="773" t="s">
        <v>1156</v>
      </c>
      <c r="G150" s="773"/>
      <c r="H150" s="773"/>
      <c r="I150" s="773"/>
      <c r="J150" s="186" t="s">
        <v>45</v>
      </c>
      <c r="K150" s="187">
        <v>1</v>
      </c>
      <c r="L150" s="774"/>
      <c r="M150" s="775"/>
      <c r="N150" s="772">
        <f t="shared" si="5"/>
        <v>0</v>
      </c>
      <c r="O150" s="772"/>
      <c r="P150" s="772"/>
      <c r="Q150" s="772"/>
      <c r="R150" s="102"/>
      <c r="T150" s="188" t="s">
        <v>552</v>
      </c>
      <c r="U150" s="189" t="s">
        <v>571</v>
      </c>
      <c r="V150" s="100"/>
      <c r="W150" s="190">
        <f t="shared" si="6"/>
        <v>0</v>
      </c>
      <c r="X150" s="190">
        <v>0</v>
      </c>
      <c r="Y150" s="190">
        <f t="shared" si="7"/>
        <v>0</v>
      </c>
      <c r="Z150" s="190">
        <v>0</v>
      </c>
      <c r="AA150" s="191">
        <f t="shared" si="8"/>
        <v>0</v>
      </c>
      <c r="AR150" s="89" t="s">
        <v>619</v>
      </c>
      <c r="AT150" s="89" t="s">
        <v>618</v>
      </c>
      <c r="AU150" s="89" t="s">
        <v>620</v>
      </c>
      <c r="AY150" s="89" t="s">
        <v>617</v>
      </c>
      <c r="BE150" s="192">
        <f t="shared" si="9"/>
        <v>0</v>
      </c>
      <c r="BF150" s="192">
        <f t="shared" si="10"/>
        <v>0</v>
      </c>
      <c r="BG150" s="192">
        <f t="shared" si="11"/>
        <v>0</v>
      </c>
      <c r="BH150" s="192">
        <f t="shared" si="12"/>
        <v>0</v>
      </c>
      <c r="BI150" s="192">
        <f t="shared" si="13"/>
        <v>0</v>
      </c>
      <c r="BJ150" s="89" t="s">
        <v>595</v>
      </c>
      <c r="BK150" s="192">
        <f t="shared" si="14"/>
        <v>0</v>
      </c>
      <c r="BL150" s="89" t="s">
        <v>619</v>
      </c>
      <c r="BM150" s="89" t="s">
        <v>1155</v>
      </c>
    </row>
    <row r="151" spans="2:65" s="98" customFormat="1" ht="27.75" customHeight="1">
      <c r="B151" s="99"/>
      <c r="C151" s="184">
        <v>27</v>
      </c>
      <c r="D151" s="184" t="s">
        <v>618</v>
      </c>
      <c r="E151" s="185"/>
      <c r="F151" s="773" t="s">
        <v>1157</v>
      </c>
      <c r="G151" s="773"/>
      <c r="H151" s="773"/>
      <c r="I151" s="773"/>
      <c r="J151" s="186" t="s">
        <v>45</v>
      </c>
      <c r="K151" s="187">
        <v>1</v>
      </c>
      <c r="L151" s="774"/>
      <c r="M151" s="775"/>
      <c r="N151" s="772">
        <f t="shared" si="5"/>
        <v>0</v>
      </c>
      <c r="O151" s="772"/>
      <c r="P151" s="772"/>
      <c r="Q151" s="772"/>
      <c r="R151" s="102"/>
      <c r="T151" s="188" t="s">
        <v>552</v>
      </c>
      <c r="U151" s="189" t="s">
        <v>571</v>
      </c>
      <c r="V151" s="100"/>
      <c r="W151" s="190">
        <f t="shared" si="6"/>
        <v>0</v>
      </c>
      <c r="X151" s="190">
        <v>0</v>
      </c>
      <c r="Y151" s="190">
        <f t="shared" si="7"/>
        <v>0</v>
      </c>
      <c r="Z151" s="190">
        <v>0</v>
      </c>
      <c r="AA151" s="191">
        <f t="shared" si="8"/>
        <v>0</v>
      </c>
      <c r="AR151" s="89" t="s">
        <v>619</v>
      </c>
      <c r="AT151" s="89" t="s">
        <v>618</v>
      </c>
      <c r="AU151" s="89" t="s">
        <v>620</v>
      </c>
      <c r="AY151" s="89" t="s">
        <v>617</v>
      </c>
      <c r="BE151" s="192">
        <f t="shared" si="9"/>
        <v>0</v>
      </c>
      <c r="BF151" s="192">
        <f t="shared" si="10"/>
        <v>0</v>
      </c>
      <c r="BG151" s="192">
        <f t="shared" si="11"/>
        <v>0</v>
      </c>
      <c r="BH151" s="192">
        <f t="shared" si="12"/>
        <v>0</v>
      </c>
      <c r="BI151" s="192">
        <f t="shared" si="13"/>
        <v>0</v>
      </c>
      <c r="BJ151" s="89" t="s">
        <v>595</v>
      </c>
      <c r="BK151" s="192">
        <f t="shared" si="14"/>
        <v>0</v>
      </c>
      <c r="BL151" s="89" t="s">
        <v>619</v>
      </c>
      <c r="BM151" s="89" t="s">
        <v>1155</v>
      </c>
    </row>
    <row r="152" spans="2:65" s="98" customFormat="1" ht="27.75" customHeight="1">
      <c r="B152" s="99"/>
      <c r="C152" s="184">
        <v>28</v>
      </c>
      <c r="D152" s="184" t="s">
        <v>618</v>
      </c>
      <c r="E152" s="185"/>
      <c r="F152" s="773" t="s">
        <v>1158</v>
      </c>
      <c r="G152" s="773"/>
      <c r="H152" s="773"/>
      <c r="I152" s="773"/>
      <c r="J152" s="186" t="s">
        <v>45</v>
      </c>
      <c r="K152" s="187">
        <v>1</v>
      </c>
      <c r="L152" s="774"/>
      <c r="M152" s="775"/>
      <c r="N152" s="772">
        <f t="shared" si="5"/>
        <v>0</v>
      </c>
      <c r="O152" s="772"/>
      <c r="P152" s="772"/>
      <c r="Q152" s="772"/>
      <c r="R152" s="102"/>
      <c r="T152" s="188" t="s">
        <v>552</v>
      </c>
      <c r="U152" s="189" t="s">
        <v>571</v>
      </c>
      <c r="V152" s="100"/>
      <c r="W152" s="190">
        <f t="shared" si="6"/>
        <v>0</v>
      </c>
      <c r="X152" s="190">
        <v>0</v>
      </c>
      <c r="Y152" s="190">
        <f t="shared" si="7"/>
        <v>0</v>
      </c>
      <c r="Z152" s="190">
        <v>0</v>
      </c>
      <c r="AA152" s="191">
        <f t="shared" si="8"/>
        <v>0</v>
      </c>
      <c r="AR152" s="89" t="s">
        <v>619</v>
      </c>
      <c r="AT152" s="89" t="s">
        <v>618</v>
      </c>
      <c r="AU152" s="89" t="s">
        <v>620</v>
      </c>
      <c r="AY152" s="89" t="s">
        <v>617</v>
      </c>
      <c r="BE152" s="192">
        <f t="shared" si="9"/>
        <v>0</v>
      </c>
      <c r="BF152" s="192">
        <f t="shared" si="10"/>
        <v>0</v>
      </c>
      <c r="BG152" s="192">
        <f t="shared" si="11"/>
        <v>0</v>
      </c>
      <c r="BH152" s="192">
        <f t="shared" si="12"/>
        <v>0</v>
      </c>
      <c r="BI152" s="192">
        <f t="shared" si="13"/>
        <v>0</v>
      </c>
      <c r="BJ152" s="89" t="s">
        <v>595</v>
      </c>
      <c r="BK152" s="192">
        <f t="shared" si="14"/>
        <v>0</v>
      </c>
      <c r="BL152" s="89" t="s">
        <v>619</v>
      </c>
      <c r="BM152" s="89" t="s">
        <v>1155</v>
      </c>
    </row>
    <row r="153" spans="2:65" s="98" customFormat="1" ht="27.75" customHeight="1">
      <c r="B153" s="99"/>
      <c r="C153" s="184">
        <v>29</v>
      </c>
      <c r="D153" s="184" t="s">
        <v>618</v>
      </c>
      <c r="E153" s="185"/>
      <c r="F153" s="773" t="s">
        <v>1159</v>
      </c>
      <c r="G153" s="773"/>
      <c r="H153" s="773"/>
      <c r="I153" s="773"/>
      <c r="J153" s="186" t="s">
        <v>45</v>
      </c>
      <c r="K153" s="187">
        <v>1</v>
      </c>
      <c r="L153" s="774"/>
      <c r="M153" s="775"/>
      <c r="N153" s="772">
        <f t="shared" si="5"/>
        <v>0</v>
      </c>
      <c r="O153" s="772"/>
      <c r="P153" s="772"/>
      <c r="Q153" s="772"/>
      <c r="R153" s="102"/>
      <c r="T153" s="188" t="s">
        <v>552</v>
      </c>
      <c r="U153" s="189" t="s">
        <v>571</v>
      </c>
      <c r="V153" s="100"/>
      <c r="W153" s="190">
        <f t="shared" si="6"/>
        <v>0</v>
      </c>
      <c r="X153" s="190">
        <v>0</v>
      </c>
      <c r="Y153" s="190">
        <f t="shared" si="7"/>
        <v>0</v>
      </c>
      <c r="Z153" s="190">
        <v>0</v>
      </c>
      <c r="AA153" s="191">
        <f t="shared" si="8"/>
        <v>0</v>
      </c>
      <c r="AR153" s="89" t="s">
        <v>619</v>
      </c>
      <c r="AT153" s="89" t="s">
        <v>618</v>
      </c>
      <c r="AU153" s="89" t="s">
        <v>620</v>
      </c>
      <c r="AY153" s="89" t="s">
        <v>617</v>
      </c>
      <c r="BE153" s="192">
        <f t="shared" si="9"/>
        <v>0</v>
      </c>
      <c r="BF153" s="192">
        <f t="shared" si="10"/>
        <v>0</v>
      </c>
      <c r="BG153" s="192">
        <f t="shared" si="11"/>
        <v>0</v>
      </c>
      <c r="BH153" s="192">
        <f t="shared" si="12"/>
        <v>0</v>
      </c>
      <c r="BI153" s="192">
        <f t="shared" si="13"/>
        <v>0</v>
      </c>
      <c r="BJ153" s="89" t="s">
        <v>595</v>
      </c>
      <c r="BK153" s="192">
        <f t="shared" si="14"/>
        <v>0</v>
      </c>
      <c r="BL153" s="89" t="s">
        <v>619</v>
      </c>
      <c r="BM153" s="89" t="s">
        <v>1155</v>
      </c>
    </row>
    <row r="154" spans="2:65" s="98" customFormat="1" ht="44.25" customHeight="1">
      <c r="B154" s="99"/>
      <c r="C154" s="184">
        <v>30</v>
      </c>
      <c r="D154" s="184" t="s">
        <v>618</v>
      </c>
      <c r="E154" s="185"/>
      <c r="F154" s="773" t="s">
        <v>1160</v>
      </c>
      <c r="G154" s="773"/>
      <c r="H154" s="773"/>
      <c r="I154" s="773"/>
      <c r="J154" s="186" t="s">
        <v>45</v>
      </c>
      <c r="K154" s="187">
        <v>1</v>
      </c>
      <c r="L154" s="774"/>
      <c r="M154" s="775"/>
      <c r="N154" s="772">
        <f t="shared" si="5"/>
        <v>0</v>
      </c>
      <c r="O154" s="772"/>
      <c r="P154" s="772"/>
      <c r="Q154" s="772"/>
      <c r="R154" s="102"/>
      <c r="T154" s="188" t="s">
        <v>552</v>
      </c>
      <c r="U154" s="189" t="s">
        <v>571</v>
      </c>
      <c r="V154" s="100"/>
      <c r="W154" s="190">
        <f t="shared" si="6"/>
        <v>0</v>
      </c>
      <c r="X154" s="190">
        <v>0</v>
      </c>
      <c r="Y154" s="190">
        <f t="shared" si="7"/>
        <v>0</v>
      </c>
      <c r="Z154" s="190">
        <v>0</v>
      </c>
      <c r="AA154" s="191">
        <f t="shared" si="8"/>
        <v>0</v>
      </c>
      <c r="AR154" s="89" t="s">
        <v>619</v>
      </c>
      <c r="AT154" s="89" t="s">
        <v>618</v>
      </c>
      <c r="AU154" s="89" t="s">
        <v>620</v>
      </c>
      <c r="AY154" s="89" t="s">
        <v>617</v>
      </c>
      <c r="BE154" s="192">
        <f t="shared" si="9"/>
        <v>0</v>
      </c>
      <c r="BF154" s="192">
        <f t="shared" si="10"/>
        <v>0</v>
      </c>
      <c r="BG154" s="192">
        <f t="shared" si="11"/>
        <v>0</v>
      </c>
      <c r="BH154" s="192">
        <f t="shared" si="12"/>
        <v>0</v>
      </c>
      <c r="BI154" s="192">
        <f t="shared" si="13"/>
        <v>0</v>
      </c>
      <c r="BJ154" s="89" t="s">
        <v>595</v>
      </c>
      <c r="BK154" s="192">
        <f t="shared" si="14"/>
        <v>0</v>
      </c>
      <c r="BL154" s="89" t="s">
        <v>619</v>
      </c>
      <c r="BM154" s="89" t="s">
        <v>1155</v>
      </c>
    </row>
    <row r="155" spans="2:65" s="98" customFormat="1" ht="22.5" customHeight="1">
      <c r="B155" s="99"/>
      <c r="C155" s="184">
        <v>31</v>
      </c>
      <c r="D155" s="184" t="s">
        <v>618</v>
      </c>
      <c r="E155" s="185"/>
      <c r="F155" s="773" t="s">
        <v>660</v>
      </c>
      <c r="G155" s="773"/>
      <c r="H155" s="773"/>
      <c r="I155" s="773"/>
      <c r="J155" s="186" t="s">
        <v>45</v>
      </c>
      <c r="K155" s="187">
        <v>1</v>
      </c>
      <c r="L155" s="774"/>
      <c r="M155" s="775"/>
      <c r="N155" s="772">
        <f t="shared" si="5"/>
        <v>0</v>
      </c>
      <c r="O155" s="772"/>
      <c r="P155" s="772"/>
      <c r="Q155" s="772"/>
      <c r="R155" s="102"/>
      <c r="T155" s="188" t="s">
        <v>552</v>
      </c>
      <c r="U155" s="189" t="s">
        <v>571</v>
      </c>
      <c r="V155" s="100"/>
      <c r="W155" s="190">
        <f t="shared" si="6"/>
        <v>0</v>
      </c>
      <c r="X155" s="190">
        <v>0</v>
      </c>
      <c r="Y155" s="190">
        <f t="shared" si="7"/>
        <v>0</v>
      </c>
      <c r="Z155" s="190">
        <v>0</v>
      </c>
      <c r="AA155" s="191">
        <f t="shared" si="8"/>
        <v>0</v>
      </c>
      <c r="AR155" s="89" t="s">
        <v>619</v>
      </c>
      <c r="AT155" s="89" t="s">
        <v>618</v>
      </c>
      <c r="AU155" s="89" t="s">
        <v>620</v>
      </c>
      <c r="AY155" s="89" t="s">
        <v>617</v>
      </c>
      <c r="BE155" s="192">
        <f t="shared" si="9"/>
        <v>0</v>
      </c>
      <c r="BF155" s="192">
        <f t="shared" si="10"/>
        <v>0</v>
      </c>
      <c r="BG155" s="192">
        <f t="shared" si="11"/>
        <v>0</v>
      </c>
      <c r="BH155" s="192">
        <f t="shared" si="12"/>
        <v>0</v>
      </c>
      <c r="BI155" s="192">
        <f t="shared" si="13"/>
        <v>0</v>
      </c>
      <c r="BJ155" s="89" t="s">
        <v>595</v>
      </c>
      <c r="BK155" s="192">
        <f t="shared" si="14"/>
        <v>0</v>
      </c>
      <c r="BL155" s="89" t="s">
        <v>619</v>
      </c>
      <c r="BM155" s="89" t="s">
        <v>659</v>
      </c>
    </row>
    <row r="156" spans="2:65" s="98" customFormat="1" ht="22.5" customHeight="1">
      <c r="B156" s="99"/>
      <c r="C156" s="184">
        <v>32</v>
      </c>
      <c r="D156" s="184" t="s">
        <v>618</v>
      </c>
      <c r="E156" s="185"/>
      <c r="F156" s="773" t="s">
        <v>1161</v>
      </c>
      <c r="G156" s="773"/>
      <c r="H156" s="773"/>
      <c r="I156" s="773"/>
      <c r="J156" s="186" t="s">
        <v>45</v>
      </c>
      <c r="K156" s="187">
        <v>1</v>
      </c>
      <c r="L156" s="774"/>
      <c r="M156" s="775"/>
      <c r="N156" s="772">
        <f t="shared" si="5"/>
        <v>0</v>
      </c>
      <c r="O156" s="772"/>
      <c r="P156" s="772"/>
      <c r="Q156" s="772"/>
      <c r="R156" s="102"/>
      <c r="T156" s="188" t="s">
        <v>552</v>
      </c>
      <c r="U156" s="189" t="s">
        <v>571</v>
      </c>
      <c r="V156" s="100"/>
      <c r="W156" s="190">
        <f t="shared" si="6"/>
        <v>0</v>
      </c>
      <c r="X156" s="190">
        <v>0</v>
      </c>
      <c r="Y156" s="190">
        <f t="shared" si="7"/>
        <v>0</v>
      </c>
      <c r="Z156" s="190">
        <v>0</v>
      </c>
      <c r="AA156" s="191">
        <f t="shared" si="8"/>
        <v>0</v>
      </c>
      <c r="AR156" s="89" t="s">
        <v>619</v>
      </c>
      <c r="AT156" s="89" t="s">
        <v>618</v>
      </c>
      <c r="AU156" s="89" t="s">
        <v>620</v>
      </c>
      <c r="AY156" s="89" t="s">
        <v>617</v>
      </c>
      <c r="BE156" s="192">
        <f t="shared" si="9"/>
        <v>0</v>
      </c>
      <c r="BF156" s="192">
        <f t="shared" si="10"/>
        <v>0</v>
      </c>
      <c r="BG156" s="192">
        <f t="shared" si="11"/>
        <v>0</v>
      </c>
      <c r="BH156" s="192">
        <f t="shared" si="12"/>
        <v>0</v>
      </c>
      <c r="BI156" s="192">
        <f t="shared" si="13"/>
        <v>0</v>
      </c>
      <c r="BJ156" s="89" t="s">
        <v>595</v>
      </c>
      <c r="BK156" s="192">
        <f t="shared" si="14"/>
        <v>0</v>
      </c>
      <c r="BL156" s="89" t="s">
        <v>619</v>
      </c>
      <c r="BM156" s="89" t="s">
        <v>1162</v>
      </c>
    </row>
    <row r="157" spans="2:65" s="98" customFormat="1" ht="22.5" customHeight="1">
      <c r="B157" s="99"/>
      <c r="C157" s="184">
        <v>33</v>
      </c>
      <c r="D157" s="184" t="s">
        <v>618</v>
      </c>
      <c r="E157" s="185"/>
      <c r="F157" s="773" t="s">
        <v>1163</v>
      </c>
      <c r="G157" s="773"/>
      <c r="H157" s="773"/>
      <c r="I157" s="773"/>
      <c r="J157" s="186" t="s">
        <v>45</v>
      </c>
      <c r="K157" s="187">
        <v>1</v>
      </c>
      <c r="L157" s="774"/>
      <c r="M157" s="775"/>
      <c r="N157" s="772">
        <f t="shared" si="5"/>
        <v>0</v>
      </c>
      <c r="O157" s="772"/>
      <c r="P157" s="772"/>
      <c r="Q157" s="772"/>
      <c r="R157" s="102"/>
      <c r="T157" s="188" t="s">
        <v>552</v>
      </c>
      <c r="U157" s="189" t="s">
        <v>571</v>
      </c>
      <c r="V157" s="100"/>
      <c r="W157" s="190">
        <f t="shared" si="6"/>
        <v>0</v>
      </c>
      <c r="X157" s="190">
        <v>0</v>
      </c>
      <c r="Y157" s="190">
        <f t="shared" si="7"/>
        <v>0</v>
      </c>
      <c r="Z157" s="190">
        <v>0</v>
      </c>
      <c r="AA157" s="191">
        <f t="shared" si="8"/>
        <v>0</v>
      </c>
      <c r="AR157" s="89" t="s">
        <v>619</v>
      </c>
      <c r="AT157" s="89" t="s">
        <v>618</v>
      </c>
      <c r="AU157" s="89" t="s">
        <v>620</v>
      </c>
      <c r="AY157" s="89" t="s">
        <v>617</v>
      </c>
      <c r="BE157" s="192">
        <f t="shared" si="9"/>
        <v>0</v>
      </c>
      <c r="BF157" s="192">
        <f t="shared" si="10"/>
        <v>0</v>
      </c>
      <c r="BG157" s="192">
        <f t="shared" si="11"/>
        <v>0</v>
      </c>
      <c r="BH157" s="192">
        <f t="shared" si="12"/>
        <v>0</v>
      </c>
      <c r="BI157" s="192">
        <f t="shared" si="13"/>
        <v>0</v>
      </c>
      <c r="BJ157" s="89" t="s">
        <v>595</v>
      </c>
      <c r="BK157" s="192">
        <f t="shared" si="14"/>
        <v>0</v>
      </c>
      <c r="BL157" s="89" t="s">
        <v>619</v>
      </c>
      <c r="BM157" s="89" t="s">
        <v>1164</v>
      </c>
    </row>
    <row r="158" spans="2:65" s="98" customFormat="1" ht="22.5" customHeight="1">
      <c r="B158" s="99"/>
      <c r="C158" s="184">
        <v>34</v>
      </c>
      <c r="D158" s="184" t="s">
        <v>618</v>
      </c>
      <c r="E158" s="185"/>
      <c r="F158" s="773" t="s">
        <v>651</v>
      </c>
      <c r="G158" s="773"/>
      <c r="H158" s="773"/>
      <c r="I158" s="773"/>
      <c r="J158" s="186" t="s">
        <v>45</v>
      </c>
      <c r="K158" s="187">
        <v>1</v>
      </c>
      <c r="L158" s="774"/>
      <c r="M158" s="775"/>
      <c r="N158" s="772">
        <f t="shared" si="5"/>
        <v>0</v>
      </c>
      <c r="O158" s="772"/>
      <c r="P158" s="772"/>
      <c r="Q158" s="772"/>
      <c r="R158" s="102"/>
      <c r="T158" s="188" t="s">
        <v>552</v>
      </c>
      <c r="U158" s="189" t="s">
        <v>571</v>
      </c>
      <c r="V158" s="100"/>
      <c r="W158" s="190">
        <f t="shared" si="6"/>
        <v>0</v>
      </c>
      <c r="X158" s="190">
        <v>0</v>
      </c>
      <c r="Y158" s="190">
        <f t="shared" si="7"/>
        <v>0</v>
      </c>
      <c r="Z158" s="190">
        <v>0</v>
      </c>
      <c r="AA158" s="191">
        <f t="shared" si="8"/>
        <v>0</v>
      </c>
      <c r="AR158" s="89" t="s">
        <v>619</v>
      </c>
      <c r="AT158" s="89" t="s">
        <v>618</v>
      </c>
      <c r="AU158" s="89" t="s">
        <v>620</v>
      </c>
      <c r="AY158" s="89" t="s">
        <v>617</v>
      </c>
      <c r="BE158" s="192">
        <f t="shared" si="9"/>
        <v>0</v>
      </c>
      <c r="BF158" s="192">
        <f t="shared" si="10"/>
        <v>0</v>
      </c>
      <c r="BG158" s="192">
        <f t="shared" si="11"/>
        <v>0</v>
      </c>
      <c r="BH158" s="192">
        <f t="shared" si="12"/>
        <v>0</v>
      </c>
      <c r="BI158" s="192">
        <f t="shared" si="13"/>
        <v>0</v>
      </c>
      <c r="BJ158" s="89" t="s">
        <v>595</v>
      </c>
      <c r="BK158" s="192">
        <f t="shared" si="14"/>
        <v>0</v>
      </c>
      <c r="BL158" s="89" t="s">
        <v>619</v>
      </c>
      <c r="BM158" s="89" t="s">
        <v>1165</v>
      </c>
    </row>
    <row r="159" spans="2:63" s="172" customFormat="1" ht="36.75" customHeight="1">
      <c r="B159" s="173"/>
      <c r="C159" s="174"/>
      <c r="D159" s="175" t="s">
        <v>1118</v>
      </c>
      <c r="E159" s="175"/>
      <c r="F159" s="175"/>
      <c r="G159" s="175"/>
      <c r="H159" s="175"/>
      <c r="I159" s="175"/>
      <c r="J159" s="175"/>
      <c r="K159" s="175"/>
      <c r="L159" s="175"/>
      <c r="M159" s="175"/>
      <c r="N159" s="776">
        <f>SUM(N160)</f>
        <v>0</v>
      </c>
      <c r="O159" s="777"/>
      <c r="P159" s="777"/>
      <c r="Q159" s="777"/>
      <c r="R159" s="176"/>
      <c r="T159" s="177"/>
      <c r="U159" s="174"/>
      <c r="V159" s="174"/>
      <c r="W159" s="178">
        <f>W160</f>
        <v>0</v>
      </c>
      <c r="X159" s="174"/>
      <c r="Y159" s="178">
        <f>Y160</f>
        <v>0</v>
      </c>
      <c r="Z159" s="174"/>
      <c r="AA159" s="179">
        <f>AA160</f>
        <v>0</v>
      </c>
      <c r="AD159" s="98"/>
      <c r="AR159" s="180" t="s">
        <v>544</v>
      </c>
      <c r="AT159" s="181" t="s">
        <v>615</v>
      </c>
      <c r="AU159" s="181" t="s">
        <v>616</v>
      </c>
      <c r="AY159" s="180" t="s">
        <v>617</v>
      </c>
      <c r="BK159" s="182">
        <f>BK160</f>
        <v>0</v>
      </c>
    </row>
    <row r="160" spans="2:63" s="172" customFormat="1" ht="19.5" customHeight="1">
      <c r="B160" s="173"/>
      <c r="C160" s="174"/>
      <c r="D160" s="183" t="s">
        <v>1119</v>
      </c>
      <c r="E160" s="183"/>
      <c r="F160" s="183"/>
      <c r="G160" s="183"/>
      <c r="H160" s="183"/>
      <c r="I160" s="183"/>
      <c r="J160" s="183"/>
      <c r="K160" s="183"/>
      <c r="L160" s="183"/>
      <c r="M160" s="183"/>
      <c r="N160" s="778">
        <f>SUM(N161:Q179)</f>
        <v>0</v>
      </c>
      <c r="O160" s="779"/>
      <c r="P160" s="779"/>
      <c r="Q160" s="779"/>
      <c r="R160" s="176"/>
      <c r="T160" s="177"/>
      <c r="U160" s="174"/>
      <c r="V160" s="174"/>
      <c r="W160" s="178">
        <f>SUM(W161:W179)</f>
        <v>0</v>
      </c>
      <c r="X160" s="174"/>
      <c r="Y160" s="178">
        <f>SUM(Y161:Y179)</f>
        <v>0</v>
      </c>
      <c r="Z160" s="174"/>
      <c r="AA160" s="179">
        <f>SUM(AA161:AA179)</f>
        <v>0</v>
      </c>
      <c r="AD160" s="98"/>
      <c r="AR160" s="180" t="s">
        <v>544</v>
      </c>
      <c r="AT160" s="181" t="s">
        <v>615</v>
      </c>
      <c r="AU160" s="181" t="s">
        <v>544</v>
      </c>
      <c r="AY160" s="180" t="s">
        <v>617</v>
      </c>
      <c r="BK160" s="182">
        <f>SUM(BK161:BK179)</f>
        <v>0</v>
      </c>
    </row>
    <row r="161" spans="2:65" s="98" customFormat="1" ht="31.5" customHeight="1">
      <c r="B161" s="99"/>
      <c r="C161" s="184">
        <v>1</v>
      </c>
      <c r="D161" s="184" t="s">
        <v>618</v>
      </c>
      <c r="E161" s="185"/>
      <c r="F161" s="773" t="s">
        <v>1166</v>
      </c>
      <c r="G161" s="773"/>
      <c r="H161" s="773"/>
      <c r="I161" s="773"/>
      <c r="J161" s="186" t="s">
        <v>65</v>
      </c>
      <c r="K161" s="187">
        <v>35</v>
      </c>
      <c r="L161" s="774"/>
      <c r="M161" s="775"/>
      <c r="N161" s="772">
        <f aca="true" t="shared" si="15" ref="N161:N179">ROUND(L161*K161,0)</f>
        <v>0</v>
      </c>
      <c r="O161" s="772"/>
      <c r="P161" s="772"/>
      <c r="Q161" s="772"/>
      <c r="R161" s="102"/>
      <c r="T161" s="188" t="s">
        <v>552</v>
      </c>
      <c r="U161" s="189" t="s">
        <v>571</v>
      </c>
      <c r="V161" s="100"/>
      <c r="W161" s="190">
        <f aca="true" t="shared" si="16" ref="W161:W179">V161*K161</f>
        <v>0</v>
      </c>
      <c r="X161" s="190">
        <v>0</v>
      </c>
      <c r="Y161" s="190">
        <f aca="true" t="shared" si="17" ref="Y161:Y179">X161*K161</f>
        <v>0</v>
      </c>
      <c r="Z161" s="190">
        <v>0</v>
      </c>
      <c r="AA161" s="191">
        <f aca="true" t="shared" si="18" ref="AA161:AA179">Z161*K161</f>
        <v>0</v>
      </c>
      <c r="AR161" s="89" t="s">
        <v>619</v>
      </c>
      <c r="AT161" s="89" t="s">
        <v>618</v>
      </c>
      <c r="AU161" s="89" t="s">
        <v>620</v>
      </c>
      <c r="AY161" s="89" t="s">
        <v>617</v>
      </c>
      <c r="BE161" s="192">
        <f aca="true" t="shared" si="19" ref="BE161:BE179">IF(U161="základní",N161,0)</f>
        <v>0</v>
      </c>
      <c r="BF161" s="192">
        <f aca="true" t="shared" si="20" ref="BF161:BF179">IF(U161="snížená",N161,0)</f>
        <v>0</v>
      </c>
      <c r="BG161" s="192">
        <f aca="true" t="shared" si="21" ref="BG161:BG179">IF(U161="zákl. přenesená",N161,0)</f>
        <v>0</v>
      </c>
      <c r="BH161" s="192">
        <f aca="true" t="shared" si="22" ref="BH161:BH179">IF(U161="sníž. přenesená",N161,0)</f>
        <v>0</v>
      </c>
      <c r="BI161" s="192">
        <f aca="true" t="shared" si="23" ref="BI161:BI179">IF(U161="nulová",N161,0)</f>
        <v>0</v>
      </c>
      <c r="BJ161" s="89" t="s">
        <v>595</v>
      </c>
      <c r="BK161" s="192">
        <f aca="true" t="shared" si="24" ref="BK161:BK179">ROUND(L161*K161,0)</f>
        <v>0</v>
      </c>
      <c r="BL161" s="89" t="s">
        <v>619</v>
      </c>
      <c r="BM161" s="89" t="s">
        <v>1167</v>
      </c>
    </row>
    <row r="162" spans="2:65" s="98" customFormat="1" ht="31.5" customHeight="1">
      <c r="B162" s="99"/>
      <c r="C162" s="184">
        <v>2</v>
      </c>
      <c r="D162" s="184" t="s">
        <v>618</v>
      </c>
      <c r="E162" s="185"/>
      <c r="F162" s="773" t="s">
        <v>1168</v>
      </c>
      <c r="G162" s="773"/>
      <c r="H162" s="773"/>
      <c r="I162" s="773"/>
      <c r="J162" s="186" t="s">
        <v>65</v>
      </c>
      <c r="K162" s="187">
        <v>35</v>
      </c>
      <c r="L162" s="774"/>
      <c r="M162" s="775"/>
      <c r="N162" s="772">
        <f t="shared" si="15"/>
        <v>0</v>
      </c>
      <c r="O162" s="772"/>
      <c r="P162" s="772"/>
      <c r="Q162" s="772"/>
      <c r="R162" s="102"/>
      <c r="T162" s="188" t="s">
        <v>552</v>
      </c>
      <c r="U162" s="189" t="s">
        <v>571</v>
      </c>
      <c r="V162" s="100"/>
      <c r="W162" s="190">
        <f t="shared" si="16"/>
        <v>0</v>
      </c>
      <c r="X162" s="190">
        <v>0</v>
      </c>
      <c r="Y162" s="190">
        <f t="shared" si="17"/>
        <v>0</v>
      </c>
      <c r="Z162" s="190">
        <v>0</v>
      </c>
      <c r="AA162" s="191">
        <f t="shared" si="18"/>
        <v>0</v>
      </c>
      <c r="AR162" s="89" t="s">
        <v>619</v>
      </c>
      <c r="AT162" s="89" t="s">
        <v>618</v>
      </c>
      <c r="AU162" s="89" t="s">
        <v>620</v>
      </c>
      <c r="AY162" s="89" t="s">
        <v>617</v>
      </c>
      <c r="BE162" s="192">
        <f t="shared" si="19"/>
        <v>0</v>
      </c>
      <c r="BF162" s="192">
        <f t="shared" si="20"/>
        <v>0</v>
      </c>
      <c r="BG162" s="192">
        <f t="shared" si="21"/>
        <v>0</v>
      </c>
      <c r="BH162" s="192">
        <f t="shared" si="22"/>
        <v>0</v>
      </c>
      <c r="BI162" s="192">
        <f t="shared" si="23"/>
        <v>0</v>
      </c>
      <c r="BJ162" s="89" t="s">
        <v>595</v>
      </c>
      <c r="BK162" s="192">
        <f t="shared" si="24"/>
        <v>0</v>
      </c>
      <c r="BL162" s="89" t="s">
        <v>619</v>
      </c>
      <c r="BM162" s="89" t="s">
        <v>665</v>
      </c>
    </row>
    <row r="163" spans="2:65" s="98" customFormat="1" ht="22.5" customHeight="1">
      <c r="B163" s="99"/>
      <c r="C163" s="184">
        <v>3</v>
      </c>
      <c r="D163" s="184" t="s">
        <v>618</v>
      </c>
      <c r="E163" s="185"/>
      <c r="F163" s="773" t="s">
        <v>1169</v>
      </c>
      <c r="G163" s="773"/>
      <c r="H163" s="773"/>
      <c r="I163" s="773"/>
      <c r="J163" s="186" t="s">
        <v>65</v>
      </c>
      <c r="K163" s="187">
        <v>2</v>
      </c>
      <c r="L163" s="774"/>
      <c r="M163" s="775"/>
      <c r="N163" s="772">
        <f t="shared" si="15"/>
        <v>0</v>
      </c>
      <c r="O163" s="772"/>
      <c r="P163" s="772"/>
      <c r="Q163" s="772"/>
      <c r="R163" s="102"/>
      <c r="T163" s="188" t="s">
        <v>552</v>
      </c>
      <c r="U163" s="189" t="s">
        <v>571</v>
      </c>
      <c r="V163" s="100"/>
      <c r="W163" s="190">
        <f t="shared" si="16"/>
        <v>0</v>
      </c>
      <c r="X163" s="190">
        <v>0</v>
      </c>
      <c r="Y163" s="190">
        <f t="shared" si="17"/>
        <v>0</v>
      </c>
      <c r="Z163" s="190">
        <v>0</v>
      </c>
      <c r="AA163" s="191">
        <f t="shared" si="18"/>
        <v>0</v>
      </c>
      <c r="AR163" s="89" t="s">
        <v>619</v>
      </c>
      <c r="AT163" s="89" t="s">
        <v>618</v>
      </c>
      <c r="AU163" s="89" t="s">
        <v>620</v>
      </c>
      <c r="AY163" s="89" t="s">
        <v>617</v>
      </c>
      <c r="BE163" s="192">
        <f t="shared" si="19"/>
        <v>0</v>
      </c>
      <c r="BF163" s="192">
        <f t="shared" si="20"/>
        <v>0</v>
      </c>
      <c r="BG163" s="192">
        <f t="shared" si="21"/>
        <v>0</v>
      </c>
      <c r="BH163" s="192">
        <f t="shared" si="22"/>
        <v>0</v>
      </c>
      <c r="BI163" s="192">
        <f t="shared" si="23"/>
        <v>0</v>
      </c>
      <c r="BJ163" s="89" t="s">
        <v>595</v>
      </c>
      <c r="BK163" s="192">
        <f t="shared" si="24"/>
        <v>0</v>
      </c>
      <c r="BL163" s="89" t="s">
        <v>619</v>
      </c>
      <c r="BM163" s="89" t="s">
        <v>1170</v>
      </c>
    </row>
    <row r="164" spans="2:65" s="98" customFormat="1" ht="30" customHeight="1">
      <c r="B164" s="99"/>
      <c r="C164" s="184">
        <v>4</v>
      </c>
      <c r="D164" s="184" t="s">
        <v>618</v>
      </c>
      <c r="E164" s="185"/>
      <c r="F164" s="773" t="s">
        <v>1361</v>
      </c>
      <c r="G164" s="773"/>
      <c r="H164" s="773"/>
      <c r="I164" s="773"/>
      <c r="J164" s="186" t="s">
        <v>65</v>
      </c>
      <c r="K164" s="187">
        <v>1</v>
      </c>
      <c r="L164" s="774"/>
      <c r="M164" s="775"/>
      <c r="N164" s="772">
        <f t="shared" si="15"/>
        <v>0</v>
      </c>
      <c r="O164" s="772"/>
      <c r="P164" s="772"/>
      <c r="Q164" s="772"/>
      <c r="R164" s="102"/>
      <c r="T164" s="188" t="s">
        <v>552</v>
      </c>
      <c r="U164" s="189" t="s">
        <v>571</v>
      </c>
      <c r="V164" s="100"/>
      <c r="W164" s="190">
        <f t="shared" si="16"/>
        <v>0</v>
      </c>
      <c r="X164" s="190">
        <v>0</v>
      </c>
      <c r="Y164" s="190">
        <f t="shared" si="17"/>
        <v>0</v>
      </c>
      <c r="Z164" s="190">
        <v>0</v>
      </c>
      <c r="AA164" s="191">
        <f t="shared" si="18"/>
        <v>0</v>
      </c>
      <c r="AR164" s="89" t="s">
        <v>619</v>
      </c>
      <c r="AT164" s="89" t="s">
        <v>618</v>
      </c>
      <c r="AU164" s="89" t="s">
        <v>620</v>
      </c>
      <c r="AY164" s="89" t="s">
        <v>617</v>
      </c>
      <c r="BE164" s="192">
        <f t="shared" si="19"/>
        <v>0</v>
      </c>
      <c r="BF164" s="192">
        <f t="shared" si="20"/>
        <v>0</v>
      </c>
      <c r="BG164" s="192">
        <f t="shared" si="21"/>
        <v>0</v>
      </c>
      <c r="BH164" s="192">
        <f t="shared" si="22"/>
        <v>0</v>
      </c>
      <c r="BI164" s="192">
        <f t="shared" si="23"/>
        <v>0</v>
      </c>
      <c r="BJ164" s="89" t="s">
        <v>595</v>
      </c>
      <c r="BK164" s="192">
        <f t="shared" si="24"/>
        <v>0</v>
      </c>
      <c r="BL164" s="89" t="s">
        <v>619</v>
      </c>
      <c r="BM164" s="89" t="s">
        <v>1171</v>
      </c>
    </row>
    <row r="165" spans="2:65" s="98" customFormat="1" ht="44.25" customHeight="1">
      <c r="B165" s="99"/>
      <c r="C165" s="184">
        <v>5</v>
      </c>
      <c r="D165" s="184" t="s">
        <v>618</v>
      </c>
      <c r="E165" s="185"/>
      <c r="F165" s="773" t="s">
        <v>1172</v>
      </c>
      <c r="G165" s="773"/>
      <c r="H165" s="773"/>
      <c r="I165" s="773"/>
      <c r="J165" s="186" t="s">
        <v>65</v>
      </c>
      <c r="K165" s="187">
        <v>26</v>
      </c>
      <c r="L165" s="774"/>
      <c r="M165" s="775"/>
      <c r="N165" s="772">
        <f t="shared" si="15"/>
        <v>0</v>
      </c>
      <c r="O165" s="772"/>
      <c r="P165" s="772"/>
      <c r="Q165" s="772"/>
      <c r="R165" s="102"/>
      <c r="T165" s="188" t="s">
        <v>552</v>
      </c>
      <c r="U165" s="189" t="s">
        <v>571</v>
      </c>
      <c r="V165" s="100"/>
      <c r="W165" s="190">
        <f t="shared" si="16"/>
        <v>0</v>
      </c>
      <c r="X165" s="190">
        <v>0</v>
      </c>
      <c r="Y165" s="190">
        <f t="shared" si="17"/>
        <v>0</v>
      </c>
      <c r="Z165" s="190">
        <v>0</v>
      </c>
      <c r="AA165" s="191">
        <f t="shared" si="18"/>
        <v>0</v>
      </c>
      <c r="AR165" s="89" t="s">
        <v>619</v>
      </c>
      <c r="AT165" s="89" t="s">
        <v>618</v>
      </c>
      <c r="AU165" s="89" t="s">
        <v>620</v>
      </c>
      <c r="AY165" s="89" t="s">
        <v>617</v>
      </c>
      <c r="BE165" s="192">
        <f t="shared" si="19"/>
        <v>0</v>
      </c>
      <c r="BF165" s="192">
        <f t="shared" si="20"/>
        <v>0</v>
      </c>
      <c r="BG165" s="192">
        <f t="shared" si="21"/>
        <v>0</v>
      </c>
      <c r="BH165" s="192">
        <f t="shared" si="22"/>
        <v>0</v>
      </c>
      <c r="BI165" s="192">
        <f t="shared" si="23"/>
        <v>0</v>
      </c>
      <c r="BJ165" s="89" t="s">
        <v>595</v>
      </c>
      <c r="BK165" s="192">
        <f t="shared" si="24"/>
        <v>0</v>
      </c>
      <c r="BL165" s="89" t="s">
        <v>619</v>
      </c>
      <c r="BM165" s="89" t="s">
        <v>1173</v>
      </c>
    </row>
    <row r="166" spans="2:65" s="98" customFormat="1" ht="44.25" customHeight="1">
      <c r="B166" s="99"/>
      <c r="C166" s="184">
        <v>6</v>
      </c>
      <c r="D166" s="184" t="s">
        <v>618</v>
      </c>
      <c r="E166" s="185"/>
      <c r="F166" s="773" t="s">
        <v>1174</v>
      </c>
      <c r="G166" s="773"/>
      <c r="H166" s="773"/>
      <c r="I166" s="773"/>
      <c r="J166" s="186" t="s">
        <v>65</v>
      </c>
      <c r="K166" s="187">
        <v>1</v>
      </c>
      <c r="L166" s="774"/>
      <c r="M166" s="775"/>
      <c r="N166" s="772">
        <f t="shared" si="15"/>
        <v>0</v>
      </c>
      <c r="O166" s="772"/>
      <c r="P166" s="772"/>
      <c r="Q166" s="772"/>
      <c r="R166" s="102"/>
      <c r="T166" s="188" t="s">
        <v>552</v>
      </c>
      <c r="U166" s="189" t="s">
        <v>571</v>
      </c>
      <c r="V166" s="100"/>
      <c r="W166" s="190">
        <f t="shared" si="16"/>
        <v>0</v>
      </c>
      <c r="X166" s="190">
        <v>0</v>
      </c>
      <c r="Y166" s="190">
        <f t="shared" si="17"/>
        <v>0</v>
      </c>
      <c r="Z166" s="190">
        <v>0</v>
      </c>
      <c r="AA166" s="191">
        <f t="shared" si="18"/>
        <v>0</v>
      </c>
      <c r="AR166" s="89" t="s">
        <v>619</v>
      </c>
      <c r="AT166" s="89" t="s">
        <v>618</v>
      </c>
      <c r="AU166" s="89" t="s">
        <v>620</v>
      </c>
      <c r="AY166" s="89" t="s">
        <v>617</v>
      </c>
      <c r="BE166" s="192">
        <f t="shared" si="19"/>
        <v>0</v>
      </c>
      <c r="BF166" s="192">
        <f t="shared" si="20"/>
        <v>0</v>
      </c>
      <c r="BG166" s="192">
        <f t="shared" si="21"/>
        <v>0</v>
      </c>
      <c r="BH166" s="192">
        <f t="shared" si="22"/>
        <v>0</v>
      </c>
      <c r="BI166" s="192">
        <f t="shared" si="23"/>
        <v>0</v>
      </c>
      <c r="BJ166" s="89" t="s">
        <v>595</v>
      </c>
      <c r="BK166" s="192">
        <f t="shared" si="24"/>
        <v>0</v>
      </c>
      <c r="BL166" s="89" t="s">
        <v>619</v>
      </c>
      <c r="BM166" s="89" t="s">
        <v>1173</v>
      </c>
    </row>
    <row r="167" spans="2:65" s="98" customFormat="1" ht="43.5" customHeight="1">
      <c r="B167" s="99"/>
      <c r="C167" s="184">
        <v>7</v>
      </c>
      <c r="D167" s="184" t="s">
        <v>618</v>
      </c>
      <c r="E167" s="185"/>
      <c r="F167" s="773" t="s">
        <v>1362</v>
      </c>
      <c r="G167" s="773"/>
      <c r="H167" s="773"/>
      <c r="I167" s="773"/>
      <c r="J167" s="186" t="s">
        <v>1131</v>
      </c>
      <c r="K167" s="187">
        <v>519</v>
      </c>
      <c r="L167" s="774"/>
      <c r="M167" s="775"/>
      <c r="N167" s="772">
        <f t="shared" si="15"/>
        <v>0</v>
      </c>
      <c r="O167" s="772"/>
      <c r="P167" s="772"/>
      <c r="Q167" s="772"/>
      <c r="R167" s="102"/>
      <c r="T167" s="188" t="s">
        <v>552</v>
      </c>
      <c r="U167" s="189" t="s">
        <v>571</v>
      </c>
      <c r="V167" s="100"/>
      <c r="W167" s="190">
        <f t="shared" si="16"/>
        <v>0</v>
      </c>
      <c r="X167" s="190">
        <v>0</v>
      </c>
      <c r="Y167" s="190">
        <f t="shared" si="17"/>
        <v>0</v>
      </c>
      <c r="Z167" s="190">
        <v>0</v>
      </c>
      <c r="AA167" s="191">
        <f t="shared" si="18"/>
        <v>0</v>
      </c>
      <c r="AR167" s="89" t="s">
        <v>619</v>
      </c>
      <c r="AT167" s="89" t="s">
        <v>618</v>
      </c>
      <c r="AU167" s="89" t="s">
        <v>620</v>
      </c>
      <c r="AY167" s="89" t="s">
        <v>617</v>
      </c>
      <c r="BE167" s="192">
        <f t="shared" si="19"/>
        <v>0</v>
      </c>
      <c r="BF167" s="192">
        <f t="shared" si="20"/>
        <v>0</v>
      </c>
      <c r="BG167" s="192">
        <f t="shared" si="21"/>
        <v>0</v>
      </c>
      <c r="BH167" s="192">
        <f t="shared" si="22"/>
        <v>0</v>
      </c>
      <c r="BI167" s="192">
        <f t="shared" si="23"/>
        <v>0</v>
      </c>
      <c r="BJ167" s="89" t="s">
        <v>595</v>
      </c>
      <c r="BK167" s="192">
        <f t="shared" si="24"/>
        <v>0</v>
      </c>
      <c r="BL167" s="89" t="s">
        <v>619</v>
      </c>
      <c r="BM167" s="89" t="s">
        <v>1175</v>
      </c>
    </row>
    <row r="168" spans="2:65" s="98" customFormat="1" ht="46.5" customHeight="1">
      <c r="B168" s="99"/>
      <c r="C168" s="184">
        <v>8</v>
      </c>
      <c r="D168" s="184" t="s">
        <v>618</v>
      </c>
      <c r="E168" s="185"/>
      <c r="F168" s="773" t="s">
        <v>1363</v>
      </c>
      <c r="G168" s="773"/>
      <c r="H168" s="773"/>
      <c r="I168" s="773"/>
      <c r="J168" s="186" t="s">
        <v>1131</v>
      </c>
      <c r="K168" s="187">
        <v>1685</v>
      </c>
      <c r="L168" s="774"/>
      <c r="M168" s="775"/>
      <c r="N168" s="772">
        <f t="shared" si="15"/>
        <v>0</v>
      </c>
      <c r="O168" s="772"/>
      <c r="P168" s="772"/>
      <c r="Q168" s="772"/>
      <c r="R168" s="102"/>
      <c r="T168" s="188" t="s">
        <v>552</v>
      </c>
      <c r="U168" s="189" t="s">
        <v>571</v>
      </c>
      <c r="V168" s="100"/>
      <c r="W168" s="190">
        <f t="shared" si="16"/>
        <v>0</v>
      </c>
      <c r="X168" s="190">
        <v>0</v>
      </c>
      <c r="Y168" s="190">
        <f t="shared" si="17"/>
        <v>0</v>
      </c>
      <c r="Z168" s="190">
        <v>0</v>
      </c>
      <c r="AA168" s="191">
        <f t="shared" si="18"/>
        <v>0</v>
      </c>
      <c r="AR168" s="89" t="s">
        <v>619</v>
      </c>
      <c r="AT168" s="89" t="s">
        <v>618</v>
      </c>
      <c r="AU168" s="89" t="s">
        <v>620</v>
      </c>
      <c r="AY168" s="89" t="s">
        <v>617</v>
      </c>
      <c r="BE168" s="192">
        <f t="shared" si="19"/>
        <v>0</v>
      </c>
      <c r="BF168" s="192">
        <f t="shared" si="20"/>
        <v>0</v>
      </c>
      <c r="BG168" s="192">
        <f t="shared" si="21"/>
        <v>0</v>
      </c>
      <c r="BH168" s="192">
        <f t="shared" si="22"/>
        <v>0</v>
      </c>
      <c r="BI168" s="192">
        <f t="shared" si="23"/>
        <v>0</v>
      </c>
      <c r="BJ168" s="89" t="s">
        <v>595</v>
      </c>
      <c r="BK168" s="192">
        <f t="shared" si="24"/>
        <v>0</v>
      </c>
      <c r="BL168" s="89" t="s">
        <v>619</v>
      </c>
      <c r="BM168" s="89" t="s">
        <v>1176</v>
      </c>
    </row>
    <row r="169" spans="2:65" s="98" customFormat="1" ht="30" customHeight="1">
      <c r="B169" s="99"/>
      <c r="C169" s="184">
        <v>9</v>
      </c>
      <c r="D169" s="184" t="s">
        <v>618</v>
      </c>
      <c r="E169" s="185"/>
      <c r="F169" s="773" t="s">
        <v>1177</v>
      </c>
      <c r="G169" s="773"/>
      <c r="H169" s="773"/>
      <c r="I169" s="773"/>
      <c r="J169" s="186" t="s">
        <v>1131</v>
      </c>
      <c r="K169" s="187">
        <v>519</v>
      </c>
      <c r="L169" s="774"/>
      <c r="M169" s="775"/>
      <c r="N169" s="772">
        <f t="shared" si="15"/>
        <v>0</v>
      </c>
      <c r="O169" s="772"/>
      <c r="P169" s="772"/>
      <c r="Q169" s="772"/>
      <c r="R169" s="102"/>
      <c r="T169" s="188" t="s">
        <v>552</v>
      </c>
      <c r="U169" s="189" t="s">
        <v>571</v>
      </c>
      <c r="V169" s="100"/>
      <c r="W169" s="190">
        <f t="shared" si="16"/>
        <v>0</v>
      </c>
      <c r="X169" s="190">
        <v>0</v>
      </c>
      <c r="Y169" s="190">
        <f t="shared" si="17"/>
        <v>0</v>
      </c>
      <c r="Z169" s="190">
        <v>0</v>
      </c>
      <c r="AA169" s="191">
        <f t="shared" si="18"/>
        <v>0</v>
      </c>
      <c r="AR169" s="89" t="s">
        <v>619</v>
      </c>
      <c r="AT169" s="89" t="s">
        <v>618</v>
      </c>
      <c r="AU169" s="89" t="s">
        <v>620</v>
      </c>
      <c r="AY169" s="89" t="s">
        <v>617</v>
      </c>
      <c r="BE169" s="192">
        <f t="shared" si="19"/>
        <v>0</v>
      </c>
      <c r="BF169" s="192">
        <f t="shared" si="20"/>
        <v>0</v>
      </c>
      <c r="BG169" s="192">
        <f t="shared" si="21"/>
        <v>0</v>
      </c>
      <c r="BH169" s="192">
        <f t="shared" si="22"/>
        <v>0</v>
      </c>
      <c r="BI169" s="192">
        <f t="shared" si="23"/>
        <v>0</v>
      </c>
      <c r="BJ169" s="89" t="s">
        <v>595</v>
      </c>
      <c r="BK169" s="192">
        <f t="shared" si="24"/>
        <v>0</v>
      </c>
      <c r="BL169" s="89" t="s">
        <v>619</v>
      </c>
      <c r="BM169" s="89" t="s">
        <v>1178</v>
      </c>
    </row>
    <row r="170" spans="2:65" s="98" customFormat="1" ht="30" customHeight="1">
      <c r="B170" s="99"/>
      <c r="C170" s="184">
        <v>10</v>
      </c>
      <c r="D170" s="184" t="s">
        <v>618</v>
      </c>
      <c r="E170" s="185"/>
      <c r="F170" s="773" t="s">
        <v>1179</v>
      </c>
      <c r="G170" s="773"/>
      <c r="H170" s="773"/>
      <c r="I170" s="773"/>
      <c r="J170" s="186" t="s">
        <v>1131</v>
      </c>
      <c r="K170" s="187">
        <v>1685</v>
      </c>
      <c r="L170" s="774"/>
      <c r="M170" s="775"/>
      <c r="N170" s="772">
        <f t="shared" si="15"/>
        <v>0</v>
      </c>
      <c r="O170" s="772"/>
      <c r="P170" s="772"/>
      <c r="Q170" s="772"/>
      <c r="R170" s="102"/>
      <c r="T170" s="188" t="s">
        <v>552</v>
      </c>
      <c r="U170" s="189" t="s">
        <v>571</v>
      </c>
      <c r="V170" s="100"/>
      <c r="W170" s="190">
        <f t="shared" si="16"/>
        <v>0</v>
      </c>
      <c r="X170" s="190">
        <v>0</v>
      </c>
      <c r="Y170" s="190">
        <f t="shared" si="17"/>
        <v>0</v>
      </c>
      <c r="Z170" s="190">
        <v>0</v>
      </c>
      <c r="AA170" s="191">
        <f t="shared" si="18"/>
        <v>0</v>
      </c>
      <c r="AR170" s="89" t="s">
        <v>619</v>
      </c>
      <c r="AT170" s="89" t="s">
        <v>618</v>
      </c>
      <c r="AU170" s="89" t="s">
        <v>620</v>
      </c>
      <c r="AY170" s="89" t="s">
        <v>617</v>
      </c>
      <c r="BE170" s="192">
        <f t="shared" si="19"/>
        <v>0</v>
      </c>
      <c r="BF170" s="192">
        <f t="shared" si="20"/>
        <v>0</v>
      </c>
      <c r="BG170" s="192">
        <f t="shared" si="21"/>
        <v>0</v>
      </c>
      <c r="BH170" s="192">
        <f t="shared" si="22"/>
        <v>0</v>
      </c>
      <c r="BI170" s="192">
        <f t="shared" si="23"/>
        <v>0</v>
      </c>
      <c r="BJ170" s="89" t="s">
        <v>595</v>
      </c>
      <c r="BK170" s="192">
        <f t="shared" si="24"/>
        <v>0</v>
      </c>
      <c r="BL170" s="89" t="s">
        <v>619</v>
      </c>
      <c r="BM170" s="89" t="s">
        <v>1180</v>
      </c>
    </row>
    <row r="171" spans="2:65" s="98" customFormat="1" ht="44.25" customHeight="1">
      <c r="B171" s="99"/>
      <c r="C171" s="184">
        <v>11</v>
      </c>
      <c r="D171" s="184" t="s">
        <v>618</v>
      </c>
      <c r="E171" s="185"/>
      <c r="F171" s="773" t="s">
        <v>1181</v>
      </c>
      <c r="G171" s="773"/>
      <c r="H171" s="773"/>
      <c r="I171" s="773"/>
      <c r="J171" s="186" t="s">
        <v>1131</v>
      </c>
      <c r="K171" s="187">
        <v>67</v>
      </c>
      <c r="L171" s="774"/>
      <c r="M171" s="775"/>
      <c r="N171" s="772">
        <f t="shared" si="15"/>
        <v>0</v>
      </c>
      <c r="O171" s="772"/>
      <c r="P171" s="772"/>
      <c r="Q171" s="772"/>
      <c r="R171" s="102"/>
      <c r="T171" s="188" t="s">
        <v>552</v>
      </c>
      <c r="U171" s="189" t="s">
        <v>571</v>
      </c>
      <c r="V171" s="100"/>
      <c r="W171" s="190">
        <f t="shared" si="16"/>
        <v>0</v>
      </c>
      <c r="X171" s="190">
        <v>0</v>
      </c>
      <c r="Y171" s="190">
        <f t="shared" si="17"/>
        <v>0</v>
      </c>
      <c r="Z171" s="190">
        <v>0</v>
      </c>
      <c r="AA171" s="191">
        <f t="shared" si="18"/>
        <v>0</v>
      </c>
      <c r="AR171" s="89" t="s">
        <v>619</v>
      </c>
      <c r="AT171" s="89" t="s">
        <v>618</v>
      </c>
      <c r="AU171" s="89" t="s">
        <v>620</v>
      </c>
      <c r="AY171" s="89" t="s">
        <v>617</v>
      </c>
      <c r="BE171" s="192">
        <f t="shared" si="19"/>
        <v>0</v>
      </c>
      <c r="BF171" s="192">
        <f t="shared" si="20"/>
        <v>0</v>
      </c>
      <c r="BG171" s="192">
        <f t="shared" si="21"/>
        <v>0</v>
      </c>
      <c r="BH171" s="192">
        <f t="shared" si="22"/>
        <v>0</v>
      </c>
      <c r="BI171" s="192">
        <f t="shared" si="23"/>
        <v>0</v>
      </c>
      <c r="BJ171" s="89" t="s">
        <v>595</v>
      </c>
      <c r="BK171" s="192">
        <f t="shared" si="24"/>
        <v>0</v>
      </c>
      <c r="BL171" s="89" t="s">
        <v>619</v>
      </c>
      <c r="BM171" s="89" t="s">
        <v>1182</v>
      </c>
    </row>
    <row r="172" spans="2:65" s="98" customFormat="1" ht="44.25" customHeight="1">
      <c r="B172" s="99"/>
      <c r="C172" s="184">
        <v>12</v>
      </c>
      <c r="D172" s="184" t="s">
        <v>618</v>
      </c>
      <c r="E172" s="185"/>
      <c r="F172" s="773" t="s">
        <v>1183</v>
      </c>
      <c r="G172" s="773"/>
      <c r="H172" s="773"/>
      <c r="I172" s="773"/>
      <c r="J172" s="186" t="s">
        <v>1131</v>
      </c>
      <c r="K172" s="187">
        <v>8</v>
      </c>
      <c r="L172" s="774"/>
      <c r="M172" s="775"/>
      <c r="N172" s="772">
        <f t="shared" si="15"/>
        <v>0</v>
      </c>
      <c r="O172" s="772"/>
      <c r="P172" s="772"/>
      <c r="Q172" s="772"/>
      <c r="R172" s="102"/>
      <c r="T172" s="188" t="s">
        <v>552</v>
      </c>
      <c r="U172" s="189" t="s">
        <v>571</v>
      </c>
      <c r="V172" s="100"/>
      <c r="W172" s="190">
        <f t="shared" si="16"/>
        <v>0</v>
      </c>
      <c r="X172" s="190">
        <v>0</v>
      </c>
      <c r="Y172" s="190">
        <f t="shared" si="17"/>
        <v>0</v>
      </c>
      <c r="Z172" s="190">
        <v>0</v>
      </c>
      <c r="AA172" s="191">
        <f t="shared" si="18"/>
        <v>0</v>
      </c>
      <c r="AR172" s="89" t="s">
        <v>619</v>
      </c>
      <c r="AT172" s="89" t="s">
        <v>618</v>
      </c>
      <c r="AU172" s="89" t="s">
        <v>620</v>
      </c>
      <c r="AY172" s="89" t="s">
        <v>617</v>
      </c>
      <c r="BE172" s="192">
        <f t="shared" si="19"/>
        <v>0</v>
      </c>
      <c r="BF172" s="192">
        <f t="shared" si="20"/>
        <v>0</v>
      </c>
      <c r="BG172" s="192">
        <f t="shared" si="21"/>
        <v>0</v>
      </c>
      <c r="BH172" s="192">
        <f t="shared" si="22"/>
        <v>0</v>
      </c>
      <c r="BI172" s="192">
        <f t="shared" si="23"/>
        <v>0</v>
      </c>
      <c r="BJ172" s="89" t="s">
        <v>595</v>
      </c>
      <c r="BK172" s="192">
        <f t="shared" si="24"/>
        <v>0</v>
      </c>
      <c r="BL172" s="89" t="s">
        <v>619</v>
      </c>
      <c r="BM172" s="89" t="s">
        <v>1182</v>
      </c>
    </row>
    <row r="173" spans="2:65" s="98" customFormat="1" ht="56.25" customHeight="1">
      <c r="B173" s="99"/>
      <c r="C173" s="184">
        <v>13</v>
      </c>
      <c r="D173" s="184" t="s">
        <v>618</v>
      </c>
      <c r="E173" s="185"/>
      <c r="F173" s="773" t="s">
        <v>1364</v>
      </c>
      <c r="G173" s="773"/>
      <c r="H173" s="773"/>
      <c r="I173" s="773"/>
      <c r="J173" s="186" t="s">
        <v>1131</v>
      </c>
      <c r="K173" s="187">
        <v>67</v>
      </c>
      <c r="L173" s="774"/>
      <c r="M173" s="775"/>
      <c r="N173" s="772">
        <f t="shared" si="15"/>
        <v>0</v>
      </c>
      <c r="O173" s="772"/>
      <c r="P173" s="772"/>
      <c r="Q173" s="772"/>
      <c r="R173" s="102"/>
      <c r="T173" s="188" t="s">
        <v>552</v>
      </c>
      <c r="U173" s="189" t="s">
        <v>571</v>
      </c>
      <c r="V173" s="100"/>
      <c r="W173" s="190">
        <f t="shared" si="16"/>
        <v>0</v>
      </c>
      <c r="X173" s="190">
        <v>0</v>
      </c>
      <c r="Y173" s="190">
        <f t="shared" si="17"/>
        <v>0</v>
      </c>
      <c r="Z173" s="190">
        <v>0</v>
      </c>
      <c r="AA173" s="191">
        <f t="shared" si="18"/>
        <v>0</v>
      </c>
      <c r="AR173" s="89" t="s">
        <v>619</v>
      </c>
      <c r="AT173" s="89" t="s">
        <v>618</v>
      </c>
      <c r="AU173" s="89" t="s">
        <v>620</v>
      </c>
      <c r="AY173" s="89" t="s">
        <v>617</v>
      </c>
      <c r="BE173" s="192">
        <f t="shared" si="19"/>
        <v>0</v>
      </c>
      <c r="BF173" s="192">
        <f t="shared" si="20"/>
        <v>0</v>
      </c>
      <c r="BG173" s="192">
        <f t="shared" si="21"/>
        <v>0</v>
      </c>
      <c r="BH173" s="192">
        <f t="shared" si="22"/>
        <v>0</v>
      </c>
      <c r="BI173" s="192">
        <f t="shared" si="23"/>
        <v>0</v>
      </c>
      <c r="BJ173" s="89" t="s">
        <v>595</v>
      </c>
      <c r="BK173" s="192">
        <f t="shared" si="24"/>
        <v>0</v>
      </c>
      <c r="BL173" s="89" t="s">
        <v>619</v>
      </c>
      <c r="BM173" s="89" t="s">
        <v>1184</v>
      </c>
    </row>
    <row r="174" spans="2:65" s="98" customFormat="1" ht="58.5" customHeight="1">
      <c r="B174" s="99"/>
      <c r="C174" s="184">
        <v>14</v>
      </c>
      <c r="D174" s="184" t="s">
        <v>618</v>
      </c>
      <c r="E174" s="185"/>
      <c r="F174" s="773" t="s">
        <v>1365</v>
      </c>
      <c r="G174" s="773"/>
      <c r="H174" s="773"/>
      <c r="I174" s="773"/>
      <c r="J174" s="186" t="s">
        <v>1131</v>
      </c>
      <c r="K174" s="187">
        <v>8</v>
      </c>
      <c r="L174" s="774"/>
      <c r="M174" s="775"/>
      <c r="N174" s="772">
        <f t="shared" si="15"/>
        <v>0</v>
      </c>
      <c r="O174" s="772"/>
      <c r="P174" s="772"/>
      <c r="Q174" s="772"/>
      <c r="R174" s="102"/>
      <c r="T174" s="188" t="s">
        <v>552</v>
      </c>
      <c r="U174" s="189" t="s">
        <v>571</v>
      </c>
      <c r="V174" s="100"/>
      <c r="W174" s="190">
        <f t="shared" si="16"/>
        <v>0</v>
      </c>
      <c r="X174" s="190">
        <v>0</v>
      </c>
      <c r="Y174" s="190">
        <f t="shared" si="17"/>
        <v>0</v>
      </c>
      <c r="Z174" s="190">
        <v>0</v>
      </c>
      <c r="AA174" s="191">
        <f t="shared" si="18"/>
        <v>0</v>
      </c>
      <c r="AR174" s="89" t="s">
        <v>619</v>
      </c>
      <c r="AT174" s="89" t="s">
        <v>618</v>
      </c>
      <c r="AU174" s="89" t="s">
        <v>620</v>
      </c>
      <c r="AY174" s="89" t="s">
        <v>617</v>
      </c>
      <c r="BE174" s="192">
        <f t="shared" si="19"/>
        <v>0</v>
      </c>
      <c r="BF174" s="192">
        <f t="shared" si="20"/>
        <v>0</v>
      </c>
      <c r="BG174" s="192">
        <f t="shared" si="21"/>
        <v>0</v>
      </c>
      <c r="BH174" s="192">
        <f t="shared" si="22"/>
        <v>0</v>
      </c>
      <c r="BI174" s="192">
        <f t="shared" si="23"/>
        <v>0</v>
      </c>
      <c r="BJ174" s="89" t="s">
        <v>595</v>
      </c>
      <c r="BK174" s="192">
        <f t="shared" si="24"/>
        <v>0</v>
      </c>
      <c r="BL174" s="89" t="s">
        <v>619</v>
      </c>
      <c r="BM174" s="89" t="s">
        <v>1184</v>
      </c>
    </row>
    <row r="175" spans="2:65" s="98" customFormat="1" ht="54.75" customHeight="1">
      <c r="B175" s="99"/>
      <c r="C175" s="184">
        <v>15</v>
      </c>
      <c r="D175" s="184" t="s">
        <v>618</v>
      </c>
      <c r="E175" s="185"/>
      <c r="F175" s="773" t="s">
        <v>1185</v>
      </c>
      <c r="G175" s="773"/>
      <c r="H175" s="773"/>
      <c r="I175" s="773"/>
      <c r="J175" s="186" t="s">
        <v>65</v>
      </c>
      <c r="K175" s="187">
        <v>4</v>
      </c>
      <c r="L175" s="774"/>
      <c r="M175" s="775"/>
      <c r="N175" s="772">
        <f t="shared" si="15"/>
        <v>0</v>
      </c>
      <c r="O175" s="772"/>
      <c r="P175" s="772"/>
      <c r="Q175" s="772"/>
      <c r="R175" s="102"/>
      <c r="T175" s="188" t="s">
        <v>552</v>
      </c>
      <c r="U175" s="189" t="s">
        <v>571</v>
      </c>
      <c r="V175" s="100"/>
      <c r="W175" s="190">
        <f t="shared" si="16"/>
        <v>0</v>
      </c>
      <c r="X175" s="190">
        <v>0</v>
      </c>
      <c r="Y175" s="190">
        <f t="shared" si="17"/>
        <v>0</v>
      </c>
      <c r="Z175" s="190">
        <v>0</v>
      </c>
      <c r="AA175" s="191">
        <f t="shared" si="18"/>
        <v>0</v>
      </c>
      <c r="AR175" s="89" t="s">
        <v>619</v>
      </c>
      <c r="AT175" s="89" t="s">
        <v>618</v>
      </c>
      <c r="AU175" s="89" t="s">
        <v>620</v>
      </c>
      <c r="AY175" s="89" t="s">
        <v>617</v>
      </c>
      <c r="BE175" s="192">
        <f t="shared" si="19"/>
        <v>0</v>
      </c>
      <c r="BF175" s="192">
        <f t="shared" si="20"/>
        <v>0</v>
      </c>
      <c r="BG175" s="192">
        <f t="shared" si="21"/>
        <v>0</v>
      </c>
      <c r="BH175" s="192">
        <f t="shared" si="22"/>
        <v>0</v>
      </c>
      <c r="BI175" s="192">
        <f t="shared" si="23"/>
        <v>0</v>
      </c>
      <c r="BJ175" s="89" t="s">
        <v>595</v>
      </c>
      <c r="BK175" s="192">
        <f t="shared" si="24"/>
        <v>0</v>
      </c>
      <c r="BL175" s="89" t="s">
        <v>619</v>
      </c>
      <c r="BM175" s="89" t="s">
        <v>1186</v>
      </c>
    </row>
    <row r="176" spans="2:65" s="98" customFormat="1" ht="31.5" customHeight="1">
      <c r="B176" s="99"/>
      <c r="C176" s="184">
        <v>16</v>
      </c>
      <c r="D176" s="184" t="s">
        <v>618</v>
      </c>
      <c r="E176" s="185"/>
      <c r="F176" s="773" t="s">
        <v>1187</v>
      </c>
      <c r="G176" s="773"/>
      <c r="H176" s="773"/>
      <c r="I176" s="773"/>
      <c r="J176" s="186" t="s">
        <v>65</v>
      </c>
      <c r="K176" s="187">
        <v>1</v>
      </c>
      <c r="L176" s="774"/>
      <c r="M176" s="775"/>
      <c r="N176" s="772">
        <f t="shared" si="15"/>
        <v>0</v>
      </c>
      <c r="O176" s="772"/>
      <c r="P176" s="772"/>
      <c r="Q176" s="772"/>
      <c r="R176" s="102"/>
      <c r="T176" s="188" t="s">
        <v>552</v>
      </c>
      <c r="U176" s="189" t="s">
        <v>571</v>
      </c>
      <c r="V176" s="100"/>
      <c r="W176" s="190">
        <f t="shared" si="16"/>
        <v>0</v>
      </c>
      <c r="X176" s="190">
        <v>0</v>
      </c>
      <c r="Y176" s="190">
        <f t="shared" si="17"/>
        <v>0</v>
      </c>
      <c r="Z176" s="190">
        <v>0</v>
      </c>
      <c r="AA176" s="191">
        <f t="shared" si="18"/>
        <v>0</v>
      </c>
      <c r="AR176" s="89" t="s">
        <v>619</v>
      </c>
      <c r="AT176" s="89" t="s">
        <v>618</v>
      </c>
      <c r="AU176" s="89" t="s">
        <v>620</v>
      </c>
      <c r="AY176" s="89" t="s">
        <v>617</v>
      </c>
      <c r="BE176" s="192">
        <f t="shared" si="19"/>
        <v>0</v>
      </c>
      <c r="BF176" s="192">
        <f t="shared" si="20"/>
        <v>0</v>
      </c>
      <c r="BG176" s="192">
        <f t="shared" si="21"/>
        <v>0</v>
      </c>
      <c r="BH176" s="192">
        <f t="shared" si="22"/>
        <v>0</v>
      </c>
      <c r="BI176" s="192">
        <f t="shared" si="23"/>
        <v>0</v>
      </c>
      <c r="BJ176" s="89" t="s">
        <v>595</v>
      </c>
      <c r="BK176" s="192">
        <f t="shared" si="24"/>
        <v>0</v>
      </c>
      <c r="BL176" s="89" t="s">
        <v>619</v>
      </c>
      <c r="BM176" s="89" t="s">
        <v>1188</v>
      </c>
    </row>
    <row r="177" spans="2:65" s="98" customFormat="1" ht="22.5" customHeight="1">
      <c r="B177" s="99"/>
      <c r="C177" s="184">
        <v>17</v>
      </c>
      <c r="D177" s="184" t="s">
        <v>618</v>
      </c>
      <c r="E177" s="185"/>
      <c r="F177" s="773" t="s">
        <v>660</v>
      </c>
      <c r="G177" s="773"/>
      <c r="H177" s="773"/>
      <c r="I177" s="773"/>
      <c r="J177" s="186" t="s">
        <v>45</v>
      </c>
      <c r="K177" s="187">
        <v>1</v>
      </c>
      <c r="L177" s="774"/>
      <c r="M177" s="775"/>
      <c r="N177" s="772">
        <f t="shared" si="15"/>
        <v>0</v>
      </c>
      <c r="O177" s="772"/>
      <c r="P177" s="772"/>
      <c r="Q177" s="772"/>
      <c r="R177" s="102"/>
      <c r="T177" s="188" t="s">
        <v>552</v>
      </c>
      <c r="U177" s="189" t="s">
        <v>571</v>
      </c>
      <c r="V177" s="100"/>
      <c r="W177" s="190">
        <f t="shared" si="16"/>
        <v>0</v>
      </c>
      <c r="X177" s="190">
        <v>0</v>
      </c>
      <c r="Y177" s="190">
        <f t="shared" si="17"/>
        <v>0</v>
      </c>
      <c r="Z177" s="190">
        <v>0</v>
      </c>
      <c r="AA177" s="191">
        <f t="shared" si="18"/>
        <v>0</v>
      </c>
      <c r="AR177" s="89" t="s">
        <v>619</v>
      </c>
      <c r="AT177" s="89" t="s">
        <v>618</v>
      </c>
      <c r="AU177" s="89" t="s">
        <v>620</v>
      </c>
      <c r="AY177" s="89" t="s">
        <v>617</v>
      </c>
      <c r="BE177" s="192">
        <f t="shared" si="19"/>
        <v>0</v>
      </c>
      <c r="BF177" s="192">
        <f t="shared" si="20"/>
        <v>0</v>
      </c>
      <c r="BG177" s="192">
        <f t="shared" si="21"/>
        <v>0</v>
      </c>
      <c r="BH177" s="192">
        <f t="shared" si="22"/>
        <v>0</v>
      </c>
      <c r="BI177" s="192">
        <f t="shared" si="23"/>
        <v>0</v>
      </c>
      <c r="BJ177" s="89" t="s">
        <v>595</v>
      </c>
      <c r="BK177" s="192">
        <f t="shared" si="24"/>
        <v>0</v>
      </c>
      <c r="BL177" s="89" t="s">
        <v>619</v>
      </c>
      <c r="BM177" s="89" t="s">
        <v>1189</v>
      </c>
    </row>
    <row r="178" spans="2:65" s="98" customFormat="1" ht="28.5" customHeight="1">
      <c r="B178" s="99"/>
      <c r="C178" s="184">
        <v>18</v>
      </c>
      <c r="D178" s="184" t="s">
        <v>618</v>
      </c>
      <c r="E178" s="185"/>
      <c r="F178" s="773" t="s">
        <v>1190</v>
      </c>
      <c r="G178" s="773"/>
      <c r="H178" s="773"/>
      <c r="I178" s="773"/>
      <c r="J178" s="186" t="s">
        <v>635</v>
      </c>
      <c r="K178" s="187">
        <v>1</v>
      </c>
      <c r="L178" s="774"/>
      <c r="M178" s="775"/>
      <c r="N178" s="772">
        <f t="shared" si="15"/>
        <v>0</v>
      </c>
      <c r="O178" s="772"/>
      <c r="P178" s="772"/>
      <c r="Q178" s="772"/>
      <c r="R178" s="102"/>
      <c r="T178" s="188" t="s">
        <v>552</v>
      </c>
      <c r="U178" s="189" t="s">
        <v>571</v>
      </c>
      <c r="V178" s="100"/>
      <c r="W178" s="190">
        <f t="shared" si="16"/>
        <v>0</v>
      </c>
      <c r="X178" s="190">
        <v>0</v>
      </c>
      <c r="Y178" s="190">
        <f t="shared" si="17"/>
        <v>0</v>
      </c>
      <c r="Z178" s="190">
        <v>0</v>
      </c>
      <c r="AA178" s="191">
        <f t="shared" si="18"/>
        <v>0</v>
      </c>
      <c r="AR178" s="89" t="s">
        <v>619</v>
      </c>
      <c r="AT178" s="89" t="s">
        <v>618</v>
      </c>
      <c r="AU178" s="89" t="s">
        <v>620</v>
      </c>
      <c r="AY178" s="89" t="s">
        <v>617</v>
      </c>
      <c r="BE178" s="192">
        <f t="shared" si="19"/>
        <v>0</v>
      </c>
      <c r="BF178" s="192">
        <f t="shared" si="20"/>
        <v>0</v>
      </c>
      <c r="BG178" s="192">
        <f t="shared" si="21"/>
        <v>0</v>
      </c>
      <c r="BH178" s="192">
        <f t="shared" si="22"/>
        <v>0</v>
      </c>
      <c r="BI178" s="192">
        <f t="shared" si="23"/>
        <v>0</v>
      </c>
      <c r="BJ178" s="89" t="s">
        <v>595</v>
      </c>
      <c r="BK178" s="192">
        <f t="shared" si="24"/>
        <v>0</v>
      </c>
      <c r="BL178" s="89" t="s">
        <v>619</v>
      </c>
      <c r="BM178" s="89" t="s">
        <v>1191</v>
      </c>
    </row>
    <row r="179" spans="2:65" s="98" customFormat="1" ht="22.5" customHeight="1">
      <c r="B179" s="99"/>
      <c r="C179" s="184">
        <v>19</v>
      </c>
      <c r="D179" s="184" t="s">
        <v>618</v>
      </c>
      <c r="E179" s="185"/>
      <c r="F179" s="773" t="s">
        <v>651</v>
      </c>
      <c r="G179" s="773"/>
      <c r="H179" s="773"/>
      <c r="I179" s="773"/>
      <c r="J179" s="186" t="s">
        <v>635</v>
      </c>
      <c r="K179" s="187">
        <v>1</v>
      </c>
      <c r="L179" s="774"/>
      <c r="M179" s="775"/>
      <c r="N179" s="772">
        <f t="shared" si="15"/>
        <v>0</v>
      </c>
      <c r="O179" s="772"/>
      <c r="P179" s="772"/>
      <c r="Q179" s="772"/>
      <c r="R179" s="102"/>
      <c r="T179" s="188" t="s">
        <v>552</v>
      </c>
      <c r="U179" s="189" t="s">
        <v>571</v>
      </c>
      <c r="V179" s="100"/>
      <c r="W179" s="190">
        <f t="shared" si="16"/>
        <v>0</v>
      </c>
      <c r="X179" s="190">
        <v>0</v>
      </c>
      <c r="Y179" s="190">
        <f t="shared" si="17"/>
        <v>0</v>
      </c>
      <c r="Z179" s="190">
        <v>0</v>
      </c>
      <c r="AA179" s="191">
        <f t="shared" si="18"/>
        <v>0</v>
      </c>
      <c r="AR179" s="89" t="s">
        <v>619</v>
      </c>
      <c r="AT179" s="89" t="s">
        <v>618</v>
      </c>
      <c r="AU179" s="89" t="s">
        <v>620</v>
      </c>
      <c r="AY179" s="89" t="s">
        <v>617</v>
      </c>
      <c r="BE179" s="192">
        <f t="shared" si="19"/>
        <v>0</v>
      </c>
      <c r="BF179" s="192">
        <f t="shared" si="20"/>
        <v>0</v>
      </c>
      <c r="BG179" s="192">
        <f t="shared" si="21"/>
        <v>0</v>
      </c>
      <c r="BH179" s="192">
        <f t="shared" si="22"/>
        <v>0</v>
      </c>
      <c r="BI179" s="192">
        <f t="shared" si="23"/>
        <v>0</v>
      </c>
      <c r="BJ179" s="89" t="s">
        <v>595</v>
      </c>
      <c r="BK179" s="192">
        <f t="shared" si="24"/>
        <v>0</v>
      </c>
      <c r="BL179" s="89" t="s">
        <v>619</v>
      </c>
      <c r="BM179" s="89" t="s">
        <v>1192</v>
      </c>
    </row>
    <row r="180" spans="2:63" s="172" customFormat="1" ht="36.75" customHeight="1">
      <c r="B180" s="173"/>
      <c r="C180" s="174"/>
      <c r="D180" s="175" t="s">
        <v>1120</v>
      </c>
      <c r="E180" s="175"/>
      <c r="F180" s="175"/>
      <c r="G180" s="175"/>
      <c r="H180" s="175"/>
      <c r="I180" s="175"/>
      <c r="J180" s="175"/>
      <c r="K180" s="175"/>
      <c r="L180" s="175"/>
      <c r="M180" s="175"/>
      <c r="N180" s="776">
        <f>SUM(N181)</f>
        <v>0</v>
      </c>
      <c r="O180" s="777"/>
      <c r="P180" s="777"/>
      <c r="Q180" s="777"/>
      <c r="R180" s="176"/>
      <c r="T180" s="177"/>
      <c r="U180" s="174"/>
      <c r="V180" s="174"/>
      <c r="W180" s="178" t="e">
        <f>W181+#REF!</f>
        <v>#REF!</v>
      </c>
      <c r="X180" s="174"/>
      <c r="Y180" s="178" t="e">
        <f>Y181+#REF!</f>
        <v>#REF!</v>
      </c>
      <c r="Z180" s="174"/>
      <c r="AA180" s="179" t="e">
        <f>AA181+#REF!</f>
        <v>#REF!</v>
      </c>
      <c r="AD180" s="98"/>
      <c r="AR180" s="180" t="s">
        <v>544</v>
      </c>
      <c r="AT180" s="181" t="s">
        <v>615</v>
      </c>
      <c r="AU180" s="181" t="s">
        <v>616</v>
      </c>
      <c r="AY180" s="180" t="s">
        <v>617</v>
      </c>
      <c r="BK180" s="182" t="e">
        <f>BK181+#REF!</f>
        <v>#REF!</v>
      </c>
    </row>
    <row r="181" spans="2:63" s="172" customFormat="1" ht="19.5" customHeight="1">
      <c r="B181" s="173"/>
      <c r="C181" s="174"/>
      <c r="D181" s="183" t="s">
        <v>1121</v>
      </c>
      <c r="E181" s="183"/>
      <c r="F181" s="183"/>
      <c r="G181" s="183"/>
      <c r="H181" s="183"/>
      <c r="I181" s="183"/>
      <c r="J181" s="183"/>
      <c r="K181" s="183"/>
      <c r="L181" s="183"/>
      <c r="M181" s="183"/>
      <c r="N181" s="778">
        <f>SUM(N182:Q203)</f>
        <v>0</v>
      </c>
      <c r="O181" s="779"/>
      <c r="P181" s="779"/>
      <c r="Q181" s="779"/>
      <c r="R181" s="176"/>
      <c r="T181" s="177"/>
      <c r="U181" s="174"/>
      <c r="V181" s="174"/>
      <c r="W181" s="178">
        <f>SUM(W182:W198)</f>
        <v>0</v>
      </c>
      <c r="X181" s="174"/>
      <c r="Y181" s="178">
        <f>SUM(Y182:Y198)</f>
        <v>0</v>
      </c>
      <c r="Z181" s="174"/>
      <c r="AA181" s="179">
        <f>SUM(AA182:AA198)</f>
        <v>0</v>
      </c>
      <c r="AD181" s="98"/>
      <c r="AR181" s="180" t="s">
        <v>544</v>
      </c>
      <c r="AT181" s="181" t="s">
        <v>615</v>
      </c>
      <c r="AU181" s="181" t="s">
        <v>544</v>
      </c>
      <c r="AY181" s="180" t="s">
        <v>617</v>
      </c>
      <c r="BK181" s="182">
        <f>SUM(BK182:BK198)</f>
        <v>0</v>
      </c>
    </row>
    <row r="182" spans="2:65" s="98" customFormat="1" ht="22.5" customHeight="1">
      <c r="B182" s="99"/>
      <c r="C182" s="184">
        <v>1</v>
      </c>
      <c r="D182" s="184" t="s">
        <v>618</v>
      </c>
      <c r="E182" s="185"/>
      <c r="F182" s="773" t="s">
        <v>1344</v>
      </c>
      <c r="G182" s="773"/>
      <c r="H182" s="773"/>
      <c r="I182" s="773"/>
      <c r="J182" s="186" t="s">
        <v>65</v>
      </c>
      <c r="K182" s="187">
        <v>37</v>
      </c>
      <c r="L182" s="774"/>
      <c r="M182" s="775"/>
      <c r="N182" s="772">
        <f aca="true" t="shared" si="25" ref="N182:N203">ROUND(L182*K182,0)</f>
        <v>0</v>
      </c>
      <c r="O182" s="772"/>
      <c r="P182" s="772"/>
      <c r="Q182" s="772"/>
      <c r="R182" s="102"/>
      <c r="T182" s="188" t="s">
        <v>552</v>
      </c>
      <c r="U182" s="189" t="s">
        <v>571</v>
      </c>
      <c r="V182" s="100"/>
      <c r="W182" s="190">
        <f aca="true" t="shared" si="26" ref="W182:W203">V182*K182</f>
        <v>0</v>
      </c>
      <c r="X182" s="190">
        <v>0</v>
      </c>
      <c r="Y182" s="190">
        <f aca="true" t="shared" si="27" ref="Y182:Y203">X182*K182</f>
        <v>0</v>
      </c>
      <c r="Z182" s="190">
        <v>0</v>
      </c>
      <c r="AA182" s="191">
        <f aca="true" t="shared" si="28" ref="AA182:AA203">Z182*K182</f>
        <v>0</v>
      </c>
      <c r="AR182" s="89" t="s">
        <v>619</v>
      </c>
      <c r="AT182" s="89" t="s">
        <v>618</v>
      </c>
      <c r="AU182" s="89" t="s">
        <v>620</v>
      </c>
      <c r="AY182" s="89" t="s">
        <v>617</v>
      </c>
      <c r="BE182" s="192">
        <f aca="true" t="shared" si="29" ref="BE182:BE203">IF(U182="základní",N182,0)</f>
        <v>0</v>
      </c>
      <c r="BF182" s="192">
        <f aca="true" t="shared" si="30" ref="BF182:BF203">IF(U182="snížená",N182,0)</f>
        <v>0</v>
      </c>
      <c r="BG182" s="192">
        <f aca="true" t="shared" si="31" ref="BG182:BG203">IF(U182="zákl. přenesená",N182,0)</f>
        <v>0</v>
      </c>
      <c r="BH182" s="192">
        <f aca="true" t="shared" si="32" ref="BH182:BH203">IF(U182="sníž. přenesená",N182,0)</f>
        <v>0</v>
      </c>
      <c r="BI182" s="192">
        <f aca="true" t="shared" si="33" ref="BI182:BI203">IF(U182="nulová",N182,0)</f>
        <v>0</v>
      </c>
      <c r="BJ182" s="89" t="s">
        <v>595</v>
      </c>
      <c r="BK182" s="192">
        <f aca="true" t="shared" si="34" ref="BK182:BK203">ROUND(L182*K182,0)</f>
        <v>0</v>
      </c>
      <c r="BL182" s="89" t="s">
        <v>619</v>
      </c>
      <c r="BM182" s="89" t="s">
        <v>1193</v>
      </c>
    </row>
    <row r="183" spans="2:65" s="98" customFormat="1" ht="22.5" customHeight="1">
      <c r="B183" s="99"/>
      <c r="C183" s="184">
        <v>2</v>
      </c>
      <c r="D183" s="184" t="s">
        <v>618</v>
      </c>
      <c r="E183" s="185"/>
      <c r="F183" s="773" t="s">
        <v>1345</v>
      </c>
      <c r="G183" s="773"/>
      <c r="H183" s="773"/>
      <c r="I183" s="773"/>
      <c r="J183" s="186" t="s">
        <v>65</v>
      </c>
      <c r="K183" s="187">
        <v>37</v>
      </c>
      <c r="L183" s="774"/>
      <c r="M183" s="775"/>
      <c r="N183" s="772">
        <f t="shared" si="25"/>
        <v>0</v>
      </c>
      <c r="O183" s="772"/>
      <c r="P183" s="772"/>
      <c r="Q183" s="772"/>
      <c r="R183" s="102"/>
      <c r="T183" s="188" t="s">
        <v>552</v>
      </c>
      <c r="U183" s="189" t="s">
        <v>571</v>
      </c>
      <c r="V183" s="100"/>
      <c r="W183" s="190">
        <f t="shared" si="26"/>
        <v>0</v>
      </c>
      <c r="X183" s="190">
        <v>0</v>
      </c>
      <c r="Y183" s="190">
        <f t="shared" si="27"/>
        <v>0</v>
      </c>
      <c r="Z183" s="190">
        <v>0</v>
      </c>
      <c r="AA183" s="191">
        <f t="shared" si="28"/>
        <v>0</v>
      </c>
      <c r="AR183" s="89" t="s">
        <v>619</v>
      </c>
      <c r="AT183" s="89" t="s">
        <v>618</v>
      </c>
      <c r="AU183" s="89" t="s">
        <v>620</v>
      </c>
      <c r="AY183" s="89" t="s">
        <v>617</v>
      </c>
      <c r="BE183" s="192">
        <f t="shared" si="29"/>
        <v>0</v>
      </c>
      <c r="BF183" s="192">
        <f t="shared" si="30"/>
        <v>0</v>
      </c>
      <c r="BG183" s="192">
        <f t="shared" si="31"/>
        <v>0</v>
      </c>
      <c r="BH183" s="192">
        <f t="shared" si="32"/>
        <v>0</v>
      </c>
      <c r="BI183" s="192">
        <f t="shared" si="33"/>
        <v>0</v>
      </c>
      <c r="BJ183" s="89" t="s">
        <v>595</v>
      </c>
      <c r="BK183" s="192">
        <f t="shared" si="34"/>
        <v>0</v>
      </c>
      <c r="BL183" s="89" t="s">
        <v>619</v>
      </c>
      <c r="BM183" s="89" t="s">
        <v>1194</v>
      </c>
    </row>
    <row r="184" spans="2:65" s="98" customFormat="1" ht="22.5" customHeight="1">
      <c r="B184" s="99"/>
      <c r="C184" s="184">
        <v>3</v>
      </c>
      <c r="D184" s="184" t="s">
        <v>618</v>
      </c>
      <c r="E184" s="185"/>
      <c r="F184" s="773" t="s">
        <v>1195</v>
      </c>
      <c r="G184" s="773"/>
      <c r="H184" s="773"/>
      <c r="I184" s="773"/>
      <c r="J184" s="186" t="s">
        <v>65</v>
      </c>
      <c r="K184" s="187">
        <v>37</v>
      </c>
      <c r="L184" s="774"/>
      <c r="M184" s="775"/>
      <c r="N184" s="772">
        <f t="shared" si="25"/>
        <v>0</v>
      </c>
      <c r="O184" s="772"/>
      <c r="P184" s="772"/>
      <c r="Q184" s="772"/>
      <c r="R184" s="102"/>
      <c r="T184" s="188" t="s">
        <v>552</v>
      </c>
      <c r="U184" s="189" t="s">
        <v>571</v>
      </c>
      <c r="V184" s="100"/>
      <c r="W184" s="190">
        <f t="shared" si="26"/>
        <v>0</v>
      </c>
      <c r="X184" s="190">
        <v>0</v>
      </c>
      <c r="Y184" s="190">
        <f t="shared" si="27"/>
        <v>0</v>
      </c>
      <c r="Z184" s="190">
        <v>0</v>
      </c>
      <c r="AA184" s="191">
        <f t="shared" si="28"/>
        <v>0</v>
      </c>
      <c r="AR184" s="89" t="s">
        <v>619</v>
      </c>
      <c r="AT184" s="89" t="s">
        <v>618</v>
      </c>
      <c r="AU184" s="89" t="s">
        <v>620</v>
      </c>
      <c r="AY184" s="89" t="s">
        <v>617</v>
      </c>
      <c r="BE184" s="192">
        <f t="shared" si="29"/>
        <v>0</v>
      </c>
      <c r="BF184" s="192">
        <f t="shared" si="30"/>
        <v>0</v>
      </c>
      <c r="BG184" s="192">
        <f t="shared" si="31"/>
        <v>0</v>
      </c>
      <c r="BH184" s="192">
        <f t="shared" si="32"/>
        <v>0</v>
      </c>
      <c r="BI184" s="192">
        <f t="shared" si="33"/>
        <v>0</v>
      </c>
      <c r="BJ184" s="89" t="s">
        <v>595</v>
      </c>
      <c r="BK184" s="192">
        <f t="shared" si="34"/>
        <v>0</v>
      </c>
      <c r="BL184" s="89" t="s">
        <v>619</v>
      </c>
      <c r="BM184" s="89" t="s">
        <v>1196</v>
      </c>
    </row>
    <row r="185" spans="2:65" s="98" customFormat="1" ht="22.5" customHeight="1">
      <c r="B185" s="99"/>
      <c r="C185" s="184">
        <v>4</v>
      </c>
      <c r="D185" s="184" t="s">
        <v>618</v>
      </c>
      <c r="E185" s="185"/>
      <c r="F185" s="773" t="s">
        <v>1346</v>
      </c>
      <c r="G185" s="773"/>
      <c r="H185" s="773"/>
      <c r="I185" s="773"/>
      <c r="J185" s="186" t="s">
        <v>65</v>
      </c>
      <c r="K185" s="187">
        <v>74</v>
      </c>
      <c r="L185" s="774"/>
      <c r="M185" s="775"/>
      <c r="N185" s="772">
        <f t="shared" si="25"/>
        <v>0</v>
      </c>
      <c r="O185" s="772"/>
      <c r="P185" s="772"/>
      <c r="Q185" s="772"/>
      <c r="R185" s="102"/>
      <c r="T185" s="188" t="s">
        <v>552</v>
      </c>
      <c r="U185" s="189" t="s">
        <v>571</v>
      </c>
      <c r="V185" s="100"/>
      <c r="W185" s="190">
        <f t="shared" si="26"/>
        <v>0</v>
      </c>
      <c r="X185" s="190">
        <v>0</v>
      </c>
      <c r="Y185" s="190">
        <f t="shared" si="27"/>
        <v>0</v>
      </c>
      <c r="Z185" s="190">
        <v>0</v>
      </c>
      <c r="AA185" s="191">
        <f t="shared" si="28"/>
        <v>0</v>
      </c>
      <c r="AR185" s="89" t="s">
        <v>619</v>
      </c>
      <c r="AT185" s="89" t="s">
        <v>618</v>
      </c>
      <c r="AU185" s="89" t="s">
        <v>620</v>
      </c>
      <c r="AY185" s="89" t="s">
        <v>617</v>
      </c>
      <c r="BE185" s="192">
        <f t="shared" si="29"/>
        <v>0</v>
      </c>
      <c r="BF185" s="192">
        <f t="shared" si="30"/>
        <v>0</v>
      </c>
      <c r="BG185" s="192">
        <f t="shared" si="31"/>
        <v>0</v>
      </c>
      <c r="BH185" s="192">
        <f t="shared" si="32"/>
        <v>0</v>
      </c>
      <c r="BI185" s="192">
        <f t="shared" si="33"/>
        <v>0</v>
      </c>
      <c r="BJ185" s="89" t="s">
        <v>595</v>
      </c>
      <c r="BK185" s="192">
        <f t="shared" si="34"/>
        <v>0</v>
      </c>
      <c r="BL185" s="89" t="s">
        <v>619</v>
      </c>
      <c r="BM185" s="89" t="s">
        <v>1197</v>
      </c>
    </row>
    <row r="186" spans="2:65" s="98" customFormat="1" ht="31.5" customHeight="1">
      <c r="B186" s="99"/>
      <c r="C186" s="184">
        <v>5</v>
      </c>
      <c r="D186" s="184" t="s">
        <v>618</v>
      </c>
      <c r="E186" s="185"/>
      <c r="F186" s="773" t="s">
        <v>1347</v>
      </c>
      <c r="G186" s="773"/>
      <c r="H186" s="773"/>
      <c r="I186" s="773"/>
      <c r="J186" s="186" t="s">
        <v>65</v>
      </c>
      <c r="K186" s="187">
        <v>37</v>
      </c>
      <c r="L186" s="774"/>
      <c r="M186" s="775"/>
      <c r="N186" s="772">
        <f t="shared" si="25"/>
        <v>0</v>
      </c>
      <c r="O186" s="772"/>
      <c r="P186" s="772"/>
      <c r="Q186" s="772"/>
      <c r="R186" s="102"/>
      <c r="T186" s="188" t="s">
        <v>552</v>
      </c>
      <c r="U186" s="189" t="s">
        <v>571</v>
      </c>
      <c r="V186" s="100"/>
      <c r="W186" s="190">
        <f t="shared" si="26"/>
        <v>0</v>
      </c>
      <c r="X186" s="190">
        <v>0</v>
      </c>
      <c r="Y186" s="190">
        <f t="shared" si="27"/>
        <v>0</v>
      </c>
      <c r="Z186" s="190">
        <v>0</v>
      </c>
      <c r="AA186" s="191">
        <f t="shared" si="28"/>
        <v>0</v>
      </c>
      <c r="AR186" s="89" t="s">
        <v>619</v>
      </c>
      <c r="AT186" s="89" t="s">
        <v>618</v>
      </c>
      <c r="AU186" s="89" t="s">
        <v>620</v>
      </c>
      <c r="AY186" s="89" t="s">
        <v>617</v>
      </c>
      <c r="BE186" s="192">
        <f t="shared" si="29"/>
        <v>0</v>
      </c>
      <c r="BF186" s="192">
        <f t="shared" si="30"/>
        <v>0</v>
      </c>
      <c r="BG186" s="192">
        <f t="shared" si="31"/>
        <v>0</v>
      </c>
      <c r="BH186" s="192">
        <f t="shared" si="32"/>
        <v>0</v>
      </c>
      <c r="BI186" s="192">
        <f t="shared" si="33"/>
        <v>0</v>
      </c>
      <c r="BJ186" s="89" t="s">
        <v>595</v>
      </c>
      <c r="BK186" s="192">
        <f t="shared" si="34"/>
        <v>0</v>
      </c>
      <c r="BL186" s="89" t="s">
        <v>619</v>
      </c>
      <c r="BM186" s="89" t="s">
        <v>1198</v>
      </c>
    </row>
    <row r="187" spans="2:65" s="98" customFormat="1" ht="22.5" customHeight="1">
      <c r="B187" s="99"/>
      <c r="C187" s="184">
        <v>6</v>
      </c>
      <c r="D187" s="184" t="s">
        <v>618</v>
      </c>
      <c r="E187" s="185"/>
      <c r="F187" s="773" t="s">
        <v>1199</v>
      </c>
      <c r="G187" s="773"/>
      <c r="H187" s="773"/>
      <c r="I187" s="773"/>
      <c r="J187" s="186" t="s">
        <v>65</v>
      </c>
      <c r="K187" s="187">
        <v>26</v>
      </c>
      <c r="L187" s="774"/>
      <c r="M187" s="775"/>
      <c r="N187" s="772">
        <f t="shared" si="25"/>
        <v>0</v>
      </c>
      <c r="O187" s="772"/>
      <c r="P187" s="772"/>
      <c r="Q187" s="772"/>
      <c r="R187" s="102"/>
      <c r="T187" s="188" t="s">
        <v>552</v>
      </c>
      <c r="U187" s="189" t="s">
        <v>571</v>
      </c>
      <c r="V187" s="100"/>
      <c r="W187" s="190">
        <f t="shared" si="26"/>
        <v>0</v>
      </c>
      <c r="X187" s="190">
        <v>0</v>
      </c>
      <c r="Y187" s="190">
        <f t="shared" si="27"/>
        <v>0</v>
      </c>
      <c r="Z187" s="190">
        <v>0</v>
      </c>
      <c r="AA187" s="191">
        <f t="shared" si="28"/>
        <v>0</v>
      </c>
      <c r="AR187" s="89" t="s">
        <v>619</v>
      </c>
      <c r="AT187" s="89" t="s">
        <v>618</v>
      </c>
      <c r="AU187" s="89" t="s">
        <v>620</v>
      </c>
      <c r="AY187" s="89" t="s">
        <v>617</v>
      </c>
      <c r="BE187" s="192">
        <f t="shared" si="29"/>
        <v>0</v>
      </c>
      <c r="BF187" s="192">
        <f t="shared" si="30"/>
        <v>0</v>
      </c>
      <c r="BG187" s="192">
        <f t="shared" si="31"/>
        <v>0</v>
      </c>
      <c r="BH187" s="192">
        <f t="shared" si="32"/>
        <v>0</v>
      </c>
      <c r="BI187" s="192">
        <f t="shared" si="33"/>
        <v>0</v>
      </c>
      <c r="BJ187" s="89" t="s">
        <v>595</v>
      </c>
      <c r="BK187" s="192">
        <f t="shared" si="34"/>
        <v>0</v>
      </c>
      <c r="BL187" s="89" t="s">
        <v>619</v>
      </c>
      <c r="BM187" s="89" t="s">
        <v>1200</v>
      </c>
    </row>
    <row r="188" spans="2:65" s="98" customFormat="1" ht="31.5" customHeight="1">
      <c r="B188" s="99"/>
      <c r="C188" s="184">
        <v>7</v>
      </c>
      <c r="D188" s="184" t="s">
        <v>618</v>
      </c>
      <c r="E188" s="185"/>
      <c r="F188" s="773" t="s">
        <v>1348</v>
      </c>
      <c r="G188" s="773"/>
      <c r="H188" s="773"/>
      <c r="I188" s="773"/>
      <c r="J188" s="186" t="s">
        <v>65</v>
      </c>
      <c r="K188" s="187">
        <v>26</v>
      </c>
      <c r="L188" s="774"/>
      <c r="M188" s="775"/>
      <c r="N188" s="772">
        <f t="shared" si="25"/>
        <v>0</v>
      </c>
      <c r="O188" s="772"/>
      <c r="P188" s="772"/>
      <c r="Q188" s="772"/>
      <c r="R188" s="102"/>
      <c r="T188" s="188" t="s">
        <v>552</v>
      </c>
      <c r="U188" s="189" t="s">
        <v>571</v>
      </c>
      <c r="V188" s="100"/>
      <c r="W188" s="190">
        <f t="shared" si="26"/>
        <v>0</v>
      </c>
      <c r="X188" s="190">
        <v>0</v>
      </c>
      <c r="Y188" s="190">
        <f t="shared" si="27"/>
        <v>0</v>
      </c>
      <c r="Z188" s="190">
        <v>0</v>
      </c>
      <c r="AA188" s="191">
        <f t="shared" si="28"/>
        <v>0</v>
      </c>
      <c r="AR188" s="89" t="s">
        <v>619</v>
      </c>
      <c r="AT188" s="89" t="s">
        <v>618</v>
      </c>
      <c r="AU188" s="89" t="s">
        <v>620</v>
      </c>
      <c r="AY188" s="89" t="s">
        <v>617</v>
      </c>
      <c r="BE188" s="192">
        <f t="shared" si="29"/>
        <v>0</v>
      </c>
      <c r="BF188" s="192">
        <f t="shared" si="30"/>
        <v>0</v>
      </c>
      <c r="BG188" s="192">
        <f t="shared" si="31"/>
        <v>0</v>
      </c>
      <c r="BH188" s="192">
        <f t="shared" si="32"/>
        <v>0</v>
      </c>
      <c r="BI188" s="192">
        <f t="shared" si="33"/>
        <v>0</v>
      </c>
      <c r="BJ188" s="89" t="s">
        <v>595</v>
      </c>
      <c r="BK188" s="192">
        <f t="shared" si="34"/>
        <v>0</v>
      </c>
      <c r="BL188" s="89" t="s">
        <v>619</v>
      </c>
      <c r="BM188" s="89" t="s">
        <v>1201</v>
      </c>
    </row>
    <row r="189" spans="2:65" s="98" customFormat="1" ht="22.5" customHeight="1">
      <c r="B189" s="99"/>
      <c r="C189" s="184">
        <v>8</v>
      </c>
      <c r="D189" s="184" t="s">
        <v>618</v>
      </c>
      <c r="E189" s="185"/>
      <c r="F189" s="773" t="s">
        <v>1346</v>
      </c>
      <c r="G189" s="773"/>
      <c r="H189" s="773"/>
      <c r="I189" s="773"/>
      <c r="J189" s="186" t="s">
        <v>65</v>
      </c>
      <c r="K189" s="187">
        <v>52</v>
      </c>
      <c r="L189" s="774"/>
      <c r="M189" s="775"/>
      <c r="N189" s="772">
        <f t="shared" si="25"/>
        <v>0</v>
      </c>
      <c r="O189" s="772"/>
      <c r="P189" s="772"/>
      <c r="Q189" s="772"/>
      <c r="R189" s="102"/>
      <c r="T189" s="188" t="s">
        <v>552</v>
      </c>
      <c r="U189" s="189" t="s">
        <v>571</v>
      </c>
      <c r="V189" s="100"/>
      <c r="W189" s="190">
        <f t="shared" si="26"/>
        <v>0</v>
      </c>
      <c r="X189" s="190">
        <v>0</v>
      </c>
      <c r="Y189" s="190">
        <f t="shared" si="27"/>
        <v>0</v>
      </c>
      <c r="Z189" s="190">
        <v>0</v>
      </c>
      <c r="AA189" s="191">
        <f t="shared" si="28"/>
        <v>0</v>
      </c>
      <c r="AR189" s="89" t="s">
        <v>619</v>
      </c>
      <c r="AT189" s="89" t="s">
        <v>618</v>
      </c>
      <c r="AU189" s="89" t="s">
        <v>620</v>
      </c>
      <c r="AY189" s="89" t="s">
        <v>617</v>
      </c>
      <c r="BE189" s="192">
        <f t="shared" si="29"/>
        <v>0</v>
      </c>
      <c r="BF189" s="192">
        <f t="shared" si="30"/>
        <v>0</v>
      </c>
      <c r="BG189" s="192">
        <f t="shared" si="31"/>
        <v>0</v>
      </c>
      <c r="BH189" s="192">
        <f t="shared" si="32"/>
        <v>0</v>
      </c>
      <c r="BI189" s="192">
        <f t="shared" si="33"/>
        <v>0</v>
      </c>
      <c r="BJ189" s="89" t="s">
        <v>595</v>
      </c>
      <c r="BK189" s="192">
        <f t="shared" si="34"/>
        <v>0</v>
      </c>
      <c r="BL189" s="89" t="s">
        <v>619</v>
      </c>
      <c r="BM189" s="89" t="s">
        <v>1197</v>
      </c>
    </row>
    <row r="190" spans="2:65" s="98" customFormat="1" ht="22.5" customHeight="1">
      <c r="B190" s="99"/>
      <c r="C190" s="184">
        <v>10</v>
      </c>
      <c r="D190" s="184" t="s">
        <v>618</v>
      </c>
      <c r="E190" s="185"/>
      <c r="F190" s="773" t="s">
        <v>1349</v>
      </c>
      <c r="G190" s="773"/>
      <c r="H190" s="773"/>
      <c r="I190" s="773"/>
      <c r="J190" s="186" t="s">
        <v>65</v>
      </c>
      <c r="K190" s="187">
        <v>33</v>
      </c>
      <c r="L190" s="774"/>
      <c r="M190" s="775"/>
      <c r="N190" s="772">
        <f t="shared" si="25"/>
        <v>0</v>
      </c>
      <c r="O190" s="772"/>
      <c r="P190" s="772"/>
      <c r="Q190" s="772"/>
      <c r="R190" s="102"/>
      <c r="T190" s="188" t="s">
        <v>552</v>
      </c>
      <c r="U190" s="189" t="s">
        <v>571</v>
      </c>
      <c r="V190" s="100"/>
      <c r="W190" s="190">
        <f t="shared" si="26"/>
        <v>0</v>
      </c>
      <c r="X190" s="190">
        <v>0</v>
      </c>
      <c r="Y190" s="190">
        <f t="shared" si="27"/>
        <v>0</v>
      </c>
      <c r="Z190" s="190">
        <v>0</v>
      </c>
      <c r="AA190" s="191">
        <f t="shared" si="28"/>
        <v>0</v>
      </c>
      <c r="AR190" s="89" t="s">
        <v>619</v>
      </c>
      <c r="AT190" s="89" t="s">
        <v>618</v>
      </c>
      <c r="AU190" s="89" t="s">
        <v>620</v>
      </c>
      <c r="AY190" s="89" t="s">
        <v>617</v>
      </c>
      <c r="BE190" s="192">
        <f t="shared" si="29"/>
        <v>0</v>
      </c>
      <c r="BF190" s="192">
        <f t="shared" si="30"/>
        <v>0</v>
      </c>
      <c r="BG190" s="192">
        <f t="shared" si="31"/>
        <v>0</v>
      </c>
      <c r="BH190" s="192">
        <f t="shared" si="32"/>
        <v>0</v>
      </c>
      <c r="BI190" s="192">
        <f t="shared" si="33"/>
        <v>0</v>
      </c>
      <c r="BJ190" s="89" t="s">
        <v>595</v>
      </c>
      <c r="BK190" s="192">
        <f t="shared" si="34"/>
        <v>0</v>
      </c>
      <c r="BL190" s="89" t="s">
        <v>619</v>
      </c>
      <c r="BM190" s="89" t="s">
        <v>1202</v>
      </c>
    </row>
    <row r="191" spans="2:65" s="98" customFormat="1" ht="22.5" customHeight="1">
      <c r="B191" s="99"/>
      <c r="C191" s="184">
        <v>11</v>
      </c>
      <c r="D191" s="184" t="s">
        <v>618</v>
      </c>
      <c r="E191" s="185"/>
      <c r="F191" s="773" t="s">
        <v>1350</v>
      </c>
      <c r="G191" s="773"/>
      <c r="H191" s="773"/>
      <c r="I191" s="773"/>
      <c r="J191" s="186" t="s">
        <v>65</v>
      </c>
      <c r="K191" s="187">
        <v>33</v>
      </c>
      <c r="L191" s="774"/>
      <c r="M191" s="775"/>
      <c r="N191" s="772">
        <f t="shared" si="25"/>
        <v>0</v>
      </c>
      <c r="O191" s="772"/>
      <c r="P191" s="772"/>
      <c r="Q191" s="772"/>
      <c r="R191" s="102"/>
      <c r="T191" s="188" t="s">
        <v>552</v>
      </c>
      <c r="U191" s="189" t="s">
        <v>571</v>
      </c>
      <c r="V191" s="100"/>
      <c r="W191" s="190">
        <f t="shared" si="26"/>
        <v>0</v>
      </c>
      <c r="X191" s="190">
        <v>0</v>
      </c>
      <c r="Y191" s="190">
        <f t="shared" si="27"/>
        <v>0</v>
      </c>
      <c r="Z191" s="190">
        <v>0</v>
      </c>
      <c r="AA191" s="191">
        <f t="shared" si="28"/>
        <v>0</v>
      </c>
      <c r="AR191" s="89" t="s">
        <v>619</v>
      </c>
      <c r="AT191" s="89" t="s">
        <v>618</v>
      </c>
      <c r="AU191" s="89" t="s">
        <v>620</v>
      </c>
      <c r="AY191" s="89" t="s">
        <v>617</v>
      </c>
      <c r="BE191" s="192">
        <f t="shared" si="29"/>
        <v>0</v>
      </c>
      <c r="BF191" s="192">
        <f t="shared" si="30"/>
        <v>0</v>
      </c>
      <c r="BG191" s="192">
        <f t="shared" si="31"/>
        <v>0</v>
      </c>
      <c r="BH191" s="192">
        <f t="shared" si="32"/>
        <v>0</v>
      </c>
      <c r="BI191" s="192">
        <f t="shared" si="33"/>
        <v>0</v>
      </c>
      <c r="BJ191" s="89" t="s">
        <v>595</v>
      </c>
      <c r="BK191" s="192">
        <f t="shared" si="34"/>
        <v>0</v>
      </c>
      <c r="BL191" s="89" t="s">
        <v>619</v>
      </c>
      <c r="BM191" s="89" t="s">
        <v>1203</v>
      </c>
    </row>
    <row r="192" spans="2:65" s="98" customFormat="1" ht="22.5" customHeight="1">
      <c r="B192" s="99"/>
      <c r="C192" s="184">
        <v>12</v>
      </c>
      <c r="D192" s="184" t="s">
        <v>618</v>
      </c>
      <c r="E192" s="185"/>
      <c r="F192" s="773" t="s">
        <v>1351</v>
      </c>
      <c r="G192" s="773"/>
      <c r="H192" s="773"/>
      <c r="I192" s="773"/>
      <c r="J192" s="186" t="s">
        <v>45</v>
      </c>
      <c r="K192" s="187">
        <v>26</v>
      </c>
      <c r="L192" s="774"/>
      <c r="M192" s="775"/>
      <c r="N192" s="772">
        <f t="shared" si="25"/>
        <v>0</v>
      </c>
      <c r="O192" s="772"/>
      <c r="P192" s="772"/>
      <c r="Q192" s="772"/>
      <c r="R192" s="102"/>
      <c r="T192" s="188" t="s">
        <v>552</v>
      </c>
      <c r="U192" s="189" t="s">
        <v>571</v>
      </c>
      <c r="V192" s="100"/>
      <c r="W192" s="190">
        <f t="shared" si="26"/>
        <v>0</v>
      </c>
      <c r="X192" s="190">
        <v>0</v>
      </c>
      <c r="Y192" s="190">
        <f t="shared" si="27"/>
        <v>0</v>
      </c>
      <c r="Z192" s="190">
        <v>0</v>
      </c>
      <c r="AA192" s="191">
        <f t="shared" si="28"/>
        <v>0</v>
      </c>
      <c r="AR192" s="89" t="s">
        <v>619</v>
      </c>
      <c r="AT192" s="89" t="s">
        <v>618</v>
      </c>
      <c r="AU192" s="89" t="s">
        <v>620</v>
      </c>
      <c r="AY192" s="89" t="s">
        <v>617</v>
      </c>
      <c r="BE192" s="192">
        <f t="shared" si="29"/>
        <v>0</v>
      </c>
      <c r="BF192" s="192">
        <f t="shared" si="30"/>
        <v>0</v>
      </c>
      <c r="BG192" s="192">
        <f t="shared" si="31"/>
        <v>0</v>
      </c>
      <c r="BH192" s="192">
        <f t="shared" si="32"/>
        <v>0</v>
      </c>
      <c r="BI192" s="192">
        <f t="shared" si="33"/>
        <v>0</v>
      </c>
      <c r="BJ192" s="89" t="s">
        <v>595</v>
      </c>
      <c r="BK192" s="192">
        <f t="shared" si="34"/>
        <v>0</v>
      </c>
      <c r="BL192" s="89" t="s">
        <v>619</v>
      </c>
      <c r="BM192" s="89" t="s">
        <v>1204</v>
      </c>
    </row>
    <row r="193" spans="2:65" s="98" customFormat="1" ht="22.5" customHeight="1">
      <c r="B193" s="99"/>
      <c r="C193" s="184">
        <v>13</v>
      </c>
      <c r="D193" s="184" t="s">
        <v>618</v>
      </c>
      <c r="E193" s="185"/>
      <c r="F193" s="773" t="s">
        <v>1352</v>
      </c>
      <c r="G193" s="773"/>
      <c r="H193" s="773"/>
      <c r="I193" s="773"/>
      <c r="J193" s="186" t="s">
        <v>65</v>
      </c>
      <c r="K193" s="187">
        <v>26</v>
      </c>
      <c r="L193" s="774"/>
      <c r="M193" s="775"/>
      <c r="N193" s="772">
        <f t="shared" si="25"/>
        <v>0</v>
      </c>
      <c r="O193" s="772"/>
      <c r="P193" s="772"/>
      <c r="Q193" s="772"/>
      <c r="R193" s="102"/>
      <c r="T193" s="188" t="s">
        <v>552</v>
      </c>
      <c r="U193" s="189" t="s">
        <v>571</v>
      </c>
      <c r="V193" s="100"/>
      <c r="W193" s="190">
        <f t="shared" si="26"/>
        <v>0</v>
      </c>
      <c r="X193" s="190">
        <v>0</v>
      </c>
      <c r="Y193" s="190">
        <f t="shared" si="27"/>
        <v>0</v>
      </c>
      <c r="Z193" s="190">
        <v>0</v>
      </c>
      <c r="AA193" s="191">
        <f t="shared" si="28"/>
        <v>0</v>
      </c>
      <c r="AR193" s="89" t="s">
        <v>619</v>
      </c>
      <c r="AT193" s="89" t="s">
        <v>618</v>
      </c>
      <c r="AU193" s="89" t="s">
        <v>620</v>
      </c>
      <c r="AY193" s="89" t="s">
        <v>617</v>
      </c>
      <c r="BE193" s="192">
        <f t="shared" si="29"/>
        <v>0</v>
      </c>
      <c r="BF193" s="192">
        <f t="shared" si="30"/>
        <v>0</v>
      </c>
      <c r="BG193" s="192">
        <f t="shared" si="31"/>
        <v>0</v>
      </c>
      <c r="BH193" s="192">
        <f t="shared" si="32"/>
        <v>0</v>
      </c>
      <c r="BI193" s="192">
        <f t="shared" si="33"/>
        <v>0</v>
      </c>
      <c r="BJ193" s="89" t="s">
        <v>595</v>
      </c>
      <c r="BK193" s="192">
        <f t="shared" si="34"/>
        <v>0</v>
      </c>
      <c r="BL193" s="89" t="s">
        <v>619</v>
      </c>
      <c r="BM193" s="89" t="s">
        <v>1205</v>
      </c>
    </row>
    <row r="194" spans="2:65" s="98" customFormat="1" ht="22.5" customHeight="1">
      <c r="B194" s="99"/>
      <c r="C194" s="184">
        <v>14</v>
      </c>
      <c r="D194" s="184" t="s">
        <v>618</v>
      </c>
      <c r="E194" s="185"/>
      <c r="F194" s="773" t="s">
        <v>1353</v>
      </c>
      <c r="G194" s="773"/>
      <c r="H194" s="773"/>
      <c r="I194" s="773"/>
      <c r="J194" s="186" t="s">
        <v>65</v>
      </c>
      <c r="K194" s="187">
        <v>26</v>
      </c>
      <c r="L194" s="774"/>
      <c r="M194" s="775"/>
      <c r="N194" s="772">
        <f t="shared" si="25"/>
        <v>0</v>
      </c>
      <c r="O194" s="772"/>
      <c r="P194" s="772"/>
      <c r="Q194" s="772"/>
      <c r="R194" s="102"/>
      <c r="T194" s="188" t="s">
        <v>552</v>
      </c>
      <c r="U194" s="189" t="s">
        <v>571</v>
      </c>
      <c r="V194" s="100"/>
      <c r="W194" s="190">
        <f t="shared" si="26"/>
        <v>0</v>
      </c>
      <c r="X194" s="190">
        <v>0</v>
      </c>
      <c r="Y194" s="190">
        <f t="shared" si="27"/>
        <v>0</v>
      </c>
      <c r="Z194" s="190">
        <v>0</v>
      </c>
      <c r="AA194" s="191">
        <f t="shared" si="28"/>
        <v>0</v>
      </c>
      <c r="AR194" s="89" t="s">
        <v>619</v>
      </c>
      <c r="AT194" s="89" t="s">
        <v>618</v>
      </c>
      <c r="AU194" s="89" t="s">
        <v>620</v>
      </c>
      <c r="AY194" s="89" t="s">
        <v>617</v>
      </c>
      <c r="BE194" s="192">
        <f t="shared" si="29"/>
        <v>0</v>
      </c>
      <c r="BF194" s="192">
        <f t="shared" si="30"/>
        <v>0</v>
      </c>
      <c r="BG194" s="192">
        <f t="shared" si="31"/>
        <v>0</v>
      </c>
      <c r="BH194" s="192">
        <f t="shared" si="32"/>
        <v>0</v>
      </c>
      <c r="BI194" s="192">
        <f t="shared" si="33"/>
        <v>0</v>
      </c>
      <c r="BJ194" s="89" t="s">
        <v>595</v>
      </c>
      <c r="BK194" s="192">
        <f t="shared" si="34"/>
        <v>0</v>
      </c>
      <c r="BL194" s="89" t="s">
        <v>619</v>
      </c>
      <c r="BM194" s="89" t="s">
        <v>1206</v>
      </c>
    </row>
    <row r="195" spans="2:65" s="98" customFormat="1" ht="22.5" customHeight="1">
      <c r="B195" s="99"/>
      <c r="C195" s="184">
        <v>15</v>
      </c>
      <c r="D195" s="184" t="s">
        <v>618</v>
      </c>
      <c r="E195" s="185"/>
      <c r="F195" s="773" t="s">
        <v>1354</v>
      </c>
      <c r="G195" s="773"/>
      <c r="H195" s="773"/>
      <c r="I195" s="773"/>
      <c r="J195" s="186" t="s">
        <v>65</v>
      </c>
      <c r="K195" s="187">
        <v>26</v>
      </c>
      <c r="L195" s="774"/>
      <c r="M195" s="775"/>
      <c r="N195" s="772">
        <f t="shared" si="25"/>
        <v>0</v>
      </c>
      <c r="O195" s="772"/>
      <c r="P195" s="772"/>
      <c r="Q195" s="772"/>
      <c r="R195" s="102"/>
      <c r="T195" s="188" t="s">
        <v>552</v>
      </c>
      <c r="U195" s="189" t="s">
        <v>571</v>
      </c>
      <c r="V195" s="100"/>
      <c r="W195" s="190">
        <f t="shared" si="26"/>
        <v>0</v>
      </c>
      <c r="X195" s="190">
        <v>0</v>
      </c>
      <c r="Y195" s="190">
        <f t="shared" si="27"/>
        <v>0</v>
      </c>
      <c r="Z195" s="190">
        <v>0</v>
      </c>
      <c r="AA195" s="191">
        <f t="shared" si="28"/>
        <v>0</v>
      </c>
      <c r="AR195" s="89" t="s">
        <v>619</v>
      </c>
      <c r="AT195" s="89" t="s">
        <v>618</v>
      </c>
      <c r="AU195" s="89" t="s">
        <v>620</v>
      </c>
      <c r="AY195" s="89" t="s">
        <v>617</v>
      </c>
      <c r="BE195" s="192">
        <f t="shared" si="29"/>
        <v>0</v>
      </c>
      <c r="BF195" s="192">
        <f t="shared" si="30"/>
        <v>0</v>
      </c>
      <c r="BG195" s="192">
        <f t="shared" si="31"/>
        <v>0</v>
      </c>
      <c r="BH195" s="192">
        <f t="shared" si="32"/>
        <v>0</v>
      </c>
      <c r="BI195" s="192">
        <f t="shared" si="33"/>
        <v>0</v>
      </c>
      <c r="BJ195" s="89" t="s">
        <v>595</v>
      </c>
      <c r="BK195" s="192">
        <f t="shared" si="34"/>
        <v>0</v>
      </c>
      <c r="BL195" s="89" t="s">
        <v>619</v>
      </c>
      <c r="BM195" s="89" t="s">
        <v>1207</v>
      </c>
    </row>
    <row r="196" spans="2:65" s="98" customFormat="1" ht="31.5" customHeight="1">
      <c r="B196" s="99"/>
      <c r="C196" s="184">
        <v>16</v>
      </c>
      <c r="D196" s="184" t="s">
        <v>618</v>
      </c>
      <c r="E196" s="185"/>
      <c r="F196" s="773" t="s">
        <v>1355</v>
      </c>
      <c r="G196" s="773"/>
      <c r="H196" s="773"/>
      <c r="I196" s="773"/>
      <c r="J196" s="186" t="s">
        <v>65</v>
      </c>
      <c r="K196" s="187">
        <v>26</v>
      </c>
      <c r="L196" s="774"/>
      <c r="M196" s="775"/>
      <c r="N196" s="772">
        <f t="shared" si="25"/>
        <v>0</v>
      </c>
      <c r="O196" s="772"/>
      <c r="P196" s="772"/>
      <c r="Q196" s="772"/>
      <c r="R196" s="102"/>
      <c r="T196" s="188" t="s">
        <v>552</v>
      </c>
      <c r="U196" s="189" t="s">
        <v>571</v>
      </c>
      <c r="V196" s="100"/>
      <c r="W196" s="190">
        <f t="shared" si="26"/>
        <v>0</v>
      </c>
      <c r="X196" s="190">
        <v>0</v>
      </c>
      <c r="Y196" s="190">
        <f t="shared" si="27"/>
        <v>0</v>
      </c>
      <c r="Z196" s="190">
        <v>0</v>
      </c>
      <c r="AA196" s="191">
        <f t="shared" si="28"/>
        <v>0</v>
      </c>
      <c r="AR196" s="89" t="s">
        <v>619</v>
      </c>
      <c r="AT196" s="89" t="s">
        <v>618</v>
      </c>
      <c r="AU196" s="89" t="s">
        <v>620</v>
      </c>
      <c r="AY196" s="89" t="s">
        <v>617</v>
      </c>
      <c r="BE196" s="192">
        <f t="shared" si="29"/>
        <v>0</v>
      </c>
      <c r="BF196" s="192">
        <f t="shared" si="30"/>
        <v>0</v>
      </c>
      <c r="BG196" s="192">
        <f t="shared" si="31"/>
        <v>0</v>
      </c>
      <c r="BH196" s="192">
        <f t="shared" si="32"/>
        <v>0</v>
      </c>
      <c r="BI196" s="192">
        <f t="shared" si="33"/>
        <v>0</v>
      </c>
      <c r="BJ196" s="89" t="s">
        <v>595</v>
      </c>
      <c r="BK196" s="192">
        <f t="shared" si="34"/>
        <v>0</v>
      </c>
      <c r="BL196" s="89" t="s">
        <v>619</v>
      </c>
      <c r="BM196" s="89" t="s">
        <v>1208</v>
      </c>
    </row>
    <row r="197" spans="2:65" s="98" customFormat="1" ht="31.5" customHeight="1">
      <c r="B197" s="99"/>
      <c r="C197" s="184">
        <v>17</v>
      </c>
      <c r="D197" s="184" t="s">
        <v>618</v>
      </c>
      <c r="E197" s="185"/>
      <c r="F197" s="773" t="s">
        <v>1209</v>
      </c>
      <c r="G197" s="773"/>
      <c r="H197" s="773"/>
      <c r="I197" s="773"/>
      <c r="J197" s="186" t="s">
        <v>65</v>
      </c>
      <c r="K197" s="187">
        <v>26</v>
      </c>
      <c r="L197" s="774"/>
      <c r="M197" s="775"/>
      <c r="N197" s="772">
        <f t="shared" si="25"/>
        <v>0</v>
      </c>
      <c r="O197" s="772"/>
      <c r="P197" s="772"/>
      <c r="Q197" s="772"/>
      <c r="R197" s="102"/>
      <c r="T197" s="188" t="s">
        <v>552</v>
      </c>
      <c r="U197" s="189" t="s">
        <v>571</v>
      </c>
      <c r="V197" s="100"/>
      <c r="W197" s="190">
        <f t="shared" si="26"/>
        <v>0</v>
      </c>
      <c r="X197" s="190">
        <v>0</v>
      </c>
      <c r="Y197" s="190">
        <f t="shared" si="27"/>
        <v>0</v>
      </c>
      <c r="Z197" s="190">
        <v>0</v>
      </c>
      <c r="AA197" s="191">
        <f t="shared" si="28"/>
        <v>0</v>
      </c>
      <c r="AR197" s="89" t="s">
        <v>619</v>
      </c>
      <c r="AT197" s="89" t="s">
        <v>618</v>
      </c>
      <c r="AU197" s="89" t="s">
        <v>620</v>
      </c>
      <c r="AY197" s="89" t="s">
        <v>617</v>
      </c>
      <c r="BE197" s="192">
        <f t="shared" si="29"/>
        <v>0</v>
      </c>
      <c r="BF197" s="192">
        <f t="shared" si="30"/>
        <v>0</v>
      </c>
      <c r="BG197" s="192">
        <f t="shared" si="31"/>
        <v>0</v>
      </c>
      <c r="BH197" s="192">
        <f t="shared" si="32"/>
        <v>0</v>
      </c>
      <c r="BI197" s="192">
        <f t="shared" si="33"/>
        <v>0</v>
      </c>
      <c r="BJ197" s="89" t="s">
        <v>595</v>
      </c>
      <c r="BK197" s="192">
        <f t="shared" si="34"/>
        <v>0</v>
      </c>
      <c r="BL197" s="89" t="s">
        <v>619</v>
      </c>
      <c r="BM197" s="89" t="s">
        <v>1210</v>
      </c>
    </row>
    <row r="198" spans="2:65" s="98" customFormat="1" ht="31.5" customHeight="1">
      <c r="B198" s="99"/>
      <c r="C198" s="184">
        <v>18</v>
      </c>
      <c r="D198" s="184" t="s">
        <v>618</v>
      </c>
      <c r="E198" s="185"/>
      <c r="F198" s="773" t="s">
        <v>1356</v>
      </c>
      <c r="G198" s="773"/>
      <c r="H198" s="773"/>
      <c r="I198" s="773"/>
      <c r="J198" s="186" t="s">
        <v>65</v>
      </c>
      <c r="K198" s="187">
        <v>2</v>
      </c>
      <c r="L198" s="774"/>
      <c r="M198" s="775"/>
      <c r="N198" s="772">
        <f t="shared" si="25"/>
        <v>0</v>
      </c>
      <c r="O198" s="772"/>
      <c r="P198" s="772"/>
      <c r="Q198" s="772"/>
      <c r="R198" s="102"/>
      <c r="T198" s="188" t="s">
        <v>552</v>
      </c>
      <c r="U198" s="189" t="s">
        <v>571</v>
      </c>
      <c r="V198" s="100"/>
      <c r="W198" s="190">
        <f t="shared" si="26"/>
        <v>0</v>
      </c>
      <c r="X198" s="190">
        <v>0</v>
      </c>
      <c r="Y198" s="190">
        <f t="shared" si="27"/>
        <v>0</v>
      </c>
      <c r="Z198" s="190">
        <v>0</v>
      </c>
      <c r="AA198" s="191">
        <f t="shared" si="28"/>
        <v>0</v>
      </c>
      <c r="AR198" s="89" t="s">
        <v>619</v>
      </c>
      <c r="AT198" s="89" t="s">
        <v>618</v>
      </c>
      <c r="AU198" s="89" t="s">
        <v>620</v>
      </c>
      <c r="AY198" s="89" t="s">
        <v>617</v>
      </c>
      <c r="BE198" s="192">
        <f t="shared" si="29"/>
        <v>0</v>
      </c>
      <c r="BF198" s="192">
        <f t="shared" si="30"/>
        <v>0</v>
      </c>
      <c r="BG198" s="192">
        <f t="shared" si="31"/>
        <v>0</v>
      </c>
      <c r="BH198" s="192">
        <f t="shared" si="32"/>
        <v>0</v>
      </c>
      <c r="BI198" s="192">
        <f t="shared" si="33"/>
        <v>0</v>
      </c>
      <c r="BJ198" s="89" t="s">
        <v>595</v>
      </c>
      <c r="BK198" s="192">
        <f t="shared" si="34"/>
        <v>0</v>
      </c>
      <c r="BL198" s="89" t="s">
        <v>619</v>
      </c>
      <c r="BM198" s="89" t="s">
        <v>1211</v>
      </c>
    </row>
    <row r="199" spans="2:65" s="98" customFormat="1" ht="22.5" customHeight="1">
      <c r="B199" s="99"/>
      <c r="C199" s="184">
        <v>19</v>
      </c>
      <c r="D199" s="184" t="s">
        <v>618</v>
      </c>
      <c r="E199" s="185"/>
      <c r="F199" s="773" t="s">
        <v>1357</v>
      </c>
      <c r="G199" s="773"/>
      <c r="H199" s="773"/>
      <c r="I199" s="773"/>
      <c r="J199" s="186" t="s">
        <v>65</v>
      </c>
      <c r="K199" s="187">
        <v>2</v>
      </c>
      <c r="L199" s="774"/>
      <c r="M199" s="775"/>
      <c r="N199" s="772">
        <f t="shared" si="25"/>
        <v>0</v>
      </c>
      <c r="O199" s="772"/>
      <c r="P199" s="772"/>
      <c r="Q199" s="772"/>
      <c r="R199" s="102"/>
      <c r="T199" s="188" t="s">
        <v>552</v>
      </c>
      <c r="U199" s="189" t="s">
        <v>571</v>
      </c>
      <c r="V199" s="100"/>
      <c r="W199" s="190">
        <f t="shared" si="26"/>
        <v>0</v>
      </c>
      <c r="X199" s="190">
        <v>0</v>
      </c>
      <c r="Y199" s="190">
        <f t="shared" si="27"/>
        <v>0</v>
      </c>
      <c r="Z199" s="190">
        <v>0</v>
      </c>
      <c r="AA199" s="191">
        <f t="shared" si="28"/>
        <v>0</v>
      </c>
      <c r="AR199" s="89" t="s">
        <v>619</v>
      </c>
      <c r="AT199" s="89" t="s">
        <v>618</v>
      </c>
      <c r="AU199" s="89" t="s">
        <v>620</v>
      </c>
      <c r="AY199" s="89" t="s">
        <v>617</v>
      </c>
      <c r="BE199" s="192">
        <f t="shared" si="29"/>
        <v>0</v>
      </c>
      <c r="BF199" s="192">
        <f t="shared" si="30"/>
        <v>0</v>
      </c>
      <c r="BG199" s="192">
        <f t="shared" si="31"/>
        <v>0</v>
      </c>
      <c r="BH199" s="192">
        <f t="shared" si="32"/>
        <v>0</v>
      </c>
      <c r="BI199" s="192">
        <f t="shared" si="33"/>
        <v>0</v>
      </c>
      <c r="BJ199" s="89" t="s">
        <v>595</v>
      </c>
      <c r="BK199" s="192">
        <f t="shared" si="34"/>
        <v>0</v>
      </c>
      <c r="BL199" s="89" t="s">
        <v>619</v>
      </c>
      <c r="BM199" s="89" t="s">
        <v>1206</v>
      </c>
    </row>
    <row r="200" spans="2:65" s="98" customFormat="1" ht="27" customHeight="1">
      <c r="B200" s="99"/>
      <c r="C200" s="184">
        <v>20</v>
      </c>
      <c r="D200" s="184" t="s">
        <v>618</v>
      </c>
      <c r="E200" s="185"/>
      <c r="F200" s="773" t="s">
        <v>1358</v>
      </c>
      <c r="G200" s="773"/>
      <c r="H200" s="773"/>
      <c r="I200" s="773"/>
      <c r="J200" s="186" t="s">
        <v>65</v>
      </c>
      <c r="K200" s="187">
        <v>2</v>
      </c>
      <c r="L200" s="774"/>
      <c r="M200" s="775"/>
      <c r="N200" s="772">
        <f t="shared" si="25"/>
        <v>0</v>
      </c>
      <c r="O200" s="772"/>
      <c r="P200" s="772"/>
      <c r="Q200" s="772"/>
      <c r="R200" s="102"/>
      <c r="T200" s="188" t="s">
        <v>552</v>
      </c>
      <c r="U200" s="189" t="s">
        <v>571</v>
      </c>
      <c r="V200" s="100"/>
      <c r="W200" s="190">
        <f t="shared" si="26"/>
        <v>0</v>
      </c>
      <c r="X200" s="190">
        <v>0</v>
      </c>
      <c r="Y200" s="190">
        <f t="shared" si="27"/>
        <v>0</v>
      </c>
      <c r="Z200" s="190">
        <v>0</v>
      </c>
      <c r="AA200" s="191">
        <f t="shared" si="28"/>
        <v>0</v>
      </c>
      <c r="AR200" s="89" t="s">
        <v>619</v>
      </c>
      <c r="AT200" s="89" t="s">
        <v>618</v>
      </c>
      <c r="AU200" s="89" t="s">
        <v>620</v>
      </c>
      <c r="AY200" s="89" t="s">
        <v>617</v>
      </c>
      <c r="BE200" s="192">
        <f t="shared" si="29"/>
        <v>0</v>
      </c>
      <c r="BF200" s="192">
        <f t="shared" si="30"/>
        <v>0</v>
      </c>
      <c r="BG200" s="192">
        <f t="shared" si="31"/>
        <v>0</v>
      </c>
      <c r="BH200" s="192">
        <f t="shared" si="32"/>
        <v>0</v>
      </c>
      <c r="BI200" s="192">
        <f t="shared" si="33"/>
        <v>0</v>
      </c>
      <c r="BJ200" s="89" t="s">
        <v>595</v>
      </c>
      <c r="BK200" s="192">
        <f t="shared" si="34"/>
        <v>0</v>
      </c>
      <c r="BL200" s="89" t="s">
        <v>619</v>
      </c>
      <c r="BM200" s="89" t="s">
        <v>1207</v>
      </c>
    </row>
    <row r="201" spans="2:65" s="98" customFormat="1" ht="31.5" customHeight="1">
      <c r="B201" s="99"/>
      <c r="C201" s="184">
        <v>21</v>
      </c>
      <c r="D201" s="184" t="s">
        <v>618</v>
      </c>
      <c r="E201" s="185"/>
      <c r="F201" s="773" t="s">
        <v>1359</v>
      </c>
      <c r="G201" s="773"/>
      <c r="H201" s="773"/>
      <c r="I201" s="773"/>
      <c r="J201" s="186" t="s">
        <v>65</v>
      </c>
      <c r="K201" s="187">
        <v>3</v>
      </c>
      <c r="L201" s="774"/>
      <c r="M201" s="775"/>
      <c r="N201" s="772">
        <f t="shared" si="25"/>
        <v>0</v>
      </c>
      <c r="O201" s="772"/>
      <c r="P201" s="772"/>
      <c r="Q201" s="772"/>
      <c r="R201" s="102"/>
      <c r="T201" s="188" t="s">
        <v>552</v>
      </c>
      <c r="U201" s="189" t="s">
        <v>571</v>
      </c>
      <c r="V201" s="100"/>
      <c r="W201" s="190">
        <f t="shared" si="26"/>
        <v>0</v>
      </c>
      <c r="X201" s="190">
        <v>0</v>
      </c>
      <c r="Y201" s="190">
        <f t="shared" si="27"/>
        <v>0</v>
      </c>
      <c r="Z201" s="190">
        <v>0</v>
      </c>
      <c r="AA201" s="191">
        <f t="shared" si="28"/>
        <v>0</v>
      </c>
      <c r="AR201" s="89" t="s">
        <v>619</v>
      </c>
      <c r="AT201" s="89" t="s">
        <v>618</v>
      </c>
      <c r="AU201" s="89" t="s">
        <v>620</v>
      </c>
      <c r="AY201" s="89" t="s">
        <v>617</v>
      </c>
      <c r="BE201" s="192">
        <f t="shared" si="29"/>
        <v>0</v>
      </c>
      <c r="BF201" s="192">
        <f t="shared" si="30"/>
        <v>0</v>
      </c>
      <c r="BG201" s="192">
        <f t="shared" si="31"/>
        <v>0</v>
      </c>
      <c r="BH201" s="192">
        <f t="shared" si="32"/>
        <v>0</v>
      </c>
      <c r="BI201" s="192">
        <f t="shared" si="33"/>
        <v>0</v>
      </c>
      <c r="BJ201" s="89" t="s">
        <v>595</v>
      </c>
      <c r="BK201" s="192">
        <f t="shared" si="34"/>
        <v>0</v>
      </c>
      <c r="BL201" s="89" t="s">
        <v>619</v>
      </c>
      <c r="BM201" s="89" t="s">
        <v>1211</v>
      </c>
    </row>
    <row r="202" spans="2:65" s="98" customFormat="1" ht="31.5" customHeight="1">
      <c r="B202" s="99"/>
      <c r="C202" s="184">
        <v>22</v>
      </c>
      <c r="D202" s="184" t="s">
        <v>618</v>
      </c>
      <c r="E202" s="185"/>
      <c r="F202" s="773" t="s">
        <v>1468</v>
      </c>
      <c r="G202" s="773"/>
      <c r="H202" s="773"/>
      <c r="I202" s="773"/>
      <c r="J202" s="186" t="s">
        <v>45</v>
      </c>
      <c r="K202" s="187">
        <v>1</v>
      </c>
      <c r="L202" s="774"/>
      <c r="M202" s="775"/>
      <c r="N202" s="772">
        <f>ROUND(L202*K202,0)</f>
        <v>0</v>
      </c>
      <c r="O202" s="772"/>
      <c r="P202" s="772"/>
      <c r="Q202" s="772"/>
      <c r="R202" s="102"/>
      <c r="T202" s="188" t="s">
        <v>552</v>
      </c>
      <c r="U202" s="189" t="s">
        <v>571</v>
      </c>
      <c r="V202" s="100"/>
      <c r="W202" s="190">
        <f>V202*K202</f>
        <v>0</v>
      </c>
      <c r="X202" s="190">
        <v>0</v>
      </c>
      <c r="Y202" s="190">
        <f>X202*K202</f>
        <v>0</v>
      </c>
      <c r="Z202" s="190">
        <v>0</v>
      </c>
      <c r="AA202" s="191">
        <f>Z202*K202</f>
        <v>0</v>
      </c>
      <c r="AR202" s="89" t="s">
        <v>619</v>
      </c>
      <c r="AT202" s="89" t="s">
        <v>618</v>
      </c>
      <c r="AU202" s="89" t="s">
        <v>620</v>
      </c>
      <c r="AY202" s="89" t="s">
        <v>617</v>
      </c>
      <c r="BE202" s="192">
        <f>IF(U202="základní",N202,0)</f>
        <v>0</v>
      </c>
      <c r="BF202" s="192">
        <f>IF(U202="snížená",N202,0)</f>
        <v>0</v>
      </c>
      <c r="BG202" s="192">
        <f>IF(U202="zákl. přenesená",N202,0)</f>
        <v>0</v>
      </c>
      <c r="BH202" s="192">
        <f>IF(U202="sníž. přenesená",N202,0)</f>
        <v>0</v>
      </c>
      <c r="BI202" s="192">
        <f>IF(U202="nulová",N202,0)</f>
        <v>0</v>
      </c>
      <c r="BJ202" s="89" t="s">
        <v>595</v>
      </c>
      <c r="BK202" s="192">
        <f>ROUND(L202*K202,0)</f>
        <v>0</v>
      </c>
      <c r="BL202" s="89" t="s">
        <v>619</v>
      </c>
      <c r="BM202" s="89" t="s">
        <v>1211</v>
      </c>
    </row>
    <row r="203" spans="2:65" s="98" customFormat="1" ht="31.5" customHeight="1">
      <c r="B203" s="99"/>
      <c r="C203" s="184">
        <v>23</v>
      </c>
      <c r="D203" s="184" t="s">
        <v>618</v>
      </c>
      <c r="E203" s="185"/>
      <c r="F203" s="773" t="s">
        <v>1360</v>
      </c>
      <c r="G203" s="773"/>
      <c r="H203" s="773"/>
      <c r="I203" s="773"/>
      <c r="J203" s="186" t="s">
        <v>65</v>
      </c>
      <c r="K203" s="187">
        <v>3</v>
      </c>
      <c r="L203" s="774"/>
      <c r="M203" s="775"/>
      <c r="N203" s="772">
        <f t="shared" si="25"/>
        <v>0</v>
      </c>
      <c r="O203" s="772"/>
      <c r="P203" s="772"/>
      <c r="Q203" s="772"/>
      <c r="R203" s="102"/>
      <c r="T203" s="188" t="s">
        <v>552</v>
      </c>
      <c r="U203" s="189" t="s">
        <v>571</v>
      </c>
      <c r="V203" s="100"/>
      <c r="W203" s="190">
        <f t="shared" si="26"/>
        <v>0</v>
      </c>
      <c r="X203" s="190">
        <v>0</v>
      </c>
      <c r="Y203" s="190">
        <f t="shared" si="27"/>
        <v>0</v>
      </c>
      <c r="Z203" s="190">
        <v>0</v>
      </c>
      <c r="AA203" s="191">
        <f t="shared" si="28"/>
        <v>0</v>
      </c>
      <c r="AR203" s="89" t="s">
        <v>619</v>
      </c>
      <c r="AT203" s="89" t="s">
        <v>618</v>
      </c>
      <c r="AU203" s="89" t="s">
        <v>620</v>
      </c>
      <c r="AY203" s="89" t="s">
        <v>617</v>
      </c>
      <c r="BE203" s="192">
        <f t="shared" si="29"/>
        <v>0</v>
      </c>
      <c r="BF203" s="192">
        <f t="shared" si="30"/>
        <v>0</v>
      </c>
      <c r="BG203" s="192">
        <f t="shared" si="31"/>
        <v>0</v>
      </c>
      <c r="BH203" s="192">
        <f t="shared" si="32"/>
        <v>0</v>
      </c>
      <c r="BI203" s="192">
        <f t="shared" si="33"/>
        <v>0</v>
      </c>
      <c r="BJ203" s="89" t="s">
        <v>595</v>
      </c>
      <c r="BK203" s="192">
        <f t="shared" si="34"/>
        <v>0</v>
      </c>
      <c r="BL203" s="89" t="s">
        <v>619</v>
      </c>
      <c r="BM203" s="89" t="s">
        <v>1211</v>
      </c>
    </row>
    <row r="204" spans="2:63" s="172" customFormat="1" ht="36.75" customHeight="1">
      <c r="B204" s="173"/>
      <c r="C204" s="174"/>
      <c r="D204" s="175" t="s">
        <v>1122</v>
      </c>
      <c r="E204" s="175"/>
      <c r="F204" s="175"/>
      <c r="G204" s="175"/>
      <c r="H204" s="175"/>
      <c r="I204" s="175"/>
      <c r="J204" s="175"/>
      <c r="K204" s="175"/>
      <c r="L204" s="175"/>
      <c r="M204" s="175"/>
      <c r="N204" s="776">
        <f>SUM(N205)</f>
        <v>0</v>
      </c>
      <c r="O204" s="777"/>
      <c r="P204" s="777"/>
      <c r="Q204" s="777"/>
      <c r="R204" s="176"/>
      <c r="T204" s="177"/>
      <c r="U204" s="174"/>
      <c r="V204" s="174"/>
      <c r="W204" s="178" t="e">
        <f>W206+#REF!</f>
        <v>#REF!</v>
      </c>
      <c r="X204" s="174"/>
      <c r="Y204" s="178" t="e">
        <f>Y206+#REF!</f>
        <v>#REF!</v>
      </c>
      <c r="Z204" s="174"/>
      <c r="AA204" s="179" t="e">
        <f>AA206+#REF!</f>
        <v>#REF!</v>
      </c>
      <c r="AD204" s="98"/>
      <c r="AR204" s="180" t="s">
        <v>544</v>
      </c>
      <c r="AT204" s="181" t="s">
        <v>615</v>
      </c>
      <c r="AU204" s="181" t="s">
        <v>616</v>
      </c>
      <c r="AY204" s="180" t="s">
        <v>617</v>
      </c>
      <c r="BK204" s="182" t="e">
        <f>BK206+#REF!</f>
        <v>#REF!</v>
      </c>
    </row>
    <row r="205" spans="2:63" s="172" customFormat="1" ht="19.5" customHeight="1">
      <c r="B205" s="173"/>
      <c r="C205" s="174"/>
      <c r="D205" s="183" t="s">
        <v>1123</v>
      </c>
      <c r="E205" s="183"/>
      <c r="F205" s="183"/>
      <c r="G205" s="183"/>
      <c r="H205" s="183"/>
      <c r="I205" s="183"/>
      <c r="J205" s="183"/>
      <c r="K205" s="183"/>
      <c r="L205" s="183"/>
      <c r="M205" s="183"/>
      <c r="N205" s="778">
        <f>SUM(N206:Q213)</f>
        <v>0</v>
      </c>
      <c r="O205" s="779"/>
      <c r="P205" s="779"/>
      <c r="Q205" s="779"/>
      <c r="R205" s="176"/>
      <c r="T205" s="177"/>
      <c r="U205" s="174"/>
      <c r="V205" s="174"/>
      <c r="W205" s="178">
        <f>SUM(W206:W224)</f>
        <v>0</v>
      </c>
      <c r="X205" s="174"/>
      <c r="Y205" s="178">
        <f>SUM(Y206:Y224)</f>
        <v>0</v>
      </c>
      <c r="Z205" s="174"/>
      <c r="AA205" s="179">
        <f>SUM(AA206:AA224)</f>
        <v>0</v>
      </c>
      <c r="AD205" s="98"/>
      <c r="AR205" s="180" t="s">
        <v>544</v>
      </c>
      <c r="AT205" s="181" t="s">
        <v>615</v>
      </c>
      <c r="AU205" s="181" t="s">
        <v>544</v>
      </c>
      <c r="AY205" s="180" t="s">
        <v>617</v>
      </c>
      <c r="BK205" s="182">
        <f>SUM(BK206:BK224)</f>
        <v>0</v>
      </c>
    </row>
    <row r="206" spans="2:63" s="98" customFormat="1" ht="21.75" customHeight="1">
      <c r="B206" s="99"/>
      <c r="C206" s="229">
        <v>1</v>
      </c>
      <c r="D206" s="229" t="s">
        <v>618</v>
      </c>
      <c r="E206" s="230" t="s">
        <v>552</v>
      </c>
      <c r="F206" s="771" t="s">
        <v>1212</v>
      </c>
      <c r="G206" s="771"/>
      <c r="H206" s="771"/>
      <c r="I206" s="771"/>
      <c r="J206" s="231" t="s">
        <v>657</v>
      </c>
      <c r="K206" s="232">
        <v>90</v>
      </c>
      <c r="L206" s="774"/>
      <c r="M206" s="775"/>
      <c r="N206" s="772">
        <f aca="true" t="shared" si="35" ref="N206:N213">BK206</f>
        <v>0</v>
      </c>
      <c r="O206" s="772"/>
      <c r="P206" s="772"/>
      <c r="Q206" s="772"/>
      <c r="R206" s="102"/>
      <c r="T206" s="188" t="s">
        <v>552</v>
      </c>
      <c r="U206" s="194" t="s">
        <v>571</v>
      </c>
      <c r="V206" s="100"/>
      <c r="W206" s="100"/>
      <c r="X206" s="100"/>
      <c r="Y206" s="100"/>
      <c r="Z206" s="100"/>
      <c r="AA206" s="193"/>
      <c r="AT206" s="89" t="s">
        <v>680</v>
      </c>
      <c r="AU206" s="89" t="s">
        <v>544</v>
      </c>
      <c r="AY206" s="89" t="s">
        <v>680</v>
      </c>
      <c r="BE206" s="192">
        <f aca="true" t="shared" si="36" ref="BE206:BE213">IF(U206="základní",N206,0)</f>
        <v>0</v>
      </c>
      <c r="BF206" s="192">
        <f aca="true" t="shared" si="37" ref="BF206:BF213">IF(U206="snížená",N206,0)</f>
        <v>0</v>
      </c>
      <c r="BG206" s="192">
        <f aca="true" t="shared" si="38" ref="BG206:BG213">IF(U206="zákl. přenesená",N206,0)</f>
        <v>0</v>
      </c>
      <c r="BH206" s="192">
        <f aca="true" t="shared" si="39" ref="BH206:BH213">IF(U206="sníž. přenesená",N206,0)</f>
        <v>0</v>
      </c>
      <c r="BI206" s="192">
        <f aca="true" t="shared" si="40" ref="BI206:BI213">IF(U206="nulová",N206,0)</f>
        <v>0</v>
      </c>
      <c r="BJ206" s="89" t="s">
        <v>595</v>
      </c>
      <c r="BK206" s="192">
        <f aca="true" t="shared" si="41" ref="BK206:BK213">L206*K206</f>
        <v>0</v>
      </c>
    </row>
    <row r="207" spans="2:63" s="98" customFormat="1" ht="21.75" customHeight="1">
      <c r="B207" s="99"/>
      <c r="C207" s="229">
        <v>2</v>
      </c>
      <c r="D207" s="229" t="s">
        <v>618</v>
      </c>
      <c r="E207" s="230" t="s">
        <v>552</v>
      </c>
      <c r="F207" s="771" t="s">
        <v>1213</v>
      </c>
      <c r="G207" s="771"/>
      <c r="H207" s="771"/>
      <c r="I207" s="771"/>
      <c r="J207" s="231" t="s">
        <v>657</v>
      </c>
      <c r="K207" s="232">
        <v>2</v>
      </c>
      <c r="L207" s="774"/>
      <c r="M207" s="775"/>
      <c r="N207" s="772">
        <f t="shared" si="35"/>
        <v>0</v>
      </c>
      <c r="O207" s="772"/>
      <c r="P207" s="772"/>
      <c r="Q207" s="772"/>
      <c r="R207" s="102"/>
      <c r="T207" s="188" t="s">
        <v>552</v>
      </c>
      <c r="U207" s="194" t="s">
        <v>571</v>
      </c>
      <c r="V207" s="100"/>
      <c r="W207" s="100"/>
      <c r="X207" s="100"/>
      <c r="Y207" s="100"/>
      <c r="Z207" s="100"/>
      <c r="AA207" s="193"/>
      <c r="AT207" s="89" t="s">
        <v>680</v>
      </c>
      <c r="AU207" s="89" t="s">
        <v>544</v>
      </c>
      <c r="AY207" s="89" t="s">
        <v>680</v>
      </c>
      <c r="BE207" s="192">
        <f t="shared" si="36"/>
        <v>0</v>
      </c>
      <c r="BF207" s="192">
        <f t="shared" si="37"/>
        <v>0</v>
      </c>
      <c r="BG207" s="192">
        <f t="shared" si="38"/>
        <v>0</v>
      </c>
      <c r="BH207" s="192">
        <f t="shared" si="39"/>
        <v>0</v>
      </c>
      <c r="BI207" s="192">
        <f t="shared" si="40"/>
        <v>0</v>
      </c>
      <c r="BJ207" s="89" t="s">
        <v>595</v>
      </c>
      <c r="BK207" s="192">
        <f t="shared" si="41"/>
        <v>0</v>
      </c>
    </row>
    <row r="208" spans="2:63" s="98" customFormat="1" ht="21.75" customHeight="1">
      <c r="B208" s="99"/>
      <c r="C208" s="229">
        <v>3</v>
      </c>
      <c r="D208" s="229" t="s">
        <v>618</v>
      </c>
      <c r="E208" s="230" t="s">
        <v>552</v>
      </c>
      <c r="F208" s="771" t="s">
        <v>1214</v>
      </c>
      <c r="G208" s="771"/>
      <c r="H208" s="771"/>
      <c r="I208" s="771"/>
      <c r="J208" s="231" t="s">
        <v>657</v>
      </c>
      <c r="K208" s="232">
        <v>5</v>
      </c>
      <c r="L208" s="774"/>
      <c r="M208" s="775"/>
      <c r="N208" s="772">
        <f t="shared" si="35"/>
        <v>0</v>
      </c>
      <c r="O208" s="772"/>
      <c r="P208" s="772"/>
      <c r="Q208" s="772"/>
      <c r="R208" s="102"/>
      <c r="T208" s="188" t="s">
        <v>552</v>
      </c>
      <c r="U208" s="194" t="s">
        <v>571</v>
      </c>
      <c r="V208" s="100"/>
      <c r="W208" s="100"/>
      <c r="X208" s="100"/>
      <c r="Y208" s="100"/>
      <c r="Z208" s="100"/>
      <c r="AA208" s="193"/>
      <c r="AT208" s="89" t="s">
        <v>680</v>
      </c>
      <c r="AU208" s="89" t="s">
        <v>544</v>
      </c>
      <c r="AY208" s="89" t="s">
        <v>680</v>
      </c>
      <c r="BE208" s="192">
        <f t="shared" si="36"/>
        <v>0</v>
      </c>
      <c r="BF208" s="192">
        <f t="shared" si="37"/>
        <v>0</v>
      </c>
      <c r="BG208" s="192">
        <f t="shared" si="38"/>
        <v>0</v>
      </c>
      <c r="BH208" s="192">
        <f t="shared" si="39"/>
        <v>0</v>
      </c>
      <c r="BI208" s="192">
        <f t="shared" si="40"/>
        <v>0</v>
      </c>
      <c r="BJ208" s="89" t="s">
        <v>595</v>
      </c>
      <c r="BK208" s="192">
        <f t="shared" si="41"/>
        <v>0</v>
      </c>
    </row>
    <row r="209" spans="2:63" s="98" customFormat="1" ht="21.75" customHeight="1">
      <c r="B209" s="99"/>
      <c r="C209" s="229">
        <v>4</v>
      </c>
      <c r="D209" s="229" t="s">
        <v>618</v>
      </c>
      <c r="E209" s="230" t="s">
        <v>552</v>
      </c>
      <c r="F209" s="771" t="s">
        <v>1215</v>
      </c>
      <c r="G209" s="771"/>
      <c r="H209" s="771"/>
      <c r="I209" s="771"/>
      <c r="J209" s="231" t="s">
        <v>65</v>
      </c>
      <c r="K209" s="232">
        <v>2</v>
      </c>
      <c r="L209" s="774"/>
      <c r="M209" s="775"/>
      <c r="N209" s="772">
        <f t="shared" si="35"/>
        <v>0</v>
      </c>
      <c r="O209" s="772"/>
      <c r="P209" s="772"/>
      <c r="Q209" s="772"/>
      <c r="R209" s="102"/>
      <c r="T209" s="188" t="s">
        <v>552</v>
      </c>
      <c r="U209" s="194" t="s">
        <v>571</v>
      </c>
      <c r="V209" s="100"/>
      <c r="W209" s="100"/>
      <c r="X209" s="100"/>
      <c r="Y209" s="100"/>
      <c r="Z209" s="100"/>
      <c r="AA209" s="193"/>
      <c r="AT209" s="89" t="s">
        <v>680</v>
      </c>
      <c r="AU209" s="89" t="s">
        <v>544</v>
      </c>
      <c r="AY209" s="89" t="s">
        <v>680</v>
      </c>
      <c r="BE209" s="192">
        <f t="shared" si="36"/>
        <v>0</v>
      </c>
      <c r="BF209" s="192">
        <f t="shared" si="37"/>
        <v>0</v>
      </c>
      <c r="BG209" s="192">
        <f t="shared" si="38"/>
        <v>0</v>
      </c>
      <c r="BH209" s="192">
        <f t="shared" si="39"/>
        <v>0</v>
      </c>
      <c r="BI209" s="192">
        <f t="shared" si="40"/>
        <v>0</v>
      </c>
      <c r="BJ209" s="89" t="s">
        <v>595</v>
      </c>
      <c r="BK209" s="192">
        <f t="shared" si="41"/>
        <v>0</v>
      </c>
    </row>
    <row r="210" spans="2:63" s="98" customFormat="1" ht="21.75" customHeight="1">
      <c r="B210" s="99"/>
      <c r="C210" s="229">
        <v>5</v>
      </c>
      <c r="D210" s="229" t="s">
        <v>618</v>
      </c>
      <c r="E210" s="230" t="s">
        <v>552</v>
      </c>
      <c r="F210" s="771" t="s">
        <v>1470</v>
      </c>
      <c r="G210" s="771"/>
      <c r="H210" s="771"/>
      <c r="I210" s="771"/>
      <c r="J210" s="231" t="s">
        <v>65</v>
      </c>
      <c r="K210" s="232">
        <v>1</v>
      </c>
      <c r="L210" s="774"/>
      <c r="M210" s="775"/>
      <c r="N210" s="772">
        <f t="shared" si="35"/>
        <v>0</v>
      </c>
      <c r="O210" s="772"/>
      <c r="P210" s="772"/>
      <c r="Q210" s="772"/>
      <c r="R210" s="102"/>
      <c r="T210" s="188" t="s">
        <v>552</v>
      </c>
      <c r="U210" s="194" t="s">
        <v>571</v>
      </c>
      <c r="V210" s="121"/>
      <c r="W210" s="121"/>
      <c r="X210" s="121"/>
      <c r="Y210" s="121"/>
      <c r="Z210" s="121"/>
      <c r="AA210" s="123"/>
      <c r="AT210" s="89" t="s">
        <v>680</v>
      </c>
      <c r="AU210" s="89" t="s">
        <v>544</v>
      </c>
      <c r="AY210" s="89" t="s">
        <v>680</v>
      </c>
      <c r="BE210" s="192">
        <f t="shared" si="36"/>
        <v>0</v>
      </c>
      <c r="BF210" s="192">
        <f t="shared" si="37"/>
        <v>0</v>
      </c>
      <c r="BG210" s="192">
        <f t="shared" si="38"/>
        <v>0</v>
      </c>
      <c r="BH210" s="192">
        <f t="shared" si="39"/>
        <v>0</v>
      </c>
      <c r="BI210" s="192">
        <f t="shared" si="40"/>
        <v>0</v>
      </c>
      <c r="BJ210" s="89" t="s">
        <v>595</v>
      </c>
      <c r="BK210" s="192">
        <f t="shared" si="41"/>
        <v>0</v>
      </c>
    </row>
    <row r="211" spans="2:63" s="98" customFormat="1" ht="21.75" customHeight="1">
      <c r="B211" s="99"/>
      <c r="C211" s="229">
        <v>6</v>
      </c>
      <c r="D211" s="229" t="s">
        <v>618</v>
      </c>
      <c r="E211" s="230" t="s">
        <v>552</v>
      </c>
      <c r="F211" s="771" t="s">
        <v>1216</v>
      </c>
      <c r="G211" s="771"/>
      <c r="H211" s="771"/>
      <c r="I211" s="771"/>
      <c r="J211" s="231" t="s">
        <v>65</v>
      </c>
      <c r="K211" s="232">
        <v>2</v>
      </c>
      <c r="L211" s="774"/>
      <c r="M211" s="775"/>
      <c r="N211" s="772">
        <f t="shared" si="35"/>
        <v>0</v>
      </c>
      <c r="O211" s="772"/>
      <c r="P211" s="772"/>
      <c r="Q211" s="772"/>
      <c r="R211" s="102"/>
      <c r="T211" s="188" t="s">
        <v>552</v>
      </c>
      <c r="U211" s="194" t="s">
        <v>571</v>
      </c>
      <c r="V211" s="121"/>
      <c r="W211" s="121"/>
      <c r="X211" s="121"/>
      <c r="Y211" s="121"/>
      <c r="Z211" s="121"/>
      <c r="AA211" s="123"/>
      <c r="AT211" s="89" t="s">
        <v>680</v>
      </c>
      <c r="AU211" s="89" t="s">
        <v>544</v>
      </c>
      <c r="AY211" s="89" t="s">
        <v>680</v>
      </c>
      <c r="BE211" s="192">
        <f t="shared" si="36"/>
        <v>0</v>
      </c>
      <c r="BF211" s="192">
        <f t="shared" si="37"/>
        <v>0</v>
      </c>
      <c r="BG211" s="192">
        <f t="shared" si="38"/>
        <v>0</v>
      </c>
      <c r="BH211" s="192">
        <f t="shared" si="39"/>
        <v>0</v>
      </c>
      <c r="BI211" s="192">
        <f t="shared" si="40"/>
        <v>0</v>
      </c>
      <c r="BJ211" s="89" t="s">
        <v>595</v>
      </c>
      <c r="BK211" s="192">
        <f t="shared" si="41"/>
        <v>0</v>
      </c>
    </row>
    <row r="212" spans="2:63" s="98" customFormat="1" ht="21.75" customHeight="1">
      <c r="B212" s="99"/>
      <c r="C212" s="229">
        <v>7</v>
      </c>
      <c r="D212" s="229" t="s">
        <v>618</v>
      </c>
      <c r="E212" s="230" t="s">
        <v>552</v>
      </c>
      <c r="F212" s="771" t="s">
        <v>1343</v>
      </c>
      <c r="G212" s="771"/>
      <c r="H212" s="771"/>
      <c r="I212" s="771"/>
      <c r="J212" s="231" t="s">
        <v>45</v>
      </c>
      <c r="K212" s="232">
        <v>1</v>
      </c>
      <c r="L212" s="774"/>
      <c r="M212" s="775"/>
      <c r="N212" s="772">
        <f t="shared" si="35"/>
        <v>0</v>
      </c>
      <c r="O212" s="772"/>
      <c r="P212" s="772"/>
      <c r="Q212" s="772"/>
      <c r="R212" s="102"/>
      <c r="T212" s="188" t="s">
        <v>552</v>
      </c>
      <c r="U212" s="194" t="s">
        <v>571</v>
      </c>
      <c r="V212" s="121"/>
      <c r="W212" s="121"/>
      <c r="X212" s="121"/>
      <c r="Y212" s="121"/>
      <c r="Z212" s="121"/>
      <c r="AA212" s="123"/>
      <c r="AT212" s="89" t="s">
        <v>680</v>
      </c>
      <c r="AU212" s="89" t="s">
        <v>544</v>
      </c>
      <c r="AY212" s="89" t="s">
        <v>680</v>
      </c>
      <c r="BE212" s="192">
        <f t="shared" si="36"/>
        <v>0</v>
      </c>
      <c r="BF212" s="192">
        <f t="shared" si="37"/>
        <v>0</v>
      </c>
      <c r="BG212" s="192">
        <f t="shared" si="38"/>
        <v>0</v>
      </c>
      <c r="BH212" s="192">
        <f t="shared" si="39"/>
        <v>0</v>
      </c>
      <c r="BI212" s="192">
        <f t="shared" si="40"/>
        <v>0</v>
      </c>
      <c r="BJ212" s="89" t="s">
        <v>595</v>
      </c>
      <c r="BK212" s="192">
        <f t="shared" si="41"/>
        <v>0</v>
      </c>
    </row>
    <row r="213" spans="2:63" s="98" customFormat="1" ht="21.75" customHeight="1">
      <c r="B213" s="99"/>
      <c r="C213" s="229">
        <v>8</v>
      </c>
      <c r="D213" s="229" t="s">
        <v>618</v>
      </c>
      <c r="E213" s="230" t="s">
        <v>552</v>
      </c>
      <c r="F213" s="771" t="s">
        <v>84</v>
      </c>
      <c r="G213" s="771"/>
      <c r="H213" s="771"/>
      <c r="I213" s="771"/>
      <c r="J213" s="231" t="s">
        <v>45</v>
      </c>
      <c r="K213" s="232">
        <v>1</v>
      </c>
      <c r="L213" s="774"/>
      <c r="M213" s="775"/>
      <c r="N213" s="772">
        <f t="shared" si="35"/>
        <v>0</v>
      </c>
      <c r="O213" s="772"/>
      <c r="P213" s="772"/>
      <c r="Q213" s="772"/>
      <c r="R213" s="102"/>
      <c r="T213" s="188" t="s">
        <v>552</v>
      </c>
      <c r="U213" s="194" t="s">
        <v>571</v>
      </c>
      <c r="V213" s="121"/>
      <c r="W213" s="121"/>
      <c r="X213" s="121"/>
      <c r="Y213" s="121"/>
      <c r="Z213" s="121"/>
      <c r="AA213" s="123"/>
      <c r="AT213" s="89" t="s">
        <v>680</v>
      </c>
      <c r="AU213" s="89" t="s">
        <v>544</v>
      </c>
      <c r="AY213" s="89" t="s">
        <v>680</v>
      </c>
      <c r="BE213" s="192">
        <f t="shared" si="36"/>
        <v>0</v>
      </c>
      <c r="BF213" s="192">
        <f t="shared" si="37"/>
        <v>0</v>
      </c>
      <c r="BG213" s="192">
        <f t="shared" si="38"/>
        <v>0</v>
      </c>
      <c r="BH213" s="192">
        <f t="shared" si="39"/>
        <v>0</v>
      </c>
      <c r="BI213" s="192">
        <f t="shared" si="40"/>
        <v>0</v>
      </c>
      <c r="BJ213" s="89" t="s">
        <v>595</v>
      </c>
      <c r="BK213" s="192">
        <f t="shared" si="41"/>
        <v>0</v>
      </c>
    </row>
    <row r="214" spans="2:18" s="98" customFormat="1" ht="6.75" customHeight="1">
      <c r="B214" s="124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6"/>
    </row>
  </sheetData>
  <sheetProtection/>
  <mergeCells count="328">
    <mergeCell ref="S2:AC2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N122:Q122"/>
    <mergeCell ref="N123:Q123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N159:Q159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N180:Q180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3:I203"/>
    <mergeCell ref="L203:M203"/>
    <mergeCell ref="N203:Q203"/>
    <mergeCell ref="L210:M210"/>
    <mergeCell ref="N204:Q204"/>
    <mergeCell ref="N205:Q205"/>
    <mergeCell ref="F206:I206"/>
    <mergeCell ref="L206:M206"/>
    <mergeCell ref="N206:Q206"/>
    <mergeCell ref="F207:I207"/>
    <mergeCell ref="L207:M207"/>
    <mergeCell ref="N207:Q207"/>
    <mergeCell ref="N211:Q211"/>
    <mergeCell ref="F208:I208"/>
    <mergeCell ref="L208:M208"/>
    <mergeCell ref="N208:Q208"/>
    <mergeCell ref="L212:M212"/>
    <mergeCell ref="N212:Q212"/>
    <mergeCell ref="F209:I209"/>
    <mergeCell ref="L209:M209"/>
    <mergeCell ref="N209:Q209"/>
    <mergeCell ref="F210:I210"/>
    <mergeCell ref="F212:I212"/>
    <mergeCell ref="N210:Q210"/>
    <mergeCell ref="F202:I202"/>
    <mergeCell ref="L202:M202"/>
    <mergeCell ref="N202:Q202"/>
    <mergeCell ref="F213:I213"/>
    <mergeCell ref="L213:M213"/>
    <mergeCell ref="N213:Q213"/>
    <mergeCell ref="F211:I211"/>
    <mergeCell ref="L211:M211"/>
  </mergeCells>
  <dataValidations count="2">
    <dataValidation type="list" allowBlank="1" showInputMessage="1" showErrorMessage="1" error="Povoleny jsou hodnoty základní, snížená, zákl. přenesená, sníž. přenesená, nulová." sqref="U206:U214">
      <formula1>"základní, snížená, zákl. přenesená, sníž. přenesená, nulová"</formula1>
    </dataValidation>
    <dataValidation type="list" allowBlank="1" showInputMessage="1" showErrorMessage="1" error="Povoleny jsou hodnoty K, M." sqref="D206:D214">
      <formula1>"K, M"</formula1>
    </dataValidation>
  </dataValidation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7" right="0.7" top="0.787401575" bottom="0.787401575" header="0.3" footer="0.3"/>
  <pageSetup horizontalDpi="600" verticalDpi="600" orientation="portrait" paperSize="9" scale="83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E203"/>
  <sheetViews>
    <sheetView view="pageBreakPreview" zoomScaleSheetLayoutView="100" zoomScalePageLayoutView="0" workbookViewId="0" topLeftCell="A190">
      <selection activeCell="L126" sqref="L126:M126"/>
    </sheetView>
  </sheetViews>
  <sheetFormatPr defaultColWidth="9.00390625" defaultRowHeight="12.75"/>
  <cols>
    <col min="1" max="1" width="6.375" style="0" customWidth="1"/>
    <col min="2" max="2" width="1.25" style="0" customWidth="1"/>
    <col min="3" max="4" width="3.25390625" style="0" customWidth="1"/>
    <col min="5" max="5" width="13.25390625" style="0" customWidth="1"/>
    <col min="6" max="7" width="8.75390625" style="0" customWidth="1"/>
    <col min="8" max="8" width="9.75390625" style="0" customWidth="1"/>
    <col min="9" max="9" width="5.375" style="0" customWidth="1"/>
    <col min="10" max="10" width="4.00390625" style="0" customWidth="1"/>
    <col min="12" max="12" width="9.25390625" style="0" customWidth="1"/>
    <col min="13" max="14" width="4.75390625" style="0" customWidth="1"/>
    <col min="15" max="15" width="1.625" style="0" customWidth="1"/>
    <col min="16" max="16" width="9.75390625" style="0" customWidth="1"/>
    <col min="17" max="17" width="3.25390625" style="0" customWidth="1"/>
    <col min="18" max="18" width="1.25" style="0" customWidth="1"/>
    <col min="19" max="19" width="6.25390625" style="0" customWidth="1"/>
    <col min="20" max="20" width="23.125" style="0" hidden="1" customWidth="1"/>
    <col min="21" max="21" width="12.75390625" style="0" hidden="1" customWidth="1"/>
    <col min="22" max="22" width="9.625" style="0" hidden="1" customWidth="1"/>
    <col min="23" max="23" width="12.75390625" style="0" hidden="1" customWidth="1"/>
    <col min="24" max="24" width="9.375" style="0" hidden="1" customWidth="1"/>
    <col min="25" max="25" width="11.75390625" style="0" hidden="1" customWidth="1"/>
    <col min="26" max="26" width="8.625" style="0" hidden="1" customWidth="1"/>
    <col min="27" max="27" width="11.75390625" style="0" hidden="1" customWidth="1"/>
    <col min="28" max="28" width="12.75390625" style="0" hidden="1" customWidth="1"/>
  </cols>
  <sheetData>
    <row r="1" spans="1:57" ht="21.75" customHeight="1">
      <c r="A1" s="84"/>
      <c r="B1" s="85"/>
      <c r="C1" s="85"/>
      <c r="D1" s="86" t="s">
        <v>535</v>
      </c>
      <c r="E1" s="85"/>
      <c r="F1" s="87" t="s">
        <v>536</v>
      </c>
      <c r="G1" s="87"/>
      <c r="H1" s="819" t="s">
        <v>537</v>
      </c>
      <c r="I1" s="819"/>
      <c r="J1" s="819"/>
      <c r="K1" s="819"/>
      <c r="L1" s="87" t="s">
        <v>538</v>
      </c>
      <c r="M1" s="85"/>
      <c r="N1" s="85"/>
      <c r="O1" s="86" t="s">
        <v>539</v>
      </c>
      <c r="P1" s="85"/>
      <c r="Q1" s="85"/>
      <c r="R1" s="85"/>
      <c r="S1" s="87" t="s">
        <v>540</v>
      </c>
      <c r="T1" s="87"/>
      <c r="U1" s="84"/>
      <c r="V1" s="84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</row>
    <row r="2" spans="3:37" ht="36.75" customHeight="1">
      <c r="C2" s="820" t="s">
        <v>541</v>
      </c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S2" s="818" t="s">
        <v>542</v>
      </c>
      <c r="T2" s="824"/>
      <c r="U2" s="824"/>
      <c r="V2" s="824"/>
      <c r="W2" s="824"/>
      <c r="X2" s="824"/>
      <c r="Y2" s="824"/>
      <c r="Z2" s="824"/>
      <c r="AA2" s="824"/>
      <c r="AB2" s="824"/>
      <c r="AK2" s="89" t="s">
        <v>543</v>
      </c>
    </row>
    <row r="3" spans="2:37" ht="6.75" customHeight="1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2"/>
      <c r="AK3" s="89" t="s">
        <v>544</v>
      </c>
    </row>
    <row r="4" spans="2:37" ht="36.75" customHeight="1">
      <c r="B4" s="93"/>
      <c r="C4" s="787" t="s">
        <v>545</v>
      </c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94"/>
      <c r="T4" s="95" t="s">
        <v>546</v>
      </c>
      <c r="AK4" s="89" t="s">
        <v>547</v>
      </c>
    </row>
    <row r="5" spans="2:18" ht="6.75" customHeight="1">
      <c r="B5" s="93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4"/>
    </row>
    <row r="6" spans="2:18" ht="24.75" customHeight="1">
      <c r="B6" s="93"/>
      <c r="C6" s="96"/>
      <c r="D6" s="97" t="s">
        <v>31</v>
      </c>
      <c r="E6" s="326"/>
      <c r="F6" s="825" t="s">
        <v>548</v>
      </c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96"/>
      <c r="R6" s="94"/>
    </row>
    <row r="7" spans="2:18" s="98" customFormat="1" ht="32.25" customHeight="1">
      <c r="B7" s="99"/>
      <c r="C7" s="100"/>
      <c r="D7" s="101" t="s">
        <v>549</v>
      </c>
      <c r="E7" s="316"/>
      <c r="F7" s="822" t="s">
        <v>550</v>
      </c>
      <c r="G7" s="823"/>
      <c r="H7" s="823"/>
      <c r="I7" s="823"/>
      <c r="J7" s="823"/>
      <c r="K7" s="823"/>
      <c r="L7" s="823"/>
      <c r="M7" s="823"/>
      <c r="N7" s="823"/>
      <c r="O7" s="823"/>
      <c r="P7" s="823"/>
      <c r="Q7" s="100"/>
      <c r="R7" s="102"/>
    </row>
    <row r="8" spans="2:18" s="98" customFormat="1" ht="14.25" customHeight="1">
      <c r="B8" s="99"/>
      <c r="C8" s="100"/>
      <c r="D8" s="97" t="s">
        <v>551</v>
      </c>
      <c r="E8" s="316"/>
      <c r="F8" s="323" t="s">
        <v>552</v>
      </c>
      <c r="G8" s="316"/>
      <c r="H8" s="316"/>
      <c r="I8" s="316"/>
      <c r="J8" s="316"/>
      <c r="K8" s="316"/>
      <c r="L8" s="316"/>
      <c r="M8" s="324" t="s">
        <v>553</v>
      </c>
      <c r="N8" s="316"/>
      <c r="O8" s="323" t="s">
        <v>552</v>
      </c>
      <c r="P8" s="316"/>
      <c r="Q8" s="100"/>
      <c r="R8" s="102"/>
    </row>
    <row r="9" spans="2:18" s="98" customFormat="1" ht="14.25" customHeight="1">
      <c r="B9" s="99"/>
      <c r="C9" s="100"/>
      <c r="D9" s="97" t="s">
        <v>554</v>
      </c>
      <c r="E9" s="316"/>
      <c r="F9" s="323" t="s">
        <v>555</v>
      </c>
      <c r="G9" s="316"/>
      <c r="H9" s="316"/>
      <c r="I9" s="316"/>
      <c r="J9" s="316"/>
      <c r="K9" s="316"/>
      <c r="L9" s="316"/>
      <c r="M9" s="324" t="s">
        <v>556</v>
      </c>
      <c r="N9" s="316"/>
      <c r="O9" s="815"/>
      <c r="P9" s="816"/>
      <c r="Q9" s="100"/>
      <c r="R9" s="102"/>
    </row>
    <row r="10" spans="2:18" s="98" customFormat="1" ht="10.5" customHeight="1">
      <c r="B10" s="99"/>
      <c r="C10" s="100"/>
      <c r="D10" s="100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100"/>
      <c r="R10" s="102"/>
    </row>
    <row r="11" spans="2:18" s="98" customFormat="1" ht="14.25" customHeight="1">
      <c r="B11" s="99"/>
      <c r="C11" s="100"/>
      <c r="D11" s="97" t="s">
        <v>557</v>
      </c>
      <c r="E11" s="316"/>
      <c r="F11" s="318"/>
      <c r="G11" s="316"/>
      <c r="H11" s="316"/>
      <c r="I11" s="316"/>
      <c r="J11" s="316"/>
      <c r="K11" s="316"/>
      <c r="L11" s="316"/>
      <c r="M11" s="324" t="s">
        <v>558</v>
      </c>
      <c r="N11" s="316"/>
      <c r="O11" s="813"/>
      <c r="P11" s="813"/>
      <c r="Q11" s="100"/>
      <c r="R11" s="102"/>
    </row>
    <row r="12" spans="2:18" s="98" customFormat="1" ht="18" customHeight="1">
      <c r="B12" s="99"/>
      <c r="C12" s="100"/>
      <c r="D12" s="100"/>
      <c r="E12" s="323" t="s">
        <v>559</v>
      </c>
      <c r="F12" s="316"/>
      <c r="G12" s="316"/>
      <c r="H12" s="316"/>
      <c r="I12" s="316"/>
      <c r="J12" s="316"/>
      <c r="K12" s="316"/>
      <c r="L12" s="316"/>
      <c r="M12" s="324" t="s">
        <v>560</v>
      </c>
      <c r="N12" s="316"/>
      <c r="O12" s="813"/>
      <c r="P12" s="813"/>
      <c r="Q12" s="100"/>
      <c r="R12" s="102"/>
    </row>
    <row r="13" spans="2:18" s="98" customFormat="1" ht="6.75" customHeight="1">
      <c r="B13" s="99"/>
      <c r="C13" s="100"/>
      <c r="D13" s="100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100"/>
      <c r="R13" s="102"/>
    </row>
    <row r="14" spans="2:18" s="98" customFormat="1" ht="14.25" customHeight="1">
      <c r="B14" s="99"/>
      <c r="C14" s="100"/>
      <c r="D14" s="97" t="s">
        <v>561</v>
      </c>
      <c r="E14" s="316"/>
      <c r="F14" s="316"/>
      <c r="G14" s="316"/>
      <c r="H14" s="316"/>
      <c r="I14" s="316"/>
      <c r="J14" s="316"/>
      <c r="K14" s="316"/>
      <c r="L14" s="316"/>
      <c r="M14" s="324" t="s">
        <v>558</v>
      </c>
      <c r="N14" s="316"/>
      <c r="O14" s="817"/>
      <c r="P14" s="813"/>
      <c r="Q14" s="100"/>
      <c r="R14" s="102"/>
    </row>
    <row r="15" spans="2:18" s="98" customFormat="1" ht="18" customHeight="1">
      <c r="B15" s="99"/>
      <c r="C15" s="100"/>
      <c r="D15" s="100"/>
      <c r="E15" s="817"/>
      <c r="F15" s="813"/>
      <c r="G15" s="813"/>
      <c r="H15" s="813"/>
      <c r="I15" s="813"/>
      <c r="J15" s="813"/>
      <c r="K15" s="813"/>
      <c r="L15" s="813"/>
      <c r="M15" s="324" t="s">
        <v>560</v>
      </c>
      <c r="N15" s="316"/>
      <c r="O15" s="817"/>
      <c r="P15" s="813"/>
      <c r="Q15" s="100"/>
      <c r="R15" s="102"/>
    </row>
    <row r="16" spans="2:18" s="98" customFormat="1" ht="6.75" customHeight="1">
      <c r="B16" s="99"/>
      <c r="C16" s="100"/>
      <c r="D16" s="100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100"/>
      <c r="R16" s="102"/>
    </row>
    <row r="17" spans="2:18" s="98" customFormat="1" ht="14.25" customHeight="1">
      <c r="B17" s="99"/>
      <c r="C17" s="100"/>
      <c r="D17" s="97" t="s">
        <v>562</v>
      </c>
      <c r="E17" s="316"/>
      <c r="F17" s="316"/>
      <c r="G17" s="316"/>
      <c r="H17" s="316"/>
      <c r="I17" s="316"/>
      <c r="J17" s="316"/>
      <c r="K17" s="316"/>
      <c r="L17" s="316"/>
      <c r="M17" s="324" t="s">
        <v>558</v>
      </c>
      <c r="N17" s="316"/>
      <c r="O17" s="813"/>
      <c r="P17" s="813"/>
      <c r="Q17" s="100"/>
      <c r="R17" s="102"/>
    </row>
    <row r="18" spans="2:18" s="98" customFormat="1" ht="18" customHeight="1">
      <c r="B18" s="99"/>
      <c r="C18" s="100"/>
      <c r="D18" s="100"/>
      <c r="E18" s="323"/>
      <c r="F18" s="318"/>
      <c r="G18" s="316"/>
      <c r="H18" s="316"/>
      <c r="I18" s="316"/>
      <c r="J18" s="316"/>
      <c r="K18" s="316"/>
      <c r="L18" s="316"/>
      <c r="M18" s="324" t="s">
        <v>560</v>
      </c>
      <c r="N18" s="316"/>
      <c r="O18" s="813"/>
      <c r="P18" s="813"/>
      <c r="Q18" s="100"/>
      <c r="R18" s="102"/>
    </row>
    <row r="19" spans="2:18" s="98" customFormat="1" ht="6.75" customHeight="1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2"/>
    </row>
    <row r="20" spans="2:18" s="98" customFormat="1" ht="14.25" customHeight="1">
      <c r="B20" s="99"/>
      <c r="C20" s="100"/>
      <c r="D20" s="97" t="s">
        <v>563</v>
      </c>
      <c r="E20" s="100"/>
      <c r="F20" s="100"/>
      <c r="G20" s="100"/>
      <c r="H20" s="100"/>
      <c r="I20" s="100"/>
      <c r="J20" s="100"/>
      <c r="K20" s="100"/>
      <c r="L20" s="100"/>
      <c r="M20" s="97" t="s">
        <v>558</v>
      </c>
      <c r="N20" s="100"/>
      <c r="O20" s="793"/>
      <c r="P20" s="793"/>
      <c r="Q20" s="100"/>
      <c r="R20" s="102"/>
    </row>
    <row r="21" spans="2:18" s="98" customFormat="1" ht="18" customHeight="1">
      <c r="B21" s="99"/>
      <c r="C21" s="100"/>
      <c r="D21" s="100"/>
      <c r="E21" s="103"/>
      <c r="G21" s="100"/>
      <c r="H21" s="100"/>
      <c r="I21" s="100"/>
      <c r="J21" s="100"/>
      <c r="K21" s="100"/>
      <c r="L21" s="100"/>
      <c r="M21" s="97" t="s">
        <v>560</v>
      </c>
      <c r="N21" s="100"/>
      <c r="O21" s="793"/>
      <c r="P21" s="793"/>
      <c r="Q21" s="100"/>
      <c r="R21" s="102"/>
    </row>
    <row r="22" spans="2:18" s="98" customFormat="1" ht="6.75" customHeight="1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2"/>
    </row>
    <row r="23" spans="2:18" s="98" customFormat="1" ht="14.25" customHeight="1">
      <c r="B23" s="99"/>
      <c r="C23" s="100"/>
      <c r="D23" s="97" t="s">
        <v>534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2"/>
    </row>
    <row r="24" spans="2:18" s="98" customFormat="1" ht="22.5" customHeight="1">
      <c r="B24" s="99"/>
      <c r="C24" s="100"/>
      <c r="D24" s="100"/>
      <c r="E24" s="814" t="s">
        <v>552</v>
      </c>
      <c r="F24" s="814"/>
      <c r="G24" s="814"/>
      <c r="H24" s="814"/>
      <c r="I24" s="814"/>
      <c r="J24" s="814"/>
      <c r="K24" s="814"/>
      <c r="L24" s="814"/>
      <c r="M24" s="100"/>
      <c r="N24" s="100"/>
      <c r="O24" s="100"/>
      <c r="P24" s="100"/>
      <c r="Q24" s="100"/>
      <c r="R24" s="102"/>
    </row>
    <row r="25" spans="2:18" s="98" customFormat="1" ht="6.75" customHeight="1">
      <c r="B25" s="99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2"/>
    </row>
    <row r="26" spans="2:18" s="98" customFormat="1" ht="6.75" customHeight="1">
      <c r="B26" s="99"/>
      <c r="C26" s="100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0"/>
      <c r="R26" s="102"/>
    </row>
    <row r="27" spans="2:18" s="98" customFormat="1" ht="14.25" customHeight="1">
      <c r="B27" s="99"/>
      <c r="C27" s="100"/>
      <c r="D27" s="105" t="s">
        <v>564</v>
      </c>
      <c r="E27" s="100"/>
      <c r="F27" s="100"/>
      <c r="G27" s="100"/>
      <c r="H27" s="100"/>
      <c r="I27" s="100"/>
      <c r="J27" s="100"/>
      <c r="K27" s="100"/>
      <c r="L27" s="100"/>
      <c r="M27" s="811">
        <f>SUM(N88)</f>
        <v>0</v>
      </c>
      <c r="N27" s="811"/>
      <c r="O27" s="811"/>
      <c r="P27" s="811"/>
      <c r="Q27" s="100"/>
      <c r="R27" s="102"/>
    </row>
    <row r="28" spans="2:18" s="98" customFormat="1" ht="14.25" customHeight="1">
      <c r="B28" s="99"/>
      <c r="C28" s="100"/>
      <c r="D28" s="106" t="s">
        <v>565</v>
      </c>
      <c r="E28" s="100"/>
      <c r="F28" s="100"/>
      <c r="G28" s="100"/>
      <c r="H28" s="100"/>
      <c r="I28" s="100"/>
      <c r="J28" s="100"/>
      <c r="K28" s="100"/>
      <c r="L28" s="100"/>
      <c r="M28" s="811">
        <f>SUM(N96)</f>
        <v>0</v>
      </c>
      <c r="N28" s="811"/>
      <c r="O28" s="811"/>
      <c r="P28" s="811"/>
      <c r="Q28" s="100"/>
      <c r="R28" s="102"/>
    </row>
    <row r="29" spans="2:18" s="98" customFormat="1" ht="6.75" customHeight="1"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2"/>
    </row>
    <row r="30" spans="2:18" s="98" customFormat="1" ht="24.75" customHeight="1">
      <c r="B30" s="99"/>
      <c r="C30" s="100"/>
      <c r="D30" s="107" t="s">
        <v>566</v>
      </c>
      <c r="E30" s="100"/>
      <c r="F30" s="100"/>
      <c r="G30" s="100"/>
      <c r="H30" s="100"/>
      <c r="I30" s="100"/>
      <c r="J30" s="100"/>
      <c r="K30" s="100"/>
      <c r="L30" s="100"/>
      <c r="M30" s="812">
        <f>SUM(M27:P29)</f>
        <v>0</v>
      </c>
      <c r="N30" s="788"/>
      <c r="O30" s="788"/>
      <c r="P30" s="788"/>
      <c r="Q30" s="100"/>
      <c r="R30" s="102"/>
    </row>
    <row r="31" spans="2:18" s="98" customFormat="1" ht="6.75" customHeight="1">
      <c r="B31" s="99"/>
      <c r="C31" s="100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0"/>
      <c r="R31" s="102"/>
    </row>
    <row r="32" spans="2:18" s="98" customFormat="1" ht="14.25" customHeight="1" hidden="1">
      <c r="B32" s="99"/>
      <c r="C32" s="100"/>
      <c r="D32" s="108" t="s">
        <v>89</v>
      </c>
      <c r="E32" s="108" t="s">
        <v>567</v>
      </c>
      <c r="F32" s="109">
        <v>0.21</v>
      </c>
      <c r="G32" s="110" t="s">
        <v>568</v>
      </c>
      <c r="H32" s="810" t="e">
        <f>ROUND((((SUM(AV96:AV103)+SUM(AV121:AV201))+SUM(#REF!))),2)</f>
        <v>#REF!</v>
      </c>
      <c r="I32" s="788"/>
      <c r="J32" s="788"/>
      <c r="K32" s="100"/>
      <c r="L32" s="100"/>
      <c r="M32" s="810">
        <v>0</v>
      </c>
      <c r="N32" s="788"/>
      <c r="O32" s="788"/>
      <c r="P32" s="788"/>
      <c r="Q32" s="100"/>
      <c r="R32" s="102"/>
    </row>
    <row r="33" spans="2:18" s="98" customFormat="1" ht="14.25" customHeight="1" hidden="1">
      <c r="B33" s="99"/>
      <c r="C33" s="100"/>
      <c r="D33" s="100"/>
      <c r="E33" s="108" t="s">
        <v>569</v>
      </c>
      <c r="F33" s="109">
        <v>0.15</v>
      </c>
      <c r="G33" s="110" t="s">
        <v>568</v>
      </c>
      <c r="H33" s="810" t="e">
        <f>ROUND((((SUM(AW96:AW103)+SUM(AW121:AW201))+SUM(#REF!))),2)</f>
        <v>#REF!</v>
      </c>
      <c r="I33" s="788"/>
      <c r="J33" s="788"/>
      <c r="K33" s="100"/>
      <c r="L33" s="100"/>
      <c r="M33" s="810">
        <v>0</v>
      </c>
      <c r="N33" s="788"/>
      <c r="O33" s="788"/>
      <c r="P33" s="788"/>
      <c r="Q33" s="100"/>
      <c r="R33" s="102"/>
    </row>
    <row r="34" spans="2:18" s="98" customFormat="1" ht="14.25" customHeight="1">
      <c r="B34" s="99"/>
      <c r="C34" s="100"/>
      <c r="D34" s="108" t="s">
        <v>89</v>
      </c>
      <c r="E34" s="108" t="s">
        <v>570</v>
      </c>
      <c r="F34" s="109">
        <v>0.21</v>
      </c>
      <c r="G34" s="110" t="s">
        <v>568</v>
      </c>
      <c r="H34" s="810" t="e">
        <f>ROUND((((SUM(AX96:AX103)+SUM(AX121:AX201))+SUM(#REF!))),2)</f>
        <v>#REF!</v>
      </c>
      <c r="I34" s="788"/>
      <c r="J34" s="788"/>
      <c r="K34" s="100"/>
      <c r="L34" s="100"/>
      <c r="M34" s="810">
        <v>0</v>
      </c>
      <c r="N34" s="788"/>
      <c r="O34" s="788"/>
      <c r="P34" s="788"/>
      <c r="Q34" s="100"/>
      <c r="R34" s="102"/>
    </row>
    <row r="35" spans="2:18" s="98" customFormat="1" ht="14.25" customHeight="1">
      <c r="B35" s="99"/>
      <c r="C35" s="100"/>
      <c r="D35" s="100"/>
      <c r="E35" s="108" t="s">
        <v>571</v>
      </c>
      <c r="F35" s="109">
        <v>0.15</v>
      </c>
      <c r="G35" s="110" t="s">
        <v>568</v>
      </c>
      <c r="H35" s="810">
        <v>0</v>
      </c>
      <c r="I35" s="788"/>
      <c r="J35" s="788"/>
      <c r="K35" s="100"/>
      <c r="L35" s="100"/>
      <c r="M35" s="810">
        <v>0</v>
      </c>
      <c r="N35" s="788"/>
      <c r="O35" s="788"/>
      <c r="P35" s="788"/>
      <c r="Q35" s="100"/>
      <c r="R35" s="102"/>
    </row>
    <row r="36" spans="2:18" s="98" customFormat="1" ht="14.25" customHeight="1" hidden="1">
      <c r="B36" s="99"/>
      <c r="C36" s="100"/>
      <c r="D36" s="100"/>
      <c r="E36" s="108" t="s">
        <v>572</v>
      </c>
      <c r="F36" s="109">
        <v>0</v>
      </c>
      <c r="G36" s="110" t="s">
        <v>568</v>
      </c>
      <c r="H36" s="810" t="e">
        <f>ROUND((((SUM(AZ96:AZ103)+SUM(AZ121:AZ201))+SUM(#REF!))),2)</f>
        <v>#REF!</v>
      </c>
      <c r="I36" s="788"/>
      <c r="J36" s="788"/>
      <c r="K36" s="100"/>
      <c r="L36" s="100"/>
      <c r="M36" s="810">
        <v>0</v>
      </c>
      <c r="N36" s="788"/>
      <c r="O36" s="788"/>
      <c r="P36" s="788"/>
      <c r="Q36" s="100"/>
      <c r="R36" s="102"/>
    </row>
    <row r="37" spans="2:18" s="98" customFormat="1" ht="6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2"/>
    </row>
    <row r="38" spans="2:18" s="98" customFormat="1" ht="24.75" customHeight="1">
      <c r="B38" s="99"/>
      <c r="C38" s="111"/>
      <c r="D38" s="112" t="s">
        <v>573</v>
      </c>
      <c r="E38" s="113"/>
      <c r="F38" s="113"/>
      <c r="G38" s="114" t="s">
        <v>574</v>
      </c>
      <c r="H38" s="115" t="s">
        <v>575</v>
      </c>
      <c r="I38" s="113"/>
      <c r="J38" s="113"/>
      <c r="K38" s="113"/>
      <c r="L38" s="807">
        <f>SUM(M30)</f>
        <v>0</v>
      </c>
      <c r="M38" s="807"/>
      <c r="N38" s="807"/>
      <c r="O38" s="807"/>
      <c r="P38" s="808"/>
      <c r="Q38" s="111"/>
      <c r="R38" s="102"/>
    </row>
    <row r="39" spans="2:18" s="98" customFormat="1" ht="14.25" customHeight="1"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2"/>
    </row>
    <row r="40" spans="2:18" s="98" customFormat="1" ht="14.25" customHeight="1"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2"/>
    </row>
    <row r="41" spans="2:18" ht="12.75">
      <c r="B41" s="93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4"/>
    </row>
    <row r="42" spans="2:18" ht="12.75">
      <c r="B42" s="93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4"/>
    </row>
    <row r="43" spans="2:18" ht="12.75">
      <c r="B43" s="93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4"/>
    </row>
    <row r="44" spans="2:18" ht="12.75">
      <c r="B44" s="93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4"/>
    </row>
    <row r="45" spans="2:18" ht="12.75">
      <c r="B45" s="93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4"/>
    </row>
    <row r="46" spans="2:18" ht="12.75">
      <c r="B46" s="93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4"/>
    </row>
    <row r="47" spans="2:18" ht="12.75">
      <c r="B47" s="93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4"/>
    </row>
    <row r="48" spans="2:18" ht="12.75">
      <c r="B48" s="93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4"/>
    </row>
    <row r="49" spans="2:18" ht="12.75">
      <c r="B49" s="93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4"/>
    </row>
    <row r="50" spans="2:18" s="98" customFormat="1" ht="15">
      <c r="B50" s="99"/>
      <c r="C50" s="100"/>
      <c r="D50" s="116" t="s">
        <v>576</v>
      </c>
      <c r="E50" s="104"/>
      <c r="F50" s="104"/>
      <c r="G50" s="104"/>
      <c r="H50" s="117"/>
      <c r="I50" s="100"/>
      <c r="J50" s="116" t="s">
        <v>577</v>
      </c>
      <c r="K50" s="104"/>
      <c r="L50" s="104"/>
      <c r="M50" s="104"/>
      <c r="N50" s="104"/>
      <c r="O50" s="104"/>
      <c r="P50" s="117"/>
      <c r="Q50" s="100"/>
      <c r="R50" s="102"/>
    </row>
    <row r="51" spans="2:18" ht="12.75">
      <c r="B51" s="93"/>
      <c r="C51" s="96"/>
      <c r="D51" s="118"/>
      <c r="E51" s="96"/>
      <c r="F51" s="96"/>
      <c r="G51" s="96"/>
      <c r="H51" s="119"/>
      <c r="I51" s="96"/>
      <c r="J51" s="118"/>
      <c r="K51" s="96"/>
      <c r="L51" s="96"/>
      <c r="M51" s="96"/>
      <c r="N51" s="96"/>
      <c r="O51" s="96"/>
      <c r="P51" s="119"/>
      <c r="Q51" s="96"/>
      <c r="R51" s="94"/>
    </row>
    <row r="52" spans="2:18" ht="12.75">
      <c r="B52" s="93"/>
      <c r="C52" s="96"/>
      <c r="D52" s="118"/>
      <c r="E52" s="96"/>
      <c r="F52" s="96"/>
      <c r="G52" s="96"/>
      <c r="H52" s="119"/>
      <c r="I52" s="96"/>
      <c r="J52" s="118"/>
      <c r="K52" s="96"/>
      <c r="L52" s="96"/>
      <c r="M52" s="96"/>
      <c r="N52" s="96"/>
      <c r="O52" s="96"/>
      <c r="P52" s="119"/>
      <c r="Q52" s="96"/>
      <c r="R52" s="94"/>
    </row>
    <row r="53" spans="2:18" ht="12.75">
      <c r="B53" s="93"/>
      <c r="C53" s="96"/>
      <c r="D53" s="118"/>
      <c r="E53" s="96"/>
      <c r="F53" s="96"/>
      <c r="G53" s="96"/>
      <c r="H53" s="119"/>
      <c r="I53" s="96"/>
      <c r="J53" s="118"/>
      <c r="K53" s="96"/>
      <c r="L53" s="96"/>
      <c r="M53" s="96"/>
      <c r="N53" s="96"/>
      <c r="O53" s="96"/>
      <c r="P53" s="119"/>
      <c r="Q53" s="96"/>
      <c r="R53" s="94"/>
    </row>
    <row r="54" spans="2:18" ht="12.75">
      <c r="B54" s="93"/>
      <c r="C54" s="96"/>
      <c r="D54" s="118"/>
      <c r="E54" s="96"/>
      <c r="F54" s="96"/>
      <c r="G54" s="96"/>
      <c r="H54" s="119"/>
      <c r="I54" s="96"/>
      <c r="J54" s="118"/>
      <c r="K54" s="96"/>
      <c r="L54" s="96"/>
      <c r="M54" s="96"/>
      <c r="N54" s="96"/>
      <c r="O54" s="96"/>
      <c r="P54" s="119"/>
      <c r="Q54" s="96"/>
      <c r="R54" s="94"/>
    </row>
    <row r="55" spans="2:18" ht="12.75">
      <c r="B55" s="93"/>
      <c r="C55" s="96"/>
      <c r="D55" s="118"/>
      <c r="E55" s="96"/>
      <c r="F55" s="96"/>
      <c r="G55" s="96"/>
      <c r="H55" s="119"/>
      <c r="I55" s="96"/>
      <c r="J55" s="118"/>
      <c r="K55" s="96"/>
      <c r="L55" s="96"/>
      <c r="M55" s="96"/>
      <c r="N55" s="96"/>
      <c r="O55" s="96"/>
      <c r="P55" s="119"/>
      <c r="Q55" s="96"/>
      <c r="R55" s="94"/>
    </row>
    <row r="56" spans="2:18" ht="12.75">
      <c r="B56" s="93"/>
      <c r="C56" s="96"/>
      <c r="D56" s="118"/>
      <c r="E56" s="96"/>
      <c r="F56" s="96"/>
      <c r="G56" s="96"/>
      <c r="H56" s="119"/>
      <c r="I56" s="96"/>
      <c r="J56" s="118"/>
      <c r="K56" s="96"/>
      <c r="L56" s="96"/>
      <c r="M56" s="96"/>
      <c r="N56" s="96"/>
      <c r="O56" s="96"/>
      <c r="P56" s="119"/>
      <c r="Q56" s="96"/>
      <c r="R56" s="94"/>
    </row>
    <row r="57" spans="2:18" ht="12.75">
      <c r="B57" s="93"/>
      <c r="C57" s="96"/>
      <c r="D57" s="118"/>
      <c r="E57" s="96"/>
      <c r="F57" s="96"/>
      <c r="G57" s="96"/>
      <c r="H57" s="119"/>
      <c r="I57" s="96"/>
      <c r="J57" s="118"/>
      <c r="K57" s="96"/>
      <c r="L57" s="96"/>
      <c r="M57" s="96"/>
      <c r="N57" s="96"/>
      <c r="O57" s="96"/>
      <c r="P57" s="119"/>
      <c r="Q57" s="96"/>
      <c r="R57" s="94"/>
    </row>
    <row r="58" spans="2:18" ht="12.75">
      <c r="B58" s="93"/>
      <c r="C58" s="96"/>
      <c r="D58" s="118"/>
      <c r="E58" s="96"/>
      <c r="F58" s="96"/>
      <c r="G58" s="96"/>
      <c r="H58" s="119"/>
      <c r="I58" s="96"/>
      <c r="J58" s="118"/>
      <c r="K58" s="96"/>
      <c r="L58" s="96"/>
      <c r="M58" s="96"/>
      <c r="N58" s="96"/>
      <c r="O58" s="96"/>
      <c r="P58" s="119"/>
      <c r="Q58" s="96"/>
      <c r="R58" s="94"/>
    </row>
    <row r="59" spans="2:18" s="98" customFormat="1" ht="15">
      <c r="B59" s="99"/>
      <c r="C59" s="100"/>
      <c r="D59" s="120" t="s">
        <v>578</v>
      </c>
      <c r="E59" s="121"/>
      <c r="F59" s="121"/>
      <c r="G59" s="122" t="s">
        <v>579</v>
      </c>
      <c r="H59" s="123"/>
      <c r="I59" s="100"/>
      <c r="J59" s="120" t="s">
        <v>578</v>
      </c>
      <c r="K59" s="121"/>
      <c r="L59" s="121"/>
      <c r="M59" s="121"/>
      <c r="N59" s="122" t="s">
        <v>579</v>
      </c>
      <c r="O59" s="121"/>
      <c r="P59" s="123"/>
      <c r="Q59" s="100"/>
      <c r="R59" s="102"/>
    </row>
    <row r="60" spans="2:18" ht="12.75">
      <c r="B60" s="93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4"/>
    </row>
    <row r="61" spans="2:18" s="98" customFormat="1" ht="15">
      <c r="B61" s="99"/>
      <c r="C61" s="100"/>
      <c r="D61" s="116" t="s">
        <v>580</v>
      </c>
      <c r="E61" s="104"/>
      <c r="F61" s="104"/>
      <c r="G61" s="104"/>
      <c r="H61" s="117"/>
      <c r="I61" s="100"/>
      <c r="J61" s="116" t="s">
        <v>581</v>
      </c>
      <c r="K61" s="104"/>
      <c r="L61" s="104"/>
      <c r="M61" s="104"/>
      <c r="N61" s="104"/>
      <c r="O61" s="104"/>
      <c r="P61" s="117"/>
      <c r="Q61" s="100"/>
      <c r="R61" s="102"/>
    </row>
    <row r="62" spans="2:18" ht="12.75">
      <c r="B62" s="93"/>
      <c r="C62" s="96"/>
      <c r="D62" s="118"/>
      <c r="E62" s="96"/>
      <c r="F62" s="96"/>
      <c r="G62" s="96"/>
      <c r="H62" s="119"/>
      <c r="I62" s="96"/>
      <c r="J62" s="118"/>
      <c r="K62" s="96"/>
      <c r="L62" s="96"/>
      <c r="M62" s="96"/>
      <c r="N62" s="96"/>
      <c r="O62" s="96"/>
      <c r="P62" s="119"/>
      <c r="Q62" s="96"/>
      <c r="R62" s="94"/>
    </row>
    <row r="63" spans="2:18" ht="12.75">
      <c r="B63" s="93"/>
      <c r="C63" s="96"/>
      <c r="D63" s="118"/>
      <c r="E63" s="96"/>
      <c r="F63" s="96"/>
      <c r="G63" s="96"/>
      <c r="H63" s="119"/>
      <c r="I63" s="96"/>
      <c r="J63" s="118"/>
      <c r="K63" s="96"/>
      <c r="L63" s="96"/>
      <c r="M63" s="96"/>
      <c r="N63" s="96"/>
      <c r="O63" s="96"/>
      <c r="P63" s="119"/>
      <c r="Q63" s="96"/>
      <c r="R63" s="94"/>
    </row>
    <row r="64" spans="2:18" ht="12.75">
      <c r="B64" s="93"/>
      <c r="C64" s="96"/>
      <c r="D64" s="118"/>
      <c r="E64" s="96"/>
      <c r="F64" s="96"/>
      <c r="G64" s="96"/>
      <c r="H64" s="119"/>
      <c r="I64" s="96"/>
      <c r="J64" s="118"/>
      <c r="K64" s="96"/>
      <c r="L64" s="96"/>
      <c r="M64" s="96"/>
      <c r="N64" s="96"/>
      <c r="O64" s="96"/>
      <c r="P64" s="119"/>
      <c r="Q64" s="96"/>
      <c r="R64" s="94"/>
    </row>
    <row r="65" spans="2:18" ht="12.75">
      <c r="B65" s="93"/>
      <c r="C65" s="96"/>
      <c r="D65" s="118"/>
      <c r="E65" s="96"/>
      <c r="F65" s="96"/>
      <c r="G65" s="96"/>
      <c r="H65" s="119"/>
      <c r="I65" s="96"/>
      <c r="J65" s="118"/>
      <c r="K65" s="96"/>
      <c r="L65" s="96"/>
      <c r="M65" s="96"/>
      <c r="N65" s="96"/>
      <c r="O65" s="96"/>
      <c r="P65" s="119"/>
      <c r="Q65" s="96"/>
      <c r="R65" s="94"/>
    </row>
    <row r="66" spans="2:18" ht="12.75">
      <c r="B66" s="93"/>
      <c r="C66" s="96"/>
      <c r="D66" s="118"/>
      <c r="E66" s="96"/>
      <c r="F66" s="96"/>
      <c r="G66" s="96"/>
      <c r="H66" s="119"/>
      <c r="I66" s="96"/>
      <c r="J66" s="118"/>
      <c r="K66" s="96"/>
      <c r="L66" s="96"/>
      <c r="M66" s="96"/>
      <c r="N66" s="96"/>
      <c r="O66" s="96"/>
      <c r="P66" s="119"/>
      <c r="Q66" s="96"/>
      <c r="R66" s="94"/>
    </row>
    <row r="67" spans="2:18" ht="12.75">
      <c r="B67" s="93"/>
      <c r="C67" s="96"/>
      <c r="D67" s="118"/>
      <c r="E67" s="96"/>
      <c r="F67" s="96"/>
      <c r="G67" s="96"/>
      <c r="H67" s="119"/>
      <c r="I67" s="96"/>
      <c r="J67" s="118"/>
      <c r="K67" s="96"/>
      <c r="L67" s="96"/>
      <c r="M67" s="96"/>
      <c r="N67" s="96"/>
      <c r="O67" s="96"/>
      <c r="P67" s="119"/>
      <c r="Q67" s="96"/>
      <c r="R67" s="94"/>
    </row>
    <row r="68" spans="2:18" ht="12.75">
      <c r="B68" s="93"/>
      <c r="C68" s="96"/>
      <c r="D68" s="118"/>
      <c r="E68" s="96"/>
      <c r="F68" s="96"/>
      <c r="G68" s="96"/>
      <c r="H68" s="119"/>
      <c r="I68" s="96"/>
      <c r="J68" s="118"/>
      <c r="K68" s="96"/>
      <c r="L68" s="96"/>
      <c r="M68" s="96"/>
      <c r="N68" s="96"/>
      <c r="O68" s="96"/>
      <c r="P68" s="119"/>
      <c r="Q68" s="96"/>
      <c r="R68" s="94"/>
    </row>
    <row r="69" spans="2:18" ht="12.75">
      <c r="B69" s="93"/>
      <c r="C69" s="96"/>
      <c r="D69" s="118"/>
      <c r="E69" s="96"/>
      <c r="F69" s="96"/>
      <c r="G69" s="96"/>
      <c r="H69" s="119"/>
      <c r="I69" s="96"/>
      <c r="J69" s="118"/>
      <c r="K69" s="96"/>
      <c r="L69" s="96"/>
      <c r="M69" s="96"/>
      <c r="N69" s="96"/>
      <c r="O69" s="96"/>
      <c r="P69" s="119"/>
      <c r="Q69" s="96"/>
      <c r="R69" s="94"/>
    </row>
    <row r="70" spans="2:18" s="98" customFormat="1" ht="15">
      <c r="B70" s="99"/>
      <c r="C70" s="100"/>
      <c r="D70" s="120" t="s">
        <v>578</v>
      </c>
      <c r="E70" s="121"/>
      <c r="F70" s="121"/>
      <c r="G70" s="122" t="s">
        <v>579</v>
      </c>
      <c r="H70" s="123"/>
      <c r="I70" s="100"/>
      <c r="J70" s="120" t="s">
        <v>578</v>
      </c>
      <c r="K70" s="121"/>
      <c r="L70" s="121"/>
      <c r="M70" s="121"/>
      <c r="N70" s="122" t="s">
        <v>579</v>
      </c>
      <c r="O70" s="121"/>
      <c r="P70" s="123"/>
      <c r="Q70" s="100"/>
      <c r="R70" s="102"/>
    </row>
    <row r="71" spans="2:18" s="98" customFormat="1" ht="14.25" customHeight="1">
      <c r="B71" s="124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6"/>
    </row>
    <row r="75" spans="2:18" s="98" customFormat="1" ht="6.7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98" customFormat="1" ht="36.75" customHeight="1">
      <c r="B76" s="99"/>
      <c r="C76" s="787" t="s">
        <v>582</v>
      </c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09"/>
      <c r="P76" s="809"/>
      <c r="Q76" s="809"/>
      <c r="R76" s="102"/>
      <c r="T76" s="130"/>
      <c r="U76" s="130"/>
    </row>
    <row r="77" spans="2:21" s="98" customFormat="1" ht="6.75" customHeight="1"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2"/>
      <c r="T77" s="130"/>
      <c r="U77" s="130"/>
    </row>
    <row r="78" spans="2:21" s="98" customFormat="1" ht="30" customHeight="1">
      <c r="B78" s="99"/>
      <c r="C78" s="97" t="s">
        <v>31</v>
      </c>
      <c r="D78" s="100"/>
      <c r="E78" s="100"/>
      <c r="F78" s="789" t="str">
        <f>F6</f>
        <v>Raudnitzův dům - Bydlení pro seniory</v>
      </c>
      <c r="G78" s="790"/>
      <c r="H78" s="790"/>
      <c r="I78" s="790"/>
      <c r="J78" s="790"/>
      <c r="K78" s="790"/>
      <c r="L78" s="790"/>
      <c r="M78" s="790"/>
      <c r="N78" s="790"/>
      <c r="O78" s="790"/>
      <c r="P78" s="790"/>
      <c r="Q78" s="100"/>
      <c r="R78" s="102"/>
      <c r="T78" s="130"/>
      <c r="U78" s="130"/>
    </row>
    <row r="79" spans="2:21" s="98" customFormat="1" ht="36.75" customHeight="1">
      <c r="B79" s="99"/>
      <c r="C79" s="131" t="s">
        <v>549</v>
      </c>
      <c r="D79" s="100"/>
      <c r="E79" s="100"/>
      <c r="F79" s="791" t="str">
        <f>F7</f>
        <v>D.1.4.3 - Vytápění</v>
      </c>
      <c r="G79" s="788"/>
      <c r="H79" s="788"/>
      <c r="I79" s="788"/>
      <c r="J79" s="788"/>
      <c r="K79" s="788"/>
      <c r="L79" s="788"/>
      <c r="M79" s="788"/>
      <c r="N79" s="788"/>
      <c r="O79" s="788"/>
      <c r="P79" s="788"/>
      <c r="Q79" s="100"/>
      <c r="R79" s="102"/>
      <c r="T79" s="130"/>
      <c r="U79" s="130"/>
    </row>
    <row r="80" spans="2:21" s="98" customFormat="1" ht="6.75" customHeight="1">
      <c r="B80" s="99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2"/>
      <c r="T80" s="130"/>
      <c r="U80" s="130"/>
    </row>
    <row r="81" spans="2:21" s="98" customFormat="1" ht="18" customHeight="1">
      <c r="B81" s="99"/>
      <c r="C81" s="97" t="s">
        <v>554</v>
      </c>
      <c r="D81" s="100"/>
      <c r="E81" s="100"/>
      <c r="F81" s="103" t="str">
        <f>F9</f>
        <v>Hlubočepská 2/33, 15000 Praha 5 - Hlubočepy</v>
      </c>
      <c r="G81" s="100"/>
      <c r="H81" s="100"/>
      <c r="I81" s="100"/>
      <c r="J81" s="100"/>
      <c r="K81" s="97" t="s">
        <v>556</v>
      </c>
      <c r="L81" s="100"/>
      <c r="M81" s="792"/>
      <c r="N81" s="792"/>
      <c r="O81" s="792"/>
      <c r="P81" s="792"/>
      <c r="Q81" s="100"/>
      <c r="R81" s="102"/>
      <c r="T81" s="130"/>
      <c r="U81" s="130"/>
    </row>
    <row r="82" spans="2:21" s="98" customFormat="1" ht="6.75" customHeight="1">
      <c r="B82" s="99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2"/>
      <c r="T82" s="130"/>
      <c r="U82" s="130"/>
    </row>
    <row r="83" spans="2:21" s="98" customFormat="1" ht="15">
      <c r="B83" s="99"/>
      <c r="C83" s="97" t="s">
        <v>557</v>
      </c>
      <c r="D83" s="100"/>
      <c r="E83" s="100"/>
      <c r="F83" s="103"/>
      <c r="G83" s="100"/>
      <c r="H83" s="100"/>
      <c r="I83" s="100"/>
      <c r="J83" s="100"/>
      <c r="K83" s="97" t="s">
        <v>562</v>
      </c>
      <c r="L83" s="100"/>
      <c r="M83" s="793"/>
      <c r="N83" s="793"/>
      <c r="O83" s="793"/>
      <c r="P83" s="793"/>
      <c r="Q83" s="793"/>
      <c r="R83" s="102"/>
      <c r="T83" s="130"/>
      <c r="U83" s="130"/>
    </row>
    <row r="84" spans="2:21" s="98" customFormat="1" ht="14.25" customHeight="1">
      <c r="B84" s="99"/>
      <c r="C84" s="97" t="s">
        <v>561</v>
      </c>
      <c r="D84" s="100"/>
      <c r="E84" s="100"/>
      <c r="F84" s="103">
        <f>IF(E15="","",E15)</f>
      </c>
      <c r="G84" s="100"/>
      <c r="H84" s="100"/>
      <c r="I84" s="100"/>
      <c r="J84" s="100"/>
      <c r="K84" s="97" t="s">
        <v>563</v>
      </c>
      <c r="L84" s="100"/>
      <c r="M84" s="793"/>
      <c r="N84" s="793"/>
      <c r="O84" s="793"/>
      <c r="P84" s="793"/>
      <c r="Q84" s="793"/>
      <c r="R84" s="102"/>
      <c r="T84" s="130"/>
      <c r="U84" s="130"/>
    </row>
    <row r="85" spans="2:21" s="98" customFormat="1" ht="9.75" customHeight="1"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2"/>
      <c r="T85" s="130"/>
      <c r="U85" s="130"/>
    </row>
    <row r="86" spans="2:21" s="98" customFormat="1" ht="29.25" customHeight="1">
      <c r="B86" s="99"/>
      <c r="C86" s="804" t="s">
        <v>583</v>
      </c>
      <c r="D86" s="805"/>
      <c r="E86" s="805"/>
      <c r="F86" s="805"/>
      <c r="G86" s="805"/>
      <c r="H86" s="111"/>
      <c r="I86" s="111"/>
      <c r="J86" s="111"/>
      <c r="K86" s="111"/>
      <c r="L86" s="111"/>
      <c r="M86" s="111"/>
      <c r="N86" s="804" t="s">
        <v>584</v>
      </c>
      <c r="O86" s="805"/>
      <c r="P86" s="805"/>
      <c r="Q86" s="805"/>
      <c r="R86" s="102"/>
      <c r="T86" s="130"/>
      <c r="U86" s="130"/>
    </row>
    <row r="87" spans="2:21" s="98" customFormat="1" ht="9.75" customHeight="1"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2"/>
      <c r="T87" s="130"/>
      <c r="U87" s="130"/>
    </row>
    <row r="88" spans="2:38" s="98" customFormat="1" ht="29.25" customHeight="1">
      <c r="B88" s="99"/>
      <c r="C88" s="132" t="s">
        <v>585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806">
        <f>N121</f>
        <v>0</v>
      </c>
      <c r="O88" s="799"/>
      <c r="P88" s="799"/>
      <c r="Q88" s="799"/>
      <c r="R88" s="102"/>
      <c r="T88" s="130"/>
      <c r="U88" s="130"/>
      <c r="AL88" s="89" t="s">
        <v>586</v>
      </c>
    </row>
    <row r="89" spans="2:21" s="133" customFormat="1" ht="24.75" customHeight="1">
      <c r="B89" s="134"/>
      <c r="C89" s="135"/>
      <c r="D89" s="136" t="s">
        <v>587</v>
      </c>
      <c r="E89" s="135"/>
      <c r="F89" s="135"/>
      <c r="G89" s="135"/>
      <c r="H89" s="135"/>
      <c r="I89" s="135"/>
      <c r="J89" s="135"/>
      <c r="K89" s="135"/>
      <c r="L89" s="135"/>
      <c r="M89" s="135"/>
      <c r="N89" s="786">
        <f>N122</f>
        <v>0</v>
      </c>
      <c r="O89" s="801"/>
      <c r="P89" s="801"/>
      <c r="Q89" s="801"/>
      <c r="R89" s="137"/>
      <c r="T89" s="138"/>
      <c r="U89" s="138"/>
    </row>
    <row r="90" spans="2:21" s="139" customFormat="1" ht="19.5" customHeight="1">
      <c r="B90" s="140"/>
      <c r="C90" s="141"/>
      <c r="D90" s="142" t="s">
        <v>588</v>
      </c>
      <c r="E90" s="141"/>
      <c r="F90" s="141"/>
      <c r="G90" s="141"/>
      <c r="H90" s="141"/>
      <c r="I90" s="141"/>
      <c r="J90" s="141"/>
      <c r="K90" s="141"/>
      <c r="L90" s="141"/>
      <c r="M90" s="141"/>
      <c r="N90" s="802">
        <f>N123</f>
        <v>0</v>
      </c>
      <c r="O90" s="803"/>
      <c r="P90" s="803"/>
      <c r="Q90" s="803"/>
      <c r="R90" s="143"/>
      <c r="T90" s="144"/>
      <c r="U90" s="144"/>
    </row>
    <row r="91" spans="2:21" s="139" customFormat="1" ht="19.5" customHeight="1">
      <c r="B91" s="140"/>
      <c r="C91" s="141"/>
      <c r="D91" s="142" t="s">
        <v>589</v>
      </c>
      <c r="E91" s="141"/>
      <c r="F91" s="141"/>
      <c r="G91" s="141"/>
      <c r="H91" s="141"/>
      <c r="I91" s="141"/>
      <c r="J91" s="141"/>
      <c r="K91" s="141"/>
      <c r="L91" s="141"/>
      <c r="M91" s="141"/>
      <c r="N91" s="802">
        <f>N140</f>
        <v>0</v>
      </c>
      <c r="O91" s="803"/>
      <c r="P91" s="803"/>
      <c r="Q91" s="803"/>
      <c r="R91" s="143"/>
      <c r="T91" s="144"/>
      <c r="U91" s="144"/>
    </row>
    <row r="92" spans="2:21" s="139" customFormat="1" ht="19.5" customHeight="1">
      <c r="B92" s="140"/>
      <c r="C92" s="141"/>
      <c r="D92" s="142" t="s">
        <v>590</v>
      </c>
      <c r="E92" s="141"/>
      <c r="F92" s="141"/>
      <c r="G92" s="141"/>
      <c r="H92" s="141"/>
      <c r="I92" s="141"/>
      <c r="J92" s="141"/>
      <c r="K92" s="141"/>
      <c r="L92" s="141"/>
      <c r="M92" s="141"/>
      <c r="N92" s="802">
        <f>N158</f>
        <v>0</v>
      </c>
      <c r="O92" s="803"/>
      <c r="P92" s="803"/>
      <c r="Q92" s="803"/>
      <c r="R92" s="143"/>
      <c r="T92" s="144"/>
      <c r="U92" s="144"/>
    </row>
    <row r="93" spans="2:21" s="139" customFormat="1" ht="19.5" customHeight="1">
      <c r="B93" s="140"/>
      <c r="C93" s="141"/>
      <c r="D93" s="142" t="s">
        <v>591</v>
      </c>
      <c r="E93" s="141"/>
      <c r="F93" s="141"/>
      <c r="G93" s="141"/>
      <c r="H93" s="141"/>
      <c r="I93" s="141"/>
      <c r="J93" s="141"/>
      <c r="K93" s="141"/>
      <c r="L93" s="141"/>
      <c r="M93" s="141"/>
      <c r="N93" s="802">
        <f>N180</f>
        <v>0</v>
      </c>
      <c r="O93" s="803"/>
      <c r="P93" s="803"/>
      <c r="Q93" s="803"/>
      <c r="R93" s="143"/>
      <c r="T93" s="144"/>
      <c r="U93" s="144"/>
    </row>
    <row r="94" spans="2:21" s="139" customFormat="1" ht="19.5" customHeight="1">
      <c r="B94" s="140"/>
      <c r="C94" s="141"/>
      <c r="D94" s="142" t="s">
        <v>592</v>
      </c>
      <c r="E94" s="141"/>
      <c r="F94" s="141"/>
      <c r="G94" s="141"/>
      <c r="H94" s="141"/>
      <c r="I94" s="141"/>
      <c r="J94" s="141"/>
      <c r="K94" s="141"/>
      <c r="L94" s="141"/>
      <c r="M94" s="141"/>
      <c r="N94" s="802">
        <f>N193</f>
        <v>0</v>
      </c>
      <c r="O94" s="803"/>
      <c r="P94" s="803"/>
      <c r="Q94" s="803"/>
      <c r="R94" s="143"/>
      <c r="T94" s="144"/>
      <c r="U94" s="144"/>
    </row>
    <row r="95" spans="2:21" s="98" customFormat="1" ht="21.75" customHeight="1"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2"/>
      <c r="T95" s="130"/>
      <c r="U95" s="130"/>
    </row>
    <row r="96" spans="2:21" s="98" customFormat="1" ht="29.25" customHeight="1">
      <c r="B96" s="99"/>
      <c r="C96" s="132" t="s">
        <v>593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799">
        <f>ROUND(N97+N98+N99+N100+N101+N102,2)</f>
        <v>0</v>
      </c>
      <c r="O96" s="800"/>
      <c r="P96" s="800"/>
      <c r="Q96" s="800"/>
      <c r="R96" s="102"/>
      <c r="T96" s="145"/>
      <c r="U96" s="146" t="s">
        <v>89</v>
      </c>
    </row>
    <row r="97" spans="2:56" s="98" customFormat="1" ht="18" customHeight="1">
      <c r="B97" s="99"/>
      <c r="C97" s="100"/>
      <c r="D97" s="794" t="s">
        <v>102</v>
      </c>
      <c r="E97" s="795"/>
      <c r="F97" s="795"/>
      <c r="G97" s="795"/>
      <c r="H97" s="795"/>
      <c r="I97" s="316"/>
      <c r="J97" s="316"/>
      <c r="K97" s="316"/>
      <c r="L97" s="316"/>
      <c r="M97" s="316"/>
      <c r="N97" s="796">
        <f>ROUND(N88*T97,2)</f>
        <v>0</v>
      </c>
      <c r="O97" s="797"/>
      <c r="P97" s="797"/>
      <c r="Q97" s="797"/>
      <c r="R97" s="102"/>
      <c r="S97" s="147"/>
      <c r="T97" s="148"/>
      <c r="U97" s="149" t="s">
        <v>571</v>
      </c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1" t="s">
        <v>594</v>
      </c>
      <c r="AQ97" s="150"/>
      <c r="AR97" s="150"/>
      <c r="AS97" s="150"/>
      <c r="AT97" s="150"/>
      <c r="AU97" s="150"/>
      <c r="AV97" s="152">
        <f aca="true" t="shared" si="0" ref="AV97:AV102">IF(U97="základní",N97,0)</f>
        <v>0</v>
      </c>
      <c r="AW97" s="152">
        <f aca="true" t="shared" si="1" ref="AW97:AW102">IF(U97="snížená",N97,0)</f>
        <v>0</v>
      </c>
      <c r="AX97" s="152">
        <f aca="true" t="shared" si="2" ref="AX97:AX102">IF(U97="zákl. přenesená",N97,0)</f>
        <v>0</v>
      </c>
      <c r="AY97" s="152">
        <f aca="true" t="shared" si="3" ref="AY97:AY102">IF(U97="sníž. přenesená",N97,0)</f>
        <v>0</v>
      </c>
      <c r="AZ97" s="152">
        <f aca="true" t="shared" si="4" ref="AZ97:AZ102">IF(U97="nulová",N97,0)</f>
        <v>0</v>
      </c>
      <c r="BA97" s="151" t="s">
        <v>595</v>
      </c>
      <c r="BB97" s="150"/>
      <c r="BC97" s="150"/>
      <c r="BD97" s="150"/>
    </row>
    <row r="98" spans="2:56" s="98" customFormat="1" ht="18" customHeight="1">
      <c r="B98" s="99"/>
      <c r="C98" s="100"/>
      <c r="D98" s="794" t="s">
        <v>596</v>
      </c>
      <c r="E98" s="795"/>
      <c r="F98" s="795"/>
      <c r="G98" s="795"/>
      <c r="H98" s="795"/>
      <c r="I98" s="316"/>
      <c r="J98" s="316"/>
      <c r="K98" s="316"/>
      <c r="L98" s="316"/>
      <c r="M98" s="316"/>
      <c r="N98" s="796">
        <f>ROUND(N88*T98,2)</f>
        <v>0</v>
      </c>
      <c r="O98" s="797"/>
      <c r="P98" s="797"/>
      <c r="Q98" s="797"/>
      <c r="R98" s="102"/>
      <c r="S98" s="147"/>
      <c r="T98" s="148"/>
      <c r="U98" s="149" t="s">
        <v>571</v>
      </c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1" t="s">
        <v>594</v>
      </c>
      <c r="AQ98" s="150"/>
      <c r="AR98" s="150"/>
      <c r="AS98" s="150"/>
      <c r="AT98" s="150"/>
      <c r="AU98" s="150"/>
      <c r="AV98" s="152">
        <f t="shared" si="0"/>
        <v>0</v>
      </c>
      <c r="AW98" s="152">
        <f t="shared" si="1"/>
        <v>0</v>
      </c>
      <c r="AX98" s="152">
        <f t="shared" si="2"/>
        <v>0</v>
      </c>
      <c r="AY98" s="152">
        <f t="shared" si="3"/>
        <v>0</v>
      </c>
      <c r="AZ98" s="152">
        <f t="shared" si="4"/>
        <v>0</v>
      </c>
      <c r="BA98" s="151" t="s">
        <v>595</v>
      </c>
      <c r="BB98" s="150"/>
      <c r="BC98" s="150"/>
      <c r="BD98" s="150"/>
    </row>
    <row r="99" spans="2:56" s="98" customFormat="1" ht="18" customHeight="1">
      <c r="B99" s="99"/>
      <c r="C99" s="100"/>
      <c r="D99" s="794" t="s">
        <v>103</v>
      </c>
      <c r="E99" s="795"/>
      <c r="F99" s="795"/>
      <c r="G99" s="795"/>
      <c r="H99" s="795"/>
      <c r="I99" s="316"/>
      <c r="J99" s="316"/>
      <c r="K99" s="316"/>
      <c r="L99" s="316"/>
      <c r="M99" s="316"/>
      <c r="N99" s="796">
        <f>ROUND(N88*T99,2)</f>
        <v>0</v>
      </c>
      <c r="O99" s="797"/>
      <c r="P99" s="797"/>
      <c r="Q99" s="797"/>
      <c r="R99" s="102"/>
      <c r="S99" s="147"/>
      <c r="T99" s="148"/>
      <c r="U99" s="149" t="s">
        <v>571</v>
      </c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1" t="s">
        <v>594</v>
      </c>
      <c r="AQ99" s="150"/>
      <c r="AR99" s="150"/>
      <c r="AS99" s="150"/>
      <c r="AT99" s="150"/>
      <c r="AU99" s="150"/>
      <c r="AV99" s="152">
        <f t="shared" si="0"/>
        <v>0</v>
      </c>
      <c r="AW99" s="152">
        <f t="shared" si="1"/>
        <v>0</v>
      </c>
      <c r="AX99" s="152">
        <f t="shared" si="2"/>
        <v>0</v>
      </c>
      <c r="AY99" s="152">
        <f t="shared" si="3"/>
        <v>0</v>
      </c>
      <c r="AZ99" s="152">
        <f t="shared" si="4"/>
        <v>0</v>
      </c>
      <c r="BA99" s="151" t="s">
        <v>595</v>
      </c>
      <c r="BB99" s="150"/>
      <c r="BC99" s="150"/>
      <c r="BD99" s="150"/>
    </row>
    <row r="100" spans="2:56" s="98" customFormat="1" ht="18" customHeight="1">
      <c r="B100" s="99"/>
      <c r="C100" s="100"/>
      <c r="D100" s="794" t="s">
        <v>597</v>
      </c>
      <c r="E100" s="795"/>
      <c r="F100" s="795"/>
      <c r="G100" s="795"/>
      <c r="H100" s="795"/>
      <c r="I100" s="316"/>
      <c r="J100" s="316"/>
      <c r="K100" s="316"/>
      <c r="L100" s="316"/>
      <c r="M100" s="316"/>
      <c r="N100" s="796">
        <f>ROUND(N88*T100,2)</f>
        <v>0</v>
      </c>
      <c r="O100" s="797"/>
      <c r="P100" s="797"/>
      <c r="Q100" s="797"/>
      <c r="R100" s="102"/>
      <c r="S100" s="147"/>
      <c r="T100" s="148"/>
      <c r="U100" s="149" t="s">
        <v>571</v>
      </c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1" t="s">
        <v>594</v>
      </c>
      <c r="AQ100" s="150"/>
      <c r="AR100" s="150"/>
      <c r="AS100" s="150"/>
      <c r="AT100" s="150"/>
      <c r="AU100" s="150"/>
      <c r="AV100" s="152">
        <f t="shared" si="0"/>
        <v>0</v>
      </c>
      <c r="AW100" s="152">
        <f t="shared" si="1"/>
        <v>0</v>
      </c>
      <c r="AX100" s="152">
        <f t="shared" si="2"/>
        <v>0</v>
      </c>
      <c r="AY100" s="152">
        <f t="shared" si="3"/>
        <v>0</v>
      </c>
      <c r="AZ100" s="152">
        <f t="shared" si="4"/>
        <v>0</v>
      </c>
      <c r="BA100" s="151" t="s">
        <v>595</v>
      </c>
      <c r="BB100" s="150"/>
      <c r="BC100" s="150"/>
      <c r="BD100" s="150"/>
    </row>
    <row r="101" spans="2:56" s="98" customFormat="1" ht="18" customHeight="1">
      <c r="B101" s="99"/>
      <c r="C101" s="100"/>
      <c r="D101" s="794" t="s">
        <v>598</v>
      </c>
      <c r="E101" s="795"/>
      <c r="F101" s="795"/>
      <c r="G101" s="795"/>
      <c r="H101" s="795"/>
      <c r="I101" s="316"/>
      <c r="J101" s="316"/>
      <c r="K101" s="316"/>
      <c r="L101" s="316"/>
      <c r="M101" s="316"/>
      <c r="N101" s="796">
        <f>ROUND(N88*T101,2)</f>
        <v>0</v>
      </c>
      <c r="O101" s="797"/>
      <c r="P101" s="797"/>
      <c r="Q101" s="797"/>
      <c r="R101" s="102"/>
      <c r="S101" s="147"/>
      <c r="T101" s="148"/>
      <c r="U101" s="149" t="s">
        <v>571</v>
      </c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1" t="s">
        <v>594</v>
      </c>
      <c r="AQ101" s="150"/>
      <c r="AR101" s="150"/>
      <c r="AS101" s="150"/>
      <c r="AT101" s="150"/>
      <c r="AU101" s="150"/>
      <c r="AV101" s="152">
        <f t="shared" si="0"/>
        <v>0</v>
      </c>
      <c r="AW101" s="152">
        <f t="shared" si="1"/>
        <v>0</v>
      </c>
      <c r="AX101" s="152">
        <f t="shared" si="2"/>
        <v>0</v>
      </c>
      <c r="AY101" s="152">
        <f t="shared" si="3"/>
        <v>0</v>
      </c>
      <c r="AZ101" s="152">
        <f t="shared" si="4"/>
        <v>0</v>
      </c>
      <c r="BA101" s="151" t="s">
        <v>595</v>
      </c>
      <c r="BB101" s="150"/>
      <c r="BC101" s="150"/>
      <c r="BD101" s="150"/>
    </row>
    <row r="102" spans="2:56" s="98" customFormat="1" ht="18" customHeight="1">
      <c r="B102" s="99"/>
      <c r="C102" s="100"/>
      <c r="D102" s="325" t="s">
        <v>599</v>
      </c>
      <c r="E102" s="316"/>
      <c r="F102" s="316"/>
      <c r="G102" s="316"/>
      <c r="H102" s="316"/>
      <c r="I102" s="316"/>
      <c r="J102" s="316"/>
      <c r="K102" s="316"/>
      <c r="L102" s="316"/>
      <c r="M102" s="316"/>
      <c r="N102" s="796">
        <f>ROUND(N88*T102,2)</f>
        <v>0</v>
      </c>
      <c r="O102" s="797"/>
      <c r="P102" s="797"/>
      <c r="Q102" s="797"/>
      <c r="R102" s="102"/>
      <c r="S102" s="147"/>
      <c r="T102" s="153"/>
      <c r="U102" s="154" t="s">
        <v>571</v>
      </c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1" t="s">
        <v>600</v>
      </c>
      <c r="AQ102" s="150"/>
      <c r="AR102" s="150"/>
      <c r="AS102" s="150"/>
      <c r="AT102" s="150"/>
      <c r="AU102" s="150"/>
      <c r="AV102" s="152">
        <f t="shared" si="0"/>
        <v>0</v>
      </c>
      <c r="AW102" s="152">
        <f t="shared" si="1"/>
        <v>0</v>
      </c>
      <c r="AX102" s="152">
        <f t="shared" si="2"/>
        <v>0</v>
      </c>
      <c r="AY102" s="152">
        <f t="shared" si="3"/>
        <v>0</v>
      </c>
      <c r="AZ102" s="152">
        <f t="shared" si="4"/>
        <v>0</v>
      </c>
      <c r="BA102" s="151" t="s">
        <v>595</v>
      </c>
      <c r="BB102" s="150"/>
      <c r="BC102" s="150"/>
      <c r="BD102" s="150"/>
    </row>
    <row r="103" spans="2:21" s="98" customFormat="1" ht="12.75">
      <c r="B103" s="99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2"/>
      <c r="T103" s="130"/>
      <c r="U103" s="130"/>
    </row>
    <row r="104" spans="2:21" s="98" customFormat="1" ht="29.25" customHeight="1">
      <c r="B104" s="99"/>
      <c r="C104" s="155" t="s">
        <v>601</v>
      </c>
      <c r="D104" s="111"/>
      <c r="E104" s="111"/>
      <c r="F104" s="111"/>
      <c r="G104" s="111"/>
      <c r="H104" s="111"/>
      <c r="I104" s="111"/>
      <c r="J104" s="111"/>
      <c r="K104" s="111"/>
      <c r="L104" s="798">
        <f>SUM(N88+N96)</f>
        <v>0</v>
      </c>
      <c r="M104" s="798"/>
      <c r="N104" s="798"/>
      <c r="O104" s="798"/>
      <c r="P104" s="798"/>
      <c r="Q104" s="798"/>
      <c r="R104" s="102"/>
      <c r="T104" s="130"/>
      <c r="U104" s="130"/>
    </row>
    <row r="105" spans="2:21" s="98" customFormat="1" ht="6.75" customHeight="1">
      <c r="B105" s="124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6"/>
      <c r="T105" s="130"/>
      <c r="U105" s="130"/>
    </row>
    <row r="109" spans="2:18" s="98" customFormat="1" ht="6.75" customHeight="1">
      <c r="B109" s="156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8"/>
    </row>
    <row r="110" spans="2:18" s="98" customFormat="1" ht="36.75" customHeight="1">
      <c r="B110" s="99"/>
      <c r="C110" s="787" t="s">
        <v>602</v>
      </c>
      <c r="D110" s="788"/>
      <c r="E110" s="788"/>
      <c r="F110" s="788"/>
      <c r="G110" s="788"/>
      <c r="H110" s="788"/>
      <c r="I110" s="788"/>
      <c r="J110" s="788"/>
      <c r="K110" s="788"/>
      <c r="L110" s="788"/>
      <c r="M110" s="788"/>
      <c r="N110" s="788"/>
      <c r="O110" s="788"/>
      <c r="P110" s="788"/>
      <c r="Q110" s="788"/>
      <c r="R110" s="102"/>
    </row>
    <row r="111" spans="2:18" s="98" customFormat="1" ht="6.75" customHeight="1">
      <c r="B111" s="99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2"/>
    </row>
    <row r="112" spans="2:18" s="98" customFormat="1" ht="30" customHeight="1">
      <c r="B112" s="99"/>
      <c r="C112" s="97" t="s">
        <v>31</v>
      </c>
      <c r="D112" s="100"/>
      <c r="E112" s="100"/>
      <c r="F112" s="789" t="str">
        <f>F6</f>
        <v>Raudnitzův dům - Bydlení pro seniory</v>
      </c>
      <c r="G112" s="790"/>
      <c r="H112" s="790"/>
      <c r="I112" s="790"/>
      <c r="J112" s="790"/>
      <c r="K112" s="790"/>
      <c r="L112" s="790"/>
      <c r="M112" s="790"/>
      <c r="N112" s="790"/>
      <c r="O112" s="790"/>
      <c r="P112" s="790"/>
      <c r="Q112" s="100"/>
      <c r="R112" s="102"/>
    </row>
    <row r="113" spans="2:18" s="98" customFormat="1" ht="36.75" customHeight="1">
      <c r="B113" s="99"/>
      <c r="C113" s="131" t="s">
        <v>549</v>
      </c>
      <c r="D113" s="100"/>
      <c r="E113" s="100"/>
      <c r="F113" s="791" t="str">
        <f>F7</f>
        <v>D.1.4.3 - Vytápění</v>
      </c>
      <c r="G113" s="788"/>
      <c r="H113" s="788"/>
      <c r="I113" s="788"/>
      <c r="J113" s="788"/>
      <c r="K113" s="788"/>
      <c r="L113" s="788"/>
      <c r="M113" s="788"/>
      <c r="N113" s="788"/>
      <c r="O113" s="788"/>
      <c r="P113" s="788"/>
      <c r="Q113" s="100"/>
      <c r="R113" s="102"/>
    </row>
    <row r="114" spans="2:18" s="98" customFormat="1" ht="6.75" customHeight="1">
      <c r="B114" s="99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2"/>
    </row>
    <row r="115" spans="2:18" s="98" customFormat="1" ht="18" customHeight="1">
      <c r="B115" s="99"/>
      <c r="C115" s="97" t="s">
        <v>554</v>
      </c>
      <c r="D115" s="100"/>
      <c r="E115" s="100"/>
      <c r="F115" s="103" t="str">
        <f>F9</f>
        <v>Hlubočepská 2/33, 15000 Praha 5 - Hlubočepy</v>
      </c>
      <c r="G115" s="100"/>
      <c r="H115" s="100"/>
      <c r="I115" s="100"/>
      <c r="J115" s="100"/>
      <c r="K115" s="97" t="s">
        <v>556</v>
      </c>
      <c r="L115" s="100"/>
      <c r="M115" s="792">
        <v>43339</v>
      </c>
      <c r="N115" s="792"/>
      <c r="O115" s="792"/>
      <c r="P115" s="792"/>
      <c r="Q115" s="100"/>
      <c r="R115" s="102"/>
    </row>
    <row r="116" spans="2:18" s="98" customFormat="1" ht="6.75" customHeight="1">
      <c r="B116" s="99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2"/>
    </row>
    <row r="117" spans="2:18" s="98" customFormat="1" ht="15">
      <c r="B117" s="99"/>
      <c r="C117" s="97" t="s">
        <v>557</v>
      </c>
      <c r="D117" s="100"/>
      <c r="E117" s="100"/>
      <c r="F117" s="103"/>
      <c r="G117" s="100"/>
      <c r="H117" s="100"/>
      <c r="I117" s="100"/>
      <c r="J117" s="100"/>
      <c r="K117" s="97" t="s">
        <v>562</v>
      </c>
      <c r="L117" s="100"/>
      <c r="M117" s="793"/>
      <c r="N117" s="793"/>
      <c r="O117" s="793"/>
      <c r="P117" s="793"/>
      <c r="Q117" s="793"/>
      <c r="R117" s="102"/>
    </row>
    <row r="118" spans="2:18" s="98" customFormat="1" ht="14.25" customHeight="1">
      <c r="B118" s="99"/>
      <c r="C118" s="97" t="s">
        <v>561</v>
      </c>
      <c r="D118" s="100"/>
      <c r="E118" s="100"/>
      <c r="F118" s="103">
        <f>IF(E15="","",E15)</f>
      </c>
      <c r="G118" s="100"/>
      <c r="H118" s="100"/>
      <c r="I118" s="100"/>
      <c r="J118" s="100"/>
      <c r="K118" s="97" t="s">
        <v>563</v>
      </c>
      <c r="L118" s="100"/>
      <c r="M118" s="793"/>
      <c r="N118" s="793"/>
      <c r="O118" s="793"/>
      <c r="P118" s="793"/>
      <c r="Q118" s="793"/>
      <c r="R118" s="102"/>
    </row>
    <row r="119" spans="2:18" s="98" customFormat="1" ht="9.75" customHeight="1">
      <c r="B119" s="99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2"/>
    </row>
    <row r="120" spans="2:27" s="159" customFormat="1" ht="29.25" customHeight="1">
      <c r="B120" s="160"/>
      <c r="C120" s="161" t="s">
        <v>603</v>
      </c>
      <c r="D120" s="162" t="s">
        <v>604</v>
      </c>
      <c r="E120" s="162" t="s">
        <v>605</v>
      </c>
      <c r="F120" s="780" t="s">
        <v>32</v>
      </c>
      <c r="G120" s="780"/>
      <c r="H120" s="780"/>
      <c r="I120" s="780"/>
      <c r="J120" s="162" t="s">
        <v>34</v>
      </c>
      <c r="K120" s="162" t="s">
        <v>606</v>
      </c>
      <c r="L120" s="781" t="s">
        <v>607</v>
      </c>
      <c r="M120" s="781"/>
      <c r="N120" s="780" t="s">
        <v>584</v>
      </c>
      <c r="O120" s="780"/>
      <c r="P120" s="780"/>
      <c r="Q120" s="782"/>
      <c r="R120" s="163"/>
      <c r="T120" s="164" t="s">
        <v>608</v>
      </c>
      <c r="U120" s="165" t="s">
        <v>89</v>
      </c>
      <c r="V120" s="165" t="s">
        <v>609</v>
      </c>
      <c r="W120" s="165" t="s">
        <v>610</v>
      </c>
      <c r="X120" s="165" t="s">
        <v>611</v>
      </c>
      <c r="Y120" s="165" t="s">
        <v>612</v>
      </c>
      <c r="Z120" s="165" t="s">
        <v>613</v>
      </c>
      <c r="AA120" s="166" t="s">
        <v>614</v>
      </c>
    </row>
    <row r="121" spans="2:54" s="98" customFormat="1" ht="29.25" customHeight="1">
      <c r="B121" s="99"/>
      <c r="C121" s="167" t="s">
        <v>564</v>
      </c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783">
        <f>N122</f>
        <v>0</v>
      </c>
      <c r="O121" s="784"/>
      <c r="P121" s="784"/>
      <c r="Q121" s="784"/>
      <c r="R121" s="102"/>
      <c r="T121" s="168"/>
      <c r="U121" s="104"/>
      <c r="V121" s="104"/>
      <c r="W121" s="169" t="e">
        <f>W122+#REF!</f>
        <v>#REF!</v>
      </c>
      <c r="X121" s="104"/>
      <c r="Y121" s="169" t="e">
        <f>Y122+#REF!</f>
        <v>#REF!</v>
      </c>
      <c r="Z121" s="104"/>
      <c r="AA121" s="170" t="e">
        <f>AA122+#REF!</f>
        <v>#REF!</v>
      </c>
      <c r="AK121" s="89" t="s">
        <v>615</v>
      </c>
      <c r="AL121" s="89" t="s">
        <v>586</v>
      </c>
      <c r="BB121" s="171" t="e">
        <f>BB122+#REF!</f>
        <v>#REF!</v>
      </c>
    </row>
    <row r="122" spans="2:54" s="172" customFormat="1" ht="36.75" customHeight="1">
      <c r="B122" s="173"/>
      <c r="C122" s="174"/>
      <c r="D122" s="175" t="s">
        <v>587</v>
      </c>
      <c r="E122" s="175"/>
      <c r="F122" s="175"/>
      <c r="G122" s="175"/>
      <c r="H122" s="175"/>
      <c r="I122" s="175"/>
      <c r="J122" s="175"/>
      <c r="K122" s="175"/>
      <c r="L122" s="175"/>
      <c r="M122" s="175"/>
      <c r="N122" s="785">
        <f>SUM(N123+N140+N158+N180+N193)</f>
        <v>0</v>
      </c>
      <c r="O122" s="786"/>
      <c r="P122" s="786"/>
      <c r="Q122" s="786"/>
      <c r="R122" s="176"/>
      <c r="T122" s="177"/>
      <c r="U122" s="174"/>
      <c r="V122" s="174"/>
      <c r="W122" s="178">
        <f>W123+W140+W158+W180+W193</f>
        <v>0</v>
      </c>
      <c r="X122" s="174"/>
      <c r="Y122" s="178">
        <f>Y123+Y140+Y158+Y180+Y193</f>
        <v>0</v>
      </c>
      <c r="Z122" s="174"/>
      <c r="AA122" s="179">
        <f>AA123+AA140+AA158+AA180+AA193</f>
        <v>0</v>
      </c>
      <c r="AI122" s="180" t="s">
        <v>544</v>
      </c>
      <c r="AK122" s="181" t="s">
        <v>615</v>
      </c>
      <c r="AL122" s="181" t="s">
        <v>616</v>
      </c>
      <c r="AP122" s="180" t="s">
        <v>617</v>
      </c>
      <c r="BB122" s="182">
        <f>BB123+BB140+BB158+BB180+BB193</f>
        <v>0</v>
      </c>
    </row>
    <row r="123" spans="2:54" s="172" customFormat="1" ht="19.5" customHeight="1">
      <c r="B123" s="173"/>
      <c r="C123" s="174"/>
      <c r="D123" s="183" t="s">
        <v>588</v>
      </c>
      <c r="E123" s="183"/>
      <c r="F123" s="183"/>
      <c r="G123" s="183"/>
      <c r="H123" s="183"/>
      <c r="I123" s="183"/>
      <c r="J123" s="183"/>
      <c r="K123" s="183"/>
      <c r="L123" s="183"/>
      <c r="M123" s="183"/>
      <c r="N123" s="778">
        <f>SUM(N124:Q139)</f>
        <v>0</v>
      </c>
      <c r="O123" s="779"/>
      <c r="P123" s="779"/>
      <c r="Q123" s="779"/>
      <c r="R123" s="176"/>
      <c r="T123" s="177"/>
      <c r="U123" s="174"/>
      <c r="V123" s="174"/>
      <c r="W123" s="178">
        <f>SUM(W124:W138)</f>
        <v>0</v>
      </c>
      <c r="X123" s="174"/>
      <c r="Y123" s="178">
        <f>SUM(Y124:Y138)</f>
        <v>0</v>
      </c>
      <c r="Z123" s="174"/>
      <c r="AA123" s="179">
        <f>SUM(AA124:AA138)</f>
        <v>0</v>
      </c>
      <c r="AI123" s="180" t="s">
        <v>544</v>
      </c>
      <c r="AK123" s="181" t="s">
        <v>615</v>
      </c>
      <c r="AL123" s="181" t="s">
        <v>544</v>
      </c>
      <c r="AP123" s="180" t="s">
        <v>617</v>
      </c>
      <c r="BB123" s="182">
        <f>SUM(BB124:BB138)</f>
        <v>0</v>
      </c>
    </row>
    <row r="124" spans="2:56" s="98" customFormat="1" ht="44.25" customHeight="1">
      <c r="B124" s="99"/>
      <c r="C124" s="184">
        <v>1</v>
      </c>
      <c r="D124" s="184" t="s">
        <v>618</v>
      </c>
      <c r="E124" s="185"/>
      <c r="F124" s="773" t="s">
        <v>1372</v>
      </c>
      <c r="G124" s="773"/>
      <c r="H124" s="773"/>
      <c r="I124" s="773"/>
      <c r="J124" s="186" t="s">
        <v>45</v>
      </c>
      <c r="K124" s="187">
        <v>2</v>
      </c>
      <c r="L124" s="827"/>
      <c r="M124" s="828"/>
      <c r="N124" s="772">
        <f aca="true" t="shared" si="5" ref="N124:N139">ROUND(L124*K124,0)</f>
        <v>0</v>
      </c>
      <c r="O124" s="772"/>
      <c r="P124" s="772"/>
      <c r="Q124" s="772"/>
      <c r="R124" s="102"/>
      <c r="T124" s="188" t="s">
        <v>552</v>
      </c>
      <c r="U124" s="189" t="s">
        <v>571</v>
      </c>
      <c r="V124" s="100"/>
      <c r="W124" s="190">
        <f aca="true" t="shared" si="6" ref="W124:W139">V124*K124</f>
        <v>0</v>
      </c>
      <c r="X124" s="190">
        <v>0</v>
      </c>
      <c r="Y124" s="190">
        <f aca="true" t="shared" si="7" ref="Y124:Y139">X124*K124</f>
        <v>0</v>
      </c>
      <c r="Z124" s="190">
        <v>0</v>
      </c>
      <c r="AA124" s="191">
        <f aca="true" t="shared" si="8" ref="AA124:AA139">Z124*K124</f>
        <v>0</v>
      </c>
      <c r="AI124" s="89" t="s">
        <v>619</v>
      </c>
      <c r="AK124" s="89" t="s">
        <v>618</v>
      </c>
      <c r="AL124" s="89" t="s">
        <v>620</v>
      </c>
      <c r="AP124" s="89" t="s">
        <v>617</v>
      </c>
      <c r="AV124" s="192">
        <f aca="true" t="shared" si="9" ref="AV124:AV139">IF(U124="základní",N124,0)</f>
        <v>0</v>
      </c>
      <c r="AW124" s="192">
        <f aca="true" t="shared" si="10" ref="AW124:AW139">IF(U124="snížená",N124,0)</f>
        <v>0</v>
      </c>
      <c r="AX124" s="192">
        <f aca="true" t="shared" si="11" ref="AX124:AX139">IF(U124="zákl. přenesená",N124,0)</f>
        <v>0</v>
      </c>
      <c r="AY124" s="192">
        <f aca="true" t="shared" si="12" ref="AY124:AY139">IF(U124="sníž. přenesená",N124,0)</f>
        <v>0</v>
      </c>
      <c r="AZ124" s="192">
        <f aca="true" t="shared" si="13" ref="AZ124:AZ139">IF(U124="nulová",N124,0)</f>
        <v>0</v>
      </c>
      <c r="BA124" s="89" t="s">
        <v>595</v>
      </c>
      <c r="BB124" s="192">
        <f aca="true" t="shared" si="14" ref="BB124:BB139">ROUND(L124*K124,0)</f>
        <v>0</v>
      </c>
      <c r="BC124" s="89" t="s">
        <v>619</v>
      </c>
      <c r="BD124" s="89" t="s">
        <v>620</v>
      </c>
    </row>
    <row r="125" spans="2:56" s="98" customFormat="1" ht="31.5" customHeight="1">
      <c r="B125" s="99"/>
      <c r="C125" s="184">
        <v>2</v>
      </c>
      <c r="D125" s="184" t="s">
        <v>618</v>
      </c>
      <c r="E125" s="185"/>
      <c r="F125" s="773" t="s">
        <v>1373</v>
      </c>
      <c r="G125" s="773"/>
      <c r="H125" s="773"/>
      <c r="I125" s="773"/>
      <c r="J125" s="186" t="s">
        <v>45</v>
      </c>
      <c r="K125" s="187">
        <v>1</v>
      </c>
      <c r="L125" s="827"/>
      <c r="M125" s="828"/>
      <c r="N125" s="772">
        <f t="shared" si="5"/>
        <v>0</v>
      </c>
      <c r="O125" s="772"/>
      <c r="P125" s="772"/>
      <c r="Q125" s="772"/>
      <c r="R125" s="102"/>
      <c r="T125" s="188" t="s">
        <v>552</v>
      </c>
      <c r="U125" s="189" t="s">
        <v>571</v>
      </c>
      <c r="V125" s="100"/>
      <c r="W125" s="190">
        <f t="shared" si="6"/>
        <v>0</v>
      </c>
      <c r="X125" s="190">
        <v>0</v>
      </c>
      <c r="Y125" s="190">
        <f t="shared" si="7"/>
        <v>0</v>
      </c>
      <c r="Z125" s="190">
        <v>0</v>
      </c>
      <c r="AA125" s="191">
        <f t="shared" si="8"/>
        <v>0</v>
      </c>
      <c r="AI125" s="89" t="s">
        <v>619</v>
      </c>
      <c r="AK125" s="89" t="s">
        <v>618</v>
      </c>
      <c r="AL125" s="89" t="s">
        <v>620</v>
      </c>
      <c r="AP125" s="89" t="s">
        <v>617</v>
      </c>
      <c r="AV125" s="192">
        <f t="shared" si="9"/>
        <v>0</v>
      </c>
      <c r="AW125" s="192">
        <f t="shared" si="10"/>
        <v>0</v>
      </c>
      <c r="AX125" s="192">
        <f t="shared" si="11"/>
        <v>0</v>
      </c>
      <c r="AY125" s="192">
        <f t="shared" si="12"/>
        <v>0</v>
      </c>
      <c r="AZ125" s="192">
        <f t="shared" si="13"/>
        <v>0</v>
      </c>
      <c r="BA125" s="89" t="s">
        <v>595</v>
      </c>
      <c r="BB125" s="192">
        <f t="shared" si="14"/>
        <v>0</v>
      </c>
      <c r="BC125" s="89" t="s">
        <v>619</v>
      </c>
      <c r="BD125" s="89" t="s">
        <v>619</v>
      </c>
    </row>
    <row r="126" spans="2:56" s="98" customFormat="1" ht="31.5" customHeight="1">
      <c r="B126" s="99"/>
      <c r="C126" s="184">
        <v>3</v>
      </c>
      <c r="D126" s="184" t="s">
        <v>618</v>
      </c>
      <c r="E126" s="185"/>
      <c r="F126" s="773" t="s">
        <v>621</v>
      </c>
      <c r="G126" s="773"/>
      <c r="H126" s="773"/>
      <c r="I126" s="773"/>
      <c r="J126" s="186" t="s">
        <v>45</v>
      </c>
      <c r="K126" s="187">
        <v>2</v>
      </c>
      <c r="L126" s="827"/>
      <c r="M126" s="828"/>
      <c r="N126" s="772">
        <f t="shared" si="5"/>
        <v>0</v>
      </c>
      <c r="O126" s="772"/>
      <c r="P126" s="772"/>
      <c r="Q126" s="772"/>
      <c r="R126" s="102"/>
      <c r="T126" s="188" t="s">
        <v>552</v>
      </c>
      <c r="U126" s="189" t="s">
        <v>571</v>
      </c>
      <c r="V126" s="100"/>
      <c r="W126" s="190">
        <f t="shared" si="6"/>
        <v>0</v>
      </c>
      <c r="X126" s="190">
        <v>0</v>
      </c>
      <c r="Y126" s="190">
        <f t="shared" si="7"/>
        <v>0</v>
      </c>
      <c r="Z126" s="190">
        <v>0</v>
      </c>
      <c r="AA126" s="191">
        <f t="shared" si="8"/>
        <v>0</v>
      </c>
      <c r="AI126" s="89" t="s">
        <v>619</v>
      </c>
      <c r="AK126" s="89" t="s">
        <v>618</v>
      </c>
      <c r="AL126" s="89" t="s">
        <v>620</v>
      </c>
      <c r="AP126" s="89" t="s">
        <v>617</v>
      </c>
      <c r="AV126" s="192">
        <f t="shared" si="9"/>
        <v>0</v>
      </c>
      <c r="AW126" s="192">
        <f t="shared" si="10"/>
        <v>0</v>
      </c>
      <c r="AX126" s="192">
        <f t="shared" si="11"/>
        <v>0</v>
      </c>
      <c r="AY126" s="192">
        <f t="shared" si="12"/>
        <v>0</v>
      </c>
      <c r="AZ126" s="192">
        <f t="shared" si="13"/>
        <v>0</v>
      </c>
      <c r="BA126" s="89" t="s">
        <v>595</v>
      </c>
      <c r="BB126" s="192">
        <f t="shared" si="14"/>
        <v>0</v>
      </c>
      <c r="BC126" s="89" t="s">
        <v>619</v>
      </c>
      <c r="BD126" s="89" t="s">
        <v>619</v>
      </c>
    </row>
    <row r="127" spans="2:56" s="98" customFormat="1" ht="31.5" customHeight="1">
      <c r="B127" s="99"/>
      <c r="C127" s="184">
        <v>4</v>
      </c>
      <c r="D127" s="184" t="s">
        <v>618</v>
      </c>
      <c r="E127" s="185"/>
      <c r="F127" s="773" t="s">
        <v>622</v>
      </c>
      <c r="G127" s="773"/>
      <c r="H127" s="773"/>
      <c r="I127" s="773"/>
      <c r="J127" s="186" t="s">
        <v>45</v>
      </c>
      <c r="K127" s="187">
        <v>1</v>
      </c>
      <c r="L127" s="827"/>
      <c r="M127" s="828"/>
      <c r="N127" s="772">
        <f t="shared" si="5"/>
        <v>0</v>
      </c>
      <c r="O127" s="772"/>
      <c r="P127" s="772"/>
      <c r="Q127" s="772"/>
      <c r="R127" s="102"/>
      <c r="T127" s="188" t="s">
        <v>552</v>
      </c>
      <c r="U127" s="189" t="s">
        <v>571</v>
      </c>
      <c r="V127" s="100"/>
      <c r="W127" s="190">
        <f t="shared" si="6"/>
        <v>0</v>
      </c>
      <c r="X127" s="190">
        <v>0</v>
      </c>
      <c r="Y127" s="190">
        <f t="shared" si="7"/>
        <v>0</v>
      </c>
      <c r="Z127" s="190">
        <v>0</v>
      </c>
      <c r="AA127" s="191">
        <f t="shared" si="8"/>
        <v>0</v>
      </c>
      <c r="AI127" s="89" t="s">
        <v>619</v>
      </c>
      <c r="AK127" s="89" t="s">
        <v>618</v>
      </c>
      <c r="AL127" s="89" t="s">
        <v>620</v>
      </c>
      <c r="AP127" s="89" t="s">
        <v>617</v>
      </c>
      <c r="AV127" s="192">
        <f t="shared" si="9"/>
        <v>0</v>
      </c>
      <c r="AW127" s="192">
        <f t="shared" si="10"/>
        <v>0</v>
      </c>
      <c r="AX127" s="192">
        <f t="shared" si="11"/>
        <v>0</v>
      </c>
      <c r="AY127" s="192">
        <f t="shared" si="12"/>
        <v>0</v>
      </c>
      <c r="AZ127" s="192">
        <f t="shared" si="13"/>
        <v>0</v>
      </c>
      <c r="BA127" s="89" t="s">
        <v>595</v>
      </c>
      <c r="BB127" s="192">
        <f t="shared" si="14"/>
        <v>0</v>
      </c>
      <c r="BC127" s="89" t="s">
        <v>619</v>
      </c>
      <c r="BD127" s="89" t="s">
        <v>619</v>
      </c>
    </row>
    <row r="128" spans="2:56" s="98" customFormat="1" ht="31.5" customHeight="1">
      <c r="B128" s="99"/>
      <c r="C128" s="184">
        <v>5</v>
      </c>
      <c r="D128" s="184" t="s">
        <v>618</v>
      </c>
      <c r="E128" s="185"/>
      <c r="F128" s="773" t="s">
        <v>623</v>
      </c>
      <c r="G128" s="773"/>
      <c r="H128" s="773"/>
      <c r="I128" s="773"/>
      <c r="J128" s="186" t="s">
        <v>45</v>
      </c>
      <c r="K128" s="187">
        <v>1</v>
      </c>
      <c r="L128" s="827"/>
      <c r="M128" s="828"/>
      <c r="N128" s="772">
        <f t="shared" si="5"/>
        <v>0</v>
      </c>
      <c r="O128" s="772"/>
      <c r="P128" s="772"/>
      <c r="Q128" s="772"/>
      <c r="R128" s="102"/>
      <c r="T128" s="188" t="s">
        <v>552</v>
      </c>
      <c r="U128" s="189" t="s">
        <v>571</v>
      </c>
      <c r="V128" s="100"/>
      <c r="W128" s="190">
        <f t="shared" si="6"/>
        <v>0</v>
      </c>
      <c r="X128" s="190">
        <v>0</v>
      </c>
      <c r="Y128" s="190">
        <f t="shared" si="7"/>
        <v>0</v>
      </c>
      <c r="Z128" s="190">
        <v>0</v>
      </c>
      <c r="AA128" s="191">
        <f t="shared" si="8"/>
        <v>0</v>
      </c>
      <c r="AI128" s="89" t="s">
        <v>619</v>
      </c>
      <c r="AK128" s="89" t="s">
        <v>618</v>
      </c>
      <c r="AL128" s="89" t="s">
        <v>620</v>
      </c>
      <c r="AP128" s="89" t="s">
        <v>617</v>
      </c>
      <c r="AV128" s="192">
        <f t="shared" si="9"/>
        <v>0</v>
      </c>
      <c r="AW128" s="192">
        <f t="shared" si="10"/>
        <v>0</v>
      </c>
      <c r="AX128" s="192">
        <f t="shared" si="11"/>
        <v>0</v>
      </c>
      <c r="AY128" s="192">
        <f t="shared" si="12"/>
        <v>0</v>
      </c>
      <c r="AZ128" s="192">
        <f t="shared" si="13"/>
        <v>0</v>
      </c>
      <c r="BA128" s="89" t="s">
        <v>595</v>
      </c>
      <c r="BB128" s="192">
        <f t="shared" si="14"/>
        <v>0</v>
      </c>
      <c r="BC128" s="89" t="s">
        <v>619</v>
      </c>
      <c r="BD128" s="89" t="s">
        <v>619</v>
      </c>
    </row>
    <row r="129" spans="2:56" s="98" customFormat="1" ht="31.5" customHeight="1">
      <c r="B129" s="99"/>
      <c r="C129" s="184">
        <v>6</v>
      </c>
      <c r="D129" s="184" t="s">
        <v>618</v>
      </c>
      <c r="E129" s="185"/>
      <c r="F129" s="773" t="s">
        <v>624</v>
      </c>
      <c r="G129" s="773"/>
      <c r="H129" s="773"/>
      <c r="I129" s="773"/>
      <c r="J129" s="186" t="s">
        <v>45</v>
      </c>
      <c r="K129" s="187">
        <v>1</v>
      </c>
      <c r="L129" s="827"/>
      <c r="M129" s="828"/>
      <c r="N129" s="772">
        <f t="shared" si="5"/>
        <v>0</v>
      </c>
      <c r="O129" s="772"/>
      <c r="P129" s="772"/>
      <c r="Q129" s="772"/>
      <c r="R129" s="102"/>
      <c r="T129" s="188" t="s">
        <v>552</v>
      </c>
      <c r="U129" s="189" t="s">
        <v>571</v>
      </c>
      <c r="V129" s="100"/>
      <c r="W129" s="190">
        <f t="shared" si="6"/>
        <v>0</v>
      </c>
      <c r="X129" s="190">
        <v>0</v>
      </c>
      <c r="Y129" s="190">
        <f t="shared" si="7"/>
        <v>0</v>
      </c>
      <c r="Z129" s="190">
        <v>0</v>
      </c>
      <c r="AA129" s="191">
        <f t="shared" si="8"/>
        <v>0</v>
      </c>
      <c r="AI129" s="89" t="s">
        <v>619</v>
      </c>
      <c r="AK129" s="89" t="s">
        <v>618</v>
      </c>
      <c r="AL129" s="89" t="s">
        <v>620</v>
      </c>
      <c r="AP129" s="89" t="s">
        <v>617</v>
      </c>
      <c r="AV129" s="192">
        <f t="shared" si="9"/>
        <v>0</v>
      </c>
      <c r="AW129" s="192">
        <f t="shared" si="10"/>
        <v>0</v>
      </c>
      <c r="AX129" s="192">
        <f t="shared" si="11"/>
        <v>0</v>
      </c>
      <c r="AY129" s="192">
        <f t="shared" si="12"/>
        <v>0</v>
      </c>
      <c r="AZ129" s="192">
        <f t="shared" si="13"/>
        <v>0</v>
      </c>
      <c r="BA129" s="89" t="s">
        <v>595</v>
      </c>
      <c r="BB129" s="192">
        <f t="shared" si="14"/>
        <v>0</v>
      </c>
      <c r="BC129" s="89" t="s">
        <v>619</v>
      </c>
      <c r="BD129" s="89" t="s">
        <v>619</v>
      </c>
    </row>
    <row r="130" spans="2:56" s="98" customFormat="1" ht="31.5" customHeight="1">
      <c r="B130" s="99"/>
      <c r="C130" s="184">
        <v>7</v>
      </c>
      <c r="D130" s="184" t="s">
        <v>618</v>
      </c>
      <c r="E130" s="185"/>
      <c r="F130" s="773" t="s">
        <v>625</v>
      </c>
      <c r="G130" s="773"/>
      <c r="H130" s="773"/>
      <c r="I130" s="773"/>
      <c r="J130" s="186" t="s">
        <v>45</v>
      </c>
      <c r="K130" s="187">
        <v>1</v>
      </c>
      <c r="L130" s="827"/>
      <c r="M130" s="828"/>
      <c r="N130" s="772">
        <f t="shared" si="5"/>
        <v>0</v>
      </c>
      <c r="O130" s="772"/>
      <c r="P130" s="772"/>
      <c r="Q130" s="772"/>
      <c r="R130" s="102"/>
      <c r="T130" s="188" t="s">
        <v>552</v>
      </c>
      <c r="U130" s="189" t="s">
        <v>571</v>
      </c>
      <c r="V130" s="100"/>
      <c r="W130" s="190">
        <f t="shared" si="6"/>
        <v>0</v>
      </c>
      <c r="X130" s="190">
        <v>0</v>
      </c>
      <c r="Y130" s="190">
        <f t="shared" si="7"/>
        <v>0</v>
      </c>
      <c r="Z130" s="190">
        <v>0</v>
      </c>
      <c r="AA130" s="191">
        <f t="shared" si="8"/>
        <v>0</v>
      </c>
      <c r="AI130" s="89" t="s">
        <v>619</v>
      </c>
      <c r="AK130" s="89" t="s">
        <v>618</v>
      </c>
      <c r="AL130" s="89" t="s">
        <v>620</v>
      </c>
      <c r="AP130" s="89" t="s">
        <v>617</v>
      </c>
      <c r="AV130" s="192">
        <f t="shared" si="9"/>
        <v>0</v>
      </c>
      <c r="AW130" s="192">
        <f t="shared" si="10"/>
        <v>0</v>
      </c>
      <c r="AX130" s="192">
        <f t="shared" si="11"/>
        <v>0</v>
      </c>
      <c r="AY130" s="192">
        <f t="shared" si="12"/>
        <v>0</v>
      </c>
      <c r="AZ130" s="192">
        <f t="shared" si="13"/>
        <v>0</v>
      </c>
      <c r="BA130" s="89" t="s">
        <v>595</v>
      </c>
      <c r="BB130" s="192">
        <f t="shared" si="14"/>
        <v>0</v>
      </c>
      <c r="BC130" s="89" t="s">
        <v>619</v>
      </c>
      <c r="BD130" s="89" t="s">
        <v>619</v>
      </c>
    </row>
    <row r="131" spans="2:56" s="98" customFormat="1" ht="31.5" customHeight="1">
      <c r="B131" s="99"/>
      <c r="C131" s="184">
        <v>8</v>
      </c>
      <c r="D131" s="184" t="s">
        <v>618</v>
      </c>
      <c r="E131" s="185"/>
      <c r="F131" s="773" t="s">
        <v>626</v>
      </c>
      <c r="G131" s="773"/>
      <c r="H131" s="773"/>
      <c r="I131" s="773"/>
      <c r="J131" s="186" t="s">
        <v>45</v>
      </c>
      <c r="K131" s="187">
        <v>1</v>
      </c>
      <c r="L131" s="827"/>
      <c r="M131" s="828"/>
      <c r="N131" s="772">
        <f t="shared" si="5"/>
        <v>0</v>
      </c>
      <c r="O131" s="772"/>
      <c r="P131" s="772"/>
      <c r="Q131" s="772"/>
      <c r="R131" s="102"/>
      <c r="T131" s="188" t="s">
        <v>552</v>
      </c>
      <c r="U131" s="189" t="s">
        <v>571</v>
      </c>
      <c r="V131" s="100"/>
      <c r="W131" s="190">
        <f t="shared" si="6"/>
        <v>0</v>
      </c>
      <c r="X131" s="190">
        <v>0</v>
      </c>
      <c r="Y131" s="190">
        <f t="shared" si="7"/>
        <v>0</v>
      </c>
      <c r="Z131" s="190">
        <v>0</v>
      </c>
      <c r="AA131" s="191">
        <f t="shared" si="8"/>
        <v>0</v>
      </c>
      <c r="AI131" s="89" t="s">
        <v>619</v>
      </c>
      <c r="AK131" s="89" t="s">
        <v>618</v>
      </c>
      <c r="AL131" s="89" t="s">
        <v>620</v>
      </c>
      <c r="AP131" s="89" t="s">
        <v>617</v>
      </c>
      <c r="AV131" s="192">
        <f t="shared" si="9"/>
        <v>0</v>
      </c>
      <c r="AW131" s="192">
        <f t="shared" si="10"/>
        <v>0</v>
      </c>
      <c r="AX131" s="192">
        <f t="shared" si="11"/>
        <v>0</v>
      </c>
      <c r="AY131" s="192">
        <f t="shared" si="12"/>
        <v>0</v>
      </c>
      <c r="AZ131" s="192">
        <f t="shared" si="13"/>
        <v>0</v>
      </c>
      <c r="BA131" s="89" t="s">
        <v>595</v>
      </c>
      <c r="BB131" s="192">
        <f t="shared" si="14"/>
        <v>0</v>
      </c>
      <c r="BC131" s="89" t="s">
        <v>619</v>
      </c>
      <c r="BD131" s="89" t="s">
        <v>619</v>
      </c>
    </row>
    <row r="132" spans="2:56" s="98" customFormat="1" ht="46.5" customHeight="1">
      <c r="B132" s="99"/>
      <c r="C132" s="184">
        <v>9</v>
      </c>
      <c r="D132" s="184" t="s">
        <v>618</v>
      </c>
      <c r="E132" s="185"/>
      <c r="F132" s="773" t="s">
        <v>627</v>
      </c>
      <c r="G132" s="773"/>
      <c r="H132" s="773"/>
      <c r="I132" s="773"/>
      <c r="J132" s="186" t="s">
        <v>45</v>
      </c>
      <c r="K132" s="187">
        <v>1</v>
      </c>
      <c r="L132" s="827"/>
      <c r="M132" s="828"/>
      <c r="N132" s="772">
        <f t="shared" si="5"/>
        <v>0</v>
      </c>
      <c r="O132" s="772"/>
      <c r="P132" s="772"/>
      <c r="Q132" s="772"/>
      <c r="R132" s="102"/>
      <c r="T132" s="188" t="s">
        <v>552</v>
      </c>
      <c r="U132" s="189" t="s">
        <v>571</v>
      </c>
      <c r="V132" s="100"/>
      <c r="W132" s="190">
        <f t="shared" si="6"/>
        <v>0</v>
      </c>
      <c r="X132" s="190">
        <v>0</v>
      </c>
      <c r="Y132" s="190">
        <f t="shared" si="7"/>
        <v>0</v>
      </c>
      <c r="Z132" s="190">
        <v>0</v>
      </c>
      <c r="AA132" s="191">
        <f t="shared" si="8"/>
        <v>0</v>
      </c>
      <c r="AI132" s="89" t="s">
        <v>619</v>
      </c>
      <c r="AK132" s="89" t="s">
        <v>618</v>
      </c>
      <c r="AL132" s="89" t="s">
        <v>620</v>
      </c>
      <c r="AP132" s="89" t="s">
        <v>617</v>
      </c>
      <c r="AV132" s="192">
        <f t="shared" si="9"/>
        <v>0</v>
      </c>
      <c r="AW132" s="192">
        <f t="shared" si="10"/>
        <v>0</v>
      </c>
      <c r="AX132" s="192">
        <f t="shared" si="11"/>
        <v>0</v>
      </c>
      <c r="AY132" s="192">
        <f t="shared" si="12"/>
        <v>0</v>
      </c>
      <c r="AZ132" s="192">
        <f t="shared" si="13"/>
        <v>0</v>
      </c>
      <c r="BA132" s="89" t="s">
        <v>595</v>
      </c>
      <c r="BB132" s="192">
        <f t="shared" si="14"/>
        <v>0</v>
      </c>
      <c r="BC132" s="89" t="s">
        <v>619</v>
      </c>
      <c r="BD132" s="89" t="s">
        <v>619</v>
      </c>
    </row>
    <row r="133" spans="2:56" s="98" customFormat="1" ht="31.5" customHeight="1">
      <c r="B133" s="99"/>
      <c r="C133" s="184">
        <v>10</v>
      </c>
      <c r="D133" s="184" t="s">
        <v>618</v>
      </c>
      <c r="E133" s="185"/>
      <c r="F133" s="773" t="s">
        <v>1374</v>
      </c>
      <c r="G133" s="773"/>
      <c r="H133" s="773"/>
      <c r="I133" s="773"/>
      <c r="J133" s="186" t="s">
        <v>45</v>
      </c>
      <c r="K133" s="187">
        <v>2</v>
      </c>
      <c r="L133" s="827"/>
      <c r="M133" s="828"/>
      <c r="N133" s="772">
        <f t="shared" si="5"/>
        <v>0</v>
      </c>
      <c r="O133" s="772"/>
      <c r="P133" s="772"/>
      <c r="Q133" s="772"/>
      <c r="R133" s="102"/>
      <c r="T133" s="188" t="s">
        <v>552</v>
      </c>
      <c r="U133" s="189" t="s">
        <v>571</v>
      </c>
      <c r="V133" s="100"/>
      <c r="W133" s="190">
        <f t="shared" si="6"/>
        <v>0</v>
      </c>
      <c r="X133" s="190">
        <v>0</v>
      </c>
      <c r="Y133" s="190">
        <f t="shared" si="7"/>
        <v>0</v>
      </c>
      <c r="Z133" s="190">
        <v>0</v>
      </c>
      <c r="AA133" s="191">
        <f t="shared" si="8"/>
        <v>0</v>
      </c>
      <c r="AI133" s="89" t="s">
        <v>619</v>
      </c>
      <c r="AK133" s="89" t="s">
        <v>618</v>
      </c>
      <c r="AL133" s="89" t="s">
        <v>620</v>
      </c>
      <c r="AP133" s="89" t="s">
        <v>617</v>
      </c>
      <c r="AV133" s="192">
        <f t="shared" si="9"/>
        <v>0</v>
      </c>
      <c r="AW133" s="192">
        <f t="shared" si="10"/>
        <v>0</v>
      </c>
      <c r="AX133" s="192">
        <f t="shared" si="11"/>
        <v>0</v>
      </c>
      <c r="AY133" s="192">
        <f t="shared" si="12"/>
        <v>0</v>
      </c>
      <c r="AZ133" s="192">
        <f t="shared" si="13"/>
        <v>0</v>
      </c>
      <c r="BA133" s="89" t="s">
        <v>595</v>
      </c>
      <c r="BB133" s="192">
        <f t="shared" si="14"/>
        <v>0</v>
      </c>
      <c r="BC133" s="89" t="s">
        <v>619</v>
      </c>
      <c r="BD133" s="89" t="s">
        <v>619</v>
      </c>
    </row>
    <row r="134" spans="2:56" s="98" customFormat="1" ht="31.5" customHeight="1">
      <c r="B134" s="99"/>
      <c r="C134" s="184">
        <v>11</v>
      </c>
      <c r="D134" s="184" t="s">
        <v>618</v>
      </c>
      <c r="E134" s="185"/>
      <c r="F134" s="773" t="s">
        <v>1375</v>
      </c>
      <c r="G134" s="773"/>
      <c r="H134" s="773"/>
      <c r="I134" s="773"/>
      <c r="J134" s="186" t="s">
        <v>45</v>
      </c>
      <c r="K134" s="187">
        <v>3</v>
      </c>
      <c r="L134" s="827"/>
      <c r="M134" s="828"/>
      <c r="N134" s="772">
        <f t="shared" si="5"/>
        <v>0</v>
      </c>
      <c r="O134" s="772"/>
      <c r="P134" s="772"/>
      <c r="Q134" s="772"/>
      <c r="R134" s="102"/>
      <c r="T134" s="188" t="s">
        <v>552</v>
      </c>
      <c r="U134" s="189" t="s">
        <v>571</v>
      </c>
      <c r="V134" s="100"/>
      <c r="W134" s="190">
        <f t="shared" si="6"/>
        <v>0</v>
      </c>
      <c r="X134" s="190">
        <v>0</v>
      </c>
      <c r="Y134" s="190">
        <f t="shared" si="7"/>
        <v>0</v>
      </c>
      <c r="Z134" s="190">
        <v>0</v>
      </c>
      <c r="AA134" s="191">
        <f t="shared" si="8"/>
        <v>0</v>
      </c>
      <c r="AI134" s="89" t="s">
        <v>619</v>
      </c>
      <c r="AK134" s="89" t="s">
        <v>618</v>
      </c>
      <c r="AL134" s="89" t="s">
        <v>620</v>
      </c>
      <c r="AP134" s="89" t="s">
        <v>617</v>
      </c>
      <c r="AV134" s="192">
        <f t="shared" si="9"/>
        <v>0</v>
      </c>
      <c r="AW134" s="192">
        <f t="shared" si="10"/>
        <v>0</v>
      </c>
      <c r="AX134" s="192">
        <f t="shared" si="11"/>
        <v>0</v>
      </c>
      <c r="AY134" s="192">
        <f t="shared" si="12"/>
        <v>0</v>
      </c>
      <c r="AZ134" s="192">
        <f t="shared" si="13"/>
        <v>0</v>
      </c>
      <c r="BA134" s="89" t="s">
        <v>595</v>
      </c>
      <c r="BB134" s="192">
        <f t="shared" si="14"/>
        <v>0</v>
      </c>
      <c r="BC134" s="89" t="s">
        <v>619</v>
      </c>
      <c r="BD134" s="89" t="s">
        <v>619</v>
      </c>
    </row>
    <row r="135" spans="2:56" s="98" customFormat="1" ht="31.5" customHeight="1">
      <c r="B135" s="99"/>
      <c r="C135" s="184">
        <v>12</v>
      </c>
      <c r="D135" s="184" t="s">
        <v>618</v>
      </c>
      <c r="E135" s="185"/>
      <c r="F135" s="773" t="s">
        <v>1375</v>
      </c>
      <c r="G135" s="773"/>
      <c r="H135" s="773"/>
      <c r="I135" s="773"/>
      <c r="J135" s="186" t="s">
        <v>45</v>
      </c>
      <c r="K135" s="187">
        <v>1</v>
      </c>
      <c r="L135" s="827"/>
      <c r="M135" s="828"/>
      <c r="N135" s="772">
        <f t="shared" si="5"/>
        <v>0</v>
      </c>
      <c r="O135" s="772"/>
      <c r="P135" s="772"/>
      <c r="Q135" s="772"/>
      <c r="R135" s="102"/>
      <c r="T135" s="188" t="s">
        <v>552</v>
      </c>
      <c r="U135" s="189" t="s">
        <v>571</v>
      </c>
      <c r="V135" s="100"/>
      <c r="W135" s="190">
        <f t="shared" si="6"/>
        <v>0</v>
      </c>
      <c r="X135" s="190">
        <v>0</v>
      </c>
      <c r="Y135" s="190">
        <f t="shared" si="7"/>
        <v>0</v>
      </c>
      <c r="Z135" s="190">
        <v>0</v>
      </c>
      <c r="AA135" s="191">
        <f t="shared" si="8"/>
        <v>0</v>
      </c>
      <c r="AI135" s="89" t="s">
        <v>619</v>
      </c>
      <c r="AK135" s="89" t="s">
        <v>618</v>
      </c>
      <c r="AL135" s="89" t="s">
        <v>620</v>
      </c>
      <c r="AP135" s="89" t="s">
        <v>617</v>
      </c>
      <c r="AV135" s="192">
        <f t="shared" si="9"/>
        <v>0</v>
      </c>
      <c r="AW135" s="192">
        <f t="shared" si="10"/>
        <v>0</v>
      </c>
      <c r="AX135" s="192">
        <f t="shared" si="11"/>
        <v>0</v>
      </c>
      <c r="AY135" s="192">
        <f t="shared" si="12"/>
        <v>0</v>
      </c>
      <c r="AZ135" s="192">
        <f t="shared" si="13"/>
        <v>0</v>
      </c>
      <c r="BA135" s="89" t="s">
        <v>595</v>
      </c>
      <c r="BB135" s="192">
        <f t="shared" si="14"/>
        <v>0</v>
      </c>
      <c r="BC135" s="89" t="s">
        <v>619</v>
      </c>
      <c r="BD135" s="89" t="s">
        <v>619</v>
      </c>
    </row>
    <row r="136" spans="2:56" s="98" customFormat="1" ht="31.5" customHeight="1">
      <c r="B136" s="99"/>
      <c r="C136" s="184">
        <v>13</v>
      </c>
      <c r="D136" s="184" t="s">
        <v>618</v>
      </c>
      <c r="E136" s="185"/>
      <c r="F136" s="773" t="s">
        <v>628</v>
      </c>
      <c r="G136" s="773"/>
      <c r="H136" s="773"/>
      <c r="I136" s="773"/>
      <c r="J136" s="186" t="s">
        <v>45</v>
      </c>
      <c r="K136" s="187">
        <v>1</v>
      </c>
      <c r="L136" s="827"/>
      <c r="M136" s="828"/>
      <c r="N136" s="772">
        <f t="shared" si="5"/>
        <v>0</v>
      </c>
      <c r="O136" s="772"/>
      <c r="P136" s="772"/>
      <c r="Q136" s="772"/>
      <c r="R136" s="102"/>
      <c r="T136" s="188" t="s">
        <v>552</v>
      </c>
      <c r="U136" s="189" t="s">
        <v>571</v>
      </c>
      <c r="V136" s="100"/>
      <c r="W136" s="190">
        <f t="shared" si="6"/>
        <v>0</v>
      </c>
      <c r="X136" s="190">
        <v>0</v>
      </c>
      <c r="Y136" s="190">
        <f t="shared" si="7"/>
        <v>0</v>
      </c>
      <c r="Z136" s="190">
        <v>0</v>
      </c>
      <c r="AA136" s="191">
        <f t="shared" si="8"/>
        <v>0</v>
      </c>
      <c r="AI136" s="89" t="s">
        <v>619</v>
      </c>
      <c r="AK136" s="89" t="s">
        <v>618</v>
      </c>
      <c r="AL136" s="89" t="s">
        <v>620</v>
      </c>
      <c r="AP136" s="89" t="s">
        <v>617</v>
      </c>
      <c r="AV136" s="192">
        <f t="shared" si="9"/>
        <v>0</v>
      </c>
      <c r="AW136" s="192">
        <f t="shared" si="10"/>
        <v>0</v>
      </c>
      <c r="AX136" s="192">
        <f t="shared" si="11"/>
        <v>0</v>
      </c>
      <c r="AY136" s="192">
        <f t="shared" si="12"/>
        <v>0</v>
      </c>
      <c r="AZ136" s="192">
        <f t="shared" si="13"/>
        <v>0</v>
      </c>
      <c r="BA136" s="89" t="s">
        <v>595</v>
      </c>
      <c r="BB136" s="192">
        <f t="shared" si="14"/>
        <v>0</v>
      </c>
      <c r="BC136" s="89" t="s">
        <v>619</v>
      </c>
      <c r="BD136" s="89" t="s">
        <v>619</v>
      </c>
    </row>
    <row r="137" spans="2:56" s="98" customFormat="1" ht="22.5" customHeight="1">
      <c r="B137" s="99"/>
      <c r="C137" s="184">
        <v>14</v>
      </c>
      <c r="D137" s="184" t="s">
        <v>618</v>
      </c>
      <c r="E137" s="185"/>
      <c r="F137" s="773" t="s">
        <v>629</v>
      </c>
      <c r="G137" s="773"/>
      <c r="H137" s="773"/>
      <c r="I137" s="773"/>
      <c r="J137" s="186" t="s">
        <v>45</v>
      </c>
      <c r="K137" s="187">
        <v>1</v>
      </c>
      <c r="L137" s="827"/>
      <c r="M137" s="828"/>
      <c r="N137" s="772">
        <f t="shared" si="5"/>
        <v>0</v>
      </c>
      <c r="O137" s="772"/>
      <c r="P137" s="772"/>
      <c r="Q137" s="772"/>
      <c r="R137" s="102"/>
      <c r="T137" s="188" t="s">
        <v>552</v>
      </c>
      <c r="U137" s="189" t="s">
        <v>571</v>
      </c>
      <c r="V137" s="100"/>
      <c r="W137" s="190">
        <f t="shared" si="6"/>
        <v>0</v>
      </c>
      <c r="X137" s="190">
        <v>0</v>
      </c>
      <c r="Y137" s="190">
        <f t="shared" si="7"/>
        <v>0</v>
      </c>
      <c r="Z137" s="190">
        <v>0</v>
      </c>
      <c r="AA137" s="191">
        <f t="shared" si="8"/>
        <v>0</v>
      </c>
      <c r="AI137" s="89" t="s">
        <v>619</v>
      </c>
      <c r="AK137" s="89" t="s">
        <v>618</v>
      </c>
      <c r="AL137" s="89" t="s">
        <v>620</v>
      </c>
      <c r="AP137" s="89" t="s">
        <v>617</v>
      </c>
      <c r="AV137" s="192">
        <f t="shared" si="9"/>
        <v>0</v>
      </c>
      <c r="AW137" s="192">
        <f t="shared" si="10"/>
        <v>0</v>
      </c>
      <c r="AX137" s="192">
        <f t="shared" si="11"/>
        <v>0</v>
      </c>
      <c r="AY137" s="192">
        <f t="shared" si="12"/>
        <v>0</v>
      </c>
      <c r="AZ137" s="192">
        <f t="shared" si="13"/>
        <v>0</v>
      </c>
      <c r="BA137" s="89" t="s">
        <v>595</v>
      </c>
      <c r="BB137" s="192">
        <f t="shared" si="14"/>
        <v>0</v>
      </c>
      <c r="BC137" s="89" t="s">
        <v>619</v>
      </c>
      <c r="BD137" s="89" t="s">
        <v>630</v>
      </c>
    </row>
    <row r="138" spans="2:56" s="98" customFormat="1" ht="22.5" customHeight="1">
      <c r="B138" s="99"/>
      <c r="C138" s="184">
        <v>15</v>
      </c>
      <c r="D138" s="184" t="s">
        <v>618</v>
      </c>
      <c r="E138" s="185"/>
      <c r="F138" s="773" t="s">
        <v>631</v>
      </c>
      <c r="G138" s="773"/>
      <c r="H138" s="773"/>
      <c r="I138" s="773"/>
      <c r="J138" s="186" t="s">
        <v>45</v>
      </c>
      <c r="K138" s="187">
        <v>1</v>
      </c>
      <c r="L138" s="827"/>
      <c r="M138" s="828"/>
      <c r="N138" s="772">
        <f t="shared" si="5"/>
        <v>0</v>
      </c>
      <c r="O138" s="772"/>
      <c r="P138" s="772"/>
      <c r="Q138" s="772"/>
      <c r="R138" s="102"/>
      <c r="T138" s="188" t="s">
        <v>552</v>
      </c>
      <c r="U138" s="189" t="s">
        <v>571</v>
      </c>
      <c r="V138" s="100"/>
      <c r="W138" s="190">
        <f t="shared" si="6"/>
        <v>0</v>
      </c>
      <c r="X138" s="190">
        <v>0</v>
      </c>
      <c r="Y138" s="190">
        <f t="shared" si="7"/>
        <v>0</v>
      </c>
      <c r="Z138" s="190">
        <v>0</v>
      </c>
      <c r="AA138" s="191">
        <f t="shared" si="8"/>
        <v>0</v>
      </c>
      <c r="AI138" s="89" t="s">
        <v>619</v>
      </c>
      <c r="AK138" s="89" t="s">
        <v>618</v>
      </c>
      <c r="AL138" s="89" t="s">
        <v>620</v>
      </c>
      <c r="AP138" s="89" t="s">
        <v>617</v>
      </c>
      <c r="AV138" s="192">
        <f t="shared" si="9"/>
        <v>0</v>
      </c>
      <c r="AW138" s="192">
        <f t="shared" si="10"/>
        <v>0</v>
      </c>
      <c r="AX138" s="192">
        <f t="shared" si="11"/>
        <v>0</v>
      </c>
      <c r="AY138" s="192">
        <f t="shared" si="12"/>
        <v>0</v>
      </c>
      <c r="AZ138" s="192">
        <f t="shared" si="13"/>
        <v>0</v>
      </c>
      <c r="BA138" s="89" t="s">
        <v>595</v>
      </c>
      <c r="BB138" s="192">
        <f t="shared" si="14"/>
        <v>0</v>
      </c>
      <c r="BC138" s="89" t="s">
        <v>619</v>
      </c>
      <c r="BD138" s="89" t="s">
        <v>632</v>
      </c>
    </row>
    <row r="139" spans="2:56" s="98" customFormat="1" ht="22.5" customHeight="1">
      <c r="B139" s="99"/>
      <c r="C139" s="184">
        <v>16</v>
      </c>
      <c r="D139" s="184" t="s">
        <v>618</v>
      </c>
      <c r="E139" s="185"/>
      <c r="F139" s="773" t="s">
        <v>633</v>
      </c>
      <c r="G139" s="773"/>
      <c r="H139" s="773"/>
      <c r="I139" s="773"/>
      <c r="J139" s="186" t="s">
        <v>45</v>
      </c>
      <c r="K139" s="187">
        <v>1</v>
      </c>
      <c r="L139" s="827"/>
      <c r="M139" s="828"/>
      <c r="N139" s="772">
        <f t="shared" si="5"/>
        <v>0</v>
      </c>
      <c r="O139" s="772"/>
      <c r="P139" s="772"/>
      <c r="Q139" s="772"/>
      <c r="R139" s="102"/>
      <c r="T139" s="188" t="s">
        <v>552</v>
      </c>
      <c r="U139" s="189" t="s">
        <v>571</v>
      </c>
      <c r="V139" s="100"/>
      <c r="W139" s="190">
        <f t="shared" si="6"/>
        <v>0</v>
      </c>
      <c r="X139" s="190">
        <v>0</v>
      </c>
      <c r="Y139" s="190">
        <f t="shared" si="7"/>
        <v>0</v>
      </c>
      <c r="Z139" s="190">
        <v>0</v>
      </c>
      <c r="AA139" s="191">
        <f t="shared" si="8"/>
        <v>0</v>
      </c>
      <c r="AI139" s="89" t="s">
        <v>619</v>
      </c>
      <c r="AK139" s="89" t="s">
        <v>618</v>
      </c>
      <c r="AL139" s="89" t="s">
        <v>620</v>
      </c>
      <c r="AP139" s="89" t="s">
        <v>617</v>
      </c>
      <c r="AV139" s="192">
        <f t="shared" si="9"/>
        <v>0</v>
      </c>
      <c r="AW139" s="192">
        <f t="shared" si="10"/>
        <v>0</v>
      </c>
      <c r="AX139" s="192">
        <f t="shared" si="11"/>
        <v>0</v>
      </c>
      <c r="AY139" s="192">
        <f t="shared" si="12"/>
        <v>0</v>
      </c>
      <c r="AZ139" s="192">
        <f t="shared" si="13"/>
        <v>0</v>
      </c>
      <c r="BA139" s="89" t="s">
        <v>595</v>
      </c>
      <c r="BB139" s="192">
        <f t="shared" si="14"/>
        <v>0</v>
      </c>
      <c r="BC139" s="89" t="s">
        <v>619</v>
      </c>
      <c r="BD139" s="89" t="s">
        <v>632</v>
      </c>
    </row>
    <row r="140" spans="2:54" s="172" customFormat="1" ht="29.25" customHeight="1">
      <c r="B140" s="173"/>
      <c r="C140" s="174"/>
      <c r="D140" s="183" t="s">
        <v>589</v>
      </c>
      <c r="E140" s="183"/>
      <c r="F140" s="183"/>
      <c r="G140" s="183"/>
      <c r="H140" s="183"/>
      <c r="I140" s="183"/>
      <c r="J140" s="183"/>
      <c r="K140" s="183"/>
      <c r="L140" s="314"/>
      <c r="M140" s="314"/>
      <c r="N140" s="829">
        <f>SUM(N141:Q157)</f>
        <v>0</v>
      </c>
      <c r="O140" s="830"/>
      <c r="P140" s="830"/>
      <c r="Q140" s="830"/>
      <c r="R140" s="176"/>
      <c r="T140" s="177"/>
      <c r="U140" s="174"/>
      <c r="V140" s="174"/>
      <c r="W140" s="178">
        <f>SUM(W141:W156)</f>
        <v>0</v>
      </c>
      <c r="X140" s="174"/>
      <c r="Y140" s="178">
        <f>SUM(Y141:Y156)</f>
        <v>0</v>
      </c>
      <c r="Z140" s="174"/>
      <c r="AA140" s="179">
        <f>SUM(AA141:AA156)</f>
        <v>0</v>
      </c>
      <c r="AC140" s="98"/>
      <c r="AI140" s="180" t="s">
        <v>544</v>
      </c>
      <c r="AK140" s="181" t="s">
        <v>615</v>
      </c>
      <c r="AL140" s="181" t="s">
        <v>544</v>
      </c>
      <c r="AP140" s="180" t="s">
        <v>617</v>
      </c>
      <c r="BB140" s="182">
        <f>SUM(BB141:BB156)</f>
        <v>0</v>
      </c>
    </row>
    <row r="141" spans="2:56" s="98" customFormat="1" ht="22.5" customHeight="1">
      <c r="B141" s="99"/>
      <c r="C141" s="184">
        <v>1</v>
      </c>
      <c r="D141" s="184" t="s">
        <v>618</v>
      </c>
      <c r="E141" s="185"/>
      <c r="F141" s="773" t="s">
        <v>634</v>
      </c>
      <c r="G141" s="773"/>
      <c r="H141" s="773"/>
      <c r="I141" s="773"/>
      <c r="J141" s="186" t="s">
        <v>635</v>
      </c>
      <c r="K141" s="187">
        <v>32</v>
      </c>
      <c r="L141" s="827"/>
      <c r="M141" s="828"/>
      <c r="N141" s="772">
        <f aca="true" t="shared" si="15" ref="N141:N157">ROUND(L141*K141,0)</f>
        <v>0</v>
      </c>
      <c r="O141" s="772"/>
      <c r="P141" s="772"/>
      <c r="Q141" s="772"/>
      <c r="R141" s="102"/>
      <c r="T141" s="188" t="s">
        <v>552</v>
      </c>
      <c r="U141" s="189" t="s">
        <v>571</v>
      </c>
      <c r="V141" s="100"/>
      <c r="W141" s="190">
        <f aca="true" t="shared" si="16" ref="W141:W157">V141*K141</f>
        <v>0</v>
      </c>
      <c r="X141" s="190">
        <v>0</v>
      </c>
      <c r="Y141" s="190">
        <f aca="true" t="shared" si="17" ref="Y141:Y157">X141*K141</f>
        <v>0</v>
      </c>
      <c r="Z141" s="190">
        <v>0</v>
      </c>
      <c r="AA141" s="191">
        <f aca="true" t="shared" si="18" ref="AA141:AA157">Z141*K141</f>
        <v>0</v>
      </c>
      <c r="AI141" s="89" t="s">
        <v>619</v>
      </c>
      <c r="AK141" s="89" t="s">
        <v>618</v>
      </c>
      <c r="AL141" s="89" t="s">
        <v>620</v>
      </c>
      <c r="AP141" s="89" t="s">
        <v>617</v>
      </c>
      <c r="AV141" s="192">
        <f aca="true" t="shared" si="19" ref="AV141:AV157">IF(U141="základní",N141,0)</f>
        <v>0</v>
      </c>
      <c r="AW141" s="192">
        <f aca="true" t="shared" si="20" ref="AW141:AW157">IF(U141="snížená",N141,0)</f>
        <v>0</v>
      </c>
      <c r="AX141" s="192">
        <f aca="true" t="shared" si="21" ref="AX141:AX157">IF(U141="zákl. přenesená",N141,0)</f>
        <v>0</v>
      </c>
      <c r="AY141" s="192">
        <f aca="true" t="shared" si="22" ref="AY141:AY157">IF(U141="sníž. přenesená",N141,0)</f>
        <v>0</v>
      </c>
      <c r="AZ141" s="192">
        <f aca="true" t="shared" si="23" ref="AZ141:AZ157">IF(U141="nulová",N141,0)</f>
        <v>0</v>
      </c>
      <c r="BA141" s="89" t="s">
        <v>595</v>
      </c>
      <c r="BB141" s="192">
        <f aca="true" t="shared" si="24" ref="BB141:BB157">ROUND(L141*K141,0)</f>
        <v>0</v>
      </c>
      <c r="BC141" s="89" t="s">
        <v>619</v>
      </c>
      <c r="BD141" s="89" t="s">
        <v>636</v>
      </c>
    </row>
    <row r="142" spans="2:56" s="98" customFormat="1" ht="22.5" customHeight="1">
      <c r="B142" s="99"/>
      <c r="C142" s="184">
        <v>2</v>
      </c>
      <c r="D142" s="184" t="s">
        <v>618</v>
      </c>
      <c r="E142" s="185"/>
      <c r="F142" s="773" t="s">
        <v>637</v>
      </c>
      <c r="G142" s="773"/>
      <c r="H142" s="773"/>
      <c r="I142" s="773"/>
      <c r="J142" s="186" t="s">
        <v>635</v>
      </c>
      <c r="K142" s="187">
        <v>5</v>
      </c>
      <c r="L142" s="827"/>
      <c r="M142" s="828"/>
      <c r="N142" s="772">
        <f t="shared" si="15"/>
        <v>0</v>
      </c>
      <c r="O142" s="772"/>
      <c r="P142" s="772"/>
      <c r="Q142" s="772"/>
      <c r="R142" s="102"/>
      <c r="T142" s="188" t="s">
        <v>552</v>
      </c>
      <c r="U142" s="189" t="s">
        <v>571</v>
      </c>
      <c r="V142" s="100"/>
      <c r="W142" s="190">
        <f t="shared" si="16"/>
        <v>0</v>
      </c>
      <c r="X142" s="190">
        <v>0</v>
      </c>
      <c r="Y142" s="190">
        <f t="shared" si="17"/>
        <v>0</v>
      </c>
      <c r="Z142" s="190">
        <v>0</v>
      </c>
      <c r="AA142" s="191">
        <f t="shared" si="18"/>
        <v>0</v>
      </c>
      <c r="AI142" s="89" t="s">
        <v>619</v>
      </c>
      <c r="AK142" s="89" t="s">
        <v>618</v>
      </c>
      <c r="AL142" s="89" t="s">
        <v>620</v>
      </c>
      <c r="AP142" s="89" t="s">
        <v>617</v>
      </c>
      <c r="AV142" s="192">
        <f t="shared" si="19"/>
        <v>0</v>
      </c>
      <c r="AW142" s="192">
        <f t="shared" si="20"/>
        <v>0</v>
      </c>
      <c r="AX142" s="192">
        <f t="shared" si="21"/>
        <v>0</v>
      </c>
      <c r="AY142" s="192">
        <f t="shared" si="22"/>
        <v>0</v>
      </c>
      <c r="AZ142" s="192">
        <f t="shared" si="23"/>
        <v>0</v>
      </c>
      <c r="BA142" s="89" t="s">
        <v>595</v>
      </c>
      <c r="BB142" s="192">
        <f t="shared" si="24"/>
        <v>0</v>
      </c>
      <c r="BC142" s="89" t="s">
        <v>619</v>
      </c>
      <c r="BD142" s="89" t="s">
        <v>636</v>
      </c>
    </row>
    <row r="143" spans="2:56" s="98" customFormat="1" ht="22.5" customHeight="1">
      <c r="B143" s="99"/>
      <c r="C143" s="184">
        <v>2</v>
      </c>
      <c r="D143" s="184" t="s">
        <v>618</v>
      </c>
      <c r="E143" s="185"/>
      <c r="F143" s="773" t="s">
        <v>638</v>
      </c>
      <c r="G143" s="773"/>
      <c r="H143" s="773"/>
      <c r="I143" s="773"/>
      <c r="J143" s="186" t="s">
        <v>635</v>
      </c>
      <c r="K143" s="187">
        <v>5</v>
      </c>
      <c r="L143" s="827"/>
      <c r="M143" s="828"/>
      <c r="N143" s="772">
        <f t="shared" si="15"/>
        <v>0</v>
      </c>
      <c r="O143" s="772"/>
      <c r="P143" s="772"/>
      <c r="Q143" s="772"/>
      <c r="R143" s="102"/>
      <c r="T143" s="188" t="s">
        <v>552</v>
      </c>
      <c r="U143" s="189" t="s">
        <v>571</v>
      </c>
      <c r="V143" s="100"/>
      <c r="W143" s="190">
        <f t="shared" si="16"/>
        <v>0</v>
      </c>
      <c r="X143" s="190">
        <v>0</v>
      </c>
      <c r="Y143" s="190">
        <f t="shared" si="17"/>
        <v>0</v>
      </c>
      <c r="Z143" s="190">
        <v>0</v>
      </c>
      <c r="AA143" s="191">
        <f t="shared" si="18"/>
        <v>0</v>
      </c>
      <c r="AI143" s="89" t="s">
        <v>619</v>
      </c>
      <c r="AK143" s="89" t="s">
        <v>618</v>
      </c>
      <c r="AL143" s="89" t="s">
        <v>620</v>
      </c>
      <c r="AP143" s="89" t="s">
        <v>617</v>
      </c>
      <c r="AV143" s="192">
        <f t="shared" si="19"/>
        <v>0</v>
      </c>
      <c r="AW143" s="192">
        <f t="shared" si="20"/>
        <v>0</v>
      </c>
      <c r="AX143" s="192">
        <f t="shared" si="21"/>
        <v>0</v>
      </c>
      <c r="AY143" s="192">
        <f t="shared" si="22"/>
        <v>0</v>
      </c>
      <c r="AZ143" s="192">
        <f t="shared" si="23"/>
        <v>0</v>
      </c>
      <c r="BA143" s="89" t="s">
        <v>595</v>
      </c>
      <c r="BB143" s="192">
        <f t="shared" si="24"/>
        <v>0</v>
      </c>
      <c r="BC143" s="89" t="s">
        <v>619</v>
      </c>
      <c r="BD143" s="89" t="s">
        <v>636</v>
      </c>
    </row>
    <row r="144" spans="2:56" s="98" customFormat="1" ht="22.5" customHeight="1">
      <c r="B144" s="99"/>
      <c r="C144" s="184">
        <v>2</v>
      </c>
      <c r="D144" s="184" t="s">
        <v>618</v>
      </c>
      <c r="E144" s="185"/>
      <c r="F144" s="773" t="s">
        <v>639</v>
      </c>
      <c r="G144" s="773"/>
      <c r="H144" s="773"/>
      <c r="I144" s="773"/>
      <c r="J144" s="186" t="s">
        <v>65</v>
      </c>
      <c r="K144" s="187">
        <v>10</v>
      </c>
      <c r="L144" s="827"/>
      <c r="M144" s="828"/>
      <c r="N144" s="772">
        <f t="shared" si="15"/>
        <v>0</v>
      </c>
      <c r="O144" s="772"/>
      <c r="P144" s="772"/>
      <c r="Q144" s="772"/>
      <c r="R144" s="102"/>
      <c r="T144" s="188" t="s">
        <v>552</v>
      </c>
      <c r="U144" s="189" t="s">
        <v>571</v>
      </c>
      <c r="V144" s="100"/>
      <c r="W144" s="190">
        <f t="shared" si="16"/>
        <v>0</v>
      </c>
      <c r="X144" s="190">
        <v>0</v>
      </c>
      <c r="Y144" s="190">
        <f t="shared" si="17"/>
        <v>0</v>
      </c>
      <c r="Z144" s="190">
        <v>0</v>
      </c>
      <c r="AA144" s="191">
        <f t="shared" si="18"/>
        <v>0</v>
      </c>
      <c r="AI144" s="89" t="s">
        <v>619</v>
      </c>
      <c r="AK144" s="89" t="s">
        <v>618</v>
      </c>
      <c r="AL144" s="89" t="s">
        <v>620</v>
      </c>
      <c r="AP144" s="89" t="s">
        <v>617</v>
      </c>
      <c r="AV144" s="192">
        <f t="shared" si="19"/>
        <v>0</v>
      </c>
      <c r="AW144" s="192">
        <f t="shared" si="20"/>
        <v>0</v>
      </c>
      <c r="AX144" s="192">
        <f t="shared" si="21"/>
        <v>0</v>
      </c>
      <c r="AY144" s="192">
        <f t="shared" si="22"/>
        <v>0</v>
      </c>
      <c r="AZ144" s="192">
        <f t="shared" si="23"/>
        <v>0</v>
      </c>
      <c r="BA144" s="89" t="s">
        <v>595</v>
      </c>
      <c r="BB144" s="192">
        <f t="shared" si="24"/>
        <v>0</v>
      </c>
      <c r="BC144" s="89" t="s">
        <v>619</v>
      </c>
      <c r="BD144" s="89" t="s">
        <v>636</v>
      </c>
    </row>
    <row r="145" spans="2:56" s="98" customFormat="1" ht="22.5" customHeight="1">
      <c r="B145" s="99"/>
      <c r="C145" s="184">
        <v>2</v>
      </c>
      <c r="D145" s="184" t="s">
        <v>618</v>
      </c>
      <c r="E145" s="185"/>
      <c r="F145" s="773" t="s">
        <v>640</v>
      </c>
      <c r="G145" s="773"/>
      <c r="H145" s="773"/>
      <c r="I145" s="773"/>
      <c r="J145" s="186" t="s">
        <v>65</v>
      </c>
      <c r="K145" s="187">
        <v>3</v>
      </c>
      <c r="L145" s="827"/>
      <c r="M145" s="828"/>
      <c r="N145" s="772">
        <f t="shared" si="15"/>
        <v>0</v>
      </c>
      <c r="O145" s="772"/>
      <c r="P145" s="772"/>
      <c r="Q145" s="772"/>
      <c r="R145" s="102"/>
      <c r="T145" s="188" t="s">
        <v>552</v>
      </c>
      <c r="U145" s="189" t="s">
        <v>571</v>
      </c>
      <c r="V145" s="100"/>
      <c r="W145" s="190">
        <f t="shared" si="16"/>
        <v>0</v>
      </c>
      <c r="X145" s="190">
        <v>0</v>
      </c>
      <c r="Y145" s="190">
        <f t="shared" si="17"/>
        <v>0</v>
      </c>
      <c r="Z145" s="190">
        <v>0</v>
      </c>
      <c r="AA145" s="191">
        <f t="shared" si="18"/>
        <v>0</v>
      </c>
      <c r="AI145" s="89" t="s">
        <v>619</v>
      </c>
      <c r="AK145" s="89" t="s">
        <v>618</v>
      </c>
      <c r="AL145" s="89" t="s">
        <v>620</v>
      </c>
      <c r="AP145" s="89" t="s">
        <v>617</v>
      </c>
      <c r="AV145" s="192">
        <f t="shared" si="19"/>
        <v>0</v>
      </c>
      <c r="AW145" s="192">
        <f t="shared" si="20"/>
        <v>0</v>
      </c>
      <c r="AX145" s="192">
        <f t="shared" si="21"/>
        <v>0</v>
      </c>
      <c r="AY145" s="192">
        <f t="shared" si="22"/>
        <v>0</v>
      </c>
      <c r="AZ145" s="192">
        <f t="shared" si="23"/>
        <v>0</v>
      </c>
      <c r="BA145" s="89" t="s">
        <v>595</v>
      </c>
      <c r="BB145" s="192">
        <f t="shared" si="24"/>
        <v>0</v>
      </c>
      <c r="BC145" s="89" t="s">
        <v>619</v>
      </c>
      <c r="BD145" s="89" t="s">
        <v>636</v>
      </c>
    </row>
    <row r="146" spans="2:56" s="98" customFormat="1" ht="22.5" customHeight="1">
      <c r="B146" s="99"/>
      <c r="C146" s="184">
        <v>2</v>
      </c>
      <c r="D146" s="184" t="s">
        <v>618</v>
      </c>
      <c r="E146" s="185"/>
      <c r="F146" s="773" t="s">
        <v>641</v>
      </c>
      <c r="G146" s="773"/>
      <c r="H146" s="773"/>
      <c r="I146" s="773"/>
      <c r="J146" s="186" t="s">
        <v>635</v>
      </c>
      <c r="K146" s="187">
        <v>3</v>
      </c>
      <c r="L146" s="827"/>
      <c r="M146" s="828"/>
      <c r="N146" s="772">
        <f t="shared" si="15"/>
        <v>0</v>
      </c>
      <c r="O146" s="772"/>
      <c r="P146" s="772"/>
      <c r="Q146" s="772"/>
      <c r="R146" s="102"/>
      <c r="T146" s="188" t="s">
        <v>552</v>
      </c>
      <c r="U146" s="189" t="s">
        <v>571</v>
      </c>
      <c r="V146" s="100"/>
      <c r="W146" s="190">
        <f t="shared" si="16"/>
        <v>0</v>
      </c>
      <c r="X146" s="190">
        <v>0</v>
      </c>
      <c r="Y146" s="190">
        <f t="shared" si="17"/>
        <v>0</v>
      </c>
      <c r="Z146" s="190">
        <v>0</v>
      </c>
      <c r="AA146" s="191">
        <f t="shared" si="18"/>
        <v>0</v>
      </c>
      <c r="AI146" s="89" t="s">
        <v>619</v>
      </c>
      <c r="AK146" s="89" t="s">
        <v>618</v>
      </c>
      <c r="AL146" s="89" t="s">
        <v>620</v>
      </c>
      <c r="AP146" s="89" t="s">
        <v>617</v>
      </c>
      <c r="AV146" s="192">
        <f t="shared" si="19"/>
        <v>0</v>
      </c>
      <c r="AW146" s="192">
        <f t="shared" si="20"/>
        <v>0</v>
      </c>
      <c r="AX146" s="192">
        <f t="shared" si="21"/>
        <v>0</v>
      </c>
      <c r="AY146" s="192">
        <f t="shared" si="22"/>
        <v>0</v>
      </c>
      <c r="AZ146" s="192">
        <f t="shared" si="23"/>
        <v>0</v>
      </c>
      <c r="BA146" s="89" t="s">
        <v>595</v>
      </c>
      <c r="BB146" s="192">
        <f t="shared" si="24"/>
        <v>0</v>
      </c>
      <c r="BC146" s="89" t="s">
        <v>619</v>
      </c>
      <c r="BD146" s="89" t="s">
        <v>636</v>
      </c>
    </row>
    <row r="147" spans="2:56" s="98" customFormat="1" ht="22.5" customHeight="1">
      <c r="B147" s="99"/>
      <c r="C147" s="184">
        <v>2</v>
      </c>
      <c r="D147" s="184" t="s">
        <v>618</v>
      </c>
      <c r="E147" s="185"/>
      <c r="F147" s="773" t="s">
        <v>642</v>
      </c>
      <c r="G147" s="773"/>
      <c r="H147" s="773"/>
      <c r="I147" s="773"/>
      <c r="J147" s="186" t="s">
        <v>65</v>
      </c>
      <c r="K147" s="187">
        <v>14</v>
      </c>
      <c r="L147" s="827"/>
      <c r="M147" s="828"/>
      <c r="N147" s="772">
        <f t="shared" si="15"/>
        <v>0</v>
      </c>
      <c r="O147" s="772"/>
      <c r="P147" s="772"/>
      <c r="Q147" s="772"/>
      <c r="R147" s="102"/>
      <c r="T147" s="188" t="s">
        <v>552</v>
      </c>
      <c r="U147" s="189" t="s">
        <v>571</v>
      </c>
      <c r="V147" s="100"/>
      <c r="W147" s="190">
        <f t="shared" si="16"/>
        <v>0</v>
      </c>
      <c r="X147" s="190">
        <v>0</v>
      </c>
      <c r="Y147" s="190">
        <f t="shared" si="17"/>
        <v>0</v>
      </c>
      <c r="Z147" s="190">
        <v>0</v>
      </c>
      <c r="AA147" s="191">
        <f t="shared" si="18"/>
        <v>0</v>
      </c>
      <c r="AI147" s="89" t="s">
        <v>619</v>
      </c>
      <c r="AK147" s="89" t="s">
        <v>618</v>
      </c>
      <c r="AL147" s="89" t="s">
        <v>620</v>
      </c>
      <c r="AP147" s="89" t="s">
        <v>617</v>
      </c>
      <c r="AV147" s="192">
        <f t="shared" si="19"/>
        <v>0</v>
      </c>
      <c r="AW147" s="192">
        <f t="shared" si="20"/>
        <v>0</v>
      </c>
      <c r="AX147" s="192">
        <f t="shared" si="21"/>
        <v>0</v>
      </c>
      <c r="AY147" s="192">
        <f t="shared" si="22"/>
        <v>0</v>
      </c>
      <c r="AZ147" s="192">
        <f t="shared" si="23"/>
        <v>0</v>
      </c>
      <c r="BA147" s="89" t="s">
        <v>595</v>
      </c>
      <c r="BB147" s="192">
        <f t="shared" si="24"/>
        <v>0</v>
      </c>
      <c r="BC147" s="89" t="s">
        <v>619</v>
      </c>
      <c r="BD147" s="89" t="s">
        <v>636</v>
      </c>
    </row>
    <row r="148" spans="2:56" s="98" customFormat="1" ht="30" customHeight="1">
      <c r="B148" s="99"/>
      <c r="C148" s="184">
        <v>2</v>
      </c>
      <c r="D148" s="184" t="s">
        <v>618</v>
      </c>
      <c r="E148" s="185"/>
      <c r="F148" s="773" t="s">
        <v>643</v>
      </c>
      <c r="G148" s="773"/>
      <c r="H148" s="773"/>
      <c r="I148" s="773"/>
      <c r="J148" s="186" t="s">
        <v>65</v>
      </c>
      <c r="K148" s="187">
        <v>3</v>
      </c>
      <c r="L148" s="827"/>
      <c r="M148" s="828"/>
      <c r="N148" s="772">
        <f t="shared" si="15"/>
        <v>0</v>
      </c>
      <c r="O148" s="772"/>
      <c r="P148" s="772"/>
      <c r="Q148" s="772"/>
      <c r="R148" s="102"/>
      <c r="T148" s="188" t="s">
        <v>552</v>
      </c>
      <c r="U148" s="189" t="s">
        <v>571</v>
      </c>
      <c r="V148" s="100"/>
      <c r="W148" s="190">
        <f t="shared" si="16"/>
        <v>0</v>
      </c>
      <c r="X148" s="190">
        <v>0</v>
      </c>
      <c r="Y148" s="190">
        <f t="shared" si="17"/>
        <v>0</v>
      </c>
      <c r="Z148" s="190">
        <v>0</v>
      </c>
      <c r="AA148" s="191">
        <f t="shared" si="18"/>
        <v>0</v>
      </c>
      <c r="AI148" s="89" t="s">
        <v>619</v>
      </c>
      <c r="AK148" s="89" t="s">
        <v>618</v>
      </c>
      <c r="AL148" s="89" t="s">
        <v>620</v>
      </c>
      <c r="AP148" s="89" t="s">
        <v>617</v>
      </c>
      <c r="AV148" s="192">
        <f t="shared" si="19"/>
        <v>0</v>
      </c>
      <c r="AW148" s="192">
        <f t="shared" si="20"/>
        <v>0</v>
      </c>
      <c r="AX148" s="192">
        <f t="shared" si="21"/>
        <v>0</v>
      </c>
      <c r="AY148" s="192">
        <f t="shared" si="22"/>
        <v>0</v>
      </c>
      <c r="AZ148" s="192">
        <f t="shared" si="23"/>
        <v>0</v>
      </c>
      <c r="BA148" s="89" t="s">
        <v>595</v>
      </c>
      <c r="BB148" s="192">
        <f t="shared" si="24"/>
        <v>0</v>
      </c>
      <c r="BC148" s="89" t="s">
        <v>619</v>
      </c>
      <c r="BD148" s="89" t="s">
        <v>636</v>
      </c>
    </row>
    <row r="149" spans="2:56" s="98" customFormat="1" ht="33" customHeight="1">
      <c r="B149" s="99"/>
      <c r="C149" s="184">
        <v>2</v>
      </c>
      <c r="D149" s="184" t="s">
        <v>618</v>
      </c>
      <c r="E149" s="185"/>
      <c r="F149" s="773" t="s">
        <v>644</v>
      </c>
      <c r="G149" s="773"/>
      <c r="H149" s="773"/>
      <c r="I149" s="773"/>
      <c r="J149" s="186" t="s">
        <v>45</v>
      </c>
      <c r="K149" s="187">
        <v>2</v>
      </c>
      <c r="L149" s="827"/>
      <c r="M149" s="828"/>
      <c r="N149" s="772">
        <f t="shared" si="15"/>
        <v>0</v>
      </c>
      <c r="O149" s="772"/>
      <c r="P149" s="772"/>
      <c r="Q149" s="772"/>
      <c r="R149" s="102"/>
      <c r="T149" s="188" t="s">
        <v>552</v>
      </c>
      <c r="U149" s="189" t="s">
        <v>571</v>
      </c>
      <c r="V149" s="100"/>
      <c r="W149" s="190">
        <f t="shared" si="16"/>
        <v>0</v>
      </c>
      <c r="X149" s="190">
        <v>0</v>
      </c>
      <c r="Y149" s="190">
        <f t="shared" si="17"/>
        <v>0</v>
      </c>
      <c r="Z149" s="190">
        <v>0</v>
      </c>
      <c r="AA149" s="191">
        <f t="shared" si="18"/>
        <v>0</v>
      </c>
      <c r="AI149" s="89" t="s">
        <v>619</v>
      </c>
      <c r="AK149" s="89" t="s">
        <v>618</v>
      </c>
      <c r="AL149" s="89" t="s">
        <v>620</v>
      </c>
      <c r="AP149" s="89" t="s">
        <v>617</v>
      </c>
      <c r="AV149" s="192">
        <f t="shared" si="19"/>
        <v>0</v>
      </c>
      <c r="AW149" s="192">
        <f t="shared" si="20"/>
        <v>0</v>
      </c>
      <c r="AX149" s="192">
        <f t="shared" si="21"/>
        <v>0</v>
      </c>
      <c r="AY149" s="192">
        <f t="shared" si="22"/>
        <v>0</v>
      </c>
      <c r="AZ149" s="192">
        <f t="shared" si="23"/>
        <v>0</v>
      </c>
      <c r="BA149" s="89" t="s">
        <v>595</v>
      </c>
      <c r="BB149" s="192">
        <f t="shared" si="24"/>
        <v>0</v>
      </c>
      <c r="BC149" s="89" t="s">
        <v>619</v>
      </c>
      <c r="BD149" s="89" t="s">
        <v>636</v>
      </c>
    </row>
    <row r="150" spans="2:56" s="98" customFormat="1" ht="30" customHeight="1">
      <c r="B150" s="99"/>
      <c r="C150" s="184">
        <v>2</v>
      </c>
      <c r="D150" s="184" t="s">
        <v>618</v>
      </c>
      <c r="E150" s="185"/>
      <c r="F150" s="773" t="s">
        <v>645</v>
      </c>
      <c r="G150" s="773"/>
      <c r="H150" s="773"/>
      <c r="I150" s="773"/>
      <c r="J150" s="186" t="s">
        <v>45</v>
      </c>
      <c r="K150" s="187">
        <v>1</v>
      </c>
      <c r="L150" s="827"/>
      <c r="M150" s="828"/>
      <c r="N150" s="772">
        <f t="shared" si="15"/>
        <v>0</v>
      </c>
      <c r="O150" s="772"/>
      <c r="P150" s="772"/>
      <c r="Q150" s="772"/>
      <c r="R150" s="102"/>
      <c r="T150" s="188" t="s">
        <v>552</v>
      </c>
      <c r="U150" s="189" t="s">
        <v>571</v>
      </c>
      <c r="V150" s="100"/>
      <c r="W150" s="190">
        <f t="shared" si="16"/>
        <v>0</v>
      </c>
      <c r="X150" s="190">
        <v>0</v>
      </c>
      <c r="Y150" s="190">
        <f t="shared" si="17"/>
        <v>0</v>
      </c>
      <c r="Z150" s="190">
        <v>0</v>
      </c>
      <c r="AA150" s="191">
        <f t="shared" si="18"/>
        <v>0</v>
      </c>
      <c r="AI150" s="89" t="s">
        <v>619</v>
      </c>
      <c r="AK150" s="89" t="s">
        <v>618</v>
      </c>
      <c r="AL150" s="89" t="s">
        <v>620</v>
      </c>
      <c r="AP150" s="89" t="s">
        <v>617</v>
      </c>
      <c r="AV150" s="192">
        <f t="shared" si="19"/>
        <v>0</v>
      </c>
      <c r="AW150" s="192">
        <f t="shared" si="20"/>
        <v>0</v>
      </c>
      <c r="AX150" s="192">
        <f t="shared" si="21"/>
        <v>0</v>
      </c>
      <c r="AY150" s="192">
        <f t="shared" si="22"/>
        <v>0</v>
      </c>
      <c r="AZ150" s="192">
        <f t="shared" si="23"/>
        <v>0</v>
      </c>
      <c r="BA150" s="89" t="s">
        <v>595</v>
      </c>
      <c r="BB150" s="192">
        <f t="shared" si="24"/>
        <v>0</v>
      </c>
      <c r="BC150" s="89" t="s">
        <v>619</v>
      </c>
      <c r="BD150" s="89" t="s">
        <v>636</v>
      </c>
    </row>
    <row r="151" spans="2:56" s="98" customFormat="1" ht="22.5" customHeight="1">
      <c r="B151" s="99"/>
      <c r="C151" s="184">
        <v>3</v>
      </c>
      <c r="D151" s="184" t="s">
        <v>618</v>
      </c>
      <c r="E151" s="185"/>
      <c r="F151" s="773" t="s">
        <v>1376</v>
      </c>
      <c r="G151" s="773"/>
      <c r="H151" s="773"/>
      <c r="I151" s="773"/>
      <c r="J151" s="186" t="s">
        <v>65</v>
      </c>
      <c r="K151" s="187">
        <v>99</v>
      </c>
      <c r="L151" s="827"/>
      <c r="M151" s="828"/>
      <c r="N151" s="772">
        <f t="shared" si="15"/>
        <v>0</v>
      </c>
      <c r="O151" s="772"/>
      <c r="P151" s="772"/>
      <c r="Q151" s="772"/>
      <c r="R151" s="102"/>
      <c r="T151" s="188" t="s">
        <v>552</v>
      </c>
      <c r="U151" s="189" t="s">
        <v>571</v>
      </c>
      <c r="V151" s="100"/>
      <c r="W151" s="190">
        <f t="shared" si="16"/>
        <v>0</v>
      </c>
      <c r="X151" s="190">
        <v>0</v>
      </c>
      <c r="Y151" s="190">
        <f t="shared" si="17"/>
        <v>0</v>
      </c>
      <c r="Z151" s="190">
        <v>0</v>
      </c>
      <c r="AA151" s="191">
        <f t="shared" si="18"/>
        <v>0</v>
      </c>
      <c r="AI151" s="89" t="s">
        <v>619</v>
      </c>
      <c r="AK151" s="89" t="s">
        <v>618</v>
      </c>
      <c r="AL151" s="89" t="s">
        <v>620</v>
      </c>
      <c r="AP151" s="89" t="s">
        <v>617</v>
      </c>
      <c r="AV151" s="192">
        <f t="shared" si="19"/>
        <v>0</v>
      </c>
      <c r="AW151" s="192">
        <f t="shared" si="20"/>
        <v>0</v>
      </c>
      <c r="AX151" s="192">
        <f t="shared" si="21"/>
        <v>0</v>
      </c>
      <c r="AY151" s="192">
        <f t="shared" si="22"/>
        <v>0</v>
      </c>
      <c r="AZ151" s="192">
        <f t="shared" si="23"/>
        <v>0</v>
      </c>
      <c r="BA151" s="89" t="s">
        <v>595</v>
      </c>
      <c r="BB151" s="192">
        <f t="shared" si="24"/>
        <v>0</v>
      </c>
      <c r="BC151" s="89" t="s">
        <v>619</v>
      </c>
      <c r="BD151" s="89" t="s">
        <v>636</v>
      </c>
    </row>
    <row r="152" spans="2:56" s="98" customFormat="1" ht="22.5" customHeight="1">
      <c r="B152" s="99"/>
      <c r="C152" s="184">
        <v>4</v>
      </c>
      <c r="D152" s="184" t="s">
        <v>618</v>
      </c>
      <c r="E152" s="185"/>
      <c r="F152" s="773" t="s">
        <v>646</v>
      </c>
      <c r="G152" s="773"/>
      <c r="H152" s="773"/>
      <c r="I152" s="773"/>
      <c r="J152" s="186" t="s">
        <v>65</v>
      </c>
      <c r="K152" s="187">
        <v>28</v>
      </c>
      <c r="L152" s="827"/>
      <c r="M152" s="828"/>
      <c r="N152" s="772">
        <f t="shared" si="15"/>
        <v>0</v>
      </c>
      <c r="O152" s="772"/>
      <c r="P152" s="772"/>
      <c r="Q152" s="772"/>
      <c r="R152" s="102"/>
      <c r="T152" s="188" t="s">
        <v>552</v>
      </c>
      <c r="U152" s="189" t="s">
        <v>571</v>
      </c>
      <c r="V152" s="100"/>
      <c r="W152" s="190">
        <f t="shared" si="16"/>
        <v>0</v>
      </c>
      <c r="X152" s="190">
        <v>0</v>
      </c>
      <c r="Y152" s="190">
        <f t="shared" si="17"/>
        <v>0</v>
      </c>
      <c r="Z152" s="190">
        <v>0</v>
      </c>
      <c r="AA152" s="191">
        <f t="shared" si="18"/>
        <v>0</v>
      </c>
      <c r="AI152" s="89" t="s">
        <v>619</v>
      </c>
      <c r="AK152" s="89" t="s">
        <v>618</v>
      </c>
      <c r="AL152" s="89" t="s">
        <v>620</v>
      </c>
      <c r="AP152" s="89" t="s">
        <v>617</v>
      </c>
      <c r="AV152" s="192">
        <f t="shared" si="19"/>
        <v>0</v>
      </c>
      <c r="AW152" s="192">
        <f t="shared" si="20"/>
        <v>0</v>
      </c>
      <c r="AX152" s="192">
        <f t="shared" si="21"/>
        <v>0</v>
      </c>
      <c r="AY152" s="192">
        <f t="shared" si="22"/>
        <v>0</v>
      </c>
      <c r="AZ152" s="192">
        <f t="shared" si="23"/>
        <v>0</v>
      </c>
      <c r="BA152" s="89" t="s">
        <v>595</v>
      </c>
      <c r="BB152" s="192">
        <f t="shared" si="24"/>
        <v>0</v>
      </c>
      <c r="BC152" s="89" t="s">
        <v>619</v>
      </c>
      <c r="BD152" s="89" t="s">
        <v>647</v>
      </c>
    </row>
    <row r="153" spans="2:56" s="98" customFormat="1" ht="22.5" customHeight="1">
      <c r="B153" s="99"/>
      <c r="C153" s="184">
        <v>5</v>
      </c>
      <c r="D153" s="184" t="s">
        <v>618</v>
      </c>
      <c r="E153" s="185"/>
      <c r="F153" s="773" t="s">
        <v>1377</v>
      </c>
      <c r="G153" s="773"/>
      <c r="H153" s="773"/>
      <c r="I153" s="773"/>
      <c r="J153" s="186" t="s">
        <v>65</v>
      </c>
      <c r="K153" s="187">
        <v>99</v>
      </c>
      <c r="L153" s="827"/>
      <c r="M153" s="828"/>
      <c r="N153" s="772">
        <f t="shared" si="15"/>
        <v>0</v>
      </c>
      <c r="O153" s="772"/>
      <c r="P153" s="772"/>
      <c r="Q153" s="772"/>
      <c r="R153" s="102"/>
      <c r="T153" s="188" t="s">
        <v>552</v>
      </c>
      <c r="U153" s="189" t="s">
        <v>571</v>
      </c>
      <c r="V153" s="100"/>
      <c r="W153" s="190">
        <f t="shared" si="16"/>
        <v>0</v>
      </c>
      <c r="X153" s="190">
        <v>0</v>
      </c>
      <c r="Y153" s="190">
        <f t="shared" si="17"/>
        <v>0</v>
      </c>
      <c r="Z153" s="190">
        <v>0</v>
      </c>
      <c r="AA153" s="191">
        <f t="shared" si="18"/>
        <v>0</v>
      </c>
      <c r="AI153" s="89" t="s">
        <v>619</v>
      </c>
      <c r="AK153" s="89" t="s">
        <v>618</v>
      </c>
      <c r="AL153" s="89" t="s">
        <v>620</v>
      </c>
      <c r="AP153" s="89" t="s">
        <v>617</v>
      </c>
      <c r="AV153" s="192">
        <f t="shared" si="19"/>
        <v>0</v>
      </c>
      <c r="AW153" s="192">
        <f t="shared" si="20"/>
        <v>0</v>
      </c>
      <c r="AX153" s="192">
        <f t="shared" si="21"/>
        <v>0</v>
      </c>
      <c r="AY153" s="192">
        <f t="shared" si="22"/>
        <v>0</v>
      </c>
      <c r="AZ153" s="192">
        <f t="shared" si="23"/>
        <v>0</v>
      </c>
      <c r="BA153" s="89" t="s">
        <v>595</v>
      </c>
      <c r="BB153" s="192">
        <f t="shared" si="24"/>
        <v>0</v>
      </c>
      <c r="BC153" s="89" t="s">
        <v>619</v>
      </c>
      <c r="BD153" s="89" t="s">
        <v>647</v>
      </c>
    </row>
    <row r="154" spans="2:56" s="98" customFormat="1" ht="22.5" customHeight="1">
      <c r="B154" s="99"/>
      <c r="C154" s="184">
        <v>6</v>
      </c>
      <c r="D154" s="184" t="s">
        <v>618</v>
      </c>
      <c r="E154" s="185"/>
      <c r="F154" s="773" t="s">
        <v>648</v>
      </c>
      <c r="G154" s="773"/>
      <c r="H154" s="773"/>
      <c r="I154" s="773"/>
      <c r="J154" s="186" t="s">
        <v>65</v>
      </c>
      <c r="K154" s="187">
        <v>56</v>
      </c>
      <c r="L154" s="827"/>
      <c r="M154" s="828"/>
      <c r="N154" s="772">
        <f t="shared" si="15"/>
        <v>0</v>
      </c>
      <c r="O154" s="772"/>
      <c r="P154" s="772"/>
      <c r="Q154" s="772"/>
      <c r="R154" s="102"/>
      <c r="T154" s="188" t="s">
        <v>552</v>
      </c>
      <c r="U154" s="189" t="s">
        <v>571</v>
      </c>
      <c r="V154" s="100"/>
      <c r="W154" s="190">
        <f t="shared" si="16"/>
        <v>0</v>
      </c>
      <c r="X154" s="190">
        <v>0</v>
      </c>
      <c r="Y154" s="190">
        <f t="shared" si="17"/>
        <v>0</v>
      </c>
      <c r="Z154" s="190">
        <v>0</v>
      </c>
      <c r="AA154" s="191">
        <f t="shared" si="18"/>
        <v>0</v>
      </c>
      <c r="AI154" s="89" t="s">
        <v>619</v>
      </c>
      <c r="AK154" s="89" t="s">
        <v>618</v>
      </c>
      <c r="AL154" s="89" t="s">
        <v>620</v>
      </c>
      <c r="AP154" s="89" t="s">
        <v>617</v>
      </c>
      <c r="AV154" s="192">
        <f t="shared" si="19"/>
        <v>0</v>
      </c>
      <c r="AW154" s="192">
        <f t="shared" si="20"/>
        <v>0</v>
      </c>
      <c r="AX154" s="192">
        <f t="shared" si="21"/>
        <v>0</v>
      </c>
      <c r="AY154" s="192">
        <f t="shared" si="22"/>
        <v>0</v>
      </c>
      <c r="AZ154" s="192">
        <f t="shared" si="23"/>
        <v>0</v>
      </c>
      <c r="BA154" s="89" t="s">
        <v>595</v>
      </c>
      <c r="BB154" s="192">
        <f t="shared" si="24"/>
        <v>0</v>
      </c>
      <c r="BC154" s="89" t="s">
        <v>619</v>
      </c>
      <c r="BD154" s="89" t="s">
        <v>647</v>
      </c>
    </row>
    <row r="155" spans="2:56" s="98" customFormat="1" ht="30" customHeight="1">
      <c r="B155" s="99"/>
      <c r="C155" s="184">
        <v>7</v>
      </c>
      <c r="D155" s="184" t="s">
        <v>618</v>
      </c>
      <c r="E155" s="185"/>
      <c r="F155" s="773" t="s">
        <v>649</v>
      </c>
      <c r="G155" s="773"/>
      <c r="H155" s="773"/>
      <c r="I155" s="773"/>
      <c r="J155" s="186" t="s">
        <v>650</v>
      </c>
      <c r="K155" s="187">
        <v>28</v>
      </c>
      <c r="L155" s="827"/>
      <c r="M155" s="828"/>
      <c r="N155" s="772">
        <f t="shared" si="15"/>
        <v>0</v>
      </c>
      <c r="O155" s="772"/>
      <c r="P155" s="772"/>
      <c r="Q155" s="772"/>
      <c r="R155" s="102"/>
      <c r="T155" s="188" t="s">
        <v>552</v>
      </c>
      <c r="U155" s="189" t="s">
        <v>571</v>
      </c>
      <c r="V155" s="100"/>
      <c r="W155" s="190">
        <f t="shared" si="16"/>
        <v>0</v>
      </c>
      <c r="X155" s="190">
        <v>0</v>
      </c>
      <c r="Y155" s="190">
        <f t="shared" si="17"/>
        <v>0</v>
      </c>
      <c r="Z155" s="190">
        <v>0</v>
      </c>
      <c r="AA155" s="191">
        <f t="shared" si="18"/>
        <v>0</v>
      </c>
      <c r="AI155" s="89" t="s">
        <v>619</v>
      </c>
      <c r="AK155" s="89" t="s">
        <v>618</v>
      </c>
      <c r="AL155" s="89" t="s">
        <v>620</v>
      </c>
      <c r="AP155" s="89" t="s">
        <v>617</v>
      </c>
      <c r="AV155" s="192">
        <f t="shared" si="19"/>
        <v>0</v>
      </c>
      <c r="AW155" s="192">
        <f t="shared" si="20"/>
        <v>0</v>
      </c>
      <c r="AX155" s="192">
        <f t="shared" si="21"/>
        <v>0</v>
      </c>
      <c r="AY155" s="192">
        <f t="shared" si="22"/>
        <v>0</v>
      </c>
      <c r="AZ155" s="192">
        <f t="shared" si="23"/>
        <v>0</v>
      </c>
      <c r="BA155" s="89" t="s">
        <v>595</v>
      </c>
      <c r="BB155" s="192">
        <f t="shared" si="24"/>
        <v>0</v>
      </c>
      <c r="BC155" s="89" t="s">
        <v>619</v>
      </c>
      <c r="BD155" s="89" t="s">
        <v>647</v>
      </c>
    </row>
    <row r="156" spans="2:56" s="98" customFormat="1" ht="22.5" customHeight="1">
      <c r="B156" s="99"/>
      <c r="C156" s="184">
        <v>8</v>
      </c>
      <c r="D156" s="184" t="s">
        <v>618</v>
      </c>
      <c r="E156" s="185"/>
      <c r="F156" s="773" t="s">
        <v>651</v>
      </c>
      <c r="G156" s="773"/>
      <c r="H156" s="773"/>
      <c r="I156" s="773"/>
      <c r="J156" s="186" t="s">
        <v>635</v>
      </c>
      <c r="K156" s="187">
        <v>1</v>
      </c>
      <c r="L156" s="827"/>
      <c r="M156" s="828"/>
      <c r="N156" s="772">
        <f t="shared" si="15"/>
        <v>0</v>
      </c>
      <c r="O156" s="772"/>
      <c r="P156" s="772"/>
      <c r="Q156" s="772"/>
      <c r="R156" s="102"/>
      <c r="T156" s="188" t="s">
        <v>552</v>
      </c>
      <c r="U156" s="189" t="s">
        <v>571</v>
      </c>
      <c r="V156" s="100"/>
      <c r="W156" s="190">
        <f t="shared" si="16"/>
        <v>0</v>
      </c>
      <c r="X156" s="190">
        <v>0</v>
      </c>
      <c r="Y156" s="190">
        <f t="shared" si="17"/>
        <v>0</v>
      </c>
      <c r="Z156" s="190">
        <v>0</v>
      </c>
      <c r="AA156" s="191">
        <f t="shared" si="18"/>
        <v>0</v>
      </c>
      <c r="AI156" s="89" t="s">
        <v>619</v>
      </c>
      <c r="AK156" s="89" t="s">
        <v>618</v>
      </c>
      <c r="AL156" s="89" t="s">
        <v>620</v>
      </c>
      <c r="AP156" s="89" t="s">
        <v>617</v>
      </c>
      <c r="AV156" s="192">
        <f t="shared" si="19"/>
        <v>0</v>
      </c>
      <c r="AW156" s="192">
        <f t="shared" si="20"/>
        <v>0</v>
      </c>
      <c r="AX156" s="192">
        <f t="shared" si="21"/>
        <v>0</v>
      </c>
      <c r="AY156" s="192">
        <f t="shared" si="22"/>
        <v>0</v>
      </c>
      <c r="AZ156" s="192">
        <f t="shared" si="23"/>
        <v>0</v>
      </c>
      <c r="BA156" s="89" t="s">
        <v>595</v>
      </c>
      <c r="BB156" s="192">
        <f t="shared" si="24"/>
        <v>0</v>
      </c>
      <c r="BC156" s="89" t="s">
        <v>619</v>
      </c>
      <c r="BD156" s="89" t="s">
        <v>652</v>
      </c>
    </row>
    <row r="157" spans="2:56" s="98" customFormat="1" ht="22.5" customHeight="1">
      <c r="B157" s="99"/>
      <c r="C157" s="184">
        <v>9</v>
      </c>
      <c r="D157" s="184" t="s">
        <v>618</v>
      </c>
      <c r="E157" s="185"/>
      <c r="F157" s="773" t="s">
        <v>633</v>
      </c>
      <c r="G157" s="773"/>
      <c r="H157" s="773"/>
      <c r="I157" s="773"/>
      <c r="J157" s="186" t="s">
        <v>45</v>
      </c>
      <c r="K157" s="187">
        <v>1</v>
      </c>
      <c r="L157" s="827"/>
      <c r="M157" s="828"/>
      <c r="N157" s="772">
        <f t="shared" si="15"/>
        <v>0</v>
      </c>
      <c r="O157" s="772"/>
      <c r="P157" s="772"/>
      <c r="Q157" s="772"/>
      <c r="R157" s="102"/>
      <c r="T157" s="188" t="s">
        <v>552</v>
      </c>
      <c r="U157" s="189" t="s">
        <v>571</v>
      </c>
      <c r="V157" s="100"/>
      <c r="W157" s="190">
        <f t="shared" si="16"/>
        <v>0</v>
      </c>
      <c r="X157" s="190">
        <v>0</v>
      </c>
      <c r="Y157" s="190">
        <f t="shared" si="17"/>
        <v>0</v>
      </c>
      <c r="Z157" s="190">
        <v>0</v>
      </c>
      <c r="AA157" s="191">
        <f t="shared" si="18"/>
        <v>0</v>
      </c>
      <c r="AI157" s="89" t="s">
        <v>619</v>
      </c>
      <c r="AK157" s="89" t="s">
        <v>618</v>
      </c>
      <c r="AL157" s="89" t="s">
        <v>620</v>
      </c>
      <c r="AP157" s="89" t="s">
        <v>617</v>
      </c>
      <c r="AV157" s="192">
        <f t="shared" si="19"/>
        <v>0</v>
      </c>
      <c r="AW157" s="192">
        <f t="shared" si="20"/>
        <v>0</v>
      </c>
      <c r="AX157" s="192">
        <f t="shared" si="21"/>
        <v>0</v>
      </c>
      <c r="AY157" s="192">
        <f t="shared" si="22"/>
        <v>0</v>
      </c>
      <c r="AZ157" s="192">
        <f t="shared" si="23"/>
        <v>0</v>
      </c>
      <c r="BA157" s="89" t="s">
        <v>595</v>
      </c>
      <c r="BB157" s="192">
        <f t="shared" si="24"/>
        <v>0</v>
      </c>
      <c r="BC157" s="89" t="s">
        <v>619</v>
      </c>
      <c r="BD157" s="89" t="s">
        <v>632</v>
      </c>
    </row>
    <row r="158" spans="2:54" s="172" customFormat="1" ht="29.25" customHeight="1">
      <c r="B158" s="173"/>
      <c r="C158" s="174"/>
      <c r="D158" s="183" t="s">
        <v>590</v>
      </c>
      <c r="E158" s="183"/>
      <c r="F158" s="183"/>
      <c r="G158" s="183"/>
      <c r="H158" s="183"/>
      <c r="I158" s="183"/>
      <c r="J158" s="183"/>
      <c r="K158" s="183"/>
      <c r="L158" s="314"/>
      <c r="M158" s="314"/>
      <c r="N158" s="829">
        <f>SUM(N159:Q179)</f>
        <v>0</v>
      </c>
      <c r="O158" s="830"/>
      <c r="P158" s="830"/>
      <c r="Q158" s="830"/>
      <c r="R158" s="176"/>
      <c r="T158" s="177"/>
      <c r="U158" s="174"/>
      <c r="V158" s="174"/>
      <c r="W158" s="178">
        <f>W159</f>
        <v>0</v>
      </c>
      <c r="X158" s="174"/>
      <c r="Y158" s="178">
        <f>Y159</f>
        <v>0</v>
      </c>
      <c r="Z158" s="174"/>
      <c r="AA158" s="179">
        <f>AA159</f>
        <v>0</v>
      </c>
      <c r="AC158" s="98"/>
      <c r="AI158" s="180" t="s">
        <v>544</v>
      </c>
      <c r="AK158" s="181" t="s">
        <v>615</v>
      </c>
      <c r="AL158" s="181" t="s">
        <v>544</v>
      </c>
      <c r="AP158" s="180" t="s">
        <v>617</v>
      </c>
      <c r="BB158" s="182">
        <f>BB159</f>
        <v>0</v>
      </c>
    </row>
    <row r="159" spans="2:56" s="98" customFormat="1" ht="42" customHeight="1">
      <c r="B159" s="99"/>
      <c r="C159" s="184">
        <v>1</v>
      </c>
      <c r="D159" s="184" t="s">
        <v>618</v>
      </c>
      <c r="E159" s="185"/>
      <c r="F159" s="773" t="s">
        <v>1378</v>
      </c>
      <c r="G159" s="773"/>
      <c r="H159" s="773"/>
      <c r="I159" s="773"/>
      <c r="J159" s="186" t="s">
        <v>65</v>
      </c>
      <c r="K159" s="187">
        <v>16</v>
      </c>
      <c r="L159" s="827"/>
      <c r="M159" s="828"/>
      <c r="N159" s="772">
        <f>ROUND(L159*K159,0)</f>
        <v>0</v>
      </c>
      <c r="O159" s="772"/>
      <c r="P159" s="772"/>
      <c r="Q159" s="772"/>
      <c r="R159" s="102"/>
      <c r="T159" s="188" t="s">
        <v>552</v>
      </c>
      <c r="U159" s="189" t="s">
        <v>571</v>
      </c>
      <c r="V159" s="100"/>
      <c r="W159" s="190">
        <f>V159*K159</f>
        <v>0</v>
      </c>
      <c r="X159" s="190">
        <v>0</v>
      </c>
      <c r="Y159" s="190">
        <f>X159*K159</f>
        <v>0</v>
      </c>
      <c r="Z159" s="190">
        <v>0</v>
      </c>
      <c r="AA159" s="191">
        <f>Z159*K159</f>
        <v>0</v>
      </c>
      <c r="AI159" s="89" t="s">
        <v>619</v>
      </c>
      <c r="AK159" s="89" t="s">
        <v>618</v>
      </c>
      <c r="AL159" s="89" t="s">
        <v>620</v>
      </c>
      <c r="AP159" s="89" t="s">
        <v>617</v>
      </c>
      <c r="AV159" s="192">
        <f>IF(U159="základní",N159,0)</f>
        <v>0</v>
      </c>
      <c r="AW159" s="192">
        <f>IF(U159="snížená",N159,0)</f>
        <v>0</v>
      </c>
      <c r="AX159" s="192">
        <f>IF(U159="zákl. přenesená",N159,0)</f>
        <v>0</v>
      </c>
      <c r="AY159" s="192">
        <f>IF(U159="sníž. přenesená",N159,0)</f>
        <v>0</v>
      </c>
      <c r="AZ159" s="192">
        <f>IF(U159="nulová",N159,0)</f>
        <v>0</v>
      </c>
      <c r="BA159" s="89" t="s">
        <v>595</v>
      </c>
      <c r="BB159" s="192">
        <f>ROUND(L159*K159,0)</f>
        <v>0</v>
      </c>
      <c r="BC159" s="89" t="s">
        <v>619</v>
      </c>
      <c r="BD159" s="89" t="s">
        <v>653</v>
      </c>
    </row>
    <row r="160" spans="2:56" s="98" customFormat="1" ht="42" customHeight="1">
      <c r="B160" s="99"/>
      <c r="C160" s="184">
        <v>2</v>
      </c>
      <c r="D160" s="184" t="s">
        <v>618</v>
      </c>
      <c r="E160" s="185"/>
      <c r="F160" s="773" t="s">
        <v>1379</v>
      </c>
      <c r="G160" s="773"/>
      <c r="H160" s="773"/>
      <c r="I160" s="773"/>
      <c r="J160" s="186" t="s">
        <v>45</v>
      </c>
      <c r="K160" s="187">
        <v>12</v>
      </c>
      <c r="L160" s="827"/>
      <c r="M160" s="828"/>
      <c r="N160" s="772">
        <f>ROUND(L160*K160,0)</f>
        <v>0</v>
      </c>
      <c r="O160" s="772"/>
      <c r="P160" s="772"/>
      <c r="Q160" s="772"/>
      <c r="R160" s="102"/>
      <c r="T160" s="188" t="s">
        <v>552</v>
      </c>
      <c r="U160" s="189" t="s">
        <v>571</v>
      </c>
      <c r="V160" s="100"/>
      <c r="W160" s="190">
        <f>V160*K160</f>
        <v>0</v>
      </c>
      <c r="X160" s="190">
        <v>0</v>
      </c>
      <c r="Y160" s="190">
        <f>X160*K160</f>
        <v>0</v>
      </c>
      <c r="Z160" s="190">
        <v>0</v>
      </c>
      <c r="AA160" s="191">
        <f>Z160*K160</f>
        <v>0</v>
      </c>
      <c r="AI160" s="89" t="s">
        <v>619</v>
      </c>
      <c r="AK160" s="89" t="s">
        <v>618</v>
      </c>
      <c r="AL160" s="89" t="s">
        <v>620</v>
      </c>
      <c r="AP160" s="89" t="s">
        <v>617</v>
      </c>
      <c r="AV160" s="192">
        <f>IF(U160="základní",N160,0)</f>
        <v>0</v>
      </c>
      <c r="AW160" s="192">
        <f>IF(U160="snížená",N160,0)</f>
        <v>0</v>
      </c>
      <c r="AX160" s="192">
        <f>IF(U160="zákl. přenesená",N160,0)</f>
        <v>0</v>
      </c>
      <c r="AY160" s="192">
        <f>IF(U160="sníž. přenesená",N160,0)</f>
        <v>0</v>
      </c>
      <c r="AZ160" s="192">
        <f>IF(U160="nulová",N160,0)</f>
        <v>0</v>
      </c>
      <c r="BA160" s="89" t="s">
        <v>595</v>
      </c>
      <c r="BB160" s="192">
        <f>ROUND(L160*K160,0)</f>
        <v>0</v>
      </c>
      <c r="BC160" s="89" t="s">
        <v>619</v>
      </c>
      <c r="BD160" s="89" t="s">
        <v>653</v>
      </c>
    </row>
    <row r="161" spans="2:56" s="98" customFormat="1" ht="42" customHeight="1">
      <c r="B161" s="99"/>
      <c r="C161" s="184">
        <v>3</v>
      </c>
      <c r="D161" s="184" t="s">
        <v>618</v>
      </c>
      <c r="E161" s="185"/>
      <c r="F161" s="773" t="s">
        <v>1380</v>
      </c>
      <c r="G161" s="773"/>
      <c r="H161" s="773"/>
      <c r="I161" s="773"/>
      <c r="J161" s="186" t="s">
        <v>45</v>
      </c>
      <c r="K161" s="187">
        <v>2</v>
      </c>
      <c r="L161" s="827"/>
      <c r="M161" s="828"/>
      <c r="N161" s="772">
        <f>ROUND(L161*K161,0)</f>
        <v>0</v>
      </c>
      <c r="O161" s="772"/>
      <c r="P161" s="772"/>
      <c r="Q161" s="772"/>
      <c r="R161" s="102"/>
      <c r="T161" s="188" t="s">
        <v>552</v>
      </c>
      <c r="U161" s="189" t="s">
        <v>571</v>
      </c>
      <c r="V161" s="100"/>
      <c r="W161" s="190">
        <f>V161*K161</f>
        <v>0</v>
      </c>
      <c r="X161" s="190">
        <v>0</v>
      </c>
      <c r="Y161" s="190">
        <f>X161*K161</f>
        <v>0</v>
      </c>
      <c r="Z161" s="190">
        <v>0</v>
      </c>
      <c r="AA161" s="191">
        <f>Z161*K161</f>
        <v>0</v>
      </c>
      <c r="AI161" s="89" t="s">
        <v>619</v>
      </c>
      <c r="AK161" s="89" t="s">
        <v>618</v>
      </c>
      <c r="AL161" s="89" t="s">
        <v>620</v>
      </c>
      <c r="AP161" s="89" t="s">
        <v>617</v>
      </c>
      <c r="AV161" s="192">
        <f>IF(U161="základní",N161,0)</f>
        <v>0</v>
      </c>
      <c r="AW161" s="192">
        <f>IF(U161="snížená",N161,0)</f>
        <v>0</v>
      </c>
      <c r="AX161" s="192">
        <f>IF(U161="zákl. přenesená",N161,0)</f>
        <v>0</v>
      </c>
      <c r="AY161" s="192">
        <f>IF(U161="sníž. přenesená",N161,0)</f>
        <v>0</v>
      </c>
      <c r="AZ161" s="192">
        <f>IF(U161="nulová",N161,0)</f>
        <v>0</v>
      </c>
      <c r="BA161" s="89" t="s">
        <v>595</v>
      </c>
      <c r="BB161" s="192">
        <f>ROUND(L161*K161,0)</f>
        <v>0</v>
      </c>
      <c r="BC161" s="89" t="s">
        <v>619</v>
      </c>
      <c r="BD161" s="89" t="s">
        <v>653</v>
      </c>
    </row>
    <row r="162" spans="2:56" s="98" customFormat="1" ht="42" customHeight="1">
      <c r="B162" s="99"/>
      <c r="C162" s="184">
        <v>4</v>
      </c>
      <c r="D162" s="184" t="s">
        <v>618</v>
      </c>
      <c r="E162" s="185"/>
      <c r="F162" s="773" t="s">
        <v>1381</v>
      </c>
      <c r="G162" s="773"/>
      <c r="H162" s="773"/>
      <c r="I162" s="773"/>
      <c r="J162" s="186" t="s">
        <v>45</v>
      </c>
      <c r="K162" s="187">
        <v>2</v>
      </c>
      <c r="L162" s="827"/>
      <c r="M162" s="828"/>
      <c r="N162" s="772">
        <f>ROUND(L162*K162,0)</f>
        <v>0</v>
      </c>
      <c r="O162" s="772"/>
      <c r="P162" s="772"/>
      <c r="Q162" s="772"/>
      <c r="R162" s="102"/>
      <c r="T162" s="188" t="s">
        <v>552</v>
      </c>
      <c r="U162" s="189" t="s">
        <v>571</v>
      </c>
      <c r="V162" s="100"/>
      <c r="W162" s="190">
        <f>V162*K162</f>
        <v>0</v>
      </c>
      <c r="X162" s="190">
        <v>0</v>
      </c>
      <c r="Y162" s="190">
        <f>X162*K162</f>
        <v>0</v>
      </c>
      <c r="Z162" s="190">
        <v>0</v>
      </c>
      <c r="AA162" s="191">
        <f>Z162*K162</f>
        <v>0</v>
      </c>
      <c r="AI162" s="89" t="s">
        <v>619</v>
      </c>
      <c r="AK162" s="89" t="s">
        <v>618</v>
      </c>
      <c r="AL162" s="89" t="s">
        <v>620</v>
      </c>
      <c r="AP162" s="89" t="s">
        <v>617</v>
      </c>
      <c r="AV162" s="192">
        <f>IF(U162="základní",N162,0)</f>
        <v>0</v>
      </c>
      <c r="AW162" s="192">
        <f>IF(U162="snížená",N162,0)</f>
        <v>0</v>
      </c>
      <c r="AX162" s="192">
        <f>IF(U162="zákl. přenesená",N162,0)</f>
        <v>0</v>
      </c>
      <c r="AY162" s="192">
        <f>IF(U162="sníž. přenesená",N162,0)</f>
        <v>0</v>
      </c>
      <c r="AZ162" s="192">
        <f>IF(U162="nulová",N162,0)</f>
        <v>0</v>
      </c>
      <c r="BA162" s="89" t="s">
        <v>595</v>
      </c>
      <c r="BB162" s="192">
        <f>ROUND(L162*K162,0)</f>
        <v>0</v>
      </c>
      <c r="BC162" s="89" t="s">
        <v>619</v>
      </c>
      <c r="BD162" s="89" t="s">
        <v>653</v>
      </c>
    </row>
    <row r="163" spans="2:56" s="98" customFormat="1" ht="42" customHeight="1">
      <c r="B163" s="99"/>
      <c r="C163" s="184">
        <v>5</v>
      </c>
      <c r="D163" s="184" t="s">
        <v>618</v>
      </c>
      <c r="E163" s="185"/>
      <c r="F163" s="773" t="s">
        <v>1382</v>
      </c>
      <c r="G163" s="773"/>
      <c r="H163" s="773"/>
      <c r="I163" s="773"/>
      <c r="J163" s="186" t="s">
        <v>45</v>
      </c>
      <c r="K163" s="187">
        <v>1</v>
      </c>
      <c r="L163" s="827"/>
      <c r="M163" s="828"/>
      <c r="N163" s="772">
        <f>ROUND(L163*K163,0)</f>
        <v>0</v>
      </c>
      <c r="O163" s="772"/>
      <c r="P163" s="772"/>
      <c r="Q163" s="772"/>
      <c r="R163" s="102"/>
      <c r="T163" s="188" t="s">
        <v>552</v>
      </c>
      <c r="U163" s="189" t="s">
        <v>571</v>
      </c>
      <c r="V163" s="100"/>
      <c r="W163" s="190">
        <f>V163*K163</f>
        <v>0</v>
      </c>
      <c r="X163" s="190">
        <v>0</v>
      </c>
      <c r="Y163" s="190">
        <f>X163*K163</f>
        <v>0</v>
      </c>
      <c r="Z163" s="190">
        <v>0</v>
      </c>
      <c r="AA163" s="191">
        <f>Z163*K163</f>
        <v>0</v>
      </c>
      <c r="AI163" s="89" t="s">
        <v>619</v>
      </c>
      <c r="AK163" s="89" t="s">
        <v>618</v>
      </c>
      <c r="AL163" s="89" t="s">
        <v>620</v>
      </c>
      <c r="AP163" s="89" t="s">
        <v>617</v>
      </c>
      <c r="AV163" s="192">
        <f>IF(U163="základní",N163,0)</f>
        <v>0</v>
      </c>
      <c r="AW163" s="192">
        <f>IF(U163="snížená",N163,0)</f>
        <v>0</v>
      </c>
      <c r="AX163" s="192">
        <f>IF(U163="zákl. přenesená",N163,0)</f>
        <v>0</v>
      </c>
      <c r="AY163" s="192">
        <f>IF(U163="sníž. přenesená",N163,0)</f>
        <v>0</v>
      </c>
      <c r="AZ163" s="192">
        <f>IF(U163="nulová",N163,0)</f>
        <v>0</v>
      </c>
      <c r="BA163" s="89" t="s">
        <v>595</v>
      </c>
      <c r="BB163" s="192">
        <f>ROUND(L163*K163,0)</f>
        <v>0</v>
      </c>
      <c r="BC163" s="89" t="s">
        <v>619</v>
      </c>
      <c r="BD163" s="89" t="s">
        <v>653</v>
      </c>
    </row>
    <row r="164" spans="2:56" s="98" customFormat="1" ht="42" customHeight="1">
      <c r="B164" s="99"/>
      <c r="C164" s="184">
        <v>6</v>
      </c>
      <c r="D164" s="184" t="s">
        <v>618</v>
      </c>
      <c r="E164" s="185"/>
      <c r="F164" s="773" t="s">
        <v>1383</v>
      </c>
      <c r="G164" s="773"/>
      <c r="H164" s="773"/>
      <c r="I164" s="773"/>
      <c r="J164" s="186" t="s">
        <v>45</v>
      </c>
      <c r="K164" s="187">
        <v>1</v>
      </c>
      <c r="L164" s="827"/>
      <c r="M164" s="828"/>
      <c r="N164" s="772">
        <f aca="true" t="shared" si="25" ref="N164:N179">ROUND(L164*K164,0)</f>
        <v>0</v>
      </c>
      <c r="O164" s="772"/>
      <c r="P164" s="772"/>
      <c r="Q164" s="772"/>
      <c r="R164" s="102"/>
      <c r="T164" s="188" t="s">
        <v>552</v>
      </c>
      <c r="U164" s="189" t="s">
        <v>571</v>
      </c>
      <c r="V164" s="100"/>
      <c r="W164" s="190">
        <f aca="true" t="shared" si="26" ref="W164:W179">V164*K164</f>
        <v>0</v>
      </c>
      <c r="X164" s="190">
        <v>0</v>
      </c>
      <c r="Y164" s="190">
        <f aca="true" t="shared" si="27" ref="Y164:Y179">X164*K164</f>
        <v>0</v>
      </c>
      <c r="Z164" s="190">
        <v>0</v>
      </c>
      <c r="AA164" s="191">
        <f aca="true" t="shared" si="28" ref="AA164:AA179">Z164*K164</f>
        <v>0</v>
      </c>
      <c r="AI164" s="89" t="s">
        <v>619</v>
      </c>
      <c r="AK164" s="89" t="s">
        <v>618</v>
      </c>
      <c r="AL164" s="89" t="s">
        <v>620</v>
      </c>
      <c r="AP164" s="89" t="s">
        <v>617</v>
      </c>
      <c r="AV164" s="192">
        <f aca="true" t="shared" si="29" ref="AV164:AV179">IF(U164="základní",N164,0)</f>
        <v>0</v>
      </c>
      <c r="AW164" s="192">
        <f aca="true" t="shared" si="30" ref="AW164:AW179">IF(U164="snížená",N164,0)</f>
        <v>0</v>
      </c>
      <c r="AX164" s="192">
        <f aca="true" t="shared" si="31" ref="AX164:AX179">IF(U164="zákl. přenesená",N164,0)</f>
        <v>0</v>
      </c>
      <c r="AY164" s="192">
        <f aca="true" t="shared" si="32" ref="AY164:AY179">IF(U164="sníž. přenesená",N164,0)</f>
        <v>0</v>
      </c>
      <c r="AZ164" s="192">
        <f aca="true" t="shared" si="33" ref="AZ164:AZ179">IF(U164="nulová",N164,0)</f>
        <v>0</v>
      </c>
      <c r="BA164" s="89" t="s">
        <v>595</v>
      </c>
      <c r="BB164" s="192">
        <f aca="true" t="shared" si="34" ref="BB164:BB179">ROUND(L164*K164,0)</f>
        <v>0</v>
      </c>
      <c r="BC164" s="89" t="s">
        <v>619</v>
      </c>
      <c r="BD164" s="89" t="s">
        <v>653</v>
      </c>
    </row>
    <row r="165" spans="2:56" s="98" customFormat="1" ht="42" customHeight="1">
      <c r="B165" s="99"/>
      <c r="C165" s="184">
        <v>7</v>
      </c>
      <c r="D165" s="184" t="s">
        <v>618</v>
      </c>
      <c r="E165" s="185"/>
      <c r="F165" s="773" t="s">
        <v>1384</v>
      </c>
      <c r="G165" s="773"/>
      <c r="H165" s="773"/>
      <c r="I165" s="773"/>
      <c r="J165" s="186" t="s">
        <v>45</v>
      </c>
      <c r="K165" s="187">
        <v>1</v>
      </c>
      <c r="L165" s="827"/>
      <c r="M165" s="828"/>
      <c r="N165" s="772">
        <f t="shared" si="25"/>
        <v>0</v>
      </c>
      <c r="O165" s="772"/>
      <c r="P165" s="772"/>
      <c r="Q165" s="772"/>
      <c r="R165" s="102"/>
      <c r="T165" s="188" t="s">
        <v>552</v>
      </c>
      <c r="U165" s="189" t="s">
        <v>571</v>
      </c>
      <c r="V165" s="100"/>
      <c r="W165" s="190">
        <f t="shared" si="26"/>
        <v>0</v>
      </c>
      <c r="X165" s="190">
        <v>0</v>
      </c>
      <c r="Y165" s="190">
        <f t="shared" si="27"/>
        <v>0</v>
      </c>
      <c r="Z165" s="190">
        <v>0</v>
      </c>
      <c r="AA165" s="191">
        <f t="shared" si="28"/>
        <v>0</v>
      </c>
      <c r="AI165" s="89" t="s">
        <v>619</v>
      </c>
      <c r="AK165" s="89" t="s">
        <v>618</v>
      </c>
      <c r="AL165" s="89" t="s">
        <v>620</v>
      </c>
      <c r="AP165" s="89" t="s">
        <v>617</v>
      </c>
      <c r="AV165" s="192">
        <f t="shared" si="29"/>
        <v>0</v>
      </c>
      <c r="AW165" s="192">
        <f t="shared" si="30"/>
        <v>0</v>
      </c>
      <c r="AX165" s="192">
        <f t="shared" si="31"/>
        <v>0</v>
      </c>
      <c r="AY165" s="192">
        <f t="shared" si="32"/>
        <v>0</v>
      </c>
      <c r="AZ165" s="192">
        <f t="shared" si="33"/>
        <v>0</v>
      </c>
      <c r="BA165" s="89" t="s">
        <v>595</v>
      </c>
      <c r="BB165" s="192">
        <f t="shared" si="34"/>
        <v>0</v>
      </c>
      <c r="BC165" s="89" t="s">
        <v>619</v>
      </c>
      <c r="BD165" s="89" t="s">
        <v>653</v>
      </c>
    </row>
    <row r="166" spans="2:56" s="98" customFormat="1" ht="42" customHeight="1">
      <c r="B166" s="99"/>
      <c r="C166" s="184">
        <v>8</v>
      </c>
      <c r="D166" s="184" t="s">
        <v>618</v>
      </c>
      <c r="E166" s="185"/>
      <c r="F166" s="773" t="s">
        <v>1387</v>
      </c>
      <c r="G166" s="773"/>
      <c r="H166" s="773"/>
      <c r="I166" s="773"/>
      <c r="J166" s="186" t="s">
        <v>45</v>
      </c>
      <c r="K166" s="187">
        <v>25</v>
      </c>
      <c r="L166" s="827"/>
      <c r="M166" s="828"/>
      <c r="N166" s="772">
        <f t="shared" si="25"/>
        <v>0</v>
      </c>
      <c r="O166" s="772"/>
      <c r="P166" s="772"/>
      <c r="Q166" s="772"/>
      <c r="R166" s="102"/>
      <c r="T166" s="188" t="s">
        <v>552</v>
      </c>
      <c r="U166" s="189" t="s">
        <v>571</v>
      </c>
      <c r="V166" s="100"/>
      <c r="W166" s="190">
        <f t="shared" si="26"/>
        <v>0</v>
      </c>
      <c r="X166" s="190">
        <v>0</v>
      </c>
      <c r="Y166" s="190">
        <f t="shared" si="27"/>
        <v>0</v>
      </c>
      <c r="Z166" s="190">
        <v>0</v>
      </c>
      <c r="AA166" s="191">
        <f t="shared" si="28"/>
        <v>0</v>
      </c>
      <c r="AI166" s="89" t="s">
        <v>619</v>
      </c>
      <c r="AK166" s="89" t="s">
        <v>618</v>
      </c>
      <c r="AL166" s="89" t="s">
        <v>620</v>
      </c>
      <c r="AP166" s="89" t="s">
        <v>617</v>
      </c>
      <c r="AV166" s="192">
        <f t="shared" si="29"/>
        <v>0</v>
      </c>
      <c r="AW166" s="192">
        <f t="shared" si="30"/>
        <v>0</v>
      </c>
      <c r="AX166" s="192">
        <f t="shared" si="31"/>
        <v>0</v>
      </c>
      <c r="AY166" s="192">
        <f t="shared" si="32"/>
        <v>0</v>
      </c>
      <c r="AZ166" s="192">
        <f t="shared" si="33"/>
        <v>0</v>
      </c>
      <c r="BA166" s="89" t="s">
        <v>595</v>
      </c>
      <c r="BB166" s="192">
        <f t="shared" si="34"/>
        <v>0</v>
      </c>
      <c r="BC166" s="89" t="s">
        <v>619</v>
      </c>
      <c r="BD166" s="89" t="s">
        <v>653</v>
      </c>
    </row>
    <row r="167" spans="2:56" s="98" customFormat="1" ht="42" customHeight="1">
      <c r="B167" s="99"/>
      <c r="C167" s="184">
        <v>9</v>
      </c>
      <c r="D167" s="184" t="s">
        <v>618</v>
      </c>
      <c r="E167" s="185"/>
      <c r="F167" s="773" t="s">
        <v>1386</v>
      </c>
      <c r="G167" s="773"/>
      <c r="H167" s="773"/>
      <c r="I167" s="773"/>
      <c r="J167" s="186" t="s">
        <v>45</v>
      </c>
      <c r="K167" s="187">
        <v>1</v>
      </c>
      <c r="L167" s="827"/>
      <c r="M167" s="828"/>
      <c r="N167" s="772">
        <f t="shared" si="25"/>
        <v>0</v>
      </c>
      <c r="O167" s="772"/>
      <c r="P167" s="772"/>
      <c r="Q167" s="772"/>
      <c r="R167" s="102"/>
      <c r="T167" s="188" t="s">
        <v>552</v>
      </c>
      <c r="U167" s="189" t="s">
        <v>571</v>
      </c>
      <c r="V167" s="100"/>
      <c r="W167" s="190">
        <f t="shared" si="26"/>
        <v>0</v>
      </c>
      <c r="X167" s="190">
        <v>0</v>
      </c>
      <c r="Y167" s="190">
        <f t="shared" si="27"/>
        <v>0</v>
      </c>
      <c r="Z167" s="190">
        <v>0</v>
      </c>
      <c r="AA167" s="191">
        <f t="shared" si="28"/>
        <v>0</v>
      </c>
      <c r="AI167" s="89" t="s">
        <v>619</v>
      </c>
      <c r="AK167" s="89" t="s">
        <v>618</v>
      </c>
      <c r="AL167" s="89" t="s">
        <v>620</v>
      </c>
      <c r="AP167" s="89" t="s">
        <v>617</v>
      </c>
      <c r="AV167" s="192">
        <f t="shared" si="29"/>
        <v>0</v>
      </c>
      <c r="AW167" s="192">
        <f t="shared" si="30"/>
        <v>0</v>
      </c>
      <c r="AX167" s="192">
        <f t="shared" si="31"/>
        <v>0</v>
      </c>
      <c r="AY167" s="192">
        <f t="shared" si="32"/>
        <v>0</v>
      </c>
      <c r="AZ167" s="192">
        <f t="shared" si="33"/>
        <v>0</v>
      </c>
      <c r="BA167" s="89" t="s">
        <v>595</v>
      </c>
      <c r="BB167" s="192">
        <f t="shared" si="34"/>
        <v>0</v>
      </c>
      <c r="BC167" s="89" t="s">
        <v>619</v>
      </c>
      <c r="BD167" s="89" t="s">
        <v>653</v>
      </c>
    </row>
    <row r="168" spans="2:56" s="98" customFormat="1" ht="42" customHeight="1">
      <c r="B168" s="99"/>
      <c r="C168" s="184">
        <v>10</v>
      </c>
      <c r="D168" s="184" t="s">
        <v>618</v>
      </c>
      <c r="E168" s="185"/>
      <c r="F168" s="773" t="s">
        <v>1385</v>
      </c>
      <c r="G168" s="773"/>
      <c r="H168" s="773"/>
      <c r="I168" s="773"/>
      <c r="J168" s="186" t="s">
        <v>45</v>
      </c>
      <c r="K168" s="187">
        <v>1</v>
      </c>
      <c r="L168" s="827"/>
      <c r="M168" s="828"/>
      <c r="N168" s="772">
        <f t="shared" si="25"/>
        <v>0</v>
      </c>
      <c r="O168" s="772"/>
      <c r="P168" s="772"/>
      <c r="Q168" s="772"/>
      <c r="R168" s="102"/>
      <c r="T168" s="188" t="s">
        <v>552</v>
      </c>
      <c r="U168" s="189" t="s">
        <v>571</v>
      </c>
      <c r="V168" s="100"/>
      <c r="W168" s="190">
        <f t="shared" si="26"/>
        <v>0</v>
      </c>
      <c r="X168" s="190">
        <v>0</v>
      </c>
      <c r="Y168" s="190">
        <f t="shared" si="27"/>
        <v>0</v>
      </c>
      <c r="Z168" s="190">
        <v>0</v>
      </c>
      <c r="AA168" s="191">
        <f t="shared" si="28"/>
        <v>0</v>
      </c>
      <c r="AI168" s="89" t="s">
        <v>619</v>
      </c>
      <c r="AK168" s="89" t="s">
        <v>618</v>
      </c>
      <c r="AL168" s="89" t="s">
        <v>620</v>
      </c>
      <c r="AP168" s="89" t="s">
        <v>617</v>
      </c>
      <c r="AV168" s="192">
        <f t="shared" si="29"/>
        <v>0</v>
      </c>
      <c r="AW168" s="192">
        <f t="shared" si="30"/>
        <v>0</v>
      </c>
      <c r="AX168" s="192">
        <f t="shared" si="31"/>
        <v>0</v>
      </c>
      <c r="AY168" s="192">
        <f t="shared" si="32"/>
        <v>0</v>
      </c>
      <c r="AZ168" s="192">
        <f t="shared" si="33"/>
        <v>0</v>
      </c>
      <c r="BA168" s="89" t="s">
        <v>595</v>
      </c>
      <c r="BB168" s="192">
        <f t="shared" si="34"/>
        <v>0</v>
      </c>
      <c r="BC168" s="89" t="s">
        <v>619</v>
      </c>
      <c r="BD168" s="89" t="s">
        <v>653</v>
      </c>
    </row>
    <row r="169" spans="2:56" s="98" customFormat="1" ht="42" customHeight="1">
      <c r="B169" s="99"/>
      <c r="C169" s="184">
        <v>11</v>
      </c>
      <c r="D169" s="184" t="s">
        <v>618</v>
      </c>
      <c r="E169" s="185"/>
      <c r="F169" s="773" t="s">
        <v>1388</v>
      </c>
      <c r="G169" s="773"/>
      <c r="H169" s="773"/>
      <c r="I169" s="773"/>
      <c r="J169" s="186" t="s">
        <v>45</v>
      </c>
      <c r="K169" s="187">
        <v>33</v>
      </c>
      <c r="L169" s="827"/>
      <c r="M169" s="828"/>
      <c r="N169" s="772">
        <f t="shared" si="25"/>
        <v>0</v>
      </c>
      <c r="O169" s="772"/>
      <c r="P169" s="772"/>
      <c r="Q169" s="772"/>
      <c r="R169" s="102"/>
      <c r="T169" s="188" t="s">
        <v>552</v>
      </c>
      <c r="U169" s="189" t="s">
        <v>571</v>
      </c>
      <c r="V169" s="100"/>
      <c r="W169" s="190">
        <f t="shared" si="26"/>
        <v>0</v>
      </c>
      <c r="X169" s="190">
        <v>0</v>
      </c>
      <c r="Y169" s="190">
        <f t="shared" si="27"/>
        <v>0</v>
      </c>
      <c r="Z169" s="190">
        <v>0</v>
      </c>
      <c r="AA169" s="191">
        <f t="shared" si="28"/>
        <v>0</v>
      </c>
      <c r="AI169" s="89" t="s">
        <v>619</v>
      </c>
      <c r="AK169" s="89" t="s">
        <v>618</v>
      </c>
      <c r="AL169" s="89" t="s">
        <v>620</v>
      </c>
      <c r="AP169" s="89" t="s">
        <v>617</v>
      </c>
      <c r="AV169" s="192">
        <f t="shared" si="29"/>
        <v>0</v>
      </c>
      <c r="AW169" s="192">
        <f t="shared" si="30"/>
        <v>0</v>
      </c>
      <c r="AX169" s="192">
        <f t="shared" si="31"/>
        <v>0</v>
      </c>
      <c r="AY169" s="192">
        <f t="shared" si="32"/>
        <v>0</v>
      </c>
      <c r="AZ169" s="192">
        <f t="shared" si="33"/>
        <v>0</v>
      </c>
      <c r="BA169" s="89" t="s">
        <v>595</v>
      </c>
      <c r="BB169" s="192">
        <f t="shared" si="34"/>
        <v>0</v>
      </c>
      <c r="BC169" s="89" t="s">
        <v>619</v>
      </c>
      <c r="BD169" s="89" t="s">
        <v>653</v>
      </c>
    </row>
    <row r="170" spans="2:56" s="98" customFormat="1" ht="42" customHeight="1">
      <c r="B170" s="99"/>
      <c r="C170" s="184">
        <v>12</v>
      </c>
      <c r="D170" s="184" t="s">
        <v>618</v>
      </c>
      <c r="E170" s="185"/>
      <c r="F170" s="773" t="s">
        <v>1385</v>
      </c>
      <c r="G170" s="773"/>
      <c r="H170" s="773"/>
      <c r="I170" s="773"/>
      <c r="J170" s="186" t="s">
        <v>45</v>
      </c>
      <c r="K170" s="187">
        <v>3</v>
      </c>
      <c r="L170" s="827"/>
      <c r="M170" s="828"/>
      <c r="N170" s="772">
        <f t="shared" si="25"/>
        <v>0</v>
      </c>
      <c r="O170" s="772"/>
      <c r="P170" s="772"/>
      <c r="Q170" s="772"/>
      <c r="R170" s="102"/>
      <c r="T170" s="188" t="s">
        <v>552</v>
      </c>
      <c r="U170" s="189" t="s">
        <v>571</v>
      </c>
      <c r="V170" s="100"/>
      <c r="W170" s="190">
        <f t="shared" si="26"/>
        <v>0</v>
      </c>
      <c r="X170" s="190">
        <v>0</v>
      </c>
      <c r="Y170" s="190">
        <f t="shared" si="27"/>
        <v>0</v>
      </c>
      <c r="Z170" s="190">
        <v>0</v>
      </c>
      <c r="AA170" s="191">
        <f t="shared" si="28"/>
        <v>0</v>
      </c>
      <c r="AI170" s="89" t="s">
        <v>619</v>
      </c>
      <c r="AK170" s="89" t="s">
        <v>618</v>
      </c>
      <c r="AL170" s="89" t="s">
        <v>620</v>
      </c>
      <c r="AP170" s="89" t="s">
        <v>617</v>
      </c>
      <c r="AV170" s="192">
        <f t="shared" si="29"/>
        <v>0</v>
      </c>
      <c r="AW170" s="192">
        <f t="shared" si="30"/>
        <v>0</v>
      </c>
      <c r="AX170" s="192">
        <f t="shared" si="31"/>
        <v>0</v>
      </c>
      <c r="AY170" s="192">
        <f t="shared" si="32"/>
        <v>0</v>
      </c>
      <c r="AZ170" s="192">
        <f t="shared" si="33"/>
        <v>0</v>
      </c>
      <c r="BA170" s="89" t="s">
        <v>595</v>
      </c>
      <c r="BB170" s="192">
        <f t="shared" si="34"/>
        <v>0</v>
      </c>
      <c r="BC170" s="89" t="s">
        <v>619</v>
      </c>
      <c r="BD170" s="89" t="s">
        <v>653</v>
      </c>
    </row>
    <row r="171" spans="2:56" s="98" customFormat="1" ht="42" customHeight="1">
      <c r="B171" s="99"/>
      <c r="C171" s="184">
        <v>13</v>
      </c>
      <c r="D171" s="184" t="s">
        <v>618</v>
      </c>
      <c r="E171" s="185"/>
      <c r="F171" s="773" t="s">
        <v>1389</v>
      </c>
      <c r="G171" s="773"/>
      <c r="H171" s="773"/>
      <c r="I171" s="773"/>
      <c r="J171" s="186" t="s">
        <v>45</v>
      </c>
      <c r="K171" s="187">
        <v>1</v>
      </c>
      <c r="L171" s="827"/>
      <c r="M171" s="828"/>
      <c r="N171" s="772">
        <f t="shared" si="25"/>
        <v>0</v>
      </c>
      <c r="O171" s="772"/>
      <c r="P171" s="772"/>
      <c r="Q171" s="772"/>
      <c r="R171" s="102"/>
      <c r="T171" s="188" t="s">
        <v>552</v>
      </c>
      <c r="U171" s="189" t="s">
        <v>571</v>
      </c>
      <c r="V171" s="100"/>
      <c r="W171" s="190">
        <f t="shared" si="26"/>
        <v>0</v>
      </c>
      <c r="X171" s="190">
        <v>0</v>
      </c>
      <c r="Y171" s="190">
        <f t="shared" si="27"/>
        <v>0</v>
      </c>
      <c r="Z171" s="190">
        <v>0</v>
      </c>
      <c r="AA171" s="191">
        <f t="shared" si="28"/>
        <v>0</v>
      </c>
      <c r="AI171" s="89" t="s">
        <v>619</v>
      </c>
      <c r="AK171" s="89" t="s">
        <v>618</v>
      </c>
      <c r="AL171" s="89" t="s">
        <v>620</v>
      </c>
      <c r="AP171" s="89" t="s">
        <v>617</v>
      </c>
      <c r="AV171" s="192">
        <f t="shared" si="29"/>
        <v>0</v>
      </c>
      <c r="AW171" s="192">
        <f t="shared" si="30"/>
        <v>0</v>
      </c>
      <c r="AX171" s="192">
        <f t="shared" si="31"/>
        <v>0</v>
      </c>
      <c r="AY171" s="192">
        <f t="shared" si="32"/>
        <v>0</v>
      </c>
      <c r="AZ171" s="192">
        <f t="shared" si="33"/>
        <v>0</v>
      </c>
      <c r="BA171" s="89" t="s">
        <v>595</v>
      </c>
      <c r="BB171" s="192">
        <f t="shared" si="34"/>
        <v>0</v>
      </c>
      <c r="BC171" s="89" t="s">
        <v>619</v>
      </c>
      <c r="BD171" s="89" t="s">
        <v>653</v>
      </c>
    </row>
    <row r="172" spans="2:56" s="98" customFormat="1" ht="42" customHeight="1">
      <c r="B172" s="99"/>
      <c r="C172" s="184">
        <v>14</v>
      </c>
      <c r="D172" s="184" t="s">
        <v>618</v>
      </c>
      <c r="E172" s="185"/>
      <c r="F172" s="773" t="s">
        <v>1388</v>
      </c>
      <c r="G172" s="773"/>
      <c r="H172" s="773"/>
      <c r="I172" s="773"/>
      <c r="J172" s="186" t="s">
        <v>45</v>
      </c>
      <c r="K172" s="187">
        <v>15</v>
      </c>
      <c r="L172" s="827"/>
      <c r="M172" s="828"/>
      <c r="N172" s="772">
        <f t="shared" si="25"/>
        <v>0</v>
      </c>
      <c r="O172" s="772"/>
      <c r="P172" s="772"/>
      <c r="Q172" s="772"/>
      <c r="R172" s="102"/>
      <c r="T172" s="188" t="s">
        <v>552</v>
      </c>
      <c r="U172" s="189" t="s">
        <v>571</v>
      </c>
      <c r="V172" s="100"/>
      <c r="W172" s="190">
        <f t="shared" si="26"/>
        <v>0</v>
      </c>
      <c r="X172" s="190">
        <v>0</v>
      </c>
      <c r="Y172" s="190">
        <f t="shared" si="27"/>
        <v>0</v>
      </c>
      <c r="Z172" s="190">
        <v>0</v>
      </c>
      <c r="AA172" s="191">
        <f t="shared" si="28"/>
        <v>0</v>
      </c>
      <c r="AI172" s="89" t="s">
        <v>619</v>
      </c>
      <c r="AK172" s="89" t="s">
        <v>618</v>
      </c>
      <c r="AL172" s="89" t="s">
        <v>620</v>
      </c>
      <c r="AP172" s="89" t="s">
        <v>617</v>
      </c>
      <c r="AV172" s="192">
        <f t="shared" si="29"/>
        <v>0</v>
      </c>
      <c r="AW172" s="192">
        <f t="shared" si="30"/>
        <v>0</v>
      </c>
      <c r="AX172" s="192">
        <f t="shared" si="31"/>
        <v>0</v>
      </c>
      <c r="AY172" s="192">
        <f t="shared" si="32"/>
        <v>0</v>
      </c>
      <c r="AZ172" s="192">
        <f t="shared" si="33"/>
        <v>0</v>
      </c>
      <c r="BA172" s="89" t="s">
        <v>595</v>
      </c>
      <c r="BB172" s="192">
        <f t="shared" si="34"/>
        <v>0</v>
      </c>
      <c r="BC172" s="89" t="s">
        <v>619</v>
      </c>
      <c r="BD172" s="89" t="s">
        <v>653</v>
      </c>
    </row>
    <row r="173" spans="2:56" s="98" customFormat="1" ht="42" customHeight="1">
      <c r="B173" s="99"/>
      <c r="C173" s="184">
        <v>15</v>
      </c>
      <c r="D173" s="184" t="s">
        <v>618</v>
      </c>
      <c r="E173" s="185"/>
      <c r="F173" s="773" t="s">
        <v>1385</v>
      </c>
      <c r="G173" s="773"/>
      <c r="H173" s="773"/>
      <c r="I173" s="773"/>
      <c r="J173" s="186" t="s">
        <v>45</v>
      </c>
      <c r="K173" s="187">
        <v>4</v>
      </c>
      <c r="L173" s="827"/>
      <c r="M173" s="828"/>
      <c r="N173" s="772">
        <f t="shared" si="25"/>
        <v>0</v>
      </c>
      <c r="O173" s="772"/>
      <c r="P173" s="772"/>
      <c r="Q173" s="772"/>
      <c r="R173" s="102"/>
      <c r="T173" s="188" t="s">
        <v>552</v>
      </c>
      <c r="U173" s="189" t="s">
        <v>571</v>
      </c>
      <c r="V173" s="100"/>
      <c r="W173" s="190">
        <f t="shared" si="26"/>
        <v>0</v>
      </c>
      <c r="X173" s="190">
        <v>0</v>
      </c>
      <c r="Y173" s="190">
        <f t="shared" si="27"/>
        <v>0</v>
      </c>
      <c r="Z173" s="190">
        <v>0</v>
      </c>
      <c r="AA173" s="191">
        <f t="shared" si="28"/>
        <v>0</v>
      </c>
      <c r="AI173" s="89" t="s">
        <v>619</v>
      </c>
      <c r="AK173" s="89" t="s">
        <v>618</v>
      </c>
      <c r="AL173" s="89" t="s">
        <v>620</v>
      </c>
      <c r="AP173" s="89" t="s">
        <v>617</v>
      </c>
      <c r="AV173" s="192">
        <f t="shared" si="29"/>
        <v>0</v>
      </c>
      <c r="AW173" s="192">
        <f t="shared" si="30"/>
        <v>0</v>
      </c>
      <c r="AX173" s="192">
        <f t="shared" si="31"/>
        <v>0</v>
      </c>
      <c r="AY173" s="192">
        <f t="shared" si="32"/>
        <v>0</v>
      </c>
      <c r="AZ173" s="192">
        <f t="shared" si="33"/>
        <v>0</v>
      </c>
      <c r="BA173" s="89" t="s">
        <v>595</v>
      </c>
      <c r="BB173" s="192">
        <f t="shared" si="34"/>
        <v>0</v>
      </c>
      <c r="BC173" s="89" t="s">
        <v>619</v>
      </c>
      <c r="BD173" s="89" t="s">
        <v>653</v>
      </c>
    </row>
    <row r="174" spans="2:56" s="98" customFormat="1" ht="42" customHeight="1">
      <c r="B174" s="99"/>
      <c r="C174" s="184">
        <v>16</v>
      </c>
      <c r="D174" s="184" t="s">
        <v>618</v>
      </c>
      <c r="E174" s="185"/>
      <c r="F174" s="773" t="s">
        <v>1390</v>
      </c>
      <c r="G174" s="773"/>
      <c r="H174" s="773"/>
      <c r="I174" s="773"/>
      <c r="J174" s="186" t="s">
        <v>45</v>
      </c>
      <c r="K174" s="187">
        <v>4</v>
      </c>
      <c r="L174" s="827"/>
      <c r="M174" s="828"/>
      <c r="N174" s="772">
        <f t="shared" si="25"/>
        <v>0</v>
      </c>
      <c r="O174" s="772"/>
      <c r="P174" s="772"/>
      <c r="Q174" s="772"/>
      <c r="R174" s="102"/>
      <c r="T174" s="188" t="s">
        <v>552</v>
      </c>
      <c r="U174" s="189" t="s">
        <v>571</v>
      </c>
      <c r="V174" s="100"/>
      <c r="W174" s="190">
        <f t="shared" si="26"/>
        <v>0</v>
      </c>
      <c r="X174" s="190">
        <v>0</v>
      </c>
      <c r="Y174" s="190">
        <f t="shared" si="27"/>
        <v>0</v>
      </c>
      <c r="Z174" s="190">
        <v>0</v>
      </c>
      <c r="AA174" s="191">
        <f t="shared" si="28"/>
        <v>0</v>
      </c>
      <c r="AI174" s="89" t="s">
        <v>619</v>
      </c>
      <c r="AK174" s="89" t="s">
        <v>618</v>
      </c>
      <c r="AL174" s="89" t="s">
        <v>620</v>
      </c>
      <c r="AP174" s="89" t="s">
        <v>617</v>
      </c>
      <c r="AV174" s="192">
        <f t="shared" si="29"/>
        <v>0</v>
      </c>
      <c r="AW174" s="192">
        <f t="shared" si="30"/>
        <v>0</v>
      </c>
      <c r="AX174" s="192">
        <f t="shared" si="31"/>
        <v>0</v>
      </c>
      <c r="AY174" s="192">
        <f t="shared" si="32"/>
        <v>0</v>
      </c>
      <c r="AZ174" s="192">
        <f t="shared" si="33"/>
        <v>0</v>
      </c>
      <c r="BA174" s="89" t="s">
        <v>595</v>
      </c>
      <c r="BB174" s="192">
        <f t="shared" si="34"/>
        <v>0</v>
      </c>
      <c r="BC174" s="89" t="s">
        <v>619</v>
      </c>
      <c r="BD174" s="89" t="s">
        <v>653</v>
      </c>
    </row>
    <row r="175" spans="2:56" s="98" customFormat="1" ht="42" customHeight="1">
      <c r="B175" s="99"/>
      <c r="C175" s="184">
        <v>17</v>
      </c>
      <c r="D175" s="184" t="s">
        <v>618</v>
      </c>
      <c r="E175" s="185"/>
      <c r="F175" s="773" t="s">
        <v>1391</v>
      </c>
      <c r="G175" s="773"/>
      <c r="H175" s="773"/>
      <c r="I175" s="773"/>
      <c r="J175" s="186" t="s">
        <v>45</v>
      </c>
      <c r="K175" s="187">
        <v>5</v>
      </c>
      <c r="L175" s="827"/>
      <c r="M175" s="828"/>
      <c r="N175" s="772">
        <f t="shared" si="25"/>
        <v>0</v>
      </c>
      <c r="O175" s="772"/>
      <c r="P175" s="772"/>
      <c r="Q175" s="772"/>
      <c r="R175" s="102"/>
      <c r="T175" s="188" t="s">
        <v>552</v>
      </c>
      <c r="U175" s="189" t="s">
        <v>571</v>
      </c>
      <c r="V175" s="100"/>
      <c r="W175" s="190">
        <f t="shared" si="26"/>
        <v>0</v>
      </c>
      <c r="X175" s="190">
        <v>0</v>
      </c>
      <c r="Y175" s="190">
        <f t="shared" si="27"/>
        <v>0</v>
      </c>
      <c r="Z175" s="190">
        <v>0</v>
      </c>
      <c r="AA175" s="191">
        <f t="shared" si="28"/>
        <v>0</v>
      </c>
      <c r="AI175" s="89" t="s">
        <v>619</v>
      </c>
      <c r="AK175" s="89" t="s">
        <v>618</v>
      </c>
      <c r="AL175" s="89" t="s">
        <v>620</v>
      </c>
      <c r="AP175" s="89" t="s">
        <v>617</v>
      </c>
      <c r="AV175" s="192">
        <f t="shared" si="29"/>
        <v>0</v>
      </c>
      <c r="AW175" s="192">
        <f t="shared" si="30"/>
        <v>0</v>
      </c>
      <c r="AX175" s="192">
        <f t="shared" si="31"/>
        <v>0</v>
      </c>
      <c r="AY175" s="192">
        <f t="shared" si="32"/>
        <v>0</v>
      </c>
      <c r="AZ175" s="192">
        <f t="shared" si="33"/>
        <v>0</v>
      </c>
      <c r="BA175" s="89" t="s">
        <v>595</v>
      </c>
      <c r="BB175" s="192">
        <f t="shared" si="34"/>
        <v>0</v>
      </c>
      <c r="BC175" s="89" t="s">
        <v>619</v>
      </c>
      <c r="BD175" s="89" t="s">
        <v>653</v>
      </c>
    </row>
    <row r="176" spans="2:56" s="98" customFormat="1" ht="42" customHeight="1">
      <c r="B176" s="99"/>
      <c r="C176" s="184">
        <v>18</v>
      </c>
      <c r="D176" s="184" t="s">
        <v>618</v>
      </c>
      <c r="E176" s="185"/>
      <c r="F176" s="773" t="s">
        <v>654</v>
      </c>
      <c r="G176" s="773"/>
      <c r="H176" s="773"/>
      <c r="I176" s="773"/>
      <c r="J176" s="186" t="s">
        <v>45</v>
      </c>
      <c r="K176" s="187">
        <v>2</v>
      </c>
      <c r="L176" s="827"/>
      <c r="M176" s="828"/>
      <c r="N176" s="772">
        <f t="shared" si="25"/>
        <v>0</v>
      </c>
      <c r="O176" s="772"/>
      <c r="P176" s="772"/>
      <c r="Q176" s="772"/>
      <c r="R176" s="102"/>
      <c r="T176" s="188" t="s">
        <v>552</v>
      </c>
      <c r="U176" s="189" t="s">
        <v>571</v>
      </c>
      <c r="V176" s="100"/>
      <c r="W176" s="190">
        <f t="shared" si="26"/>
        <v>0</v>
      </c>
      <c r="X176" s="190">
        <v>0</v>
      </c>
      <c r="Y176" s="190">
        <f t="shared" si="27"/>
        <v>0</v>
      </c>
      <c r="Z176" s="190">
        <v>0</v>
      </c>
      <c r="AA176" s="191">
        <f t="shared" si="28"/>
        <v>0</v>
      </c>
      <c r="AI176" s="89" t="s">
        <v>619</v>
      </c>
      <c r="AK176" s="89" t="s">
        <v>618</v>
      </c>
      <c r="AL176" s="89" t="s">
        <v>620</v>
      </c>
      <c r="AP176" s="89" t="s">
        <v>617</v>
      </c>
      <c r="AV176" s="192">
        <f t="shared" si="29"/>
        <v>0</v>
      </c>
      <c r="AW176" s="192">
        <f t="shared" si="30"/>
        <v>0</v>
      </c>
      <c r="AX176" s="192">
        <f t="shared" si="31"/>
        <v>0</v>
      </c>
      <c r="AY176" s="192">
        <f t="shared" si="32"/>
        <v>0</v>
      </c>
      <c r="AZ176" s="192">
        <f t="shared" si="33"/>
        <v>0</v>
      </c>
      <c r="BA176" s="89" t="s">
        <v>595</v>
      </c>
      <c r="BB176" s="192">
        <f t="shared" si="34"/>
        <v>0</v>
      </c>
      <c r="BC176" s="89" t="s">
        <v>619</v>
      </c>
      <c r="BD176" s="89" t="s">
        <v>653</v>
      </c>
    </row>
    <row r="177" spans="2:56" s="98" customFormat="1" ht="42" customHeight="1">
      <c r="B177" s="99"/>
      <c r="C177" s="184">
        <v>18</v>
      </c>
      <c r="D177" s="184" t="s">
        <v>618</v>
      </c>
      <c r="E177" s="185"/>
      <c r="F177" s="773" t="s">
        <v>655</v>
      </c>
      <c r="G177" s="773"/>
      <c r="H177" s="773"/>
      <c r="I177" s="773"/>
      <c r="J177" s="186" t="s">
        <v>45</v>
      </c>
      <c r="K177" s="187">
        <v>1</v>
      </c>
      <c r="L177" s="827"/>
      <c r="M177" s="828"/>
      <c r="N177" s="772">
        <f t="shared" si="25"/>
        <v>0</v>
      </c>
      <c r="O177" s="772"/>
      <c r="P177" s="772"/>
      <c r="Q177" s="772"/>
      <c r="R177" s="102"/>
      <c r="T177" s="188" t="s">
        <v>552</v>
      </c>
      <c r="U177" s="189" t="s">
        <v>571</v>
      </c>
      <c r="V177" s="100"/>
      <c r="W177" s="190">
        <f t="shared" si="26"/>
        <v>0</v>
      </c>
      <c r="X177" s="190">
        <v>0</v>
      </c>
      <c r="Y177" s="190">
        <f t="shared" si="27"/>
        <v>0</v>
      </c>
      <c r="Z177" s="190">
        <v>0</v>
      </c>
      <c r="AA177" s="191">
        <f t="shared" si="28"/>
        <v>0</v>
      </c>
      <c r="AI177" s="89" t="s">
        <v>619</v>
      </c>
      <c r="AK177" s="89" t="s">
        <v>618</v>
      </c>
      <c r="AL177" s="89" t="s">
        <v>620</v>
      </c>
      <c r="AP177" s="89" t="s">
        <v>617</v>
      </c>
      <c r="AV177" s="192">
        <f t="shared" si="29"/>
        <v>0</v>
      </c>
      <c r="AW177" s="192">
        <f t="shared" si="30"/>
        <v>0</v>
      </c>
      <c r="AX177" s="192">
        <f t="shared" si="31"/>
        <v>0</v>
      </c>
      <c r="AY177" s="192">
        <f t="shared" si="32"/>
        <v>0</v>
      </c>
      <c r="AZ177" s="192">
        <f t="shared" si="33"/>
        <v>0</v>
      </c>
      <c r="BA177" s="89" t="s">
        <v>595</v>
      </c>
      <c r="BB177" s="192">
        <f t="shared" si="34"/>
        <v>0</v>
      </c>
      <c r="BC177" s="89" t="s">
        <v>619</v>
      </c>
      <c r="BD177" s="89" t="s">
        <v>653</v>
      </c>
    </row>
    <row r="178" spans="2:56" s="98" customFormat="1" ht="42" customHeight="1">
      <c r="B178" s="99"/>
      <c r="C178" s="184">
        <v>19</v>
      </c>
      <c r="D178" s="184" t="s">
        <v>618</v>
      </c>
      <c r="E178" s="185"/>
      <c r="F178" s="773" t="s">
        <v>656</v>
      </c>
      <c r="G178" s="773"/>
      <c r="H178" s="773"/>
      <c r="I178" s="773"/>
      <c r="J178" s="186" t="s">
        <v>45</v>
      </c>
      <c r="K178" s="187">
        <v>1</v>
      </c>
      <c r="L178" s="827"/>
      <c r="M178" s="828"/>
      <c r="N178" s="772">
        <f t="shared" si="25"/>
        <v>0</v>
      </c>
      <c r="O178" s="772"/>
      <c r="P178" s="772"/>
      <c r="Q178" s="772"/>
      <c r="R178" s="102"/>
      <c r="T178" s="188" t="s">
        <v>552</v>
      </c>
      <c r="U178" s="189" t="s">
        <v>571</v>
      </c>
      <c r="V178" s="100"/>
      <c r="W178" s="190">
        <f t="shared" si="26"/>
        <v>0</v>
      </c>
      <c r="X178" s="190">
        <v>0</v>
      </c>
      <c r="Y178" s="190">
        <f t="shared" si="27"/>
        <v>0</v>
      </c>
      <c r="Z178" s="190">
        <v>0</v>
      </c>
      <c r="AA178" s="191">
        <f t="shared" si="28"/>
        <v>0</v>
      </c>
      <c r="AI178" s="89" t="s">
        <v>619</v>
      </c>
      <c r="AK178" s="89" t="s">
        <v>618</v>
      </c>
      <c r="AL178" s="89" t="s">
        <v>620</v>
      </c>
      <c r="AP178" s="89" t="s">
        <v>617</v>
      </c>
      <c r="AV178" s="192">
        <f t="shared" si="29"/>
        <v>0</v>
      </c>
      <c r="AW178" s="192">
        <f t="shared" si="30"/>
        <v>0</v>
      </c>
      <c r="AX178" s="192">
        <f t="shared" si="31"/>
        <v>0</v>
      </c>
      <c r="AY178" s="192">
        <f t="shared" si="32"/>
        <v>0</v>
      </c>
      <c r="AZ178" s="192">
        <f t="shared" si="33"/>
        <v>0</v>
      </c>
      <c r="BA178" s="89" t="s">
        <v>595</v>
      </c>
      <c r="BB178" s="192">
        <f t="shared" si="34"/>
        <v>0</v>
      </c>
      <c r="BC178" s="89" t="s">
        <v>619</v>
      </c>
      <c r="BD178" s="89" t="s">
        <v>653</v>
      </c>
    </row>
    <row r="179" spans="2:56" s="98" customFormat="1" ht="22.5" customHeight="1">
      <c r="B179" s="99"/>
      <c r="C179" s="184">
        <v>20</v>
      </c>
      <c r="D179" s="184" t="s">
        <v>618</v>
      </c>
      <c r="E179" s="185"/>
      <c r="F179" s="773" t="s">
        <v>633</v>
      </c>
      <c r="G179" s="773"/>
      <c r="H179" s="773"/>
      <c r="I179" s="773"/>
      <c r="J179" s="186" t="s">
        <v>45</v>
      </c>
      <c r="K179" s="187">
        <v>1</v>
      </c>
      <c r="L179" s="827"/>
      <c r="M179" s="828"/>
      <c r="N179" s="772">
        <f t="shared" si="25"/>
        <v>0</v>
      </c>
      <c r="O179" s="772"/>
      <c r="P179" s="772"/>
      <c r="Q179" s="772"/>
      <c r="R179" s="102"/>
      <c r="T179" s="188" t="s">
        <v>552</v>
      </c>
      <c r="U179" s="189" t="s">
        <v>571</v>
      </c>
      <c r="V179" s="100"/>
      <c r="W179" s="190">
        <f t="shared" si="26"/>
        <v>0</v>
      </c>
      <c r="X179" s="190">
        <v>0</v>
      </c>
      <c r="Y179" s="190">
        <f t="shared" si="27"/>
        <v>0</v>
      </c>
      <c r="Z179" s="190">
        <v>0</v>
      </c>
      <c r="AA179" s="191">
        <f t="shared" si="28"/>
        <v>0</v>
      </c>
      <c r="AI179" s="89" t="s">
        <v>619</v>
      </c>
      <c r="AK179" s="89" t="s">
        <v>618</v>
      </c>
      <c r="AL179" s="89" t="s">
        <v>620</v>
      </c>
      <c r="AP179" s="89" t="s">
        <v>617</v>
      </c>
      <c r="AV179" s="192">
        <f t="shared" si="29"/>
        <v>0</v>
      </c>
      <c r="AW179" s="192">
        <f t="shared" si="30"/>
        <v>0</v>
      </c>
      <c r="AX179" s="192">
        <f t="shared" si="31"/>
        <v>0</v>
      </c>
      <c r="AY179" s="192">
        <f t="shared" si="32"/>
        <v>0</v>
      </c>
      <c r="AZ179" s="192">
        <f t="shared" si="33"/>
        <v>0</v>
      </c>
      <c r="BA179" s="89" t="s">
        <v>595</v>
      </c>
      <c r="BB179" s="192">
        <f t="shared" si="34"/>
        <v>0</v>
      </c>
      <c r="BC179" s="89" t="s">
        <v>619</v>
      </c>
      <c r="BD179" s="89" t="s">
        <v>632</v>
      </c>
    </row>
    <row r="180" spans="2:54" s="172" customFormat="1" ht="29.25" customHeight="1">
      <c r="B180" s="173"/>
      <c r="C180" s="174"/>
      <c r="D180" s="183" t="s">
        <v>591</v>
      </c>
      <c r="E180" s="183"/>
      <c r="F180" s="183"/>
      <c r="G180" s="183"/>
      <c r="H180" s="183"/>
      <c r="I180" s="183"/>
      <c r="J180" s="183"/>
      <c r="K180" s="183"/>
      <c r="L180" s="314"/>
      <c r="M180" s="314"/>
      <c r="N180" s="829">
        <f>SUM(N181:Q192)</f>
        <v>0</v>
      </c>
      <c r="O180" s="829"/>
      <c r="P180" s="829"/>
      <c r="Q180" s="829"/>
      <c r="R180" s="176"/>
      <c r="T180" s="177"/>
      <c r="U180" s="174"/>
      <c r="V180" s="174"/>
      <c r="W180" s="178">
        <f>SUM(W181:W190)</f>
        <v>0</v>
      </c>
      <c r="X180" s="174"/>
      <c r="Y180" s="178">
        <f>SUM(Y181:Y190)</f>
        <v>0</v>
      </c>
      <c r="Z180" s="174"/>
      <c r="AA180" s="179">
        <f>SUM(AA181:AA190)</f>
        <v>0</v>
      </c>
      <c r="AC180" s="98"/>
      <c r="AI180" s="180" t="s">
        <v>544</v>
      </c>
      <c r="AK180" s="181" t="s">
        <v>615</v>
      </c>
      <c r="AL180" s="181" t="s">
        <v>544</v>
      </c>
      <c r="AP180" s="180" t="s">
        <v>617</v>
      </c>
      <c r="BB180" s="182">
        <f>SUM(BB181:BB190)</f>
        <v>0</v>
      </c>
    </row>
    <row r="181" spans="2:56" s="98" customFormat="1" ht="31.5" customHeight="1">
      <c r="B181" s="99"/>
      <c r="C181" s="184">
        <v>1</v>
      </c>
      <c r="D181" s="184" t="s">
        <v>618</v>
      </c>
      <c r="E181" s="185"/>
      <c r="F181" s="773" t="s">
        <v>1392</v>
      </c>
      <c r="G181" s="773"/>
      <c r="H181" s="773"/>
      <c r="I181" s="773"/>
      <c r="J181" s="186" t="s">
        <v>657</v>
      </c>
      <c r="K181" s="187">
        <v>327</v>
      </c>
      <c r="L181" s="827"/>
      <c r="M181" s="828"/>
      <c r="N181" s="772">
        <f aca="true" t="shared" si="35" ref="N181:N192">ROUND(L181*K181,0)</f>
        <v>0</v>
      </c>
      <c r="O181" s="772"/>
      <c r="P181" s="772"/>
      <c r="Q181" s="772"/>
      <c r="R181" s="102"/>
      <c r="T181" s="188" t="s">
        <v>552</v>
      </c>
      <c r="U181" s="189" t="s">
        <v>571</v>
      </c>
      <c r="V181" s="100"/>
      <c r="W181" s="190">
        <f aca="true" t="shared" si="36" ref="W181:W192">V181*K181</f>
        <v>0</v>
      </c>
      <c r="X181" s="190">
        <v>0</v>
      </c>
      <c r="Y181" s="190">
        <f aca="true" t="shared" si="37" ref="Y181:Y192">X181*K181</f>
        <v>0</v>
      </c>
      <c r="Z181" s="190">
        <v>0</v>
      </c>
      <c r="AA181" s="191">
        <f aca="true" t="shared" si="38" ref="AA181:AA192">Z181*K181</f>
        <v>0</v>
      </c>
      <c r="AI181" s="89" t="s">
        <v>619</v>
      </c>
      <c r="AK181" s="89" t="s">
        <v>618</v>
      </c>
      <c r="AL181" s="89" t="s">
        <v>620</v>
      </c>
      <c r="AP181" s="89" t="s">
        <v>617</v>
      </c>
      <c r="AV181" s="192">
        <f aca="true" t="shared" si="39" ref="AV181:AV192">IF(U181="základní",N181,0)</f>
        <v>0</v>
      </c>
      <c r="AW181" s="192">
        <f aca="true" t="shared" si="40" ref="AW181:AW192">IF(U181="snížená",N181,0)</f>
        <v>0</v>
      </c>
      <c r="AX181" s="192">
        <f aca="true" t="shared" si="41" ref="AX181:AX192">IF(U181="zákl. přenesená",N181,0)</f>
        <v>0</v>
      </c>
      <c r="AY181" s="192">
        <f aca="true" t="shared" si="42" ref="AY181:AY192">IF(U181="sníž. přenesená",N181,0)</f>
        <v>0</v>
      </c>
      <c r="AZ181" s="192">
        <f aca="true" t="shared" si="43" ref="AZ181:AZ192">IF(U181="nulová",N181,0)</f>
        <v>0</v>
      </c>
      <c r="BA181" s="89" t="s">
        <v>595</v>
      </c>
      <c r="BB181" s="192">
        <f aca="true" t="shared" si="44" ref="BB181:BB192">ROUND(L181*K181,0)</f>
        <v>0</v>
      </c>
      <c r="BC181" s="89" t="s">
        <v>619</v>
      </c>
      <c r="BD181" s="89" t="s">
        <v>658</v>
      </c>
    </row>
    <row r="182" spans="2:56" s="98" customFormat="1" ht="32.25" customHeight="1">
      <c r="B182" s="99"/>
      <c r="C182" s="184">
        <v>2</v>
      </c>
      <c r="D182" s="184" t="s">
        <v>618</v>
      </c>
      <c r="E182" s="185"/>
      <c r="F182" s="773" t="s">
        <v>1393</v>
      </c>
      <c r="G182" s="773"/>
      <c r="H182" s="773"/>
      <c r="I182" s="773"/>
      <c r="J182" s="186" t="s">
        <v>657</v>
      </c>
      <c r="K182" s="187">
        <v>667</v>
      </c>
      <c r="L182" s="827"/>
      <c r="M182" s="828"/>
      <c r="N182" s="772">
        <f t="shared" si="35"/>
        <v>0</v>
      </c>
      <c r="O182" s="772"/>
      <c r="P182" s="772"/>
      <c r="Q182" s="772"/>
      <c r="R182" s="102"/>
      <c r="T182" s="188" t="s">
        <v>552</v>
      </c>
      <c r="U182" s="189" t="s">
        <v>571</v>
      </c>
      <c r="V182" s="100"/>
      <c r="W182" s="190">
        <f t="shared" si="36"/>
        <v>0</v>
      </c>
      <c r="X182" s="190">
        <v>0</v>
      </c>
      <c r="Y182" s="190">
        <f t="shared" si="37"/>
        <v>0</v>
      </c>
      <c r="Z182" s="190">
        <v>0</v>
      </c>
      <c r="AA182" s="191">
        <f t="shared" si="38"/>
        <v>0</v>
      </c>
      <c r="AI182" s="89" t="s">
        <v>619</v>
      </c>
      <c r="AK182" s="89" t="s">
        <v>618</v>
      </c>
      <c r="AL182" s="89" t="s">
        <v>620</v>
      </c>
      <c r="AP182" s="89" t="s">
        <v>617</v>
      </c>
      <c r="AV182" s="192">
        <f t="shared" si="39"/>
        <v>0</v>
      </c>
      <c r="AW182" s="192">
        <f t="shared" si="40"/>
        <v>0</v>
      </c>
      <c r="AX182" s="192">
        <f t="shared" si="41"/>
        <v>0</v>
      </c>
      <c r="AY182" s="192">
        <f t="shared" si="42"/>
        <v>0</v>
      </c>
      <c r="AZ182" s="192">
        <f t="shared" si="43"/>
        <v>0</v>
      </c>
      <c r="BA182" s="89" t="s">
        <v>595</v>
      </c>
      <c r="BB182" s="192">
        <f t="shared" si="44"/>
        <v>0</v>
      </c>
      <c r="BC182" s="89" t="s">
        <v>619</v>
      </c>
      <c r="BD182" s="89" t="s">
        <v>659</v>
      </c>
    </row>
    <row r="183" spans="2:56" s="98" customFormat="1" ht="32.25" customHeight="1">
      <c r="B183" s="99"/>
      <c r="C183" s="184">
        <v>3</v>
      </c>
      <c r="D183" s="184" t="s">
        <v>618</v>
      </c>
      <c r="E183" s="185"/>
      <c r="F183" s="773" t="s">
        <v>1394</v>
      </c>
      <c r="G183" s="773"/>
      <c r="H183" s="773"/>
      <c r="I183" s="773"/>
      <c r="J183" s="186" t="s">
        <v>657</v>
      </c>
      <c r="K183" s="187">
        <v>686</v>
      </c>
      <c r="L183" s="827"/>
      <c r="M183" s="828"/>
      <c r="N183" s="772">
        <f t="shared" si="35"/>
        <v>0</v>
      </c>
      <c r="O183" s="772"/>
      <c r="P183" s="772"/>
      <c r="Q183" s="772"/>
      <c r="R183" s="102"/>
      <c r="T183" s="188" t="s">
        <v>552</v>
      </c>
      <c r="U183" s="189" t="s">
        <v>571</v>
      </c>
      <c r="V183" s="100"/>
      <c r="W183" s="190">
        <f t="shared" si="36"/>
        <v>0</v>
      </c>
      <c r="X183" s="190">
        <v>0</v>
      </c>
      <c r="Y183" s="190">
        <f t="shared" si="37"/>
        <v>0</v>
      </c>
      <c r="Z183" s="190">
        <v>0</v>
      </c>
      <c r="AA183" s="191">
        <f t="shared" si="38"/>
        <v>0</v>
      </c>
      <c r="AI183" s="89" t="s">
        <v>619</v>
      </c>
      <c r="AK183" s="89" t="s">
        <v>618</v>
      </c>
      <c r="AL183" s="89" t="s">
        <v>620</v>
      </c>
      <c r="AP183" s="89" t="s">
        <v>617</v>
      </c>
      <c r="AV183" s="192">
        <f t="shared" si="39"/>
        <v>0</v>
      </c>
      <c r="AW183" s="192">
        <f t="shared" si="40"/>
        <v>0</v>
      </c>
      <c r="AX183" s="192">
        <f t="shared" si="41"/>
        <v>0</v>
      </c>
      <c r="AY183" s="192">
        <f t="shared" si="42"/>
        <v>0</v>
      </c>
      <c r="AZ183" s="192">
        <f t="shared" si="43"/>
        <v>0</v>
      </c>
      <c r="BA183" s="89" t="s">
        <v>595</v>
      </c>
      <c r="BB183" s="192">
        <f t="shared" si="44"/>
        <v>0</v>
      </c>
      <c r="BC183" s="89" t="s">
        <v>619</v>
      </c>
      <c r="BD183" s="89" t="s">
        <v>659</v>
      </c>
    </row>
    <row r="184" spans="2:56" s="98" customFormat="1" ht="32.25" customHeight="1">
      <c r="B184" s="99"/>
      <c r="C184" s="184">
        <v>4</v>
      </c>
      <c r="D184" s="184" t="s">
        <v>618</v>
      </c>
      <c r="E184" s="185"/>
      <c r="F184" s="773" t="s">
        <v>1395</v>
      </c>
      <c r="G184" s="773"/>
      <c r="H184" s="773"/>
      <c r="I184" s="773"/>
      <c r="J184" s="186" t="s">
        <v>657</v>
      </c>
      <c r="K184" s="187">
        <v>178</v>
      </c>
      <c r="L184" s="827"/>
      <c r="M184" s="828"/>
      <c r="N184" s="772">
        <f t="shared" si="35"/>
        <v>0</v>
      </c>
      <c r="O184" s="772"/>
      <c r="P184" s="772"/>
      <c r="Q184" s="772"/>
      <c r="R184" s="102"/>
      <c r="T184" s="188" t="s">
        <v>552</v>
      </c>
      <c r="U184" s="189" t="s">
        <v>571</v>
      </c>
      <c r="V184" s="100"/>
      <c r="W184" s="190">
        <f t="shared" si="36"/>
        <v>0</v>
      </c>
      <c r="X184" s="190">
        <v>0</v>
      </c>
      <c r="Y184" s="190">
        <f t="shared" si="37"/>
        <v>0</v>
      </c>
      <c r="Z184" s="190">
        <v>0</v>
      </c>
      <c r="AA184" s="191">
        <f t="shared" si="38"/>
        <v>0</v>
      </c>
      <c r="AI184" s="89" t="s">
        <v>619</v>
      </c>
      <c r="AK184" s="89" t="s">
        <v>618</v>
      </c>
      <c r="AL184" s="89" t="s">
        <v>620</v>
      </c>
      <c r="AP184" s="89" t="s">
        <v>617</v>
      </c>
      <c r="AV184" s="192">
        <f t="shared" si="39"/>
        <v>0</v>
      </c>
      <c r="AW184" s="192">
        <f t="shared" si="40"/>
        <v>0</v>
      </c>
      <c r="AX184" s="192">
        <f t="shared" si="41"/>
        <v>0</v>
      </c>
      <c r="AY184" s="192">
        <f t="shared" si="42"/>
        <v>0</v>
      </c>
      <c r="AZ184" s="192">
        <f t="shared" si="43"/>
        <v>0</v>
      </c>
      <c r="BA184" s="89" t="s">
        <v>595</v>
      </c>
      <c r="BB184" s="192">
        <f t="shared" si="44"/>
        <v>0</v>
      </c>
      <c r="BC184" s="89" t="s">
        <v>619</v>
      </c>
      <c r="BD184" s="89" t="s">
        <v>659</v>
      </c>
    </row>
    <row r="185" spans="2:56" s="98" customFormat="1" ht="32.25" customHeight="1">
      <c r="B185" s="99"/>
      <c r="C185" s="184">
        <v>5</v>
      </c>
      <c r="D185" s="184" t="s">
        <v>618</v>
      </c>
      <c r="E185" s="185"/>
      <c r="F185" s="773" t="s">
        <v>1396</v>
      </c>
      <c r="G185" s="773"/>
      <c r="H185" s="773"/>
      <c r="I185" s="773"/>
      <c r="J185" s="186" t="s">
        <v>657</v>
      </c>
      <c r="K185" s="187">
        <v>258</v>
      </c>
      <c r="L185" s="827"/>
      <c r="M185" s="828"/>
      <c r="N185" s="772">
        <f t="shared" si="35"/>
        <v>0</v>
      </c>
      <c r="O185" s="772"/>
      <c r="P185" s="772"/>
      <c r="Q185" s="772"/>
      <c r="R185" s="102"/>
      <c r="T185" s="188" t="s">
        <v>552</v>
      </c>
      <c r="U185" s="189" t="s">
        <v>571</v>
      </c>
      <c r="V185" s="100"/>
      <c r="W185" s="190">
        <f t="shared" si="36"/>
        <v>0</v>
      </c>
      <c r="X185" s="190">
        <v>0</v>
      </c>
      <c r="Y185" s="190">
        <f t="shared" si="37"/>
        <v>0</v>
      </c>
      <c r="Z185" s="190">
        <v>0</v>
      </c>
      <c r="AA185" s="191">
        <f t="shared" si="38"/>
        <v>0</v>
      </c>
      <c r="AI185" s="89" t="s">
        <v>619</v>
      </c>
      <c r="AK185" s="89" t="s">
        <v>618</v>
      </c>
      <c r="AL185" s="89" t="s">
        <v>620</v>
      </c>
      <c r="AP185" s="89" t="s">
        <v>617</v>
      </c>
      <c r="AV185" s="192">
        <f t="shared" si="39"/>
        <v>0</v>
      </c>
      <c r="AW185" s="192">
        <f t="shared" si="40"/>
        <v>0</v>
      </c>
      <c r="AX185" s="192">
        <f t="shared" si="41"/>
        <v>0</v>
      </c>
      <c r="AY185" s="192">
        <f t="shared" si="42"/>
        <v>0</v>
      </c>
      <c r="AZ185" s="192">
        <f t="shared" si="43"/>
        <v>0</v>
      </c>
      <c r="BA185" s="89" t="s">
        <v>595</v>
      </c>
      <c r="BB185" s="192">
        <f t="shared" si="44"/>
        <v>0</v>
      </c>
      <c r="BC185" s="89" t="s">
        <v>619</v>
      </c>
      <c r="BD185" s="89" t="s">
        <v>659</v>
      </c>
    </row>
    <row r="186" spans="2:56" s="98" customFormat="1" ht="32.25" customHeight="1">
      <c r="B186" s="99"/>
      <c r="C186" s="184">
        <v>6</v>
      </c>
      <c r="D186" s="184" t="s">
        <v>618</v>
      </c>
      <c r="E186" s="185"/>
      <c r="F186" s="773" t="s">
        <v>1397</v>
      </c>
      <c r="G186" s="773"/>
      <c r="H186" s="773"/>
      <c r="I186" s="773"/>
      <c r="J186" s="186" t="s">
        <v>657</v>
      </c>
      <c r="K186" s="187">
        <v>185</v>
      </c>
      <c r="L186" s="827"/>
      <c r="M186" s="828"/>
      <c r="N186" s="772">
        <f t="shared" si="35"/>
        <v>0</v>
      </c>
      <c r="O186" s="772"/>
      <c r="P186" s="772"/>
      <c r="Q186" s="772"/>
      <c r="R186" s="102"/>
      <c r="T186" s="188" t="s">
        <v>552</v>
      </c>
      <c r="U186" s="189" t="s">
        <v>571</v>
      </c>
      <c r="V186" s="100"/>
      <c r="W186" s="190">
        <f t="shared" si="36"/>
        <v>0</v>
      </c>
      <c r="X186" s="190">
        <v>0</v>
      </c>
      <c r="Y186" s="190">
        <f t="shared" si="37"/>
        <v>0</v>
      </c>
      <c r="Z186" s="190">
        <v>0</v>
      </c>
      <c r="AA186" s="191">
        <f t="shared" si="38"/>
        <v>0</v>
      </c>
      <c r="AI186" s="89" t="s">
        <v>619</v>
      </c>
      <c r="AK186" s="89" t="s">
        <v>618</v>
      </c>
      <c r="AL186" s="89" t="s">
        <v>620</v>
      </c>
      <c r="AP186" s="89" t="s">
        <v>617</v>
      </c>
      <c r="AV186" s="192">
        <f t="shared" si="39"/>
        <v>0</v>
      </c>
      <c r="AW186" s="192">
        <f t="shared" si="40"/>
        <v>0</v>
      </c>
      <c r="AX186" s="192">
        <f t="shared" si="41"/>
        <v>0</v>
      </c>
      <c r="AY186" s="192">
        <f t="shared" si="42"/>
        <v>0</v>
      </c>
      <c r="AZ186" s="192">
        <f t="shared" si="43"/>
        <v>0</v>
      </c>
      <c r="BA186" s="89" t="s">
        <v>595</v>
      </c>
      <c r="BB186" s="192">
        <f t="shared" si="44"/>
        <v>0</v>
      </c>
      <c r="BC186" s="89" t="s">
        <v>619</v>
      </c>
      <c r="BD186" s="89" t="s">
        <v>659</v>
      </c>
    </row>
    <row r="187" spans="2:56" s="98" customFormat="1" ht="22.5" customHeight="1">
      <c r="B187" s="99"/>
      <c r="C187" s="184">
        <v>7</v>
      </c>
      <c r="D187" s="184" t="s">
        <v>618</v>
      </c>
      <c r="E187" s="185"/>
      <c r="F187" s="773" t="s">
        <v>660</v>
      </c>
      <c r="G187" s="773"/>
      <c r="H187" s="773"/>
      <c r="I187" s="773"/>
      <c r="J187" s="186" t="s">
        <v>45</v>
      </c>
      <c r="K187" s="187">
        <v>1</v>
      </c>
      <c r="L187" s="827"/>
      <c r="M187" s="828"/>
      <c r="N187" s="772">
        <f t="shared" si="35"/>
        <v>0</v>
      </c>
      <c r="O187" s="772"/>
      <c r="P187" s="772"/>
      <c r="Q187" s="772"/>
      <c r="R187" s="102"/>
      <c r="T187" s="188" t="s">
        <v>552</v>
      </c>
      <c r="U187" s="189" t="s">
        <v>571</v>
      </c>
      <c r="V187" s="100"/>
      <c r="W187" s="190">
        <f t="shared" si="36"/>
        <v>0</v>
      </c>
      <c r="X187" s="190">
        <v>0</v>
      </c>
      <c r="Y187" s="190">
        <f t="shared" si="37"/>
        <v>0</v>
      </c>
      <c r="Z187" s="190">
        <v>0</v>
      </c>
      <c r="AA187" s="191">
        <f t="shared" si="38"/>
        <v>0</v>
      </c>
      <c r="AI187" s="89" t="s">
        <v>619</v>
      </c>
      <c r="AK187" s="89" t="s">
        <v>618</v>
      </c>
      <c r="AL187" s="89" t="s">
        <v>620</v>
      </c>
      <c r="AP187" s="89" t="s">
        <v>617</v>
      </c>
      <c r="AV187" s="192">
        <f t="shared" si="39"/>
        <v>0</v>
      </c>
      <c r="AW187" s="192">
        <f t="shared" si="40"/>
        <v>0</v>
      </c>
      <c r="AX187" s="192">
        <f t="shared" si="41"/>
        <v>0</v>
      </c>
      <c r="AY187" s="192">
        <f t="shared" si="42"/>
        <v>0</v>
      </c>
      <c r="AZ187" s="192">
        <f t="shared" si="43"/>
        <v>0</v>
      </c>
      <c r="BA187" s="89" t="s">
        <v>595</v>
      </c>
      <c r="BB187" s="192">
        <f t="shared" si="44"/>
        <v>0</v>
      </c>
      <c r="BC187" s="89" t="s">
        <v>619</v>
      </c>
      <c r="BD187" s="89" t="s">
        <v>661</v>
      </c>
    </row>
    <row r="188" spans="2:56" s="98" customFormat="1" ht="22.5" customHeight="1">
      <c r="B188" s="99"/>
      <c r="C188" s="184">
        <v>8</v>
      </c>
      <c r="D188" s="184" t="s">
        <v>618</v>
      </c>
      <c r="E188" s="185"/>
      <c r="F188" s="773" t="s">
        <v>662</v>
      </c>
      <c r="G188" s="773"/>
      <c r="H188" s="773"/>
      <c r="I188" s="773"/>
      <c r="J188" s="186" t="s">
        <v>635</v>
      </c>
      <c r="K188" s="187">
        <v>1</v>
      </c>
      <c r="L188" s="827"/>
      <c r="M188" s="828"/>
      <c r="N188" s="772">
        <f t="shared" si="35"/>
        <v>0</v>
      </c>
      <c r="O188" s="772"/>
      <c r="P188" s="772"/>
      <c r="Q188" s="772"/>
      <c r="R188" s="102"/>
      <c r="T188" s="188" t="s">
        <v>552</v>
      </c>
      <c r="U188" s="189" t="s">
        <v>571</v>
      </c>
      <c r="V188" s="100"/>
      <c r="W188" s="190">
        <f t="shared" si="36"/>
        <v>0</v>
      </c>
      <c r="X188" s="190">
        <v>0</v>
      </c>
      <c r="Y188" s="190">
        <f t="shared" si="37"/>
        <v>0</v>
      </c>
      <c r="Z188" s="190">
        <v>0</v>
      </c>
      <c r="AA188" s="191">
        <f t="shared" si="38"/>
        <v>0</v>
      </c>
      <c r="AI188" s="89" t="s">
        <v>619</v>
      </c>
      <c r="AK188" s="89" t="s">
        <v>618</v>
      </c>
      <c r="AL188" s="89" t="s">
        <v>620</v>
      </c>
      <c r="AP188" s="89" t="s">
        <v>617</v>
      </c>
      <c r="AV188" s="192">
        <f t="shared" si="39"/>
        <v>0</v>
      </c>
      <c r="AW188" s="192">
        <f t="shared" si="40"/>
        <v>0</v>
      </c>
      <c r="AX188" s="192">
        <f t="shared" si="41"/>
        <v>0</v>
      </c>
      <c r="AY188" s="192">
        <f t="shared" si="42"/>
        <v>0</v>
      </c>
      <c r="AZ188" s="192">
        <f t="shared" si="43"/>
        <v>0</v>
      </c>
      <c r="BA188" s="89" t="s">
        <v>595</v>
      </c>
      <c r="BB188" s="192">
        <f t="shared" si="44"/>
        <v>0</v>
      </c>
      <c r="BC188" s="89" t="s">
        <v>619</v>
      </c>
      <c r="BD188" s="89" t="s">
        <v>663</v>
      </c>
    </row>
    <row r="189" spans="2:56" s="98" customFormat="1" ht="22.5" customHeight="1">
      <c r="B189" s="99"/>
      <c r="C189" s="184">
        <v>9</v>
      </c>
      <c r="D189" s="184" t="s">
        <v>618</v>
      </c>
      <c r="E189" s="185"/>
      <c r="F189" s="773" t="s">
        <v>664</v>
      </c>
      <c r="G189" s="773"/>
      <c r="H189" s="773"/>
      <c r="I189" s="773"/>
      <c r="J189" s="186" t="s">
        <v>45</v>
      </c>
      <c r="K189" s="187">
        <v>1</v>
      </c>
      <c r="L189" s="827"/>
      <c r="M189" s="828"/>
      <c r="N189" s="772">
        <f t="shared" si="35"/>
        <v>0</v>
      </c>
      <c r="O189" s="772"/>
      <c r="P189" s="772"/>
      <c r="Q189" s="772"/>
      <c r="R189" s="102"/>
      <c r="T189" s="188" t="s">
        <v>552</v>
      </c>
      <c r="U189" s="189" t="s">
        <v>571</v>
      </c>
      <c r="V189" s="100"/>
      <c r="W189" s="190">
        <f t="shared" si="36"/>
        <v>0</v>
      </c>
      <c r="X189" s="190">
        <v>0</v>
      </c>
      <c r="Y189" s="190">
        <f t="shared" si="37"/>
        <v>0</v>
      </c>
      <c r="Z189" s="190">
        <v>0</v>
      </c>
      <c r="AA189" s="191">
        <f t="shared" si="38"/>
        <v>0</v>
      </c>
      <c r="AI189" s="89" t="s">
        <v>619</v>
      </c>
      <c r="AK189" s="89" t="s">
        <v>618</v>
      </c>
      <c r="AL189" s="89" t="s">
        <v>620</v>
      </c>
      <c r="AP189" s="89" t="s">
        <v>617</v>
      </c>
      <c r="AV189" s="192">
        <f t="shared" si="39"/>
        <v>0</v>
      </c>
      <c r="AW189" s="192">
        <f t="shared" si="40"/>
        <v>0</v>
      </c>
      <c r="AX189" s="192">
        <f t="shared" si="41"/>
        <v>0</v>
      </c>
      <c r="AY189" s="192">
        <f t="shared" si="42"/>
        <v>0</v>
      </c>
      <c r="AZ189" s="192">
        <f t="shared" si="43"/>
        <v>0</v>
      </c>
      <c r="BA189" s="89" t="s">
        <v>595</v>
      </c>
      <c r="BB189" s="192">
        <f t="shared" si="44"/>
        <v>0</v>
      </c>
      <c r="BC189" s="89" t="s">
        <v>619</v>
      </c>
      <c r="BD189" s="89" t="s">
        <v>665</v>
      </c>
    </row>
    <row r="190" spans="2:56" s="98" customFormat="1" ht="22.5" customHeight="1">
      <c r="B190" s="99"/>
      <c r="C190" s="184">
        <v>10</v>
      </c>
      <c r="D190" s="184" t="s">
        <v>618</v>
      </c>
      <c r="E190" s="185"/>
      <c r="F190" s="773" t="s">
        <v>666</v>
      </c>
      <c r="G190" s="773"/>
      <c r="H190" s="773"/>
      <c r="I190" s="773"/>
      <c r="J190" s="186" t="s">
        <v>45</v>
      </c>
      <c r="K190" s="187">
        <v>1</v>
      </c>
      <c r="L190" s="827"/>
      <c r="M190" s="828"/>
      <c r="N190" s="772">
        <f t="shared" si="35"/>
        <v>0</v>
      </c>
      <c r="O190" s="772"/>
      <c r="P190" s="772"/>
      <c r="Q190" s="772"/>
      <c r="R190" s="102"/>
      <c r="T190" s="188" t="s">
        <v>552</v>
      </c>
      <c r="U190" s="189" t="s">
        <v>571</v>
      </c>
      <c r="V190" s="100"/>
      <c r="W190" s="190">
        <f t="shared" si="36"/>
        <v>0</v>
      </c>
      <c r="X190" s="190">
        <v>0</v>
      </c>
      <c r="Y190" s="190">
        <f t="shared" si="37"/>
        <v>0</v>
      </c>
      <c r="Z190" s="190">
        <v>0</v>
      </c>
      <c r="AA190" s="191">
        <f t="shared" si="38"/>
        <v>0</v>
      </c>
      <c r="AI190" s="89" t="s">
        <v>619</v>
      </c>
      <c r="AK190" s="89" t="s">
        <v>618</v>
      </c>
      <c r="AL190" s="89" t="s">
        <v>620</v>
      </c>
      <c r="AP190" s="89" t="s">
        <v>617</v>
      </c>
      <c r="AV190" s="192">
        <f t="shared" si="39"/>
        <v>0</v>
      </c>
      <c r="AW190" s="192">
        <f t="shared" si="40"/>
        <v>0</v>
      </c>
      <c r="AX190" s="192">
        <f t="shared" si="41"/>
        <v>0</v>
      </c>
      <c r="AY190" s="192">
        <f t="shared" si="42"/>
        <v>0</v>
      </c>
      <c r="AZ190" s="192">
        <f t="shared" si="43"/>
        <v>0</v>
      </c>
      <c r="BA190" s="89" t="s">
        <v>595</v>
      </c>
      <c r="BB190" s="192">
        <f t="shared" si="44"/>
        <v>0</v>
      </c>
      <c r="BC190" s="89" t="s">
        <v>619</v>
      </c>
      <c r="BD190" s="89" t="s">
        <v>667</v>
      </c>
    </row>
    <row r="191" spans="2:56" s="98" customFormat="1" ht="22.5" customHeight="1">
      <c r="B191" s="99"/>
      <c r="C191" s="184">
        <v>11</v>
      </c>
      <c r="D191" s="184" t="s">
        <v>618</v>
      </c>
      <c r="E191" s="185"/>
      <c r="F191" s="773" t="s">
        <v>668</v>
      </c>
      <c r="G191" s="773"/>
      <c r="H191" s="773"/>
      <c r="I191" s="773"/>
      <c r="J191" s="186" t="s">
        <v>45</v>
      </c>
      <c r="K191" s="187">
        <v>1</v>
      </c>
      <c r="L191" s="827"/>
      <c r="M191" s="828"/>
      <c r="N191" s="772">
        <f t="shared" si="35"/>
        <v>0</v>
      </c>
      <c r="O191" s="772"/>
      <c r="P191" s="772"/>
      <c r="Q191" s="772"/>
      <c r="R191" s="102"/>
      <c r="T191" s="188" t="s">
        <v>552</v>
      </c>
      <c r="U191" s="189" t="s">
        <v>571</v>
      </c>
      <c r="V191" s="100"/>
      <c r="W191" s="190">
        <f t="shared" si="36"/>
        <v>0</v>
      </c>
      <c r="X191" s="190">
        <v>0</v>
      </c>
      <c r="Y191" s="190">
        <f t="shared" si="37"/>
        <v>0</v>
      </c>
      <c r="Z191" s="190">
        <v>0</v>
      </c>
      <c r="AA191" s="191">
        <f t="shared" si="38"/>
        <v>0</v>
      </c>
      <c r="AI191" s="89" t="s">
        <v>619</v>
      </c>
      <c r="AK191" s="89" t="s">
        <v>618</v>
      </c>
      <c r="AL191" s="89" t="s">
        <v>620</v>
      </c>
      <c r="AP191" s="89" t="s">
        <v>617</v>
      </c>
      <c r="AV191" s="192">
        <f t="shared" si="39"/>
        <v>0</v>
      </c>
      <c r="AW191" s="192">
        <f t="shared" si="40"/>
        <v>0</v>
      </c>
      <c r="AX191" s="192">
        <f t="shared" si="41"/>
        <v>0</v>
      </c>
      <c r="AY191" s="192">
        <f t="shared" si="42"/>
        <v>0</v>
      </c>
      <c r="AZ191" s="192">
        <f t="shared" si="43"/>
        <v>0</v>
      </c>
      <c r="BA191" s="89" t="s">
        <v>595</v>
      </c>
      <c r="BB191" s="192">
        <f t="shared" si="44"/>
        <v>0</v>
      </c>
      <c r="BC191" s="89" t="s">
        <v>619</v>
      </c>
      <c r="BD191" s="89" t="s">
        <v>667</v>
      </c>
    </row>
    <row r="192" spans="2:56" s="98" customFormat="1" ht="22.5" customHeight="1">
      <c r="B192" s="99"/>
      <c r="C192" s="184">
        <v>12</v>
      </c>
      <c r="D192" s="184" t="s">
        <v>618</v>
      </c>
      <c r="E192" s="185"/>
      <c r="F192" s="773" t="s">
        <v>633</v>
      </c>
      <c r="G192" s="773"/>
      <c r="H192" s="773"/>
      <c r="I192" s="773"/>
      <c r="J192" s="186" t="s">
        <v>45</v>
      </c>
      <c r="K192" s="187">
        <v>1</v>
      </c>
      <c r="L192" s="827"/>
      <c r="M192" s="828"/>
      <c r="N192" s="772">
        <f t="shared" si="35"/>
        <v>0</v>
      </c>
      <c r="O192" s="772"/>
      <c r="P192" s="772"/>
      <c r="Q192" s="772"/>
      <c r="R192" s="102"/>
      <c r="T192" s="188" t="s">
        <v>552</v>
      </c>
      <c r="U192" s="189" t="s">
        <v>571</v>
      </c>
      <c r="V192" s="100"/>
      <c r="W192" s="190">
        <f t="shared" si="36"/>
        <v>0</v>
      </c>
      <c r="X192" s="190">
        <v>0</v>
      </c>
      <c r="Y192" s="190">
        <f t="shared" si="37"/>
        <v>0</v>
      </c>
      <c r="Z192" s="190">
        <v>0</v>
      </c>
      <c r="AA192" s="191">
        <f t="shared" si="38"/>
        <v>0</v>
      </c>
      <c r="AI192" s="89" t="s">
        <v>619</v>
      </c>
      <c r="AK192" s="89" t="s">
        <v>618</v>
      </c>
      <c r="AL192" s="89" t="s">
        <v>620</v>
      </c>
      <c r="AP192" s="89" t="s">
        <v>617</v>
      </c>
      <c r="AV192" s="192">
        <f t="shared" si="39"/>
        <v>0</v>
      </c>
      <c r="AW192" s="192">
        <f t="shared" si="40"/>
        <v>0</v>
      </c>
      <c r="AX192" s="192">
        <f t="shared" si="41"/>
        <v>0</v>
      </c>
      <c r="AY192" s="192">
        <f t="shared" si="42"/>
        <v>0</v>
      </c>
      <c r="AZ192" s="192">
        <f t="shared" si="43"/>
        <v>0</v>
      </c>
      <c r="BA192" s="89" t="s">
        <v>595</v>
      </c>
      <c r="BB192" s="192">
        <f t="shared" si="44"/>
        <v>0</v>
      </c>
      <c r="BC192" s="89" t="s">
        <v>619</v>
      </c>
      <c r="BD192" s="89" t="s">
        <v>632</v>
      </c>
    </row>
    <row r="193" spans="2:54" s="172" customFormat="1" ht="29.25" customHeight="1">
      <c r="B193" s="173"/>
      <c r="C193" s="174"/>
      <c r="D193" s="183" t="s">
        <v>669</v>
      </c>
      <c r="E193" s="183"/>
      <c r="F193" s="183"/>
      <c r="G193" s="183"/>
      <c r="H193" s="183"/>
      <c r="I193" s="183"/>
      <c r="J193" s="183"/>
      <c r="K193" s="183"/>
      <c r="L193" s="314"/>
      <c r="M193" s="314"/>
      <c r="N193" s="829">
        <f>SUM(N194:Q202)</f>
        <v>0</v>
      </c>
      <c r="O193" s="830"/>
      <c r="P193" s="830"/>
      <c r="Q193" s="830"/>
      <c r="R193" s="176"/>
      <c r="T193" s="177"/>
      <c r="U193" s="174"/>
      <c r="V193" s="174"/>
      <c r="W193" s="178">
        <f>SUM(W194:W201)</f>
        <v>0</v>
      </c>
      <c r="X193" s="174"/>
      <c r="Y193" s="178">
        <f>SUM(Y194:Y201)</f>
        <v>0</v>
      </c>
      <c r="Z193" s="174"/>
      <c r="AA193" s="179">
        <f>SUM(AA194:AA201)</f>
        <v>0</v>
      </c>
      <c r="AC193" s="98"/>
      <c r="AI193" s="180" t="s">
        <v>544</v>
      </c>
      <c r="AK193" s="181" t="s">
        <v>615</v>
      </c>
      <c r="AL193" s="181" t="s">
        <v>544</v>
      </c>
      <c r="AP193" s="180" t="s">
        <v>617</v>
      </c>
      <c r="BB193" s="182">
        <f>SUM(BB194:BB201)</f>
        <v>0</v>
      </c>
    </row>
    <row r="194" spans="2:56" s="98" customFormat="1" ht="31.5" customHeight="1">
      <c r="B194" s="99"/>
      <c r="C194" s="184">
        <v>1</v>
      </c>
      <c r="D194" s="184" t="s">
        <v>618</v>
      </c>
      <c r="E194" s="185"/>
      <c r="F194" s="773" t="s">
        <v>670</v>
      </c>
      <c r="G194" s="773"/>
      <c r="H194" s="773"/>
      <c r="I194" s="773"/>
      <c r="J194" s="186" t="s">
        <v>657</v>
      </c>
      <c r="K194" s="187">
        <v>1370</v>
      </c>
      <c r="L194" s="827"/>
      <c r="M194" s="828"/>
      <c r="N194" s="772">
        <f aca="true" t="shared" si="45" ref="N194:N202">ROUND(L194*K194,0)</f>
        <v>0</v>
      </c>
      <c r="O194" s="772"/>
      <c r="P194" s="772"/>
      <c r="Q194" s="772"/>
      <c r="R194" s="102"/>
      <c r="T194" s="188" t="s">
        <v>552</v>
      </c>
      <c r="U194" s="189" t="s">
        <v>571</v>
      </c>
      <c r="V194" s="100"/>
      <c r="W194" s="190">
        <f aca="true" t="shared" si="46" ref="W194:W202">V194*K194</f>
        <v>0</v>
      </c>
      <c r="X194" s="190">
        <v>0</v>
      </c>
      <c r="Y194" s="190">
        <f aca="true" t="shared" si="47" ref="Y194:Y202">X194*K194</f>
        <v>0</v>
      </c>
      <c r="Z194" s="190">
        <v>0</v>
      </c>
      <c r="AA194" s="191">
        <f aca="true" t="shared" si="48" ref="AA194:AA202">Z194*K194</f>
        <v>0</v>
      </c>
      <c r="AI194" s="89" t="s">
        <v>619</v>
      </c>
      <c r="AK194" s="89" t="s">
        <v>618</v>
      </c>
      <c r="AL194" s="89" t="s">
        <v>620</v>
      </c>
      <c r="AP194" s="89" t="s">
        <v>617</v>
      </c>
      <c r="AV194" s="192">
        <f aca="true" t="shared" si="49" ref="AV194:AV202">IF(U194="základní",N194,0)</f>
        <v>0</v>
      </c>
      <c r="AW194" s="192">
        <f aca="true" t="shared" si="50" ref="AW194:AW202">IF(U194="snížená",N194,0)</f>
        <v>0</v>
      </c>
      <c r="AX194" s="192">
        <f aca="true" t="shared" si="51" ref="AX194:AX202">IF(U194="zákl. přenesená",N194,0)</f>
        <v>0</v>
      </c>
      <c r="AY194" s="192">
        <f aca="true" t="shared" si="52" ref="AY194:AY202">IF(U194="sníž. přenesená",N194,0)</f>
        <v>0</v>
      </c>
      <c r="AZ194" s="192">
        <f aca="true" t="shared" si="53" ref="AZ194:AZ202">IF(U194="nulová",N194,0)</f>
        <v>0</v>
      </c>
      <c r="BA194" s="89" t="s">
        <v>595</v>
      </c>
      <c r="BB194" s="192">
        <f aca="true" t="shared" si="54" ref="BB194:BB202">ROUND(L194*K194,0)</f>
        <v>0</v>
      </c>
      <c r="BC194" s="89" t="s">
        <v>619</v>
      </c>
      <c r="BD194" s="89" t="s">
        <v>671</v>
      </c>
    </row>
    <row r="195" spans="2:56" s="98" customFormat="1" ht="22.5" customHeight="1">
      <c r="B195" s="99"/>
      <c r="C195" s="184">
        <v>2</v>
      </c>
      <c r="D195" s="184" t="s">
        <v>618</v>
      </c>
      <c r="E195" s="185"/>
      <c r="F195" s="773" t="s">
        <v>672</v>
      </c>
      <c r="G195" s="773"/>
      <c r="H195" s="773"/>
      <c r="I195" s="773"/>
      <c r="J195" s="186" t="s">
        <v>657</v>
      </c>
      <c r="K195" s="187">
        <v>250</v>
      </c>
      <c r="L195" s="827"/>
      <c r="M195" s="828"/>
      <c r="N195" s="772">
        <f t="shared" si="45"/>
        <v>0</v>
      </c>
      <c r="O195" s="772"/>
      <c r="P195" s="772"/>
      <c r="Q195" s="772"/>
      <c r="R195" s="102"/>
      <c r="T195" s="188" t="s">
        <v>552</v>
      </c>
      <c r="U195" s="189" t="s">
        <v>571</v>
      </c>
      <c r="V195" s="100"/>
      <c r="W195" s="190">
        <f t="shared" si="46"/>
        <v>0</v>
      </c>
      <c r="X195" s="190">
        <v>0</v>
      </c>
      <c r="Y195" s="190">
        <f t="shared" si="47"/>
        <v>0</v>
      </c>
      <c r="Z195" s="190">
        <v>0</v>
      </c>
      <c r="AA195" s="191">
        <f t="shared" si="48"/>
        <v>0</v>
      </c>
      <c r="AI195" s="89" t="s">
        <v>619</v>
      </c>
      <c r="AK195" s="89" t="s">
        <v>618</v>
      </c>
      <c r="AL195" s="89" t="s">
        <v>620</v>
      </c>
      <c r="AP195" s="89" t="s">
        <v>617</v>
      </c>
      <c r="AV195" s="192">
        <f t="shared" si="49"/>
        <v>0</v>
      </c>
      <c r="AW195" s="192">
        <f t="shared" si="50"/>
        <v>0</v>
      </c>
      <c r="AX195" s="192">
        <f t="shared" si="51"/>
        <v>0</v>
      </c>
      <c r="AY195" s="192">
        <f t="shared" si="52"/>
        <v>0</v>
      </c>
      <c r="AZ195" s="192">
        <f t="shared" si="53"/>
        <v>0</v>
      </c>
      <c r="BA195" s="89" t="s">
        <v>595</v>
      </c>
      <c r="BB195" s="192">
        <f t="shared" si="54"/>
        <v>0</v>
      </c>
      <c r="BC195" s="89" t="s">
        <v>619</v>
      </c>
      <c r="BD195" s="89" t="s">
        <v>673</v>
      </c>
    </row>
    <row r="196" spans="2:56" s="98" customFormat="1" ht="22.5" customHeight="1">
      <c r="B196" s="99"/>
      <c r="C196" s="184">
        <v>3</v>
      </c>
      <c r="D196" s="184" t="s">
        <v>618</v>
      </c>
      <c r="E196" s="185"/>
      <c r="F196" s="773" t="s">
        <v>674</v>
      </c>
      <c r="G196" s="773"/>
      <c r="H196" s="773"/>
      <c r="I196" s="773"/>
      <c r="J196" s="186" t="s">
        <v>65</v>
      </c>
      <c r="K196" s="187">
        <v>26</v>
      </c>
      <c r="L196" s="827"/>
      <c r="M196" s="828"/>
      <c r="N196" s="772">
        <f t="shared" si="45"/>
        <v>0</v>
      </c>
      <c r="O196" s="772"/>
      <c r="P196" s="772"/>
      <c r="Q196" s="772"/>
      <c r="R196" s="102"/>
      <c r="T196" s="188" t="s">
        <v>552</v>
      </c>
      <c r="U196" s="189" t="s">
        <v>571</v>
      </c>
      <c r="V196" s="100"/>
      <c r="W196" s="190">
        <f t="shared" si="46"/>
        <v>0</v>
      </c>
      <c r="X196" s="190">
        <v>0</v>
      </c>
      <c r="Y196" s="190">
        <f t="shared" si="47"/>
        <v>0</v>
      </c>
      <c r="Z196" s="190">
        <v>0</v>
      </c>
      <c r="AA196" s="191">
        <f t="shared" si="48"/>
        <v>0</v>
      </c>
      <c r="AI196" s="89" t="s">
        <v>619</v>
      </c>
      <c r="AK196" s="89" t="s">
        <v>618</v>
      </c>
      <c r="AL196" s="89" t="s">
        <v>620</v>
      </c>
      <c r="AP196" s="89" t="s">
        <v>617</v>
      </c>
      <c r="AV196" s="192">
        <f t="shared" si="49"/>
        <v>0</v>
      </c>
      <c r="AW196" s="192">
        <f t="shared" si="50"/>
        <v>0</v>
      </c>
      <c r="AX196" s="192">
        <f t="shared" si="51"/>
        <v>0</v>
      </c>
      <c r="AY196" s="192">
        <f t="shared" si="52"/>
        <v>0</v>
      </c>
      <c r="AZ196" s="192">
        <f t="shared" si="53"/>
        <v>0</v>
      </c>
      <c r="BA196" s="89" t="s">
        <v>595</v>
      </c>
      <c r="BB196" s="192">
        <f t="shared" si="54"/>
        <v>0</v>
      </c>
      <c r="BC196" s="89" t="s">
        <v>619</v>
      </c>
      <c r="BD196" s="89" t="s">
        <v>675</v>
      </c>
    </row>
    <row r="197" spans="2:56" s="98" customFormat="1" ht="27" customHeight="1">
      <c r="B197" s="99"/>
      <c r="C197" s="184">
        <v>4</v>
      </c>
      <c r="D197" s="184" t="s">
        <v>618</v>
      </c>
      <c r="E197" s="185"/>
      <c r="F197" s="773" t="s">
        <v>676</v>
      </c>
      <c r="G197" s="773"/>
      <c r="H197" s="773"/>
      <c r="I197" s="773"/>
      <c r="J197" s="186" t="s">
        <v>65</v>
      </c>
      <c r="K197" s="187">
        <v>86</v>
      </c>
      <c r="L197" s="827"/>
      <c r="M197" s="828"/>
      <c r="N197" s="772">
        <f t="shared" si="45"/>
        <v>0</v>
      </c>
      <c r="O197" s="772"/>
      <c r="P197" s="772"/>
      <c r="Q197" s="772"/>
      <c r="R197" s="102"/>
      <c r="T197" s="188" t="s">
        <v>552</v>
      </c>
      <c r="U197" s="189" t="s">
        <v>571</v>
      </c>
      <c r="V197" s="100"/>
      <c r="W197" s="190">
        <f t="shared" si="46"/>
        <v>0</v>
      </c>
      <c r="X197" s="190">
        <v>0</v>
      </c>
      <c r="Y197" s="190">
        <f t="shared" si="47"/>
        <v>0</v>
      </c>
      <c r="Z197" s="190">
        <v>0</v>
      </c>
      <c r="AA197" s="191">
        <f t="shared" si="48"/>
        <v>0</v>
      </c>
      <c r="AI197" s="89" t="s">
        <v>619</v>
      </c>
      <c r="AK197" s="89" t="s">
        <v>618</v>
      </c>
      <c r="AL197" s="89" t="s">
        <v>620</v>
      </c>
      <c r="AP197" s="89" t="s">
        <v>617</v>
      </c>
      <c r="AV197" s="192">
        <f t="shared" si="49"/>
        <v>0</v>
      </c>
      <c r="AW197" s="192">
        <f t="shared" si="50"/>
        <v>0</v>
      </c>
      <c r="AX197" s="192">
        <f t="shared" si="51"/>
        <v>0</v>
      </c>
      <c r="AY197" s="192">
        <f t="shared" si="52"/>
        <v>0</v>
      </c>
      <c r="AZ197" s="192">
        <f t="shared" si="53"/>
        <v>0</v>
      </c>
      <c r="BA197" s="89" t="s">
        <v>595</v>
      </c>
      <c r="BB197" s="192">
        <f t="shared" si="54"/>
        <v>0</v>
      </c>
      <c r="BC197" s="89" t="s">
        <v>619</v>
      </c>
      <c r="BD197" s="89" t="s">
        <v>677</v>
      </c>
    </row>
    <row r="198" spans="2:56" s="98" customFormat="1" ht="57.75" customHeight="1">
      <c r="B198" s="99"/>
      <c r="C198" s="184">
        <v>5</v>
      </c>
      <c r="D198" s="184" t="s">
        <v>618</v>
      </c>
      <c r="E198" s="185"/>
      <c r="F198" s="773" t="s">
        <v>1400</v>
      </c>
      <c r="G198" s="773"/>
      <c r="H198" s="773"/>
      <c r="I198" s="773"/>
      <c r="J198" s="186" t="s">
        <v>65</v>
      </c>
      <c r="K198" s="187">
        <v>1</v>
      </c>
      <c r="L198" s="827"/>
      <c r="M198" s="828"/>
      <c r="N198" s="772">
        <f t="shared" si="45"/>
        <v>0</v>
      </c>
      <c r="O198" s="772"/>
      <c r="P198" s="772"/>
      <c r="Q198" s="772"/>
      <c r="R198" s="102"/>
      <c r="T198" s="188" t="s">
        <v>552</v>
      </c>
      <c r="U198" s="189" t="s">
        <v>571</v>
      </c>
      <c r="V198" s="100"/>
      <c r="W198" s="190">
        <f t="shared" si="46"/>
        <v>0</v>
      </c>
      <c r="X198" s="190">
        <v>0</v>
      </c>
      <c r="Y198" s="190">
        <f t="shared" si="47"/>
        <v>0</v>
      </c>
      <c r="Z198" s="190">
        <v>0</v>
      </c>
      <c r="AA198" s="191">
        <f t="shared" si="48"/>
        <v>0</v>
      </c>
      <c r="AI198" s="89" t="s">
        <v>619</v>
      </c>
      <c r="AK198" s="89" t="s">
        <v>618</v>
      </c>
      <c r="AL198" s="89" t="s">
        <v>620</v>
      </c>
      <c r="AP198" s="89" t="s">
        <v>617</v>
      </c>
      <c r="AV198" s="192">
        <f t="shared" si="49"/>
        <v>0</v>
      </c>
      <c r="AW198" s="192">
        <f t="shared" si="50"/>
        <v>0</v>
      </c>
      <c r="AX198" s="192">
        <f t="shared" si="51"/>
        <v>0</v>
      </c>
      <c r="AY198" s="192">
        <f t="shared" si="52"/>
        <v>0</v>
      </c>
      <c r="AZ198" s="192">
        <f t="shared" si="53"/>
        <v>0</v>
      </c>
      <c r="BA198" s="89" t="s">
        <v>595</v>
      </c>
      <c r="BB198" s="192">
        <f t="shared" si="54"/>
        <v>0</v>
      </c>
      <c r="BC198" s="89" t="s">
        <v>619</v>
      </c>
      <c r="BD198" s="89" t="s">
        <v>678</v>
      </c>
    </row>
    <row r="199" spans="2:56" s="98" customFormat="1" ht="63" customHeight="1">
      <c r="B199" s="99"/>
      <c r="C199" s="184">
        <v>6</v>
      </c>
      <c r="D199" s="184" t="s">
        <v>618</v>
      </c>
      <c r="E199" s="185"/>
      <c r="F199" s="773" t="s">
        <v>1399</v>
      </c>
      <c r="G199" s="773"/>
      <c r="H199" s="773"/>
      <c r="I199" s="773"/>
      <c r="J199" s="186" t="s">
        <v>65</v>
      </c>
      <c r="K199" s="187">
        <v>1</v>
      </c>
      <c r="L199" s="827"/>
      <c r="M199" s="828"/>
      <c r="N199" s="772">
        <f t="shared" si="45"/>
        <v>0</v>
      </c>
      <c r="O199" s="772"/>
      <c r="P199" s="772"/>
      <c r="Q199" s="772"/>
      <c r="R199" s="102"/>
      <c r="T199" s="188" t="s">
        <v>552</v>
      </c>
      <c r="U199" s="189" t="s">
        <v>571</v>
      </c>
      <c r="V199" s="100"/>
      <c r="W199" s="190">
        <f t="shared" si="46"/>
        <v>0</v>
      </c>
      <c r="X199" s="190">
        <v>0</v>
      </c>
      <c r="Y199" s="190">
        <f t="shared" si="47"/>
        <v>0</v>
      </c>
      <c r="Z199" s="190">
        <v>0</v>
      </c>
      <c r="AA199" s="191">
        <f t="shared" si="48"/>
        <v>0</v>
      </c>
      <c r="AI199" s="89" t="s">
        <v>619</v>
      </c>
      <c r="AK199" s="89" t="s">
        <v>618</v>
      </c>
      <c r="AL199" s="89" t="s">
        <v>620</v>
      </c>
      <c r="AP199" s="89" t="s">
        <v>617</v>
      </c>
      <c r="AV199" s="192">
        <f t="shared" si="49"/>
        <v>0</v>
      </c>
      <c r="AW199" s="192">
        <f t="shared" si="50"/>
        <v>0</v>
      </c>
      <c r="AX199" s="192">
        <f t="shared" si="51"/>
        <v>0</v>
      </c>
      <c r="AY199" s="192">
        <f t="shared" si="52"/>
        <v>0</v>
      </c>
      <c r="AZ199" s="192">
        <f t="shared" si="53"/>
        <v>0</v>
      </c>
      <c r="BA199" s="89" t="s">
        <v>595</v>
      </c>
      <c r="BB199" s="192">
        <f t="shared" si="54"/>
        <v>0</v>
      </c>
      <c r="BC199" s="89" t="s">
        <v>619</v>
      </c>
      <c r="BD199" s="89" t="s">
        <v>678</v>
      </c>
    </row>
    <row r="200" spans="2:56" s="98" customFormat="1" ht="57.75" customHeight="1">
      <c r="B200" s="99"/>
      <c r="C200" s="184">
        <v>7</v>
      </c>
      <c r="D200" s="184" t="s">
        <v>618</v>
      </c>
      <c r="E200" s="185"/>
      <c r="F200" s="773" t="s">
        <v>1398</v>
      </c>
      <c r="G200" s="773"/>
      <c r="H200" s="773"/>
      <c r="I200" s="773"/>
      <c r="J200" s="186" t="s">
        <v>65</v>
      </c>
      <c r="K200" s="187">
        <v>1</v>
      </c>
      <c r="L200" s="827"/>
      <c r="M200" s="828"/>
      <c r="N200" s="772">
        <f t="shared" si="45"/>
        <v>0</v>
      </c>
      <c r="O200" s="772"/>
      <c r="P200" s="772"/>
      <c r="Q200" s="772"/>
      <c r="R200" s="102"/>
      <c r="T200" s="188" t="s">
        <v>552</v>
      </c>
      <c r="U200" s="189" t="s">
        <v>571</v>
      </c>
      <c r="V200" s="100"/>
      <c r="W200" s="190">
        <f t="shared" si="46"/>
        <v>0</v>
      </c>
      <c r="X200" s="190">
        <v>0</v>
      </c>
      <c r="Y200" s="190">
        <f t="shared" si="47"/>
        <v>0</v>
      </c>
      <c r="Z200" s="190">
        <v>0</v>
      </c>
      <c r="AA200" s="191">
        <f t="shared" si="48"/>
        <v>0</v>
      </c>
      <c r="AI200" s="89" t="s">
        <v>619</v>
      </c>
      <c r="AK200" s="89" t="s">
        <v>618</v>
      </c>
      <c r="AL200" s="89" t="s">
        <v>620</v>
      </c>
      <c r="AP200" s="89" t="s">
        <v>617</v>
      </c>
      <c r="AV200" s="192">
        <f t="shared" si="49"/>
        <v>0</v>
      </c>
      <c r="AW200" s="192">
        <f t="shared" si="50"/>
        <v>0</v>
      </c>
      <c r="AX200" s="192">
        <f t="shared" si="51"/>
        <v>0</v>
      </c>
      <c r="AY200" s="192">
        <f t="shared" si="52"/>
        <v>0</v>
      </c>
      <c r="AZ200" s="192">
        <f t="shared" si="53"/>
        <v>0</v>
      </c>
      <c r="BA200" s="89" t="s">
        <v>595</v>
      </c>
      <c r="BB200" s="192">
        <f t="shared" si="54"/>
        <v>0</v>
      </c>
      <c r="BC200" s="89" t="s">
        <v>619</v>
      </c>
      <c r="BD200" s="89" t="s">
        <v>678</v>
      </c>
    </row>
    <row r="201" spans="2:56" s="98" customFormat="1" ht="22.5" customHeight="1">
      <c r="B201" s="99"/>
      <c r="C201" s="184">
        <v>8</v>
      </c>
      <c r="D201" s="184" t="s">
        <v>618</v>
      </c>
      <c r="E201" s="185"/>
      <c r="F201" s="773" t="s">
        <v>662</v>
      </c>
      <c r="G201" s="773"/>
      <c r="H201" s="773"/>
      <c r="I201" s="773"/>
      <c r="J201" s="186" t="s">
        <v>635</v>
      </c>
      <c r="K201" s="187">
        <v>1</v>
      </c>
      <c r="L201" s="827"/>
      <c r="M201" s="828"/>
      <c r="N201" s="772">
        <f t="shared" si="45"/>
        <v>0</v>
      </c>
      <c r="O201" s="772"/>
      <c r="P201" s="772"/>
      <c r="Q201" s="772"/>
      <c r="R201" s="102"/>
      <c r="T201" s="188" t="s">
        <v>552</v>
      </c>
      <c r="U201" s="189" t="s">
        <v>571</v>
      </c>
      <c r="V201" s="100"/>
      <c r="W201" s="190">
        <f t="shared" si="46"/>
        <v>0</v>
      </c>
      <c r="X201" s="190">
        <v>0</v>
      </c>
      <c r="Y201" s="190">
        <f t="shared" si="47"/>
        <v>0</v>
      </c>
      <c r="Z201" s="190">
        <v>0</v>
      </c>
      <c r="AA201" s="191">
        <f t="shared" si="48"/>
        <v>0</v>
      </c>
      <c r="AI201" s="89" t="s">
        <v>619</v>
      </c>
      <c r="AK201" s="89" t="s">
        <v>618</v>
      </c>
      <c r="AL201" s="89" t="s">
        <v>620</v>
      </c>
      <c r="AP201" s="89" t="s">
        <v>617</v>
      </c>
      <c r="AV201" s="192">
        <f t="shared" si="49"/>
        <v>0</v>
      </c>
      <c r="AW201" s="192">
        <f t="shared" si="50"/>
        <v>0</v>
      </c>
      <c r="AX201" s="192">
        <f t="shared" si="51"/>
        <v>0</v>
      </c>
      <c r="AY201" s="192">
        <f t="shared" si="52"/>
        <v>0</v>
      </c>
      <c r="AZ201" s="192">
        <f t="shared" si="53"/>
        <v>0</v>
      </c>
      <c r="BA201" s="89" t="s">
        <v>595</v>
      </c>
      <c r="BB201" s="192">
        <f t="shared" si="54"/>
        <v>0</v>
      </c>
      <c r="BC201" s="89" t="s">
        <v>619</v>
      </c>
      <c r="BD201" s="89" t="s">
        <v>679</v>
      </c>
    </row>
    <row r="202" spans="2:56" s="98" customFormat="1" ht="22.5" customHeight="1">
      <c r="B202" s="99"/>
      <c r="C202" s="184">
        <v>9</v>
      </c>
      <c r="D202" s="184" t="s">
        <v>618</v>
      </c>
      <c r="E202" s="185"/>
      <c r="F202" s="773" t="s">
        <v>633</v>
      </c>
      <c r="G202" s="773"/>
      <c r="H202" s="773"/>
      <c r="I202" s="773"/>
      <c r="J202" s="186" t="s">
        <v>45</v>
      </c>
      <c r="K202" s="187">
        <v>1</v>
      </c>
      <c r="L202" s="827"/>
      <c r="M202" s="828"/>
      <c r="N202" s="772">
        <f t="shared" si="45"/>
        <v>0</v>
      </c>
      <c r="O202" s="772"/>
      <c r="P202" s="772"/>
      <c r="Q202" s="772"/>
      <c r="R202" s="102"/>
      <c r="T202" s="188" t="s">
        <v>552</v>
      </c>
      <c r="U202" s="189" t="s">
        <v>571</v>
      </c>
      <c r="V202" s="100"/>
      <c r="W202" s="190">
        <f t="shared" si="46"/>
        <v>0</v>
      </c>
      <c r="X202" s="190">
        <v>0</v>
      </c>
      <c r="Y202" s="190">
        <f t="shared" si="47"/>
        <v>0</v>
      </c>
      <c r="Z202" s="190">
        <v>0</v>
      </c>
      <c r="AA202" s="191">
        <f t="shared" si="48"/>
        <v>0</v>
      </c>
      <c r="AI202" s="89" t="s">
        <v>619</v>
      </c>
      <c r="AK202" s="89" t="s">
        <v>618</v>
      </c>
      <c r="AL202" s="89" t="s">
        <v>620</v>
      </c>
      <c r="AP202" s="89" t="s">
        <v>617</v>
      </c>
      <c r="AV202" s="192">
        <f t="shared" si="49"/>
        <v>0</v>
      </c>
      <c r="AW202" s="192">
        <f t="shared" si="50"/>
        <v>0</v>
      </c>
      <c r="AX202" s="192">
        <f t="shared" si="51"/>
        <v>0</v>
      </c>
      <c r="AY202" s="192">
        <f t="shared" si="52"/>
        <v>0</v>
      </c>
      <c r="AZ202" s="192">
        <f t="shared" si="53"/>
        <v>0</v>
      </c>
      <c r="BA202" s="89" t="s">
        <v>595</v>
      </c>
      <c r="BB202" s="192">
        <f t="shared" si="54"/>
        <v>0</v>
      </c>
      <c r="BC202" s="89" t="s">
        <v>619</v>
      </c>
      <c r="BD202" s="89" t="s">
        <v>632</v>
      </c>
    </row>
    <row r="203" spans="2:18" s="318" customFormat="1" ht="6.75" customHeight="1">
      <c r="B203" s="319"/>
      <c r="C203" s="320"/>
      <c r="D203" s="320"/>
      <c r="E203" s="320"/>
      <c r="F203" s="320"/>
      <c r="G203" s="320"/>
      <c r="H203" s="320"/>
      <c r="I203" s="320"/>
      <c r="J203" s="320"/>
      <c r="K203" s="320"/>
      <c r="L203" s="320"/>
      <c r="M203" s="320"/>
      <c r="N203" s="320"/>
      <c r="O203" s="320"/>
      <c r="P203" s="320"/>
      <c r="Q203" s="320"/>
      <c r="R203" s="321"/>
    </row>
  </sheetData>
  <sheetProtection/>
  <mergeCells count="300">
    <mergeCell ref="F202:I202"/>
    <mergeCell ref="L202:M202"/>
    <mergeCell ref="N202:Q202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N193:Q193"/>
    <mergeCell ref="F194:I194"/>
    <mergeCell ref="L194:M194"/>
    <mergeCell ref="N194:Q194"/>
    <mergeCell ref="F195:I195"/>
    <mergeCell ref="L195:M195"/>
    <mergeCell ref="N195:Q195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N180:Q180"/>
    <mergeCell ref="F181:I181"/>
    <mergeCell ref="L181:M181"/>
    <mergeCell ref="N181:Q181"/>
    <mergeCell ref="F182:I182"/>
    <mergeCell ref="L182:M182"/>
    <mergeCell ref="N182:Q182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7:I157"/>
    <mergeCell ref="L157:M157"/>
    <mergeCell ref="N157:Q157"/>
    <mergeCell ref="N158:Q158"/>
    <mergeCell ref="F159:I159"/>
    <mergeCell ref="L159:M159"/>
    <mergeCell ref="N159:Q159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N140:Q140"/>
    <mergeCell ref="F141:I141"/>
    <mergeCell ref="L141:M141"/>
    <mergeCell ref="N141:Q141"/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N121:Q121"/>
    <mergeCell ref="N122:Q122"/>
    <mergeCell ref="N123:Q123"/>
    <mergeCell ref="C110:Q110"/>
    <mergeCell ref="F112:P112"/>
    <mergeCell ref="F113:P113"/>
    <mergeCell ref="M115:P115"/>
    <mergeCell ref="M117:Q117"/>
    <mergeCell ref="M118:Q118"/>
    <mergeCell ref="D100:H100"/>
    <mergeCell ref="N100:Q100"/>
    <mergeCell ref="D101:H101"/>
    <mergeCell ref="N101:Q101"/>
    <mergeCell ref="N102:Q102"/>
    <mergeCell ref="L104:Q104"/>
    <mergeCell ref="D97:H97"/>
    <mergeCell ref="N97:Q97"/>
    <mergeCell ref="D98:H98"/>
    <mergeCell ref="N98:Q98"/>
    <mergeCell ref="D99:H99"/>
    <mergeCell ref="N99:Q99"/>
    <mergeCell ref="N91:Q91"/>
    <mergeCell ref="N92:Q92"/>
    <mergeCell ref="N93:Q93"/>
    <mergeCell ref="N94:Q94"/>
    <mergeCell ref="N96:Q96"/>
    <mergeCell ref="M84:Q84"/>
    <mergeCell ref="C86:G86"/>
    <mergeCell ref="N86:Q86"/>
    <mergeCell ref="N88:Q88"/>
    <mergeCell ref="N89:Q89"/>
    <mergeCell ref="N90:Q90"/>
    <mergeCell ref="L38:P38"/>
    <mergeCell ref="C76:Q76"/>
    <mergeCell ref="F78:P78"/>
    <mergeCell ref="F79:P79"/>
    <mergeCell ref="M81:P81"/>
    <mergeCell ref="M83:Q83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7:P17"/>
    <mergeCell ref="O18:P18"/>
    <mergeCell ref="O20:P20"/>
    <mergeCell ref="O21:P21"/>
    <mergeCell ref="E24:L24"/>
    <mergeCell ref="M27:P27"/>
    <mergeCell ref="O9:P9"/>
    <mergeCell ref="O11:P11"/>
    <mergeCell ref="O12:P12"/>
    <mergeCell ref="O14:P14"/>
    <mergeCell ref="E15:L15"/>
    <mergeCell ref="O15:P15"/>
    <mergeCell ref="H1:K1"/>
    <mergeCell ref="C2:Q2"/>
    <mergeCell ref="S2:AB2"/>
    <mergeCell ref="C4:Q4"/>
    <mergeCell ref="F6:P6"/>
    <mergeCell ref="F7:P7"/>
  </mergeCells>
  <dataValidations count="2">
    <dataValidation type="list" allowBlank="1" showInputMessage="1" showErrorMessage="1" error="Povoleny jsou hodnoty základní, snížená, zákl. přenesená, sníž. přenesená, nulová." sqref="U203">
      <formula1>"základní, snížená, zákl. přenesená, sníž. přenesená, nulová"</formula1>
    </dataValidation>
    <dataValidation type="list" allowBlank="1" showInputMessage="1" showErrorMessage="1" error="Povoleny jsou hodnoty K, M." sqref="D203">
      <formula1>"K, M"</formula1>
    </dataValidation>
  </dataValidation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7" right="0.7" top="0.787401575" bottom="0.787401575" header="0.3" footer="0.3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33"/>
  <sheetViews>
    <sheetView view="pageBreakPreview" zoomScaleSheetLayoutView="100" zoomScalePageLayoutView="0" workbookViewId="0" topLeftCell="A117">
      <selection activeCell="L112" sqref="L112:M112"/>
    </sheetView>
  </sheetViews>
  <sheetFormatPr defaultColWidth="9.00390625" defaultRowHeight="12.75"/>
  <cols>
    <col min="1" max="1" width="6.375" style="0" customWidth="1"/>
    <col min="2" max="2" width="1.25" style="0" customWidth="1"/>
    <col min="3" max="4" width="3.25390625" style="0" customWidth="1"/>
    <col min="5" max="5" width="13.25390625" style="0" customWidth="1"/>
    <col min="6" max="7" width="8.75390625" style="0" customWidth="1"/>
    <col min="8" max="8" width="9.75390625" style="0" customWidth="1"/>
    <col min="9" max="9" width="5.375" style="0" customWidth="1"/>
    <col min="10" max="10" width="4.00390625" style="0" customWidth="1"/>
    <col min="12" max="12" width="9.25390625" style="0" customWidth="1"/>
    <col min="13" max="14" width="4.75390625" style="0" customWidth="1"/>
    <col min="15" max="15" width="1.625" style="0" customWidth="1"/>
    <col min="16" max="16" width="9.75390625" style="0" customWidth="1"/>
    <col min="17" max="17" width="3.25390625" style="0" customWidth="1"/>
    <col min="18" max="18" width="1.25" style="0" customWidth="1"/>
    <col min="19" max="19" width="6.25390625" style="0" customWidth="1"/>
    <col min="20" max="20" width="23.125" style="0" hidden="1" customWidth="1"/>
    <col min="21" max="21" width="12.75390625" style="0" hidden="1" customWidth="1"/>
    <col min="22" max="22" width="9.625" style="0" hidden="1" customWidth="1"/>
    <col min="23" max="23" width="12.75390625" style="0" hidden="1" customWidth="1"/>
    <col min="24" max="24" width="9.375" style="0" hidden="1" customWidth="1"/>
    <col min="25" max="25" width="11.75390625" style="0" hidden="1" customWidth="1"/>
    <col min="26" max="26" width="8.625" style="0" hidden="1" customWidth="1"/>
    <col min="27" max="27" width="11.75390625" style="0" hidden="1" customWidth="1"/>
    <col min="28" max="28" width="12.75390625" style="0" hidden="1" customWidth="1"/>
    <col min="29" max="29" width="8.625" style="0" customWidth="1"/>
    <col min="30" max="30" width="11.75390625" style="0" customWidth="1"/>
    <col min="31" max="31" width="12.75390625" style="0" customWidth="1"/>
  </cols>
  <sheetData>
    <row r="1" spans="1:66" ht="21.75" customHeight="1">
      <c r="A1" s="84"/>
      <c r="B1" s="85"/>
      <c r="C1" s="85"/>
      <c r="D1" s="86" t="s">
        <v>535</v>
      </c>
      <c r="E1" s="85"/>
      <c r="F1" s="87" t="s">
        <v>536</v>
      </c>
      <c r="G1" s="87"/>
      <c r="H1" s="819" t="s">
        <v>537</v>
      </c>
      <c r="I1" s="819"/>
      <c r="J1" s="819"/>
      <c r="K1" s="819"/>
      <c r="L1" s="87" t="s">
        <v>538</v>
      </c>
      <c r="M1" s="85"/>
      <c r="N1" s="85"/>
      <c r="O1" s="86" t="s">
        <v>539</v>
      </c>
      <c r="P1" s="85"/>
      <c r="Q1" s="85"/>
      <c r="R1" s="85"/>
      <c r="S1" s="87" t="s">
        <v>540</v>
      </c>
      <c r="T1" s="87"/>
      <c r="U1" s="84"/>
      <c r="V1" s="84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</row>
    <row r="2" spans="3:46" ht="36.75" customHeight="1">
      <c r="C2" s="820" t="s">
        <v>541</v>
      </c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S2" s="818" t="s">
        <v>542</v>
      </c>
      <c r="T2" s="824"/>
      <c r="U2" s="824"/>
      <c r="V2" s="824"/>
      <c r="W2" s="824"/>
      <c r="X2" s="824"/>
      <c r="Y2" s="824"/>
      <c r="Z2" s="824"/>
      <c r="AA2" s="824"/>
      <c r="AB2" s="824"/>
      <c r="AC2" s="824"/>
      <c r="AT2" s="89" t="s">
        <v>681</v>
      </c>
    </row>
    <row r="3" spans="2:46" ht="6.75" customHeight="1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2"/>
      <c r="AT3" s="89" t="s">
        <v>544</v>
      </c>
    </row>
    <row r="4" spans="2:46" ht="36.75" customHeight="1">
      <c r="B4" s="93"/>
      <c r="C4" s="787" t="s">
        <v>545</v>
      </c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94"/>
      <c r="T4" s="95" t="s">
        <v>546</v>
      </c>
      <c r="AT4" s="89" t="s">
        <v>547</v>
      </c>
    </row>
    <row r="5" spans="2:18" ht="6.75" customHeight="1">
      <c r="B5" s="93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4"/>
    </row>
    <row r="6" spans="2:18" ht="24.75" customHeight="1">
      <c r="B6" s="93"/>
      <c r="C6" s="96"/>
      <c r="D6" s="97" t="s">
        <v>31</v>
      </c>
      <c r="E6" s="96"/>
      <c r="F6" s="789" t="s">
        <v>548</v>
      </c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96"/>
      <c r="R6" s="94"/>
    </row>
    <row r="7" spans="2:18" s="98" customFormat="1" ht="32.25" customHeight="1">
      <c r="B7" s="99"/>
      <c r="C7" s="100"/>
      <c r="D7" s="101" t="s">
        <v>549</v>
      </c>
      <c r="E7" s="100"/>
      <c r="F7" s="831" t="s">
        <v>682</v>
      </c>
      <c r="G7" s="788"/>
      <c r="H7" s="788"/>
      <c r="I7" s="788"/>
      <c r="J7" s="788"/>
      <c r="K7" s="788"/>
      <c r="L7" s="788"/>
      <c r="M7" s="788"/>
      <c r="N7" s="788"/>
      <c r="O7" s="788"/>
      <c r="P7" s="788"/>
      <c r="Q7" s="100"/>
      <c r="R7" s="102"/>
    </row>
    <row r="8" spans="2:18" s="98" customFormat="1" ht="14.25" customHeight="1">
      <c r="B8" s="99"/>
      <c r="C8" s="100"/>
      <c r="D8" s="97" t="s">
        <v>551</v>
      </c>
      <c r="E8" s="316"/>
      <c r="F8" s="323" t="s">
        <v>552</v>
      </c>
      <c r="G8" s="316"/>
      <c r="H8" s="316"/>
      <c r="I8" s="316"/>
      <c r="J8" s="316"/>
      <c r="K8" s="316"/>
      <c r="L8" s="316"/>
      <c r="M8" s="324" t="s">
        <v>553</v>
      </c>
      <c r="N8" s="316"/>
      <c r="O8" s="323" t="s">
        <v>552</v>
      </c>
      <c r="P8" s="316"/>
      <c r="Q8" s="100"/>
      <c r="R8" s="102"/>
    </row>
    <row r="9" spans="2:18" s="98" customFormat="1" ht="14.25" customHeight="1">
      <c r="B9" s="99"/>
      <c r="C9" s="100"/>
      <c r="D9" s="97" t="s">
        <v>554</v>
      </c>
      <c r="E9" s="316"/>
      <c r="F9" s="323" t="s">
        <v>555</v>
      </c>
      <c r="G9" s="316"/>
      <c r="H9" s="316"/>
      <c r="I9" s="316"/>
      <c r="J9" s="316"/>
      <c r="K9" s="316"/>
      <c r="L9" s="316"/>
      <c r="M9" s="324" t="s">
        <v>556</v>
      </c>
      <c r="N9" s="316"/>
      <c r="O9" s="815"/>
      <c r="P9" s="815"/>
      <c r="Q9" s="100"/>
      <c r="R9" s="102"/>
    </row>
    <row r="10" spans="2:18" s="98" customFormat="1" ht="10.5" customHeight="1">
      <c r="B10" s="99"/>
      <c r="C10" s="100"/>
      <c r="D10" s="100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100"/>
      <c r="R10" s="102"/>
    </row>
    <row r="11" spans="2:18" s="98" customFormat="1" ht="14.25" customHeight="1">
      <c r="B11" s="99"/>
      <c r="C11" s="100"/>
      <c r="D11" s="97" t="s">
        <v>557</v>
      </c>
      <c r="E11" s="316"/>
      <c r="F11" s="316"/>
      <c r="G11" s="316"/>
      <c r="H11" s="316"/>
      <c r="I11" s="316"/>
      <c r="J11" s="316"/>
      <c r="K11" s="316"/>
      <c r="L11" s="316"/>
      <c r="M11" s="324" t="s">
        <v>558</v>
      </c>
      <c r="N11" s="316"/>
      <c r="O11" s="813"/>
      <c r="P11" s="813"/>
      <c r="Q11" s="100"/>
      <c r="R11" s="102"/>
    </row>
    <row r="12" spans="2:18" s="98" customFormat="1" ht="18" customHeight="1">
      <c r="B12" s="99"/>
      <c r="C12" s="100"/>
      <c r="D12" s="100"/>
      <c r="E12" s="323" t="s">
        <v>559</v>
      </c>
      <c r="F12" s="316"/>
      <c r="G12" s="316"/>
      <c r="H12" s="316"/>
      <c r="I12" s="316"/>
      <c r="J12" s="316"/>
      <c r="K12" s="316"/>
      <c r="L12" s="316"/>
      <c r="M12" s="324" t="s">
        <v>560</v>
      </c>
      <c r="N12" s="316"/>
      <c r="O12" s="813"/>
      <c r="P12" s="813"/>
      <c r="Q12" s="100"/>
      <c r="R12" s="102"/>
    </row>
    <row r="13" spans="2:18" s="98" customFormat="1" ht="6.75" customHeight="1">
      <c r="B13" s="99"/>
      <c r="C13" s="100"/>
      <c r="D13" s="100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100"/>
      <c r="R13" s="102"/>
    </row>
    <row r="14" spans="2:18" s="98" customFormat="1" ht="14.25" customHeight="1">
      <c r="B14" s="99"/>
      <c r="C14" s="100"/>
      <c r="D14" s="97" t="s">
        <v>561</v>
      </c>
      <c r="E14" s="316"/>
      <c r="F14" s="316"/>
      <c r="G14" s="316"/>
      <c r="H14" s="316"/>
      <c r="I14" s="316"/>
      <c r="J14" s="316"/>
      <c r="K14" s="316"/>
      <c r="L14" s="316"/>
      <c r="M14" s="324" t="s">
        <v>558</v>
      </c>
      <c r="N14" s="316"/>
      <c r="O14" s="817"/>
      <c r="P14" s="813"/>
      <c r="Q14" s="100"/>
      <c r="R14" s="102"/>
    </row>
    <row r="15" spans="2:18" s="98" customFormat="1" ht="18" customHeight="1">
      <c r="B15" s="99"/>
      <c r="C15" s="100"/>
      <c r="D15" s="100"/>
      <c r="E15" s="817"/>
      <c r="F15" s="813"/>
      <c r="G15" s="813"/>
      <c r="H15" s="813"/>
      <c r="I15" s="813"/>
      <c r="J15" s="813"/>
      <c r="K15" s="813"/>
      <c r="L15" s="813"/>
      <c r="M15" s="324" t="s">
        <v>560</v>
      </c>
      <c r="N15" s="316"/>
      <c r="O15" s="817"/>
      <c r="P15" s="813"/>
      <c r="Q15" s="100"/>
      <c r="R15" s="102"/>
    </row>
    <row r="16" spans="2:18" s="98" customFormat="1" ht="6.75" customHeight="1">
      <c r="B16" s="99"/>
      <c r="C16" s="100"/>
      <c r="D16" s="100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100"/>
      <c r="R16" s="102"/>
    </row>
    <row r="17" spans="2:18" s="98" customFormat="1" ht="14.25" customHeight="1">
      <c r="B17" s="99"/>
      <c r="C17" s="100"/>
      <c r="D17" s="97" t="s">
        <v>562</v>
      </c>
      <c r="E17" s="316"/>
      <c r="F17" s="316"/>
      <c r="G17" s="316"/>
      <c r="H17" s="316"/>
      <c r="I17" s="316"/>
      <c r="J17" s="316"/>
      <c r="K17" s="316"/>
      <c r="L17" s="316"/>
      <c r="M17" s="324" t="s">
        <v>558</v>
      </c>
      <c r="N17" s="316"/>
      <c r="O17" s="813"/>
      <c r="P17" s="813"/>
      <c r="Q17" s="100"/>
      <c r="R17" s="102"/>
    </row>
    <row r="18" spans="2:18" s="98" customFormat="1" ht="18" customHeight="1">
      <c r="B18" s="99"/>
      <c r="C18" s="100"/>
      <c r="D18" s="100"/>
      <c r="E18" s="323"/>
      <c r="F18" s="316"/>
      <c r="G18" s="316"/>
      <c r="H18" s="316"/>
      <c r="I18" s="316"/>
      <c r="J18" s="316"/>
      <c r="K18" s="316"/>
      <c r="L18" s="316"/>
      <c r="M18" s="324" t="s">
        <v>560</v>
      </c>
      <c r="N18" s="316"/>
      <c r="O18" s="813"/>
      <c r="P18" s="813"/>
      <c r="Q18" s="100"/>
      <c r="R18" s="102"/>
    </row>
    <row r="19" spans="2:18" s="98" customFormat="1" ht="6.75" customHeight="1">
      <c r="B19" s="99"/>
      <c r="C19" s="100"/>
      <c r="D19" s="100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100"/>
      <c r="R19" s="102"/>
    </row>
    <row r="20" spans="2:18" s="98" customFormat="1" ht="14.25" customHeight="1">
      <c r="B20" s="99"/>
      <c r="C20" s="100"/>
      <c r="D20" s="97" t="s">
        <v>563</v>
      </c>
      <c r="E20" s="316"/>
      <c r="F20" s="316"/>
      <c r="G20" s="316"/>
      <c r="H20" s="316"/>
      <c r="I20" s="316"/>
      <c r="J20" s="316"/>
      <c r="K20" s="316"/>
      <c r="L20" s="316"/>
      <c r="M20" s="324" t="s">
        <v>558</v>
      </c>
      <c r="N20" s="316"/>
      <c r="O20" s="813"/>
      <c r="P20" s="813"/>
      <c r="Q20" s="100"/>
      <c r="R20" s="102"/>
    </row>
    <row r="21" spans="2:18" s="98" customFormat="1" ht="18" customHeight="1">
      <c r="B21" s="99"/>
      <c r="C21" s="100"/>
      <c r="D21" s="100"/>
      <c r="E21" s="323"/>
      <c r="F21" s="316"/>
      <c r="G21" s="316"/>
      <c r="H21" s="316"/>
      <c r="I21" s="316"/>
      <c r="J21" s="316"/>
      <c r="K21" s="316"/>
      <c r="L21" s="316"/>
      <c r="M21" s="324" t="s">
        <v>560</v>
      </c>
      <c r="N21" s="316"/>
      <c r="O21" s="813"/>
      <c r="P21" s="813"/>
      <c r="Q21" s="100"/>
      <c r="R21" s="102"/>
    </row>
    <row r="22" spans="2:18" s="98" customFormat="1" ht="6.75" customHeight="1">
      <c r="B22" s="99"/>
      <c r="C22" s="100"/>
      <c r="D22" s="100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100"/>
      <c r="R22" s="102"/>
    </row>
    <row r="23" spans="2:18" s="98" customFormat="1" ht="14.25" customHeight="1">
      <c r="B23" s="99"/>
      <c r="C23" s="100"/>
      <c r="D23" s="97" t="s">
        <v>534</v>
      </c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100"/>
      <c r="R23" s="102"/>
    </row>
    <row r="24" spans="2:18" s="98" customFormat="1" ht="22.5" customHeight="1">
      <c r="B24" s="99"/>
      <c r="C24" s="100"/>
      <c r="D24" s="100"/>
      <c r="E24" s="814" t="s">
        <v>552</v>
      </c>
      <c r="F24" s="814"/>
      <c r="G24" s="814"/>
      <c r="H24" s="814"/>
      <c r="I24" s="814"/>
      <c r="J24" s="814"/>
      <c r="K24" s="814"/>
      <c r="L24" s="814"/>
      <c r="M24" s="100"/>
      <c r="N24" s="100"/>
      <c r="O24" s="100"/>
      <c r="P24" s="100"/>
      <c r="Q24" s="100"/>
      <c r="R24" s="102"/>
    </row>
    <row r="25" spans="2:18" s="98" customFormat="1" ht="6.75" customHeight="1">
      <c r="B25" s="99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2"/>
    </row>
    <row r="26" spans="2:18" s="98" customFormat="1" ht="6.75" customHeight="1">
      <c r="B26" s="99"/>
      <c r="C26" s="100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0"/>
      <c r="R26" s="102"/>
    </row>
    <row r="27" spans="2:18" s="98" customFormat="1" ht="14.25" customHeight="1">
      <c r="B27" s="99"/>
      <c r="C27" s="100"/>
      <c r="D27" s="105" t="s">
        <v>564</v>
      </c>
      <c r="E27" s="100"/>
      <c r="F27" s="100"/>
      <c r="G27" s="100"/>
      <c r="H27" s="100"/>
      <c r="I27" s="100"/>
      <c r="J27" s="100"/>
      <c r="K27" s="100"/>
      <c r="L27" s="100"/>
      <c r="M27" s="811">
        <f>N87</f>
        <v>0</v>
      </c>
      <c r="N27" s="811"/>
      <c r="O27" s="811"/>
      <c r="P27" s="811"/>
      <c r="Q27" s="100"/>
      <c r="R27" s="102"/>
    </row>
    <row r="28" spans="2:18" s="98" customFormat="1" ht="6.75" customHeight="1"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2"/>
    </row>
    <row r="29" spans="2:18" s="98" customFormat="1" ht="24.75" customHeight="1">
      <c r="B29" s="99"/>
      <c r="C29" s="100"/>
      <c r="D29" s="107" t="s">
        <v>566</v>
      </c>
      <c r="E29" s="100"/>
      <c r="F29" s="100"/>
      <c r="G29" s="100"/>
      <c r="H29" s="100"/>
      <c r="I29" s="100"/>
      <c r="J29" s="100"/>
      <c r="K29" s="100"/>
      <c r="L29" s="100"/>
      <c r="M29" s="812">
        <f>SUM(M27)</f>
        <v>0</v>
      </c>
      <c r="N29" s="788"/>
      <c r="O29" s="788"/>
      <c r="P29" s="788"/>
      <c r="Q29" s="100"/>
      <c r="R29" s="102"/>
    </row>
    <row r="30" spans="2:18" s="98" customFormat="1" ht="6.75" customHeight="1">
      <c r="B30" s="99"/>
      <c r="C30" s="100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0"/>
      <c r="R30" s="102"/>
    </row>
    <row r="31" spans="2:18" s="98" customFormat="1" ht="14.25" customHeight="1" hidden="1">
      <c r="B31" s="99"/>
      <c r="C31" s="100"/>
      <c r="D31" s="108" t="s">
        <v>89</v>
      </c>
      <c r="E31" s="108" t="s">
        <v>567</v>
      </c>
      <c r="F31" s="109">
        <v>0.21</v>
      </c>
      <c r="G31" s="110" t="s">
        <v>568</v>
      </c>
      <c r="H31" s="810">
        <f>ROUND((((SUM(BE93:BE93)+SUM(BE110:BE128))+SUM(BE130:BE132))),2)</f>
        <v>0</v>
      </c>
      <c r="I31" s="788"/>
      <c r="J31" s="788"/>
      <c r="K31" s="100"/>
      <c r="L31" s="100"/>
      <c r="M31" s="810">
        <f>ROUND(((ROUND((SUM(BE93:BE93)+SUM(BE110:BE128)),2)*F31)+SUM(BE130:BE132)*F31),2)</f>
        <v>0</v>
      </c>
      <c r="N31" s="788"/>
      <c r="O31" s="788"/>
      <c r="P31" s="788"/>
      <c r="Q31" s="100"/>
      <c r="R31" s="102"/>
    </row>
    <row r="32" spans="2:18" s="98" customFormat="1" ht="14.25" customHeight="1" hidden="1">
      <c r="B32" s="99"/>
      <c r="C32" s="100"/>
      <c r="D32" s="100"/>
      <c r="E32" s="108" t="s">
        <v>569</v>
      </c>
      <c r="F32" s="109">
        <v>0.15</v>
      </c>
      <c r="G32" s="110" t="s">
        <v>568</v>
      </c>
      <c r="H32" s="810">
        <f>ROUND((((SUM(BF93:BF93)+SUM(BF110:BF128))+SUM(BF130:BF132))),2)</f>
        <v>0</v>
      </c>
      <c r="I32" s="788"/>
      <c r="J32" s="788"/>
      <c r="K32" s="100"/>
      <c r="L32" s="100"/>
      <c r="M32" s="810">
        <f>ROUND(((ROUND((SUM(BF93:BF93)+SUM(BF110:BF128)),2)*F32)+SUM(BF130:BF132)*F32),2)</f>
        <v>0</v>
      </c>
      <c r="N32" s="788"/>
      <c r="O32" s="788"/>
      <c r="P32" s="788"/>
      <c r="Q32" s="100"/>
      <c r="R32" s="102"/>
    </row>
    <row r="33" spans="2:18" s="98" customFormat="1" ht="14.25" customHeight="1">
      <c r="B33" s="99"/>
      <c r="C33" s="100"/>
      <c r="D33" s="108" t="s">
        <v>89</v>
      </c>
      <c r="E33" s="108" t="s">
        <v>570</v>
      </c>
      <c r="F33" s="109">
        <v>0.21</v>
      </c>
      <c r="G33" s="110" t="s">
        <v>568</v>
      </c>
      <c r="H33" s="810">
        <f>ROUND((((SUM(BG93:BG93)+SUM(BG110:BG128))+SUM(BG130:BG132))),2)</f>
        <v>0</v>
      </c>
      <c r="I33" s="788"/>
      <c r="J33" s="788"/>
      <c r="K33" s="100"/>
      <c r="L33" s="100"/>
      <c r="M33" s="810">
        <v>0</v>
      </c>
      <c r="N33" s="788"/>
      <c r="O33" s="788"/>
      <c r="P33" s="788"/>
      <c r="Q33" s="100"/>
      <c r="R33" s="102"/>
    </row>
    <row r="34" spans="2:18" s="98" customFormat="1" ht="14.25" customHeight="1">
      <c r="B34" s="99"/>
      <c r="C34" s="100"/>
      <c r="D34" s="100"/>
      <c r="E34" s="108" t="s">
        <v>571</v>
      </c>
      <c r="F34" s="109">
        <v>0.15</v>
      </c>
      <c r="G34" s="110" t="s">
        <v>568</v>
      </c>
      <c r="H34" s="810">
        <f>ROUND((((SUM(BH93:BH93)+SUM(BH110:BH128))+SUM(BH130:BH132))),2)</f>
        <v>0</v>
      </c>
      <c r="I34" s="788"/>
      <c r="J34" s="788"/>
      <c r="K34" s="100"/>
      <c r="L34" s="100"/>
      <c r="M34" s="810">
        <v>0</v>
      </c>
      <c r="N34" s="788"/>
      <c r="O34" s="788"/>
      <c r="P34" s="788"/>
      <c r="Q34" s="100"/>
      <c r="R34" s="102"/>
    </row>
    <row r="35" spans="2:18" s="98" customFormat="1" ht="14.25" customHeight="1" hidden="1">
      <c r="B35" s="99"/>
      <c r="C35" s="100"/>
      <c r="D35" s="100"/>
      <c r="E35" s="108" t="s">
        <v>572</v>
      </c>
      <c r="F35" s="109">
        <v>0</v>
      </c>
      <c r="G35" s="110" t="s">
        <v>568</v>
      </c>
      <c r="H35" s="810">
        <f>ROUND((((SUM(BI93:BI93)+SUM(BI110:BI128))+SUM(BI130:BI132))),2)</f>
        <v>0</v>
      </c>
      <c r="I35" s="788"/>
      <c r="J35" s="788"/>
      <c r="K35" s="100"/>
      <c r="L35" s="100"/>
      <c r="M35" s="810">
        <v>0</v>
      </c>
      <c r="N35" s="788"/>
      <c r="O35" s="788"/>
      <c r="P35" s="788"/>
      <c r="Q35" s="100"/>
      <c r="R35" s="102"/>
    </row>
    <row r="36" spans="2:18" s="98" customFormat="1" ht="6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2"/>
    </row>
    <row r="37" spans="2:18" s="98" customFormat="1" ht="24.75" customHeight="1">
      <c r="B37" s="99"/>
      <c r="C37" s="111"/>
      <c r="D37" s="112" t="s">
        <v>573</v>
      </c>
      <c r="E37" s="113"/>
      <c r="F37" s="113"/>
      <c r="G37" s="114" t="s">
        <v>574</v>
      </c>
      <c r="H37" s="115" t="s">
        <v>575</v>
      </c>
      <c r="I37" s="113"/>
      <c r="J37" s="113"/>
      <c r="K37" s="113"/>
      <c r="L37" s="807">
        <f>SUM(M29:M35)</f>
        <v>0</v>
      </c>
      <c r="M37" s="807"/>
      <c r="N37" s="807"/>
      <c r="O37" s="807"/>
      <c r="P37" s="808"/>
      <c r="Q37" s="111"/>
      <c r="R37" s="102"/>
    </row>
    <row r="38" spans="2:18" s="98" customFormat="1" ht="14.2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2"/>
    </row>
    <row r="39" spans="2:18" s="98" customFormat="1" ht="14.25" customHeight="1"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2"/>
    </row>
    <row r="40" spans="2:18" ht="12.75">
      <c r="B40" s="93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4"/>
    </row>
    <row r="41" spans="2:18" ht="12.75">
      <c r="B41" s="93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4"/>
    </row>
    <row r="42" spans="2:18" ht="12.75">
      <c r="B42" s="93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4"/>
    </row>
    <row r="43" spans="2:18" ht="12.75">
      <c r="B43" s="93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4"/>
    </row>
    <row r="44" spans="2:18" ht="12.75">
      <c r="B44" s="93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4"/>
    </row>
    <row r="45" spans="2:18" ht="12.75">
      <c r="B45" s="93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4"/>
    </row>
    <row r="46" spans="2:18" ht="12.75">
      <c r="B46" s="93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4"/>
    </row>
    <row r="47" spans="2:18" ht="12.75">
      <c r="B47" s="93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4"/>
    </row>
    <row r="48" spans="2:18" ht="12.75">
      <c r="B48" s="93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4"/>
    </row>
    <row r="49" spans="2:18" s="98" customFormat="1" ht="15">
      <c r="B49" s="99"/>
      <c r="C49" s="100"/>
      <c r="D49" s="116" t="s">
        <v>576</v>
      </c>
      <c r="E49" s="104"/>
      <c r="F49" s="104"/>
      <c r="G49" s="104"/>
      <c r="H49" s="117"/>
      <c r="I49" s="100"/>
      <c r="J49" s="116" t="s">
        <v>577</v>
      </c>
      <c r="K49" s="104"/>
      <c r="L49" s="104"/>
      <c r="M49" s="104"/>
      <c r="N49" s="104"/>
      <c r="O49" s="104"/>
      <c r="P49" s="117"/>
      <c r="Q49" s="100"/>
      <c r="R49" s="102"/>
    </row>
    <row r="50" spans="2:18" ht="12.75">
      <c r="B50" s="93"/>
      <c r="C50" s="96"/>
      <c r="D50" s="118"/>
      <c r="E50" s="96"/>
      <c r="F50" s="96"/>
      <c r="G50" s="96"/>
      <c r="H50" s="119"/>
      <c r="I50" s="96"/>
      <c r="J50" s="118"/>
      <c r="K50" s="96"/>
      <c r="L50" s="96"/>
      <c r="M50" s="96"/>
      <c r="N50" s="96"/>
      <c r="O50" s="96"/>
      <c r="P50" s="119"/>
      <c r="Q50" s="96"/>
      <c r="R50" s="94"/>
    </row>
    <row r="51" spans="2:18" ht="12.75">
      <c r="B51" s="93"/>
      <c r="C51" s="96"/>
      <c r="D51" s="118"/>
      <c r="E51" s="96"/>
      <c r="F51" s="96"/>
      <c r="G51" s="96"/>
      <c r="H51" s="119"/>
      <c r="I51" s="96"/>
      <c r="J51" s="118"/>
      <c r="K51" s="96"/>
      <c r="L51" s="96"/>
      <c r="M51" s="96"/>
      <c r="N51" s="96"/>
      <c r="O51" s="96"/>
      <c r="P51" s="119"/>
      <c r="Q51" s="96"/>
      <c r="R51" s="94"/>
    </row>
    <row r="52" spans="2:18" ht="12.75">
      <c r="B52" s="93"/>
      <c r="C52" s="96"/>
      <c r="D52" s="118"/>
      <c r="E52" s="96"/>
      <c r="F52" s="96"/>
      <c r="G52" s="96"/>
      <c r="H52" s="119"/>
      <c r="I52" s="96"/>
      <c r="J52" s="118"/>
      <c r="K52" s="96"/>
      <c r="L52" s="96"/>
      <c r="M52" s="96"/>
      <c r="N52" s="96"/>
      <c r="O52" s="96"/>
      <c r="P52" s="119"/>
      <c r="Q52" s="96"/>
      <c r="R52" s="94"/>
    </row>
    <row r="53" spans="2:18" ht="12.75">
      <c r="B53" s="93"/>
      <c r="C53" s="96"/>
      <c r="D53" s="118"/>
      <c r="E53" s="96"/>
      <c r="F53" s="96"/>
      <c r="G53" s="96"/>
      <c r="H53" s="119"/>
      <c r="I53" s="96"/>
      <c r="J53" s="118"/>
      <c r="K53" s="96"/>
      <c r="L53" s="96"/>
      <c r="M53" s="96"/>
      <c r="N53" s="96"/>
      <c r="O53" s="96"/>
      <c r="P53" s="119"/>
      <c r="Q53" s="96"/>
      <c r="R53" s="94"/>
    </row>
    <row r="54" spans="2:18" ht="12.75">
      <c r="B54" s="93"/>
      <c r="C54" s="96"/>
      <c r="D54" s="118"/>
      <c r="E54" s="96"/>
      <c r="F54" s="96"/>
      <c r="G54" s="96"/>
      <c r="H54" s="119"/>
      <c r="I54" s="96"/>
      <c r="J54" s="118"/>
      <c r="K54" s="96"/>
      <c r="L54" s="96"/>
      <c r="M54" s="96"/>
      <c r="N54" s="96"/>
      <c r="O54" s="96"/>
      <c r="P54" s="119"/>
      <c r="Q54" s="96"/>
      <c r="R54" s="94"/>
    </row>
    <row r="55" spans="2:18" ht="12.75">
      <c r="B55" s="93"/>
      <c r="C55" s="96"/>
      <c r="D55" s="118"/>
      <c r="E55" s="96"/>
      <c r="F55" s="96"/>
      <c r="G55" s="96"/>
      <c r="H55" s="119"/>
      <c r="I55" s="96"/>
      <c r="J55" s="118"/>
      <c r="K55" s="96"/>
      <c r="L55" s="96"/>
      <c r="M55" s="96"/>
      <c r="N55" s="96"/>
      <c r="O55" s="96"/>
      <c r="P55" s="119"/>
      <c r="Q55" s="96"/>
      <c r="R55" s="94"/>
    </row>
    <row r="56" spans="2:18" ht="12.75">
      <c r="B56" s="93"/>
      <c r="C56" s="96"/>
      <c r="D56" s="118"/>
      <c r="E56" s="96"/>
      <c r="F56" s="96"/>
      <c r="G56" s="96"/>
      <c r="H56" s="119"/>
      <c r="I56" s="96"/>
      <c r="J56" s="118"/>
      <c r="K56" s="96"/>
      <c r="L56" s="96"/>
      <c r="M56" s="96"/>
      <c r="N56" s="96"/>
      <c r="O56" s="96"/>
      <c r="P56" s="119"/>
      <c r="Q56" s="96"/>
      <c r="R56" s="94"/>
    </row>
    <row r="57" spans="2:18" ht="12.75">
      <c r="B57" s="93"/>
      <c r="C57" s="96"/>
      <c r="D57" s="118"/>
      <c r="E57" s="96"/>
      <c r="F57" s="96"/>
      <c r="G57" s="96"/>
      <c r="H57" s="119"/>
      <c r="I57" s="96"/>
      <c r="J57" s="118"/>
      <c r="K57" s="96"/>
      <c r="L57" s="96"/>
      <c r="M57" s="96"/>
      <c r="N57" s="96"/>
      <c r="O57" s="96"/>
      <c r="P57" s="119"/>
      <c r="Q57" s="96"/>
      <c r="R57" s="94"/>
    </row>
    <row r="58" spans="2:18" s="98" customFormat="1" ht="15">
      <c r="B58" s="99"/>
      <c r="C58" s="100"/>
      <c r="D58" s="120" t="s">
        <v>578</v>
      </c>
      <c r="E58" s="121"/>
      <c r="F58" s="121"/>
      <c r="G58" s="122" t="s">
        <v>579</v>
      </c>
      <c r="H58" s="123"/>
      <c r="I58" s="100"/>
      <c r="J58" s="120" t="s">
        <v>578</v>
      </c>
      <c r="K58" s="121"/>
      <c r="L58" s="121"/>
      <c r="M58" s="121"/>
      <c r="N58" s="122" t="s">
        <v>579</v>
      </c>
      <c r="O58" s="121"/>
      <c r="P58" s="123"/>
      <c r="Q58" s="100"/>
      <c r="R58" s="102"/>
    </row>
    <row r="59" spans="2:18" ht="12.75">
      <c r="B59" s="93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4"/>
    </row>
    <row r="60" spans="2:18" s="98" customFormat="1" ht="15">
      <c r="B60" s="99"/>
      <c r="C60" s="100"/>
      <c r="D60" s="116" t="s">
        <v>580</v>
      </c>
      <c r="E60" s="104"/>
      <c r="F60" s="104"/>
      <c r="G60" s="104"/>
      <c r="H60" s="117"/>
      <c r="I60" s="100"/>
      <c r="J60" s="116" t="s">
        <v>581</v>
      </c>
      <c r="K60" s="104"/>
      <c r="L60" s="104"/>
      <c r="M60" s="104"/>
      <c r="N60" s="104"/>
      <c r="O60" s="104"/>
      <c r="P60" s="117"/>
      <c r="Q60" s="100"/>
      <c r="R60" s="102"/>
    </row>
    <row r="61" spans="2:18" ht="12.75">
      <c r="B61" s="93"/>
      <c r="C61" s="96"/>
      <c r="D61" s="118"/>
      <c r="E61" s="96"/>
      <c r="F61" s="96"/>
      <c r="G61" s="96"/>
      <c r="H61" s="119"/>
      <c r="I61" s="96"/>
      <c r="J61" s="118"/>
      <c r="K61" s="96"/>
      <c r="L61" s="96"/>
      <c r="M61" s="96"/>
      <c r="N61" s="96"/>
      <c r="O61" s="96"/>
      <c r="P61" s="119"/>
      <c r="Q61" s="96"/>
      <c r="R61" s="94"/>
    </row>
    <row r="62" spans="2:18" ht="12.75">
      <c r="B62" s="93"/>
      <c r="C62" s="96"/>
      <c r="D62" s="118"/>
      <c r="E62" s="96"/>
      <c r="F62" s="96"/>
      <c r="G62" s="96"/>
      <c r="H62" s="119"/>
      <c r="I62" s="96"/>
      <c r="J62" s="118"/>
      <c r="K62" s="96"/>
      <c r="L62" s="96"/>
      <c r="M62" s="96"/>
      <c r="N62" s="96"/>
      <c r="O62" s="96"/>
      <c r="P62" s="119"/>
      <c r="Q62" s="96"/>
      <c r="R62" s="94"/>
    </row>
    <row r="63" spans="2:18" ht="12.75">
      <c r="B63" s="93"/>
      <c r="C63" s="96"/>
      <c r="D63" s="118"/>
      <c r="E63" s="96"/>
      <c r="F63" s="96"/>
      <c r="G63" s="96"/>
      <c r="H63" s="119"/>
      <c r="I63" s="96"/>
      <c r="J63" s="118"/>
      <c r="K63" s="96"/>
      <c r="L63" s="96"/>
      <c r="M63" s="96"/>
      <c r="N63" s="96"/>
      <c r="O63" s="96"/>
      <c r="P63" s="119"/>
      <c r="Q63" s="96"/>
      <c r="R63" s="94"/>
    </row>
    <row r="64" spans="2:18" ht="12.75">
      <c r="B64" s="93"/>
      <c r="C64" s="96"/>
      <c r="D64" s="118"/>
      <c r="E64" s="96"/>
      <c r="F64" s="96"/>
      <c r="G64" s="96"/>
      <c r="H64" s="119"/>
      <c r="I64" s="96"/>
      <c r="J64" s="118"/>
      <c r="K64" s="96"/>
      <c r="L64" s="96"/>
      <c r="M64" s="96"/>
      <c r="N64" s="96"/>
      <c r="O64" s="96"/>
      <c r="P64" s="119"/>
      <c r="Q64" s="96"/>
      <c r="R64" s="94"/>
    </row>
    <row r="65" spans="2:18" ht="12.75">
      <c r="B65" s="93"/>
      <c r="C65" s="96"/>
      <c r="D65" s="118"/>
      <c r="E65" s="96"/>
      <c r="F65" s="96"/>
      <c r="G65" s="96"/>
      <c r="H65" s="119"/>
      <c r="I65" s="96"/>
      <c r="J65" s="118"/>
      <c r="K65" s="96"/>
      <c r="L65" s="96"/>
      <c r="M65" s="96"/>
      <c r="N65" s="96"/>
      <c r="O65" s="96"/>
      <c r="P65" s="119"/>
      <c r="Q65" s="96"/>
      <c r="R65" s="94"/>
    </row>
    <row r="66" spans="2:18" ht="12.75">
      <c r="B66" s="93"/>
      <c r="C66" s="96"/>
      <c r="D66" s="118"/>
      <c r="E66" s="96"/>
      <c r="F66" s="96"/>
      <c r="G66" s="96"/>
      <c r="H66" s="119"/>
      <c r="I66" s="96"/>
      <c r="J66" s="118"/>
      <c r="K66" s="96"/>
      <c r="L66" s="96"/>
      <c r="M66" s="96"/>
      <c r="N66" s="96"/>
      <c r="O66" s="96"/>
      <c r="P66" s="119"/>
      <c r="Q66" s="96"/>
      <c r="R66" s="94"/>
    </row>
    <row r="67" spans="2:18" ht="12.75">
      <c r="B67" s="93"/>
      <c r="C67" s="96"/>
      <c r="D67" s="118"/>
      <c r="E67" s="96"/>
      <c r="F67" s="96"/>
      <c r="G67" s="96"/>
      <c r="H67" s="119"/>
      <c r="I67" s="96"/>
      <c r="J67" s="118"/>
      <c r="K67" s="96"/>
      <c r="L67" s="96"/>
      <c r="M67" s="96"/>
      <c r="N67" s="96"/>
      <c r="O67" s="96"/>
      <c r="P67" s="119"/>
      <c r="Q67" s="96"/>
      <c r="R67" s="94"/>
    </row>
    <row r="68" spans="2:18" ht="12.75">
      <c r="B68" s="93"/>
      <c r="C68" s="96"/>
      <c r="D68" s="118"/>
      <c r="E68" s="96"/>
      <c r="F68" s="96"/>
      <c r="G68" s="96"/>
      <c r="H68" s="119"/>
      <c r="I68" s="96"/>
      <c r="J68" s="118"/>
      <c r="K68" s="96"/>
      <c r="L68" s="96"/>
      <c r="M68" s="96"/>
      <c r="N68" s="96"/>
      <c r="O68" s="96"/>
      <c r="P68" s="119"/>
      <c r="Q68" s="96"/>
      <c r="R68" s="94"/>
    </row>
    <row r="69" spans="2:18" s="98" customFormat="1" ht="15">
      <c r="B69" s="99"/>
      <c r="C69" s="100"/>
      <c r="D69" s="120" t="s">
        <v>578</v>
      </c>
      <c r="E69" s="121"/>
      <c r="F69" s="121"/>
      <c r="G69" s="122" t="s">
        <v>579</v>
      </c>
      <c r="H69" s="123"/>
      <c r="I69" s="100"/>
      <c r="J69" s="120" t="s">
        <v>578</v>
      </c>
      <c r="K69" s="121"/>
      <c r="L69" s="121"/>
      <c r="M69" s="121"/>
      <c r="N69" s="122" t="s">
        <v>579</v>
      </c>
      <c r="O69" s="121"/>
      <c r="P69" s="123"/>
      <c r="Q69" s="100"/>
      <c r="R69" s="102"/>
    </row>
    <row r="70" spans="2:18" s="98" customFormat="1" ht="14.25" customHeight="1"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6"/>
    </row>
    <row r="74" spans="2:18" s="98" customFormat="1" ht="6.75" customHeight="1">
      <c r="B74" s="127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9"/>
    </row>
    <row r="75" spans="2:21" s="98" customFormat="1" ht="36.75" customHeight="1">
      <c r="B75" s="99"/>
      <c r="C75" s="787" t="s">
        <v>582</v>
      </c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09"/>
      <c r="P75" s="809"/>
      <c r="Q75" s="809"/>
      <c r="R75" s="102"/>
      <c r="T75" s="130"/>
      <c r="U75" s="130"/>
    </row>
    <row r="76" spans="2:21" s="98" customFormat="1" ht="6.75" customHeight="1">
      <c r="B76" s="99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2"/>
      <c r="T76" s="130"/>
      <c r="U76" s="130"/>
    </row>
    <row r="77" spans="2:21" s="98" customFormat="1" ht="30" customHeight="1">
      <c r="B77" s="99"/>
      <c r="C77" s="97" t="s">
        <v>31</v>
      </c>
      <c r="D77" s="100"/>
      <c r="E77" s="100"/>
      <c r="F77" s="789" t="str">
        <f>F6</f>
        <v>Raudnitzův dům - Bydlení pro seniory</v>
      </c>
      <c r="G77" s="790"/>
      <c r="H77" s="790"/>
      <c r="I77" s="790"/>
      <c r="J77" s="790"/>
      <c r="K77" s="790"/>
      <c r="L77" s="790"/>
      <c r="M77" s="790"/>
      <c r="N77" s="790"/>
      <c r="O77" s="790"/>
      <c r="P77" s="790"/>
      <c r="Q77" s="100"/>
      <c r="R77" s="102"/>
      <c r="T77" s="130"/>
      <c r="U77" s="130"/>
    </row>
    <row r="78" spans="2:21" s="98" customFormat="1" ht="36.75" customHeight="1">
      <c r="B78" s="99"/>
      <c r="C78" s="131" t="s">
        <v>549</v>
      </c>
      <c r="D78" s="100"/>
      <c r="E78" s="100"/>
      <c r="F78" s="791" t="str">
        <f>F7</f>
        <v>D.1.4.2 - Vzduchotechnika</v>
      </c>
      <c r="G78" s="788"/>
      <c r="H78" s="788"/>
      <c r="I78" s="788"/>
      <c r="J78" s="788"/>
      <c r="K78" s="788"/>
      <c r="L78" s="788"/>
      <c r="M78" s="788"/>
      <c r="N78" s="788"/>
      <c r="O78" s="788"/>
      <c r="P78" s="788"/>
      <c r="Q78" s="100"/>
      <c r="R78" s="102"/>
      <c r="T78" s="130"/>
      <c r="U78" s="130"/>
    </row>
    <row r="79" spans="2:21" s="98" customFormat="1" ht="6.75" customHeight="1">
      <c r="B79" s="99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2"/>
      <c r="T79" s="130"/>
      <c r="U79" s="130"/>
    </row>
    <row r="80" spans="2:21" s="98" customFormat="1" ht="18" customHeight="1">
      <c r="B80" s="99"/>
      <c r="C80" s="97" t="s">
        <v>554</v>
      </c>
      <c r="D80" s="100"/>
      <c r="E80" s="100"/>
      <c r="F80" s="103" t="str">
        <f>F9</f>
        <v>Hlubočepská 2/33, 15000 Praha 5 - Hlubočepy</v>
      </c>
      <c r="G80" s="100"/>
      <c r="H80" s="100"/>
      <c r="I80" s="100"/>
      <c r="J80" s="100"/>
      <c r="K80" s="97" t="s">
        <v>556</v>
      </c>
      <c r="L80" s="100"/>
      <c r="M80" s="792">
        <f>IF(O9="","",O9)</f>
      </c>
      <c r="N80" s="792"/>
      <c r="O80" s="792"/>
      <c r="P80" s="792"/>
      <c r="Q80" s="100"/>
      <c r="R80" s="102"/>
      <c r="T80" s="130"/>
      <c r="U80" s="130"/>
    </row>
    <row r="81" spans="2:21" s="98" customFormat="1" ht="6.75" customHeight="1">
      <c r="B81" s="99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2"/>
      <c r="T81" s="130"/>
      <c r="U81" s="130"/>
    </row>
    <row r="82" spans="2:21" s="98" customFormat="1" ht="15">
      <c r="B82" s="99"/>
      <c r="C82" s="97" t="s">
        <v>557</v>
      </c>
      <c r="D82" s="100"/>
      <c r="E82" s="100"/>
      <c r="F82" s="103" t="str">
        <f>E12</f>
        <v>Městská část Praha 5, náměstí 14.října 1381/4, Smíchov, 15000 Praha 5</v>
      </c>
      <c r="G82" s="100"/>
      <c r="H82" s="100"/>
      <c r="I82" s="100"/>
      <c r="J82" s="100"/>
      <c r="K82" s="97" t="s">
        <v>562</v>
      </c>
      <c r="L82" s="100"/>
      <c r="M82" s="793"/>
      <c r="N82" s="793"/>
      <c r="O82" s="793"/>
      <c r="P82" s="793"/>
      <c r="Q82" s="793"/>
      <c r="R82" s="102"/>
      <c r="T82" s="130"/>
      <c r="U82" s="130"/>
    </row>
    <row r="83" spans="2:21" s="98" customFormat="1" ht="14.25" customHeight="1">
      <c r="B83" s="99"/>
      <c r="C83" s="97" t="s">
        <v>561</v>
      </c>
      <c r="D83" s="100"/>
      <c r="E83" s="100"/>
      <c r="F83" s="103"/>
      <c r="G83" s="100"/>
      <c r="H83" s="100"/>
      <c r="I83" s="100"/>
      <c r="J83" s="100"/>
      <c r="K83" s="97" t="s">
        <v>563</v>
      </c>
      <c r="L83" s="100"/>
      <c r="M83" s="793">
        <f>E21</f>
        <v>0</v>
      </c>
      <c r="N83" s="793"/>
      <c r="O83" s="793"/>
      <c r="P83" s="793"/>
      <c r="Q83" s="793"/>
      <c r="R83" s="102"/>
      <c r="T83" s="130"/>
      <c r="U83" s="130"/>
    </row>
    <row r="84" spans="2:21" s="98" customFormat="1" ht="9.75" customHeight="1"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2"/>
      <c r="T84" s="130"/>
      <c r="U84" s="130"/>
    </row>
    <row r="85" spans="2:21" s="98" customFormat="1" ht="29.25" customHeight="1">
      <c r="B85" s="99"/>
      <c r="C85" s="804" t="s">
        <v>583</v>
      </c>
      <c r="D85" s="805"/>
      <c r="E85" s="805"/>
      <c r="F85" s="805"/>
      <c r="G85" s="805"/>
      <c r="H85" s="111"/>
      <c r="I85" s="111"/>
      <c r="J85" s="111"/>
      <c r="K85" s="111"/>
      <c r="L85" s="111"/>
      <c r="M85" s="111"/>
      <c r="N85" s="804" t="s">
        <v>584</v>
      </c>
      <c r="O85" s="805"/>
      <c r="P85" s="805"/>
      <c r="Q85" s="805"/>
      <c r="R85" s="102"/>
      <c r="T85" s="130"/>
      <c r="U85" s="130"/>
    </row>
    <row r="86" spans="2:21" s="98" customFormat="1" ht="9.75" customHeight="1"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2"/>
      <c r="T86" s="130"/>
      <c r="U86" s="130"/>
    </row>
    <row r="87" spans="2:47" s="98" customFormat="1" ht="29.25" customHeight="1">
      <c r="B87" s="99"/>
      <c r="C87" s="132" t="s">
        <v>585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806">
        <f>N110</f>
        <v>0</v>
      </c>
      <c r="O87" s="799"/>
      <c r="P87" s="799"/>
      <c r="Q87" s="799"/>
      <c r="R87" s="102"/>
      <c r="T87" s="130"/>
      <c r="U87" s="130"/>
      <c r="AU87" s="89" t="s">
        <v>586</v>
      </c>
    </row>
    <row r="88" spans="2:21" s="133" customFormat="1" ht="24.75" customHeight="1">
      <c r="B88" s="134"/>
      <c r="C88" s="135"/>
      <c r="D88" s="175" t="s">
        <v>683</v>
      </c>
      <c r="E88" s="135"/>
      <c r="F88" s="135"/>
      <c r="G88" s="135"/>
      <c r="H88" s="135"/>
      <c r="I88" s="135"/>
      <c r="J88" s="135"/>
      <c r="K88" s="135"/>
      <c r="L88" s="135"/>
      <c r="M88" s="135"/>
      <c r="N88" s="786">
        <f>N111</f>
        <v>0</v>
      </c>
      <c r="O88" s="801"/>
      <c r="P88" s="801"/>
      <c r="Q88" s="801"/>
      <c r="R88" s="137"/>
      <c r="T88" s="138"/>
      <c r="U88" s="138"/>
    </row>
    <row r="89" spans="2:21" s="133" customFormat="1" ht="24.75" customHeight="1">
      <c r="B89" s="134"/>
      <c r="C89" s="135"/>
      <c r="D89" s="175" t="s">
        <v>684</v>
      </c>
      <c r="E89" s="135"/>
      <c r="F89" s="135"/>
      <c r="G89" s="135"/>
      <c r="H89" s="135"/>
      <c r="I89" s="135"/>
      <c r="J89" s="135"/>
      <c r="K89" s="135"/>
      <c r="L89" s="135"/>
      <c r="M89" s="135"/>
      <c r="N89" s="786">
        <f>N120</f>
        <v>0</v>
      </c>
      <c r="O89" s="801"/>
      <c r="P89" s="801"/>
      <c r="Q89" s="801"/>
      <c r="R89" s="137"/>
      <c r="T89" s="138"/>
      <c r="U89" s="138"/>
    </row>
    <row r="90" spans="2:21" s="133" customFormat="1" ht="24.75" customHeight="1">
      <c r="B90" s="134"/>
      <c r="C90" s="135"/>
      <c r="D90" s="175" t="s">
        <v>685</v>
      </c>
      <c r="E90" s="135"/>
      <c r="F90" s="135"/>
      <c r="G90" s="135"/>
      <c r="H90" s="135"/>
      <c r="I90" s="135"/>
      <c r="J90" s="135"/>
      <c r="K90" s="135"/>
      <c r="L90" s="135"/>
      <c r="M90" s="135"/>
      <c r="N90" s="786">
        <f>N126</f>
        <v>0</v>
      </c>
      <c r="O90" s="801"/>
      <c r="P90" s="801"/>
      <c r="Q90" s="801"/>
      <c r="R90" s="137"/>
      <c r="T90" s="138"/>
      <c r="U90" s="138"/>
    </row>
    <row r="91" spans="2:21" s="133" customFormat="1" ht="21.75" customHeight="1">
      <c r="B91" s="134"/>
      <c r="C91" s="135"/>
      <c r="D91" s="175" t="s">
        <v>594</v>
      </c>
      <c r="E91" s="135"/>
      <c r="F91" s="135"/>
      <c r="G91" s="135"/>
      <c r="H91" s="135"/>
      <c r="I91" s="135"/>
      <c r="J91" s="135"/>
      <c r="K91" s="135"/>
      <c r="L91" s="135"/>
      <c r="M91" s="135"/>
      <c r="N91" s="785">
        <f>N129</f>
        <v>0</v>
      </c>
      <c r="O91" s="801"/>
      <c r="P91" s="801"/>
      <c r="Q91" s="801"/>
      <c r="R91" s="137"/>
      <c r="T91" s="138"/>
      <c r="U91" s="138"/>
    </row>
    <row r="92" spans="2:21" s="98" customFormat="1" ht="21.75" customHeight="1"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2"/>
      <c r="T92" s="130"/>
      <c r="U92" s="130"/>
    </row>
    <row r="93" spans="2:21" s="98" customFormat="1" ht="12.75"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2"/>
      <c r="T93" s="130"/>
      <c r="U93" s="130"/>
    </row>
    <row r="94" spans="2:21" s="98" customFormat="1" ht="6.75" customHeight="1">
      <c r="B94" s="124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6"/>
      <c r="T94" s="130"/>
      <c r="U94" s="130"/>
    </row>
    <row r="98" spans="2:18" s="98" customFormat="1" ht="6.75" customHeight="1">
      <c r="B98" s="156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8"/>
    </row>
    <row r="99" spans="2:18" s="98" customFormat="1" ht="36.75" customHeight="1">
      <c r="B99" s="99"/>
      <c r="C99" s="787" t="s">
        <v>602</v>
      </c>
      <c r="D99" s="788"/>
      <c r="E99" s="788"/>
      <c r="F99" s="788"/>
      <c r="G99" s="788"/>
      <c r="H99" s="788"/>
      <c r="I99" s="788"/>
      <c r="J99" s="788"/>
      <c r="K99" s="788"/>
      <c r="L99" s="788"/>
      <c r="M99" s="788"/>
      <c r="N99" s="788"/>
      <c r="O99" s="788"/>
      <c r="P99" s="788"/>
      <c r="Q99" s="788"/>
      <c r="R99" s="102"/>
    </row>
    <row r="100" spans="2:18" s="98" customFormat="1" ht="6.75" customHeight="1"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2"/>
    </row>
    <row r="101" spans="2:18" s="98" customFormat="1" ht="30" customHeight="1">
      <c r="B101" s="99"/>
      <c r="C101" s="97" t="s">
        <v>31</v>
      </c>
      <c r="D101" s="100"/>
      <c r="E101" s="100"/>
      <c r="F101" s="789" t="str">
        <f>F6</f>
        <v>Raudnitzův dům - Bydlení pro seniory</v>
      </c>
      <c r="G101" s="790"/>
      <c r="H101" s="790"/>
      <c r="I101" s="790"/>
      <c r="J101" s="790"/>
      <c r="K101" s="790"/>
      <c r="L101" s="790"/>
      <c r="M101" s="790"/>
      <c r="N101" s="790"/>
      <c r="O101" s="790"/>
      <c r="P101" s="790"/>
      <c r="Q101" s="100"/>
      <c r="R101" s="102"/>
    </row>
    <row r="102" spans="2:18" s="98" customFormat="1" ht="36.75" customHeight="1">
      <c r="B102" s="99"/>
      <c r="C102" s="131" t="s">
        <v>549</v>
      </c>
      <c r="D102" s="100"/>
      <c r="E102" s="100"/>
      <c r="F102" s="791" t="str">
        <f>F7</f>
        <v>D.1.4.2 - Vzduchotechnika</v>
      </c>
      <c r="G102" s="788"/>
      <c r="H102" s="788"/>
      <c r="I102" s="788"/>
      <c r="J102" s="788"/>
      <c r="K102" s="788"/>
      <c r="L102" s="788"/>
      <c r="M102" s="788"/>
      <c r="N102" s="788"/>
      <c r="O102" s="788"/>
      <c r="P102" s="788"/>
      <c r="Q102" s="100"/>
      <c r="R102" s="102"/>
    </row>
    <row r="103" spans="2:18" s="98" customFormat="1" ht="6.75" customHeight="1">
      <c r="B103" s="99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2"/>
    </row>
    <row r="104" spans="2:18" s="98" customFormat="1" ht="18" customHeight="1">
      <c r="B104" s="99"/>
      <c r="C104" s="97" t="s">
        <v>554</v>
      </c>
      <c r="D104" s="100"/>
      <c r="E104" s="100"/>
      <c r="F104" s="103" t="str">
        <f>F9</f>
        <v>Hlubočepská 2/33, 15000 Praha 5 - Hlubočepy</v>
      </c>
      <c r="G104" s="100"/>
      <c r="H104" s="100"/>
      <c r="I104" s="100"/>
      <c r="J104" s="100"/>
      <c r="K104" s="97" t="s">
        <v>556</v>
      </c>
      <c r="L104" s="100"/>
      <c r="M104" s="792">
        <f>IF(O9="","",O9)</f>
      </c>
      <c r="N104" s="792"/>
      <c r="O104" s="792"/>
      <c r="P104" s="792"/>
      <c r="Q104" s="100"/>
      <c r="R104" s="102"/>
    </row>
    <row r="105" spans="2:18" s="98" customFormat="1" ht="6.75" customHeight="1">
      <c r="B105" s="99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2"/>
    </row>
    <row r="106" spans="2:18" s="98" customFormat="1" ht="15">
      <c r="B106" s="99"/>
      <c r="C106" s="97" t="s">
        <v>557</v>
      </c>
      <c r="D106" s="100"/>
      <c r="E106" s="100"/>
      <c r="F106" s="103" t="str">
        <f>E12</f>
        <v>Městská část Praha 5, náměstí 14.října 1381/4, Smíchov, 15000 Praha 5</v>
      </c>
      <c r="G106" s="100"/>
      <c r="H106" s="100"/>
      <c r="I106" s="100"/>
      <c r="J106" s="100"/>
      <c r="K106" s="97" t="s">
        <v>562</v>
      </c>
      <c r="L106" s="100"/>
      <c r="M106" s="793"/>
      <c r="N106" s="793"/>
      <c r="O106" s="793"/>
      <c r="P106" s="793"/>
      <c r="Q106" s="793"/>
      <c r="R106" s="102"/>
    </row>
    <row r="107" spans="2:18" s="98" customFormat="1" ht="14.25" customHeight="1">
      <c r="B107" s="99"/>
      <c r="C107" s="97" t="s">
        <v>561</v>
      </c>
      <c r="D107" s="100"/>
      <c r="E107" s="100"/>
      <c r="F107" s="103"/>
      <c r="G107" s="100"/>
      <c r="H107" s="100"/>
      <c r="I107" s="100"/>
      <c r="J107" s="100"/>
      <c r="K107" s="97" t="s">
        <v>563</v>
      </c>
      <c r="L107" s="100"/>
      <c r="M107" s="793">
        <f>E21</f>
        <v>0</v>
      </c>
      <c r="N107" s="793"/>
      <c r="O107" s="793"/>
      <c r="P107" s="793"/>
      <c r="Q107" s="793"/>
      <c r="R107" s="102"/>
    </row>
    <row r="108" spans="2:18" s="98" customFormat="1" ht="9.75" customHeight="1"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2"/>
    </row>
    <row r="109" spans="2:27" s="159" customFormat="1" ht="29.25" customHeight="1">
      <c r="B109" s="160"/>
      <c r="C109" s="161" t="s">
        <v>603</v>
      </c>
      <c r="D109" s="162" t="s">
        <v>604</v>
      </c>
      <c r="E109" s="162" t="s">
        <v>605</v>
      </c>
      <c r="F109" s="780" t="s">
        <v>32</v>
      </c>
      <c r="G109" s="780"/>
      <c r="H109" s="780"/>
      <c r="I109" s="780"/>
      <c r="J109" s="162" t="s">
        <v>34</v>
      </c>
      <c r="K109" s="162" t="s">
        <v>606</v>
      </c>
      <c r="L109" s="781" t="s">
        <v>607</v>
      </c>
      <c r="M109" s="781"/>
      <c r="N109" s="780" t="s">
        <v>584</v>
      </c>
      <c r="O109" s="780"/>
      <c r="P109" s="780"/>
      <c r="Q109" s="782"/>
      <c r="R109" s="163"/>
      <c r="T109" s="164" t="s">
        <v>608</v>
      </c>
      <c r="U109" s="165" t="s">
        <v>89</v>
      </c>
      <c r="V109" s="165" t="s">
        <v>609</v>
      </c>
      <c r="W109" s="165" t="s">
        <v>610</v>
      </c>
      <c r="X109" s="165" t="s">
        <v>611</v>
      </c>
      <c r="Y109" s="165" t="s">
        <v>612</v>
      </c>
      <c r="Z109" s="165" t="s">
        <v>613</v>
      </c>
      <c r="AA109" s="166" t="s">
        <v>614</v>
      </c>
    </row>
    <row r="110" spans="2:63" s="98" customFormat="1" ht="29.25" customHeight="1">
      <c r="B110" s="99"/>
      <c r="C110" s="167" t="s">
        <v>564</v>
      </c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783">
        <f>SUM(N111+N120+N126+N129)</f>
        <v>0</v>
      </c>
      <c r="O110" s="784"/>
      <c r="P110" s="784"/>
      <c r="Q110" s="784"/>
      <c r="R110" s="102"/>
      <c r="T110" s="168"/>
      <c r="U110" s="104"/>
      <c r="V110" s="104"/>
      <c r="W110" s="169" t="e">
        <f>W111+W120+#REF!+W126+#REF!+#REF!+#REF!+#REF!+W129</f>
        <v>#REF!</v>
      </c>
      <c r="X110" s="104"/>
      <c r="Y110" s="169" t="e">
        <f>Y111+Y120+#REF!+Y126+#REF!+#REF!+#REF!+#REF!+Y129</f>
        <v>#REF!</v>
      </c>
      <c r="Z110" s="104"/>
      <c r="AA110" s="170" t="e">
        <f>AA111+AA120+#REF!+AA126+#REF!+#REF!+#REF!+#REF!+AA129</f>
        <v>#REF!</v>
      </c>
      <c r="AT110" s="89" t="s">
        <v>615</v>
      </c>
      <c r="AU110" s="89" t="s">
        <v>586</v>
      </c>
      <c r="BK110" s="171" t="e">
        <f>BK111+BK120+#REF!+BK126+#REF!+#REF!+#REF!+#REF!+BK129</f>
        <v>#REF!</v>
      </c>
    </row>
    <row r="111" spans="2:63" s="172" customFormat="1" ht="36.75" customHeight="1">
      <c r="B111" s="173"/>
      <c r="C111" s="174"/>
      <c r="D111" s="175" t="s">
        <v>683</v>
      </c>
      <c r="E111" s="175"/>
      <c r="F111" s="175"/>
      <c r="G111" s="175"/>
      <c r="H111" s="175"/>
      <c r="I111" s="175"/>
      <c r="J111" s="175"/>
      <c r="K111" s="175"/>
      <c r="L111" s="175"/>
      <c r="M111" s="175"/>
      <c r="N111" s="832">
        <f>SUM(N112:Q119)</f>
        <v>0</v>
      </c>
      <c r="O111" s="833"/>
      <c r="P111" s="833"/>
      <c r="Q111" s="833"/>
      <c r="R111" s="176"/>
      <c r="T111" s="177"/>
      <c r="U111" s="174"/>
      <c r="V111" s="174"/>
      <c r="W111" s="178" t="e">
        <f>W112+SUM(W113:W119)+#REF!</f>
        <v>#REF!</v>
      </c>
      <c r="X111" s="174"/>
      <c r="Y111" s="178" t="e">
        <f>Y112+SUM(Y113:Y119)+#REF!</f>
        <v>#REF!</v>
      </c>
      <c r="Z111" s="174"/>
      <c r="AA111" s="179" t="e">
        <f>AA112+SUM(AA113:AA119)+#REF!</f>
        <v>#REF!</v>
      </c>
      <c r="AR111" s="180" t="s">
        <v>544</v>
      </c>
      <c r="AT111" s="181" t="s">
        <v>615</v>
      </c>
      <c r="AU111" s="181" t="s">
        <v>616</v>
      </c>
      <c r="AY111" s="180" t="s">
        <v>617</v>
      </c>
      <c r="BK111" s="182" t="e">
        <f>BK112+SUM(BK113:BK119)+#REF!</f>
        <v>#REF!</v>
      </c>
    </row>
    <row r="112" spans="2:65" s="98" customFormat="1" ht="87" customHeight="1">
      <c r="B112" s="99"/>
      <c r="C112" s="184" t="s">
        <v>616</v>
      </c>
      <c r="D112" s="184" t="s">
        <v>618</v>
      </c>
      <c r="E112" s="185" t="s">
        <v>125</v>
      </c>
      <c r="F112" s="773" t="s">
        <v>686</v>
      </c>
      <c r="G112" s="773"/>
      <c r="H112" s="773"/>
      <c r="I112" s="773"/>
      <c r="J112" s="186" t="s">
        <v>65</v>
      </c>
      <c r="K112" s="187">
        <v>1</v>
      </c>
      <c r="L112" s="774"/>
      <c r="M112" s="775"/>
      <c r="N112" s="772">
        <f aca="true" t="shared" si="0" ref="N112:N119">ROUND(L112*K112,0)</f>
        <v>0</v>
      </c>
      <c r="O112" s="772"/>
      <c r="P112" s="772"/>
      <c r="Q112" s="772"/>
      <c r="R112" s="102"/>
      <c r="T112" s="188" t="s">
        <v>552</v>
      </c>
      <c r="U112" s="189" t="s">
        <v>571</v>
      </c>
      <c r="V112" s="100"/>
      <c r="W112" s="190">
        <f aca="true" t="shared" si="1" ref="W112:W119">V112*K112</f>
        <v>0</v>
      </c>
      <c r="X112" s="190">
        <v>0</v>
      </c>
      <c r="Y112" s="190">
        <f aca="true" t="shared" si="2" ref="Y112:Y119">X112*K112</f>
        <v>0</v>
      </c>
      <c r="Z112" s="190">
        <v>0</v>
      </c>
      <c r="AA112" s="191">
        <f aca="true" t="shared" si="3" ref="AA112:AA119">Z112*K112</f>
        <v>0</v>
      </c>
      <c r="AR112" s="89" t="s">
        <v>619</v>
      </c>
      <c r="AT112" s="89" t="s">
        <v>618</v>
      </c>
      <c r="AU112" s="89" t="s">
        <v>544</v>
      </c>
      <c r="AY112" s="89" t="s">
        <v>617</v>
      </c>
      <c r="BE112" s="192">
        <f aca="true" t="shared" si="4" ref="BE112:BE119">IF(U112="základní",N112,0)</f>
        <v>0</v>
      </c>
      <c r="BF112" s="192">
        <f aca="true" t="shared" si="5" ref="BF112:BF119">IF(U112="snížená",N112,0)</f>
        <v>0</v>
      </c>
      <c r="BG112" s="192">
        <f aca="true" t="shared" si="6" ref="BG112:BG119">IF(U112="zákl. přenesená",N112,0)</f>
        <v>0</v>
      </c>
      <c r="BH112" s="192">
        <f aca="true" t="shared" si="7" ref="BH112:BH119">IF(U112="sníž. přenesená",N112,0)</f>
        <v>0</v>
      </c>
      <c r="BI112" s="192">
        <f aca="true" t="shared" si="8" ref="BI112:BI119">IF(U112="nulová",N112,0)</f>
        <v>0</v>
      </c>
      <c r="BJ112" s="89" t="s">
        <v>595</v>
      </c>
      <c r="BK112" s="192">
        <f aca="true" t="shared" si="9" ref="BK112:BK119">ROUND(L112*K112,0)</f>
        <v>0</v>
      </c>
      <c r="BL112" s="89" t="s">
        <v>619</v>
      </c>
      <c r="BM112" s="89" t="s">
        <v>620</v>
      </c>
    </row>
    <row r="113" spans="2:65" s="98" customFormat="1" ht="44.25" customHeight="1">
      <c r="B113" s="99"/>
      <c r="C113" s="184" t="s">
        <v>616</v>
      </c>
      <c r="D113" s="184" t="s">
        <v>618</v>
      </c>
      <c r="E113" s="185" t="s">
        <v>126</v>
      </c>
      <c r="F113" s="773" t="s">
        <v>687</v>
      </c>
      <c r="G113" s="773"/>
      <c r="H113" s="773"/>
      <c r="I113" s="773"/>
      <c r="J113" s="186" t="s">
        <v>65</v>
      </c>
      <c r="K113" s="187">
        <v>1</v>
      </c>
      <c r="L113" s="774"/>
      <c r="M113" s="775"/>
      <c r="N113" s="772">
        <f t="shared" si="0"/>
        <v>0</v>
      </c>
      <c r="O113" s="772"/>
      <c r="P113" s="772"/>
      <c r="Q113" s="772"/>
      <c r="R113" s="102"/>
      <c r="T113" s="188" t="s">
        <v>552</v>
      </c>
      <c r="U113" s="189" t="s">
        <v>571</v>
      </c>
      <c r="V113" s="100"/>
      <c r="W113" s="190">
        <f t="shared" si="1"/>
        <v>0</v>
      </c>
      <c r="X113" s="190">
        <v>0</v>
      </c>
      <c r="Y113" s="190">
        <f t="shared" si="2"/>
        <v>0</v>
      </c>
      <c r="Z113" s="190">
        <v>0</v>
      </c>
      <c r="AA113" s="191">
        <f t="shared" si="3"/>
        <v>0</v>
      </c>
      <c r="AR113" s="89" t="s">
        <v>619</v>
      </c>
      <c r="AT113" s="89" t="s">
        <v>618</v>
      </c>
      <c r="AU113" s="89" t="s">
        <v>544</v>
      </c>
      <c r="AY113" s="89" t="s">
        <v>617</v>
      </c>
      <c r="BE113" s="192">
        <f t="shared" si="4"/>
        <v>0</v>
      </c>
      <c r="BF113" s="192">
        <f t="shared" si="5"/>
        <v>0</v>
      </c>
      <c r="BG113" s="192">
        <f t="shared" si="6"/>
        <v>0</v>
      </c>
      <c r="BH113" s="192">
        <f t="shared" si="7"/>
        <v>0</v>
      </c>
      <c r="BI113" s="192">
        <f t="shared" si="8"/>
        <v>0</v>
      </c>
      <c r="BJ113" s="89" t="s">
        <v>595</v>
      </c>
      <c r="BK113" s="192">
        <f t="shared" si="9"/>
        <v>0</v>
      </c>
      <c r="BL113" s="89" t="s">
        <v>619</v>
      </c>
      <c r="BM113" s="89" t="s">
        <v>619</v>
      </c>
    </row>
    <row r="114" spans="2:65" s="98" customFormat="1" ht="31.5" customHeight="1">
      <c r="B114" s="99"/>
      <c r="C114" s="184" t="s">
        <v>616</v>
      </c>
      <c r="D114" s="184" t="s">
        <v>618</v>
      </c>
      <c r="E114" s="185" t="s">
        <v>127</v>
      </c>
      <c r="F114" s="773" t="s">
        <v>688</v>
      </c>
      <c r="G114" s="773"/>
      <c r="H114" s="773"/>
      <c r="I114" s="773"/>
      <c r="J114" s="186" t="s">
        <v>65</v>
      </c>
      <c r="K114" s="187">
        <v>1</v>
      </c>
      <c r="L114" s="774"/>
      <c r="M114" s="775"/>
      <c r="N114" s="772">
        <f t="shared" si="0"/>
        <v>0</v>
      </c>
      <c r="O114" s="772"/>
      <c r="P114" s="772"/>
      <c r="Q114" s="772"/>
      <c r="R114" s="102"/>
      <c r="T114" s="188" t="s">
        <v>552</v>
      </c>
      <c r="U114" s="189" t="s">
        <v>571</v>
      </c>
      <c r="V114" s="100"/>
      <c r="W114" s="190">
        <f t="shared" si="1"/>
        <v>0</v>
      </c>
      <c r="X114" s="190">
        <v>0</v>
      </c>
      <c r="Y114" s="190">
        <f t="shared" si="2"/>
        <v>0</v>
      </c>
      <c r="Z114" s="190">
        <v>0</v>
      </c>
      <c r="AA114" s="191">
        <f t="shared" si="3"/>
        <v>0</v>
      </c>
      <c r="AR114" s="89" t="s">
        <v>619</v>
      </c>
      <c r="AT114" s="89" t="s">
        <v>618</v>
      </c>
      <c r="AU114" s="89" t="s">
        <v>544</v>
      </c>
      <c r="AY114" s="89" t="s">
        <v>617</v>
      </c>
      <c r="BE114" s="192">
        <f t="shared" si="4"/>
        <v>0</v>
      </c>
      <c r="BF114" s="192">
        <f t="shared" si="5"/>
        <v>0</v>
      </c>
      <c r="BG114" s="192">
        <f t="shared" si="6"/>
        <v>0</v>
      </c>
      <c r="BH114" s="192">
        <f t="shared" si="7"/>
        <v>0</v>
      </c>
      <c r="BI114" s="192">
        <f t="shared" si="8"/>
        <v>0</v>
      </c>
      <c r="BJ114" s="89" t="s">
        <v>595</v>
      </c>
      <c r="BK114" s="192">
        <f t="shared" si="9"/>
        <v>0</v>
      </c>
      <c r="BL114" s="89" t="s">
        <v>619</v>
      </c>
      <c r="BM114" s="89" t="s">
        <v>689</v>
      </c>
    </row>
    <row r="115" spans="2:65" s="98" customFormat="1" ht="22.5" customHeight="1">
      <c r="B115" s="99"/>
      <c r="C115" s="184" t="s">
        <v>616</v>
      </c>
      <c r="D115" s="184" t="s">
        <v>618</v>
      </c>
      <c r="E115" s="185" t="s">
        <v>128</v>
      </c>
      <c r="F115" s="773" t="s">
        <v>1402</v>
      </c>
      <c r="G115" s="773"/>
      <c r="H115" s="773"/>
      <c r="I115" s="773"/>
      <c r="J115" s="186" t="s">
        <v>690</v>
      </c>
      <c r="K115" s="187">
        <v>12</v>
      </c>
      <c r="L115" s="774"/>
      <c r="M115" s="775"/>
      <c r="N115" s="772">
        <f t="shared" si="0"/>
        <v>0</v>
      </c>
      <c r="O115" s="772"/>
      <c r="P115" s="772"/>
      <c r="Q115" s="772"/>
      <c r="R115" s="102"/>
      <c r="T115" s="188" t="s">
        <v>552</v>
      </c>
      <c r="U115" s="189" t="s">
        <v>571</v>
      </c>
      <c r="V115" s="100"/>
      <c r="W115" s="190">
        <f t="shared" si="1"/>
        <v>0</v>
      </c>
      <c r="X115" s="190">
        <v>0</v>
      </c>
      <c r="Y115" s="190">
        <f t="shared" si="2"/>
        <v>0</v>
      </c>
      <c r="Z115" s="190">
        <v>0</v>
      </c>
      <c r="AA115" s="191">
        <f t="shared" si="3"/>
        <v>0</v>
      </c>
      <c r="AR115" s="89" t="s">
        <v>619</v>
      </c>
      <c r="AT115" s="89" t="s">
        <v>618</v>
      </c>
      <c r="AU115" s="89" t="s">
        <v>544</v>
      </c>
      <c r="AY115" s="89" t="s">
        <v>617</v>
      </c>
      <c r="BE115" s="192">
        <f t="shared" si="4"/>
        <v>0</v>
      </c>
      <c r="BF115" s="192">
        <f t="shared" si="5"/>
        <v>0</v>
      </c>
      <c r="BG115" s="192">
        <f t="shared" si="6"/>
        <v>0</v>
      </c>
      <c r="BH115" s="192">
        <f t="shared" si="7"/>
        <v>0</v>
      </c>
      <c r="BI115" s="192">
        <f t="shared" si="8"/>
        <v>0</v>
      </c>
      <c r="BJ115" s="89" t="s">
        <v>595</v>
      </c>
      <c r="BK115" s="192">
        <f t="shared" si="9"/>
        <v>0</v>
      </c>
      <c r="BL115" s="89" t="s">
        <v>619</v>
      </c>
      <c r="BM115" s="89" t="s">
        <v>691</v>
      </c>
    </row>
    <row r="116" spans="2:65" s="98" customFormat="1" ht="22.5" customHeight="1">
      <c r="B116" s="99"/>
      <c r="C116" s="184" t="s">
        <v>616</v>
      </c>
      <c r="D116" s="184" t="s">
        <v>618</v>
      </c>
      <c r="E116" s="185" t="s">
        <v>129</v>
      </c>
      <c r="F116" s="773" t="s">
        <v>692</v>
      </c>
      <c r="G116" s="773"/>
      <c r="H116" s="773"/>
      <c r="I116" s="773"/>
      <c r="J116" s="186" t="s">
        <v>65</v>
      </c>
      <c r="K116" s="187">
        <v>3</v>
      </c>
      <c r="L116" s="774"/>
      <c r="M116" s="775"/>
      <c r="N116" s="772">
        <f t="shared" si="0"/>
        <v>0</v>
      </c>
      <c r="O116" s="772"/>
      <c r="P116" s="772"/>
      <c r="Q116" s="772"/>
      <c r="R116" s="102"/>
      <c r="T116" s="188" t="s">
        <v>552</v>
      </c>
      <c r="U116" s="189" t="s">
        <v>571</v>
      </c>
      <c r="V116" s="100"/>
      <c r="W116" s="190">
        <f t="shared" si="1"/>
        <v>0</v>
      </c>
      <c r="X116" s="190">
        <v>0</v>
      </c>
      <c r="Y116" s="190">
        <f t="shared" si="2"/>
        <v>0</v>
      </c>
      <c r="Z116" s="190">
        <v>0</v>
      </c>
      <c r="AA116" s="191">
        <f t="shared" si="3"/>
        <v>0</v>
      </c>
      <c r="AR116" s="89" t="s">
        <v>619</v>
      </c>
      <c r="AT116" s="89" t="s">
        <v>618</v>
      </c>
      <c r="AU116" s="89" t="s">
        <v>544</v>
      </c>
      <c r="AY116" s="89" t="s">
        <v>617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89" t="s">
        <v>595</v>
      </c>
      <c r="BK116" s="192">
        <f t="shared" si="9"/>
        <v>0</v>
      </c>
      <c r="BL116" s="89" t="s">
        <v>619</v>
      </c>
      <c r="BM116" s="89" t="s">
        <v>693</v>
      </c>
    </row>
    <row r="117" spans="2:65" s="98" customFormat="1" ht="22.5" customHeight="1">
      <c r="B117" s="99"/>
      <c r="C117" s="184" t="s">
        <v>616</v>
      </c>
      <c r="D117" s="184" t="s">
        <v>618</v>
      </c>
      <c r="E117" s="185" t="s">
        <v>130</v>
      </c>
      <c r="F117" s="773" t="s">
        <v>694</v>
      </c>
      <c r="G117" s="773"/>
      <c r="H117" s="773"/>
      <c r="I117" s="773"/>
      <c r="J117" s="186" t="s">
        <v>65</v>
      </c>
      <c r="K117" s="187">
        <v>6</v>
      </c>
      <c r="L117" s="774"/>
      <c r="M117" s="775"/>
      <c r="N117" s="772">
        <f t="shared" si="0"/>
        <v>0</v>
      </c>
      <c r="O117" s="772"/>
      <c r="P117" s="772"/>
      <c r="Q117" s="772"/>
      <c r="R117" s="102"/>
      <c r="T117" s="188" t="s">
        <v>552</v>
      </c>
      <c r="U117" s="189" t="s">
        <v>571</v>
      </c>
      <c r="V117" s="100"/>
      <c r="W117" s="190">
        <f t="shared" si="1"/>
        <v>0</v>
      </c>
      <c r="X117" s="190">
        <v>0</v>
      </c>
      <c r="Y117" s="190">
        <f t="shared" si="2"/>
        <v>0</v>
      </c>
      <c r="Z117" s="190">
        <v>0</v>
      </c>
      <c r="AA117" s="191">
        <f t="shared" si="3"/>
        <v>0</v>
      </c>
      <c r="AR117" s="89" t="s">
        <v>619</v>
      </c>
      <c r="AT117" s="89" t="s">
        <v>618</v>
      </c>
      <c r="AU117" s="89" t="s">
        <v>544</v>
      </c>
      <c r="AY117" s="89" t="s">
        <v>617</v>
      </c>
      <c r="BE117" s="192">
        <f t="shared" si="4"/>
        <v>0</v>
      </c>
      <c r="BF117" s="192">
        <f t="shared" si="5"/>
        <v>0</v>
      </c>
      <c r="BG117" s="192">
        <f t="shared" si="6"/>
        <v>0</v>
      </c>
      <c r="BH117" s="192">
        <f t="shared" si="7"/>
        <v>0</v>
      </c>
      <c r="BI117" s="192">
        <f t="shared" si="8"/>
        <v>0</v>
      </c>
      <c r="BJ117" s="89" t="s">
        <v>595</v>
      </c>
      <c r="BK117" s="192">
        <f t="shared" si="9"/>
        <v>0</v>
      </c>
      <c r="BL117" s="89" t="s">
        <v>619</v>
      </c>
      <c r="BM117" s="89" t="s">
        <v>693</v>
      </c>
    </row>
    <row r="118" spans="2:65" s="98" customFormat="1" ht="30.75" customHeight="1">
      <c r="B118" s="99"/>
      <c r="C118" s="184" t="s">
        <v>616</v>
      </c>
      <c r="D118" s="184" t="s">
        <v>618</v>
      </c>
      <c r="E118" s="185" t="s">
        <v>131</v>
      </c>
      <c r="F118" s="773" t="s">
        <v>695</v>
      </c>
      <c r="G118" s="773"/>
      <c r="H118" s="773"/>
      <c r="I118" s="773"/>
      <c r="J118" s="186" t="s">
        <v>657</v>
      </c>
      <c r="K118" s="187">
        <v>20</v>
      </c>
      <c r="L118" s="774"/>
      <c r="M118" s="775"/>
      <c r="N118" s="772">
        <f t="shared" si="0"/>
        <v>0</v>
      </c>
      <c r="O118" s="772"/>
      <c r="P118" s="772"/>
      <c r="Q118" s="772"/>
      <c r="R118" s="102"/>
      <c r="T118" s="188" t="s">
        <v>552</v>
      </c>
      <c r="U118" s="189" t="s">
        <v>571</v>
      </c>
      <c r="V118" s="100"/>
      <c r="W118" s="190">
        <f t="shared" si="1"/>
        <v>0</v>
      </c>
      <c r="X118" s="190">
        <v>0</v>
      </c>
      <c r="Y118" s="190">
        <f t="shared" si="2"/>
        <v>0</v>
      </c>
      <c r="Z118" s="190">
        <v>0</v>
      </c>
      <c r="AA118" s="191">
        <f t="shared" si="3"/>
        <v>0</v>
      </c>
      <c r="AR118" s="89" t="s">
        <v>619</v>
      </c>
      <c r="AT118" s="89" t="s">
        <v>618</v>
      </c>
      <c r="AU118" s="89" t="s">
        <v>544</v>
      </c>
      <c r="AY118" s="89" t="s">
        <v>617</v>
      </c>
      <c r="BE118" s="192">
        <f t="shared" si="4"/>
        <v>0</v>
      </c>
      <c r="BF118" s="192">
        <f t="shared" si="5"/>
        <v>0</v>
      </c>
      <c r="BG118" s="192">
        <f t="shared" si="6"/>
        <v>0</v>
      </c>
      <c r="BH118" s="192">
        <f t="shared" si="7"/>
        <v>0</v>
      </c>
      <c r="BI118" s="192">
        <f t="shared" si="8"/>
        <v>0</v>
      </c>
      <c r="BJ118" s="89" t="s">
        <v>595</v>
      </c>
      <c r="BK118" s="192">
        <f t="shared" si="9"/>
        <v>0</v>
      </c>
      <c r="BL118" s="89" t="s">
        <v>619</v>
      </c>
      <c r="BM118" s="89" t="s">
        <v>693</v>
      </c>
    </row>
    <row r="119" spans="2:65" s="98" customFormat="1" ht="31.5" customHeight="1">
      <c r="B119" s="99"/>
      <c r="C119" s="184" t="s">
        <v>616</v>
      </c>
      <c r="D119" s="184" t="s">
        <v>618</v>
      </c>
      <c r="E119" s="185" t="s">
        <v>132</v>
      </c>
      <c r="F119" s="773" t="s">
        <v>696</v>
      </c>
      <c r="G119" s="773"/>
      <c r="H119" s="773"/>
      <c r="I119" s="773"/>
      <c r="J119" s="186" t="s">
        <v>40</v>
      </c>
      <c r="K119" s="187">
        <v>65</v>
      </c>
      <c r="L119" s="774"/>
      <c r="M119" s="775"/>
      <c r="N119" s="772">
        <f t="shared" si="0"/>
        <v>0</v>
      </c>
      <c r="O119" s="772"/>
      <c r="P119" s="772"/>
      <c r="Q119" s="772"/>
      <c r="R119" s="102"/>
      <c r="T119" s="188" t="s">
        <v>552</v>
      </c>
      <c r="U119" s="189" t="s">
        <v>571</v>
      </c>
      <c r="V119" s="100"/>
      <c r="W119" s="190">
        <f t="shared" si="1"/>
        <v>0</v>
      </c>
      <c r="X119" s="190">
        <v>0</v>
      </c>
      <c r="Y119" s="190">
        <f t="shared" si="2"/>
        <v>0</v>
      </c>
      <c r="Z119" s="190">
        <v>0</v>
      </c>
      <c r="AA119" s="191">
        <f t="shared" si="3"/>
        <v>0</v>
      </c>
      <c r="AR119" s="89" t="s">
        <v>619</v>
      </c>
      <c r="AT119" s="89" t="s">
        <v>618</v>
      </c>
      <c r="AU119" s="89" t="s">
        <v>620</v>
      </c>
      <c r="AY119" s="89" t="s">
        <v>617</v>
      </c>
      <c r="BE119" s="192">
        <f t="shared" si="4"/>
        <v>0</v>
      </c>
      <c r="BF119" s="192">
        <f t="shared" si="5"/>
        <v>0</v>
      </c>
      <c r="BG119" s="192">
        <f t="shared" si="6"/>
        <v>0</v>
      </c>
      <c r="BH119" s="192">
        <f t="shared" si="7"/>
        <v>0</v>
      </c>
      <c r="BI119" s="192">
        <f t="shared" si="8"/>
        <v>0</v>
      </c>
      <c r="BJ119" s="89" t="s">
        <v>595</v>
      </c>
      <c r="BK119" s="192">
        <f t="shared" si="9"/>
        <v>0</v>
      </c>
      <c r="BL119" s="89" t="s">
        <v>619</v>
      </c>
      <c r="BM119" s="89" t="s">
        <v>697</v>
      </c>
    </row>
    <row r="120" spans="2:63" s="172" customFormat="1" ht="36.75" customHeight="1">
      <c r="B120" s="173"/>
      <c r="C120" s="174"/>
      <c r="D120" s="175" t="s">
        <v>684</v>
      </c>
      <c r="E120" s="175"/>
      <c r="F120" s="175"/>
      <c r="G120" s="175"/>
      <c r="H120" s="175"/>
      <c r="I120" s="175"/>
      <c r="J120" s="175"/>
      <c r="K120" s="175"/>
      <c r="L120" s="175"/>
      <c r="M120" s="175"/>
      <c r="N120" s="834">
        <f>SUM(N121:Q125)</f>
        <v>0</v>
      </c>
      <c r="O120" s="835"/>
      <c r="P120" s="835"/>
      <c r="Q120" s="835"/>
      <c r="R120" s="176"/>
      <c r="T120" s="177"/>
      <c r="U120" s="174"/>
      <c r="V120" s="174"/>
      <c r="W120" s="178" t="e">
        <f>W121+#REF!</f>
        <v>#REF!</v>
      </c>
      <c r="X120" s="174"/>
      <c r="Y120" s="178" t="e">
        <f>Y121+#REF!</f>
        <v>#REF!</v>
      </c>
      <c r="Z120" s="174"/>
      <c r="AA120" s="179" t="e">
        <f>AA121+#REF!</f>
        <v>#REF!</v>
      </c>
      <c r="AR120" s="180" t="s">
        <v>544</v>
      </c>
      <c r="AT120" s="181" t="s">
        <v>615</v>
      </c>
      <c r="AU120" s="181" t="s">
        <v>616</v>
      </c>
      <c r="AY120" s="180" t="s">
        <v>617</v>
      </c>
      <c r="BK120" s="182" t="e">
        <f>BK121+#REF!</f>
        <v>#REF!</v>
      </c>
    </row>
    <row r="121" spans="2:65" s="98" customFormat="1" ht="33" customHeight="1">
      <c r="B121" s="99"/>
      <c r="C121" s="184" t="s">
        <v>616</v>
      </c>
      <c r="D121" s="184" t="s">
        <v>618</v>
      </c>
      <c r="E121" s="185" t="s">
        <v>217</v>
      </c>
      <c r="F121" s="773" t="s">
        <v>698</v>
      </c>
      <c r="G121" s="773"/>
      <c r="H121" s="773"/>
      <c r="I121" s="773"/>
      <c r="J121" s="186" t="s">
        <v>65</v>
      </c>
      <c r="K121" s="187">
        <v>29</v>
      </c>
      <c r="L121" s="774"/>
      <c r="M121" s="775"/>
      <c r="N121" s="772">
        <f>ROUND(L121*K121,0)</f>
        <v>0</v>
      </c>
      <c r="O121" s="772"/>
      <c r="P121" s="772"/>
      <c r="Q121" s="772"/>
      <c r="R121" s="102"/>
      <c r="T121" s="188" t="s">
        <v>552</v>
      </c>
      <c r="U121" s="189" t="s">
        <v>571</v>
      </c>
      <c r="V121" s="100"/>
      <c r="W121" s="190">
        <f>V121*K121</f>
        <v>0</v>
      </c>
      <c r="X121" s="190">
        <v>0</v>
      </c>
      <c r="Y121" s="190">
        <f>X121*K121</f>
        <v>0</v>
      </c>
      <c r="Z121" s="190">
        <v>0</v>
      </c>
      <c r="AA121" s="191">
        <f>Z121*K121</f>
        <v>0</v>
      </c>
      <c r="AR121" s="89" t="s">
        <v>619</v>
      </c>
      <c r="AT121" s="89" t="s">
        <v>618</v>
      </c>
      <c r="AU121" s="89" t="s">
        <v>544</v>
      </c>
      <c r="AY121" s="89" t="s">
        <v>617</v>
      </c>
      <c r="BE121" s="192">
        <f>IF(U121="základní",N121,0)</f>
        <v>0</v>
      </c>
      <c r="BF121" s="192">
        <f>IF(U121="snížená",N121,0)</f>
        <v>0</v>
      </c>
      <c r="BG121" s="192">
        <f>IF(U121="zákl. přenesená",N121,0)</f>
        <v>0</v>
      </c>
      <c r="BH121" s="192">
        <f>IF(U121="sníž. přenesená",N121,0)</f>
        <v>0</v>
      </c>
      <c r="BI121" s="192">
        <f>IF(U121="nulová",N121,0)</f>
        <v>0</v>
      </c>
      <c r="BJ121" s="89" t="s">
        <v>595</v>
      </c>
      <c r="BK121" s="192">
        <f>ROUND(L121*K121,0)</f>
        <v>0</v>
      </c>
      <c r="BL121" s="89" t="s">
        <v>619</v>
      </c>
      <c r="BM121" s="89" t="s">
        <v>630</v>
      </c>
    </row>
    <row r="122" spans="2:65" s="98" customFormat="1" ht="48.75" customHeight="1">
      <c r="B122" s="99"/>
      <c r="C122" s="184" t="s">
        <v>616</v>
      </c>
      <c r="D122" s="184" t="s">
        <v>618</v>
      </c>
      <c r="E122" s="185" t="s">
        <v>218</v>
      </c>
      <c r="F122" s="773" t="s">
        <v>699</v>
      </c>
      <c r="G122" s="773"/>
      <c r="H122" s="773"/>
      <c r="I122" s="773"/>
      <c r="J122" s="186" t="s">
        <v>65</v>
      </c>
      <c r="K122" s="187">
        <v>53</v>
      </c>
      <c r="L122" s="774"/>
      <c r="M122" s="775"/>
      <c r="N122" s="772">
        <f>ROUND(L122*K122,0)</f>
        <v>0</v>
      </c>
      <c r="O122" s="772"/>
      <c r="P122" s="772"/>
      <c r="Q122" s="772"/>
      <c r="R122" s="102"/>
      <c r="T122" s="188" t="s">
        <v>552</v>
      </c>
      <c r="U122" s="189" t="s">
        <v>571</v>
      </c>
      <c r="V122" s="100"/>
      <c r="W122" s="190">
        <f>V122*K122</f>
        <v>0</v>
      </c>
      <c r="X122" s="190">
        <v>0</v>
      </c>
      <c r="Y122" s="190">
        <f>X122*K122</f>
        <v>0</v>
      </c>
      <c r="Z122" s="190">
        <v>0</v>
      </c>
      <c r="AA122" s="191">
        <f>Z122*K122</f>
        <v>0</v>
      </c>
      <c r="AR122" s="89" t="s">
        <v>619</v>
      </c>
      <c r="AT122" s="89" t="s">
        <v>618</v>
      </c>
      <c r="AU122" s="89" t="s">
        <v>544</v>
      </c>
      <c r="AY122" s="89" t="s">
        <v>617</v>
      </c>
      <c r="BE122" s="192">
        <f>IF(U122="základní",N122,0)</f>
        <v>0</v>
      </c>
      <c r="BF122" s="192">
        <f>IF(U122="snížená",N122,0)</f>
        <v>0</v>
      </c>
      <c r="BG122" s="192">
        <f>IF(U122="zákl. přenesená",N122,0)</f>
        <v>0</v>
      </c>
      <c r="BH122" s="192">
        <f>IF(U122="sníž. přenesená",N122,0)</f>
        <v>0</v>
      </c>
      <c r="BI122" s="192">
        <f>IF(U122="nulová",N122,0)</f>
        <v>0</v>
      </c>
      <c r="BJ122" s="89" t="s">
        <v>595</v>
      </c>
      <c r="BK122" s="192">
        <f>ROUND(L122*K122,0)</f>
        <v>0</v>
      </c>
      <c r="BL122" s="89" t="s">
        <v>619</v>
      </c>
      <c r="BM122" s="89" t="s">
        <v>630</v>
      </c>
    </row>
    <row r="123" spans="2:65" s="98" customFormat="1" ht="22.5" customHeight="1">
      <c r="B123" s="99"/>
      <c r="C123" s="184" t="s">
        <v>616</v>
      </c>
      <c r="D123" s="184" t="s">
        <v>618</v>
      </c>
      <c r="E123" s="185" t="s">
        <v>219</v>
      </c>
      <c r="F123" s="773" t="s">
        <v>700</v>
      </c>
      <c r="G123" s="773"/>
      <c r="H123" s="773"/>
      <c r="I123" s="773"/>
      <c r="J123" s="186" t="s">
        <v>690</v>
      </c>
      <c r="K123" s="187">
        <v>39</v>
      </c>
      <c r="L123" s="774"/>
      <c r="M123" s="775"/>
      <c r="N123" s="772">
        <f>ROUND(L123*K123,0)</f>
        <v>0</v>
      </c>
      <c r="O123" s="772"/>
      <c r="P123" s="772"/>
      <c r="Q123" s="772"/>
      <c r="R123" s="102"/>
      <c r="T123" s="188" t="s">
        <v>552</v>
      </c>
      <c r="U123" s="189" t="s">
        <v>571</v>
      </c>
      <c r="V123" s="100"/>
      <c r="W123" s="190">
        <f>V123*K123</f>
        <v>0</v>
      </c>
      <c r="X123" s="190">
        <v>0</v>
      </c>
      <c r="Y123" s="190">
        <f>X123*K123</f>
        <v>0</v>
      </c>
      <c r="Z123" s="190">
        <v>0</v>
      </c>
      <c r="AA123" s="191">
        <f>Z123*K123</f>
        <v>0</v>
      </c>
      <c r="AR123" s="89" t="s">
        <v>619</v>
      </c>
      <c r="AT123" s="89" t="s">
        <v>618</v>
      </c>
      <c r="AU123" s="89" t="s">
        <v>620</v>
      </c>
      <c r="AY123" s="89" t="s">
        <v>617</v>
      </c>
      <c r="BE123" s="192">
        <f>IF(U123="základní",N123,0)</f>
        <v>0</v>
      </c>
      <c r="BF123" s="192">
        <f>IF(U123="snížená",N123,0)</f>
        <v>0</v>
      </c>
      <c r="BG123" s="192">
        <f>IF(U123="zákl. přenesená",N123,0)</f>
        <v>0</v>
      </c>
      <c r="BH123" s="192">
        <f>IF(U123="sníž. přenesená",N123,0)</f>
        <v>0</v>
      </c>
      <c r="BI123" s="192">
        <f>IF(U123="nulová",N123,0)</f>
        <v>0</v>
      </c>
      <c r="BJ123" s="89" t="s">
        <v>595</v>
      </c>
      <c r="BK123" s="192">
        <f>ROUND(L123*K123,0)</f>
        <v>0</v>
      </c>
      <c r="BL123" s="89" t="s">
        <v>619</v>
      </c>
      <c r="BM123" s="89" t="s">
        <v>632</v>
      </c>
    </row>
    <row r="124" spans="2:65" s="98" customFormat="1" ht="31.5" customHeight="1">
      <c r="B124" s="99"/>
      <c r="C124" s="184" t="s">
        <v>616</v>
      </c>
      <c r="D124" s="184" t="s">
        <v>618</v>
      </c>
      <c r="E124" s="185" t="s">
        <v>220</v>
      </c>
      <c r="F124" s="773" t="s">
        <v>701</v>
      </c>
      <c r="G124" s="773"/>
      <c r="H124" s="773"/>
      <c r="I124" s="773"/>
      <c r="J124" s="186" t="s">
        <v>690</v>
      </c>
      <c r="K124" s="187">
        <v>195</v>
      </c>
      <c r="L124" s="774"/>
      <c r="M124" s="775"/>
      <c r="N124" s="772">
        <f>ROUND(L124*K124,0)</f>
        <v>0</v>
      </c>
      <c r="O124" s="772"/>
      <c r="P124" s="772"/>
      <c r="Q124" s="772"/>
      <c r="R124" s="102"/>
      <c r="T124" s="188" t="s">
        <v>552</v>
      </c>
      <c r="U124" s="189" t="s">
        <v>571</v>
      </c>
      <c r="V124" s="100"/>
      <c r="W124" s="190">
        <f>V124*K124</f>
        <v>0</v>
      </c>
      <c r="X124" s="190">
        <v>0</v>
      </c>
      <c r="Y124" s="190">
        <f>X124*K124</f>
        <v>0</v>
      </c>
      <c r="Z124" s="190">
        <v>0</v>
      </c>
      <c r="AA124" s="191">
        <f>Z124*K124</f>
        <v>0</v>
      </c>
      <c r="AR124" s="89" t="s">
        <v>619</v>
      </c>
      <c r="AT124" s="89" t="s">
        <v>618</v>
      </c>
      <c r="AU124" s="89" t="s">
        <v>620</v>
      </c>
      <c r="AY124" s="89" t="s">
        <v>617</v>
      </c>
      <c r="BE124" s="192">
        <f>IF(U124="základní",N124,0)</f>
        <v>0</v>
      </c>
      <c r="BF124" s="192">
        <f>IF(U124="snížená",N124,0)</f>
        <v>0</v>
      </c>
      <c r="BG124" s="192">
        <f>IF(U124="zákl. přenesená",N124,0)</f>
        <v>0</v>
      </c>
      <c r="BH124" s="192">
        <f>IF(U124="sníž. přenesená",N124,0)</f>
        <v>0</v>
      </c>
      <c r="BI124" s="192">
        <f>IF(U124="nulová",N124,0)</f>
        <v>0</v>
      </c>
      <c r="BJ124" s="89" t="s">
        <v>595</v>
      </c>
      <c r="BK124" s="192">
        <f>ROUND(L124*K124,0)</f>
        <v>0</v>
      </c>
      <c r="BL124" s="89" t="s">
        <v>619</v>
      </c>
      <c r="BM124" s="89" t="s">
        <v>702</v>
      </c>
    </row>
    <row r="125" spans="2:65" s="98" customFormat="1" ht="44.25" customHeight="1">
      <c r="B125" s="99"/>
      <c r="C125" s="184" t="s">
        <v>616</v>
      </c>
      <c r="D125" s="184" t="s">
        <v>618</v>
      </c>
      <c r="E125" s="185" t="s">
        <v>221</v>
      </c>
      <c r="F125" s="773" t="s">
        <v>703</v>
      </c>
      <c r="G125" s="773"/>
      <c r="H125" s="773"/>
      <c r="I125" s="773"/>
      <c r="J125" s="186" t="s">
        <v>690</v>
      </c>
      <c r="K125" s="187">
        <v>18</v>
      </c>
      <c r="L125" s="774"/>
      <c r="M125" s="775"/>
      <c r="N125" s="772">
        <f>ROUND(L125*K125,0)</f>
        <v>0</v>
      </c>
      <c r="O125" s="772"/>
      <c r="P125" s="772"/>
      <c r="Q125" s="772"/>
      <c r="R125" s="102"/>
      <c r="T125" s="188" t="s">
        <v>552</v>
      </c>
      <c r="U125" s="189" t="s">
        <v>571</v>
      </c>
      <c r="V125" s="100"/>
      <c r="W125" s="190">
        <f>V125*K125</f>
        <v>0</v>
      </c>
      <c r="X125" s="190">
        <v>0</v>
      </c>
      <c r="Y125" s="190">
        <f>X125*K125</f>
        <v>0</v>
      </c>
      <c r="Z125" s="190">
        <v>0</v>
      </c>
      <c r="AA125" s="191">
        <f>Z125*K125</f>
        <v>0</v>
      </c>
      <c r="AR125" s="89" t="s">
        <v>619</v>
      </c>
      <c r="AT125" s="89" t="s">
        <v>618</v>
      </c>
      <c r="AU125" s="89" t="s">
        <v>544</v>
      </c>
      <c r="AY125" s="89" t="s">
        <v>617</v>
      </c>
      <c r="BE125" s="192">
        <f>IF(U125="základní",N125,0)</f>
        <v>0</v>
      </c>
      <c r="BF125" s="192">
        <f>IF(U125="snížená",N125,0)</f>
        <v>0</v>
      </c>
      <c r="BG125" s="192">
        <f>IF(U125="zákl. přenesená",N125,0)</f>
        <v>0</v>
      </c>
      <c r="BH125" s="192">
        <f>IF(U125="sníž. přenesená",N125,0)</f>
        <v>0</v>
      </c>
      <c r="BI125" s="192">
        <f>IF(U125="nulová",N125,0)</f>
        <v>0</v>
      </c>
      <c r="BJ125" s="89" t="s">
        <v>595</v>
      </c>
      <c r="BK125" s="192">
        <f>ROUND(L125*K125,0)</f>
        <v>0</v>
      </c>
      <c r="BL125" s="89" t="s">
        <v>619</v>
      </c>
      <c r="BM125" s="89" t="s">
        <v>704</v>
      </c>
    </row>
    <row r="126" spans="2:63" s="172" customFormat="1" ht="36.75" customHeight="1">
      <c r="B126" s="173"/>
      <c r="C126" s="174"/>
      <c r="D126" s="175" t="s">
        <v>685</v>
      </c>
      <c r="E126" s="175"/>
      <c r="F126" s="175"/>
      <c r="G126" s="175"/>
      <c r="H126" s="175"/>
      <c r="I126" s="175"/>
      <c r="J126" s="175"/>
      <c r="K126" s="175"/>
      <c r="L126" s="317"/>
      <c r="M126" s="317"/>
      <c r="N126" s="834">
        <f>SUM(N127:Q128)</f>
        <v>0</v>
      </c>
      <c r="O126" s="835"/>
      <c r="P126" s="835"/>
      <c r="Q126" s="835"/>
      <c r="R126" s="176"/>
      <c r="T126" s="177"/>
      <c r="U126" s="174"/>
      <c r="V126" s="174"/>
      <c r="W126" s="178" t="e">
        <f>#REF!+SUM(W127:W128)</f>
        <v>#REF!</v>
      </c>
      <c r="X126" s="174"/>
      <c r="Y126" s="178" t="e">
        <f>#REF!+SUM(Y127:Y128)</f>
        <v>#REF!</v>
      </c>
      <c r="Z126" s="174"/>
      <c r="AA126" s="179" t="e">
        <f>#REF!+SUM(AA127:AA128)</f>
        <v>#REF!</v>
      </c>
      <c r="AR126" s="180" t="s">
        <v>544</v>
      </c>
      <c r="AT126" s="181" t="s">
        <v>615</v>
      </c>
      <c r="AU126" s="181" t="s">
        <v>616</v>
      </c>
      <c r="AY126" s="180" t="s">
        <v>617</v>
      </c>
      <c r="BK126" s="182" t="e">
        <f>#REF!+SUM(BK127:BK128)</f>
        <v>#REF!</v>
      </c>
    </row>
    <row r="127" spans="2:65" s="98" customFormat="1" ht="22.5" customHeight="1">
      <c r="B127" s="99"/>
      <c r="C127" s="184" t="s">
        <v>616</v>
      </c>
      <c r="D127" s="184" t="s">
        <v>618</v>
      </c>
      <c r="E127" s="185" t="s">
        <v>705</v>
      </c>
      <c r="F127" s="773" t="s">
        <v>706</v>
      </c>
      <c r="G127" s="773"/>
      <c r="H127" s="773"/>
      <c r="I127" s="773"/>
      <c r="J127" s="186" t="s">
        <v>65</v>
      </c>
      <c r="K127" s="187">
        <v>2</v>
      </c>
      <c r="L127" s="774"/>
      <c r="M127" s="775"/>
      <c r="N127" s="772">
        <f>ROUND(L127*K127,0)</f>
        <v>0</v>
      </c>
      <c r="O127" s="772"/>
      <c r="P127" s="772"/>
      <c r="Q127" s="772"/>
      <c r="R127" s="102"/>
      <c r="T127" s="188" t="s">
        <v>552</v>
      </c>
      <c r="U127" s="189" t="s">
        <v>571</v>
      </c>
      <c r="V127" s="100"/>
      <c r="W127" s="190">
        <f>V127*K127</f>
        <v>0</v>
      </c>
      <c r="X127" s="190">
        <v>0</v>
      </c>
      <c r="Y127" s="190">
        <f>X127*K127</f>
        <v>0</v>
      </c>
      <c r="Z127" s="190">
        <v>0</v>
      </c>
      <c r="AA127" s="191">
        <f>Z127*K127</f>
        <v>0</v>
      </c>
      <c r="AR127" s="89" t="s">
        <v>619</v>
      </c>
      <c r="AT127" s="89" t="s">
        <v>618</v>
      </c>
      <c r="AU127" s="89" t="s">
        <v>544</v>
      </c>
      <c r="AY127" s="89" t="s">
        <v>617</v>
      </c>
      <c r="BE127" s="192">
        <f>IF(U127="základní",N127,0)</f>
        <v>0</v>
      </c>
      <c r="BF127" s="192">
        <f>IF(U127="snížená",N127,0)</f>
        <v>0</v>
      </c>
      <c r="BG127" s="192">
        <f>IF(U127="zákl. přenesená",N127,0)</f>
        <v>0</v>
      </c>
      <c r="BH127" s="192">
        <f>IF(U127="sníž. přenesená",N127,0)</f>
        <v>0</v>
      </c>
      <c r="BI127" s="192">
        <f>IF(U127="nulová",N127,0)</f>
        <v>0</v>
      </c>
      <c r="BJ127" s="89" t="s">
        <v>595</v>
      </c>
      <c r="BK127" s="192">
        <f>ROUND(L127*K127,0)</f>
        <v>0</v>
      </c>
      <c r="BL127" s="89" t="s">
        <v>619</v>
      </c>
      <c r="BM127" s="89" t="s">
        <v>647</v>
      </c>
    </row>
    <row r="128" spans="2:65" s="98" customFormat="1" ht="31.5" customHeight="1">
      <c r="B128" s="99"/>
      <c r="C128" s="184" t="s">
        <v>616</v>
      </c>
      <c r="D128" s="184" t="s">
        <v>618</v>
      </c>
      <c r="E128" s="185" t="s">
        <v>707</v>
      </c>
      <c r="F128" s="773" t="s">
        <v>708</v>
      </c>
      <c r="G128" s="773"/>
      <c r="H128" s="773"/>
      <c r="I128" s="773"/>
      <c r="J128" s="186" t="s">
        <v>65</v>
      </c>
      <c r="K128" s="187">
        <v>1</v>
      </c>
      <c r="L128" s="774"/>
      <c r="M128" s="775"/>
      <c r="N128" s="772">
        <f>ROUND(L128*K128,0)</f>
        <v>0</v>
      </c>
      <c r="O128" s="772"/>
      <c r="P128" s="772"/>
      <c r="Q128" s="772"/>
      <c r="R128" s="102"/>
      <c r="T128" s="188" t="s">
        <v>552</v>
      </c>
      <c r="U128" s="189" t="s">
        <v>571</v>
      </c>
      <c r="V128" s="100"/>
      <c r="W128" s="190">
        <f>V128*K128</f>
        <v>0</v>
      </c>
      <c r="X128" s="190">
        <v>0</v>
      </c>
      <c r="Y128" s="190">
        <f>X128*K128</f>
        <v>0</v>
      </c>
      <c r="Z128" s="190">
        <v>0</v>
      </c>
      <c r="AA128" s="191">
        <f>Z128*K128</f>
        <v>0</v>
      </c>
      <c r="AR128" s="89" t="s">
        <v>619</v>
      </c>
      <c r="AT128" s="89" t="s">
        <v>618</v>
      </c>
      <c r="AU128" s="89" t="s">
        <v>544</v>
      </c>
      <c r="AY128" s="89" t="s">
        <v>617</v>
      </c>
      <c r="BE128" s="192">
        <f>IF(U128="základní",N128,0)</f>
        <v>0</v>
      </c>
      <c r="BF128" s="192">
        <f>IF(U128="snížená",N128,0)</f>
        <v>0</v>
      </c>
      <c r="BG128" s="192">
        <f>IF(U128="zákl. přenesená",N128,0)</f>
        <v>0</v>
      </c>
      <c r="BH128" s="192">
        <f>IF(U128="sníž. přenesená",N128,0)</f>
        <v>0</v>
      </c>
      <c r="BI128" s="192">
        <f>IF(U128="nulová",N128,0)</f>
        <v>0</v>
      </c>
      <c r="BJ128" s="89" t="s">
        <v>595</v>
      </c>
      <c r="BK128" s="192">
        <f>ROUND(L128*K128,0)</f>
        <v>0</v>
      </c>
      <c r="BL128" s="89" t="s">
        <v>619</v>
      </c>
      <c r="BM128" s="89" t="s">
        <v>709</v>
      </c>
    </row>
    <row r="129" spans="2:63" s="98" customFormat="1" ht="49.5" customHeight="1">
      <c r="B129" s="99"/>
      <c r="C129" s="100"/>
      <c r="D129" s="175" t="s">
        <v>594</v>
      </c>
      <c r="E129" s="100"/>
      <c r="F129" s="100"/>
      <c r="G129" s="100"/>
      <c r="H129" s="100"/>
      <c r="I129" s="100"/>
      <c r="J129" s="100"/>
      <c r="K129" s="100"/>
      <c r="L129" s="316"/>
      <c r="M129" s="316"/>
      <c r="N129" s="834">
        <f>BK129</f>
        <v>0</v>
      </c>
      <c r="O129" s="835"/>
      <c r="P129" s="835"/>
      <c r="Q129" s="835"/>
      <c r="R129" s="102"/>
      <c r="T129" s="148"/>
      <c r="U129" s="100"/>
      <c r="V129" s="100"/>
      <c r="W129" s="100"/>
      <c r="X129" s="100"/>
      <c r="Y129" s="100"/>
      <c r="Z129" s="100"/>
      <c r="AA129" s="193"/>
      <c r="AT129" s="89" t="s">
        <v>615</v>
      </c>
      <c r="AU129" s="89" t="s">
        <v>616</v>
      </c>
      <c r="AY129" s="89" t="s">
        <v>680</v>
      </c>
      <c r="BK129" s="192">
        <f>SUM(BK130:BK132)</f>
        <v>0</v>
      </c>
    </row>
    <row r="130" spans="1:63" s="98" customFormat="1" ht="21.75" customHeight="1">
      <c r="A130" s="318"/>
      <c r="B130" s="315"/>
      <c r="C130" s="229" t="s">
        <v>552</v>
      </c>
      <c r="D130" s="229" t="s">
        <v>618</v>
      </c>
      <c r="E130" s="230" t="s">
        <v>552</v>
      </c>
      <c r="F130" s="771" t="s">
        <v>84</v>
      </c>
      <c r="G130" s="771"/>
      <c r="H130" s="771"/>
      <c r="I130" s="771"/>
      <c r="J130" s="231" t="s">
        <v>45</v>
      </c>
      <c r="K130" s="232">
        <v>1</v>
      </c>
      <c r="L130" s="774"/>
      <c r="M130" s="775"/>
      <c r="N130" s="775">
        <f>BK130</f>
        <v>0</v>
      </c>
      <c r="O130" s="775"/>
      <c r="P130" s="775"/>
      <c r="Q130" s="775"/>
      <c r="R130" s="102"/>
      <c r="T130" s="188" t="s">
        <v>552</v>
      </c>
      <c r="U130" s="194" t="s">
        <v>571</v>
      </c>
      <c r="V130" s="100"/>
      <c r="W130" s="100"/>
      <c r="X130" s="100"/>
      <c r="Y130" s="100"/>
      <c r="Z130" s="100"/>
      <c r="AA130" s="193"/>
      <c r="AT130" s="89" t="s">
        <v>680</v>
      </c>
      <c r="AU130" s="89" t="s">
        <v>544</v>
      </c>
      <c r="AY130" s="89" t="s">
        <v>680</v>
      </c>
      <c r="BE130" s="192">
        <f>IF(U130="základní",N130,0)</f>
        <v>0</v>
      </c>
      <c r="BF130" s="192">
        <f>IF(U130="snížená",N130,0)</f>
        <v>0</v>
      </c>
      <c r="BG130" s="192">
        <f>IF(U130="zákl. přenesená",N130,0)</f>
        <v>0</v>
      </c>
      <c r="BH130" s="192">
        <f>IF(U130="sníž. přenesená",N130,0)</f>
        <v>0</v>
      </c>
      <c r="BI130" s="192">
        <f>IF(U130="nulová",N130,0)</f>
        <v>0</v>
      </c>
      <c r="BJ130" s="89" t="s">
        <v>595</v>
      </c>
      <c r="BK130" s="192">
        <f>L130*K130</f>
        <v>0</v>
      </c>
    </row>
    <row r="131" spans="1:63" s="98" customFormat="1" ht="21.75" customHeight="1">
      <c r="A131" s="318"/>
      <c r="B131" s="315"/>
      <c r="C131" s="229" t="s">
        <v>552</v>
      </c>
      <c r="D131" s="229" t="s">
        <v>618</v>
      </c>
      <c r="E131" s="230" t="s">
        <v>552</v>
      </c>
      <c r="F131" s="771" t="s">
        <v>710</v>
      </c>
      <c r="G131" s="771"/>
      <c r="H131" s="771"/>
      <c r="I131" s="771"/>
      <c r="J131" s="231" t="s">
        <v>45</v>
      </c>
      <c r="K131" s="232">
        <v>1</v>
      </c>
      <c r="L131" s="774"/>
      <c r="M131" s="775"/>
      <c r="N131" s="775">
        <f>BK131</f>
        <v>0</v>
      </c>
      <c r="O131" s="775"/>
      <c r="P131" s="775"/>
      <c r="Q131" s="775"/>
      <c r="R131" s="102"/>
      <c r="T131" s="188" t="s">
        <v>552</v>
      </c>
      <c r="U131" s="194" t="s">
        <v>571</v>
      </c>
      <c r="V131" s="100"/>
      <c r="W131" s="100"/>
      <c r="X131" s="100"/>
      <c r="Y131" s="100"/>
      <c r="Z131" s="100"/>
      <c r="AA131" s="193"/>
      <c r="AT131" s="89" t="s">
        <v>680</v>
      </c>
      <c r="AU131" s="89" t="s">
        <v>544</v>
      </c>
      <c r="AY131" s="89" t="s">
        <v>680</v>
      </c>
      <c r="BE131" s="192">
        <f>IF(U131="základní",N131,0)</f>
        <v>0</v>
      </c>
      <c r="BF131" s="192">
        <f>IF(U131="snížená",N131,0)</f>
        <v>0</v>
      </c>
      <c r="BG131" s="192">
        <f>IF(U131="zákl. přenesená",N131,0)</f>
        <v>0</v>
      </c>
      <c r="BH131" s="192">
        <f>IF(U131="sníž. přenesená",N131,0)</f>
        <v>0</v>
      </c>
      <c r="BI131" s="192">
        <f>IF(U131="nulová",N131,0)</f>
        <v>0</v>
      </c>
      <c r="BJ131" s="89" t="s">
        <v>595</v>
      </c>
      <c r="BK131" s="192">
        <f>L131*K131</f>
        <v>0</v>
      </c>
    </row>
    <row r="132" spans="1:63" s="98" customFormat="1" ht="21.75" customHeight="1">
      <c r="A132" s="318"/>
      <c r="B132" s="315"/>
      <c r="C132" s="229"/>
      <c r="D132" s="229"/>
      <c r="E132" s="230"/>
      <c r="F132" s="771"/>
      <c r="G132" s="771"/>
      <c r="H132" s="771"/>
      <c r="I132" s="771"/>
      <c r="J132" s="231"/>
      <c r="K132" s="232"/>
      <c r="L132" s="774"/>
      <c r="M132" s="775"/>
      <c r="N132" s="775"/>
      <c r="O132" s="775"/>
      <c r="P132" s="775"/>
      <c r="Q132" s="775"/>
      <c r="R132" s="102"/>
      <c r="T132" s="188"/>
      <c r="U132" s="194"/>
      <c r="V132" s="121"/>
      <c r="W132" s="121"/>
      <c r="X132" s="121"/>
      <c r="Y132" s="121"/>
      <c r="Z132" s="121"/>
      <c r="AA132" s="123"/>
      <c r="AT132" s="89"/>
      <c r="AU132" s="89"/>
      <c r="AY132" s="89"/>
      <c r="BE132" s="192"/>
      <c r="BF132" s="192"/>
      <c r="BG132" s="192"/>
      <c r="BH132" s="192"/>
      <c r="BI132" s="192"/>
      <c r="BJ132" s="89"/>
      <c r="BK132" s="192"/>
    </row>
    <row r="133" spans="2:18" s="98" customFormat="1" ht="6.75" customHeight="1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6"/>
    </row>
  </sheetData>
  <sheetProtection/>
  <mergeCells count="111">
    <mergeCell ref="F132:I132"/>
    <mergeCell ref="L132:M132"/>
    <mergeCell ref="N132:Q132"/>
    <mergeCell ref="F131:I131"/>
    <mergeCell ref="L131:M131"/>
    <mergeCell ref="N131:Q131"/>
    <mergeCell ref="F128:I128"/>
    <mergeCell ref="L128:M128"/>
    <mergeCell ref="N128:Q128"/>
    <mergeCell ref="N129:Q129"/>
    <mergeCell ref="F130:I130"/>
    <mergeCell ref="L130:M130"/>
    <mergeCell ref="N130:Q130"/>
    <mergeCell ref="F125:I125"/>
    <mergeCell ref="L125:M125"/>
    <mergeCell ref="N125:Q125"/>
    <mergeCell ref="N126:Q126"/>
    <mergeCell ref="F127:I127"/>
    <mergeCell ref="L127:M127"/>
    <mergeCell ref="N127:Q127"/>
    <mergeCell ref="F123:I123"/>
    <mergeCell ref="L123:M123"/>
    <mergeCell ref="N123:Q123"/>
    <mergeCell ref="F124:I124"/>
    <mergeCell ref="L124:M124"/>
    <mergeCell ref="N124:Q124"/>
    <mergeCell ref="N120:Q120"/>
    <mergeCell ref="F121:I121"/>
    <mergeCell ref="L121:M121"/>
    <mergeCell ref="N121:Q121"/>
    <mergeCell ref="F122:I122"/>
    <mergeCell ref="L122:M122"/>
    <mergeCell ref="N122:Q122"/>
    <mergeCell ref="F118:I118"/>
    <mergeCell ref="L118:M118"/>
    <mergeCell ref="N118:Q118"/>
    <mergeCell ref="F119:I119"/>
    <mergeCell ref="L119:M119"/>
    <mergeCell ref="N119:Q119"/>
    <mergeCell ref="F116:I116"/>
    <mergeCell ref="L116:M116"/>
    <mergeCell ref="N116:Q116"/>
    <mergeCell ref="F117:I117"/>
    <mergeCell ref="L117:M117"/>
    <mergeCell ref="N117:Q117"/>
    <mergeCell ref="F114:I114"/>
    <mergeCell ref="L114:M114"/>
    <mergeCell ref="N114:Q114"/>
    <mergeCell ref="F115:I115"/>
    <mergeCell ref="L115:M115"/>
    <mergeCell ref="N115:Q115"/>
    <mergeCell ref="N110:Q110"/>
    <mergeCell ref="N111:Q111"/>
    <mergeCell ref="F112:I112"/>
    <mergeCell ref="L112:M112"/>
    <mergeCell ref="N112:Q112"/>
    <mergeCell ref="F113:I113"/>
    <mergeCell ref="L113:M113"/>
    <mergeCell ref="N113:Q113"/>
    <mergeCell ref="F101:P101"/>
    <mergeCell ref="F102:P102"/>
    <mergeCell ref="M104:P104"/>
    <mergeCell ref="M106:Q106"/>
    <mergeCell ref="M107:Q107"/>
    <mergeCell ref="F109:I109"/>
    <mergeCell ref="L109:M109"/>
    <mergeCell ref="N109:Q109"/>
    <mergeCell ref="N87:Q87"/>
    <mergeCell ref="N88:Q88"/>
    <mergeCell ref="N89:Q89"/>
    <mergeCell ref="N90:Q90"/>
    <mergeCell ref="N91:Q91"/>
    <mergeCell ref="C99:Q99"/>
    <mergeCell ref="F77:P77"/>
    <mergeCell ref="F78:P78"/>
    <mergeCell ref="M80:P80"/>
    <mergeCell ref="M82:Q82"/>
    <mergeCell ref="M83:Q83"/>
    <mergeCell ref="C85:G85"/>
    <mergeCell ref="N85:Q85"/>
    <mergeCell ref="H34:J34"/>
    <mergeCell ref="M34:P34"/>
    <mergeCell ref="H35:J35"/>
    <mergeCell ref="M35:P35"/>
    <mergeCell ref="L37:P37"/>
    <mergeCell ref="C75:Q75"/>
    <mergeCell ref="M29:P29"/>
    <mergeCell ref="H31:J31"/>
    <mergeCell ref="M31:P31"/>
    <mergeCell ref="H32:J32"/>
    <mergeCell ref="M32:P32"/>
    <mergeCell ref="H33:J33"/>
    <mergeCell ref="M33:P33"/>
    <mergeCell ref="O17:P17"/>
    <mergeCell ref="O18:P18"/>
    <mergeCell ref="O20:P20"/>
    <mergeCell ref="O21:P21"/>
    <mergeCell ref="E24:L24"/>
    <mergeCell ref="M27:P27"/>
    <mergeCell ref="O9:P9"/>
    <mergeCell ref="O11:P11"/>
    <mergeCell ref="O12:P12"/>
    <mergeCell ref="O14:P14"/>
    <mergeCell ref="E15:L15"/>
    <mergeCell ref="O15:P15"/>
    <mergeCell ref="H1:K1"/>
    <mergeCell ref="C2:Q2"/>
    <mergeCell ref="S2:AC2"/>
    <mergeCell ref="C4:Q4"/>
    <mergeCell ref="F6:P6"/>
    <mergeCell ref="F7:P7"/>
  </mergeCells>
  <dataValidations count="2">
    <dataValidation type="list" allowBlank="1" showInputMessage="1" showErrorMessage="1" error="Povoleny jsou hodnoty základní, snížená, zákl. přenesená, sníž. přenesená, nulová." sqref="U130:U133">
      <formula1>"základní, snížená, zákl. přenesená, sníž. přenesená, nulová"</formula1>
    </dataValidation>
    <dataValidation type="list" allowBlank="1" showInputMessage="1" showErrorMessage="1" error="Povoleny jsou hodnoty K, M." sqref="D130:D133">
      <formula1>"K, M"</formula1>
    </dataValidation>
  </dataValidations>
  <hyperlinks>
    <hyperlink ref="F1:G1" location="C2" display="1) Krycí list rozpočtu"/>
    <hyperlink ref="H1:K1" location="C86" display="2) Rekapitulace rozpočtu"/>
    <hyperlink ref="L1" location="C132" display="3) Rozpočet"/>
    <hyperlink ref="S1:T1" location="'Rekapitulace stavby'!C2" display="Rekapitulace stavby"/>
  </hyperlinks>
  <printOptions/>
  <pageMargins left="0.7" right="0.7" top="0.787401575" bottom="0.787401575" header="0.3" footer="0.3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6"/>
  <sheetViews>
    <sheetView view="pageBreakPreview" zoomScaleSheetLayoutView="100" zoomScalePageLayoutView="0" workbookViewId="0" topLeftCell="A13">
      <selection activeCell="A55" sqref="A55:B55"/>
    </sheetView>
  </sheetViews>
  <sheetFormatPr defaultColWidth="9.00390625" defaultRowHeight="12.75"/>
  <cols>
    <col min="1" max="1" width="9.125" style="276" customWidth="1"/>
    <col min="2" max="2" width="35.25390625" style="276" customWidth="1"/>
    <col min="3" max="3" width="11.25390625" style="277" customWidth="1"/>
    <col min="4" max="4" width="12.75390625" style="312" customWidth="1"/>
    <col min="5" max="5" width="12.375" style="312" customWidth="1"/>
    <col min="6" max="6" width="14.75390625" style="312" customWidth="1"/>
    <col min="7" max="7" width="22.125" style="276" customWidth="1"/>
    <col min="8" max="8" width="16.00390625" style="279" customWidth="1"/>
    <col min="9" max="9" width="15.75390625" style="276" customWidth="1"/>
    <col min="10" max="16384" width="9.125" style="276" customWidth="1"/>
  </cols>
  <sheetData>
    <row r="1" spans="2:13" ht="12.75" customHeight="1" thickBot="1">
      <c r="B1" s="277"/>
      <c r="D1" s="278"/>
      <c r="E1" s="278"/>
      <c r="F1" s="278"/>
      <c r="I1" s="279"/>
      <c r="J1" s="279"/>
      <c r="K1" s="279"/>
      <c r="L1" s="279"/>
      <c r="M1" s="279"/>
    </row>
    <row r="2" spans="1:13" ht="12.75" customHeight="1">
      <c r="A2" s="836" t="s">
        <v>460</v>
      </c>
      <c r="B2" s="837"/>
      <c r="C2" s="837"/>
      <c r="D2" s="837"/>
      <c r="E2" s="837"/>
      <c r="F2" s="837"/>
      <c r="G2" s="838"/>
      <c r="I2" s="279"/>
      <c r="J2" s="279"/>
      <c r="K2" s="279"/>
      <c r="L2" s="279"/>
      <c r="M2" s="279"/>
    </row>
    <row r="3" spans="1:13" ht="12.75" customHeight="1">
      <c r="A3" s="839"/>
      <c r="B3" s="840"/>
      <c r="C3" s="840"/>
      <c r="D3" s="840"/>
      <c r="E3" s="840"/>
      <c r="F3" s="840"/>
      <c r="G3" s="841"/>
      <c r="I3" s="279"/>
      <c r="J3" s="279"/>
      <c r="K3" s="279"/>
      <c r="L3" s="279"/>
      <c r="M3" s="279"/>
    </row>
    <row r="4" spans="1:13" ht="9.75" customHeight="1" thickBot="1">
      <c r="A4" s="842"/>
      <c r="B4" s="843"/>
      <c r="C4" s="843"/>
      <c r="D4" s="843"/>
      <c r="E4" s="843"/>
      <c r="F4" s="843"/>
      <c r="G4" s="844"/>
      <c r="I4" s="279"/>
      <c r="J4" s="279"/>
      <c r="K4" s="279"/>
      <c r="L4" s="279"/>
      <c r="M4" s="279"/>
    </row>
    <row r="5" spans="1:13" ht="12.75" customHeight="1">
      <c r="A5" s="280" t="s">
        <v>461</v>
      </c>
      <c r="B5" s="845" t="s">
        <v>462</v>
      </c>
      <c r="C5" s="845"/>
      <c r="D5" s="845"/>
      <c r="E5" s="845"/>
      <c r="F5" s="845"/>
      <c r="G5" s="845"/>
      <c r="I5" s="279"/>
      <c r="J5" s="279"/>
      <c r="K5" s="279"/>
      <c r="L5" s="279"/>
      <c r="M5" s="279"/>
    </row>
    <row r="6" spans="1:13" ht="12.75" customHeight="1">
      <c r="A6" s="281"/>
      <c r="B6" s="846" t="s">
        <v>462</v>
      </c>
      <c r="C6" s="846"/>
      <c r="D6" s="846"/>
      <c r="E6" s="846"/>
      <c r="F6" s="846"/>
      <c r="G6" s="846"/>
      <c r="I6" s="279"/>
      <c r="J6" s="279"/>
      <c r="K6" s="279"/>
      <c r="L6" s="279"/>
      <c r="M6" s="279"/>
    </row>
    <row r="7" spans="1:13" ht="21" customHeight="1">
      <c r="A7" s="281"/>
      <c r="B7" s="846"/>
      <c r="C7" s="846"/>
      <c r="D7" s="846"/>
      <c r="E7" s="846"/>
      <c r="F7" s="846"/>
      <c r="G7" s="846"/>
      <c r="I7" s="279"/>
      <c r="J7" s="279"/>
      <c r="K7" s="279"/>
      <c r="L7" s="279"/>
      <c r="M7" s="279"/>
    </row>
    <row r="8" spans="1:13" ht="12.75" customHeight="1" thickBot="1">
      <c r="A8" s="281"/>
      <c r="B8" s="282"/>
      <c r="C8" s="282"/>
      <c r="D8" s="282"/>
      <c r="E8" s="282"/>
      <c r="F8" s="282"/>
      <c r="G8" s="282"/>
      <c r="I8" s="279"/>
      <c r="J8" s="279"/>
      <c r="K8" s="279"/>
      <c r="L8" s="279"/>
      <c r="M8" s="279"/>
    </row>
    <row r="9" spans="1:13" ht="12.75" customHeight="1" thickBot="1">
      <c r="A9" s="847" t="s">
        <v>463</v>
      </c>
      <c r="B9" s="848"/>
      <c r="C9" s="283" t="s">
        <v>464</v>
      </c>
      <c r="D9" s="284" t="s">
        <v>465</v>
      </c>
      <c r="E9" s="284" t="s">
        <v>466</v>
      </c>
      <c r="F9" s="284" t="s">
        <v>467</v>
      </c>
      <c r="G9" s="285" t="s">
        <v>468</v>
      </c>
      <c r="I9" s="279"/>
      <c r="J9" s="279"/>
      <c r="K9" s="279"/>
      <c r="L9" s="279"/>
      <c r="M9" s="279"/>
    </row>
    <row r="10" spans="1:13" ht="12.75" customHeight="1">
      <c r="A10" s="849" t="s">
        <v>469</v>
      </c>
      <c r="B10" s="849"/>
      <c r="C10" s="286">
        <v>110</v>
      </c>
      <c r="D10" s="287"/>
      <c r="E10" s="287"/>
      <c r="F10" s="287"/>
      <c r="G10" s="288">
        <f aca="true" t="shared" si="0" ref="G10:G41">C10*F10</f>
        <v>0</v>
      </c>
      <c r="I10" s="279"/>
      <c r="J10" s="279"/>
      <c r="K10" s="279"/>
      <c r="L10" s="279"/>
      <c r="M10" s="279"/>
    </row>
    <row r="11" spans="1:13" ht="12.75" customHeight="1">
      <c r="A11" s="849" t="s">
        <v>470</v>
      </c>
      <c r="B11" s="849"/>
      <c r="C11" s="286">
        <v>850</v>
      </c>
      <c r="D11" s="287"/>
      <c r="E11" s="287"/>
      <c r="F11" s="287"/>
      <c r="G11" s="288">
        <f t="shared" si="0"/>
        <v>0</v>
      </c>
      <c r="H11" s="289"/>
      <c r="I11" s="290"/>
      <c r="J11" s="279"/>
      <c r="K11" s="279"/>
      <c r="L11" s="279"/>
      <c r="M11" s="279"/>
    </row>
    <row r="12" spans="1:13" ht="12.75" customHeight="1">
      <c r="A12" s="849" t="s">
        <v>471</v>
      </c>
      <c r="B12" s="849"/>
      <c r="C12" s="286">
        <v>7800</v>
      </c>
      <c r="D12" s="287"/>
      <c r="E12" s="287"/>
      <c r="F12" s="287"/>
      <c r="G12" s="288">
        <f t="shared" si="0"/>
        <v>0</v>
      </c>
      <c r="H12" s="289"/>
      <c r="I12" s="290"/>
      <c r="J12" s="291"/>
      <c r="K12" s="292"/>
      <c r="L12" s="279"/>
      <c r="M12" s="279"/>
    </row>
    <row r="13" spans="1:13" ht="12.75" customHeight="1">
      <c r="A13" s="849" t="s">
        <v>472</v>
      </c>
      <c r="B13" s="849"/>
      <c r="C13" s="286">
        <v>1900</v>
      </c>
      <c r="D13" s="287"/>
      <c r="E13" s="287"/>
      <c r="F13" s="287"/>
      <c r="G13" s="288">
        <f t="shared" si="0"/>
        <v>0</v>
      </c>
      <c r="H13" s="289"/>
      <c r="I13" s="290"/>
      <c r="J13" s="291"/>
      <c r="K13" s="292"/>
      <c r="L13" s="279"/>
      <c r="M13" s="279"/>
    </row>
    <row r="14" spans="1:13" ht="12.75" customHeight="1">
      <c r="A14" s="849" t="s">
        <v>473</v>
      </c>
      <c r="B14" s="849"/>
      <c r="C14" s="286">
        <v>3500</v>
      </c>
      <c r="D14" s="287"/>
      <c r="E14" s="287"/>
      <c r="F14" s="287"/>
      <c r="G14" s="288">
        <f t="shared" si="0"/>
        <v>0</v>
      </c>
      <c r="H14" s="289"/>
      <c r="I14" s="290"/>
      <c r="J14" s="291"/>
      <c r="K14" s="292"/>
      <c r="L14" s="279"/>
      <c r="M14" s="279"/>
    </row>
    <row r="15" spans="1:13" ht="12.75" customHeight="1">
      <c r="A15" s="849" t="s">
        <v>474</v>
      </c>
      <c r="B15" s="849"/>
      <c r="C15" s="286">
        <v>5500</v>
      </c>
      <c r="D15" s="287"/>
      <c r="E15" s="287"/>
      <c r="F15" s="287"/>
      <c r="G15" s="288">
        <f t="shared" si="0"/>
        <v>0</v>
      </c>
      <c r="H15" s="289"/>
      <c r="I15" s="290"/>
      <c r="J15" s="291"/>
      <c r="K15" s="292"/>
      <c r="L15" s="279"/>
      <c r="M15" s="279"/>
    </row>
    <row r="16" spans="1:13" ht="12.75" customHeight="1">
      <c r="A16" s="849" t="s">
        <v>475</v>
      </c>
      <c r="B16" s="849"/>
      <c r="C16" s="286">
        <v>1500</v>
      </c>
      <c r="D16" s="287"/>
      <c r="E16" s="287"/>
      <c r="F16" s="287"/>
      <c r="G16" s="288">
        <f t="shared" si="0"/>
        <v>0</v>
      </c>
      <c r="H16" s="289"/>
      <c r="I16" s="290"/>
      <c r="J16" s="291"/>
      <c r="K16" s="292"/>
      <c r="L16" s="279"/>
      <c r="M16" s="279"/>
    </row>
    <row r="17" spans="1:13" ht="12.75" customHeight="1">
      <c r="A17" s="849" t="s">
        <v>476</v>
      </c>
      <c r="B17" s="849"/>
      <c r="C17" s="286">
        <v>6500</v>
      </c>
      <c r="D17" s="287"/>
      <c r="E17" s="287"/>
      <c r="F17" s="287"/>
      <c r="G17" s="288">
        <f t="shared" si="0"/>
        <v>0</v>
      </c>
      <c r="H17" s="289"/>
      <c r="I17" s="290"/>
      <c r="J17" s="291"/>
      <c r="K17" s="292"/>
      <c r="L17" s="279"/>
      <c r="M17" s="279"/>
    </row>
    <row r="18" spans="1:13" ht="12.75" customHeight="1">
      <c r="A18" s="849" t="s">
        <v>477</v>
      </c>
      <c r="B18" s="849"/>
      <c r="C18" s="286">
        <v>100</v>
      </c>
      <c r="D18" s="287"/>
      <c r="E18" s="287"/>
      <c r="F18" s="287"/>
      <c r="G18" s="288">
        <f t="shared" si="0"/>
        <v>0</v>
      </c>
      <c r="H18" s="289"/>
      <c r="I18" s="290"/>
      <c r="J18" s="291"/>
      <c r="K18" s="292"/>
      <c r="L18" s="279"/>
      <c r="M18" s="279"/>
    </row>
    <row r="19" spans="1:13" ht="12.75" customHeight="1">
      <c r="A19" s="849" t="s">
        <v>478</v>
      </c>
      <c r="B19" s="849"/>
      <c r="C19" s="286">
        <v>25</v>
      </c>
      <c r="D19" s="287"/>
      <c r="E19" s="287"/>
      <c r="F19" s="287"/>
      <c r="G19" s="288">
        <f t="shared" si="0"/>
        <v>0</v>
      </c>
      <c r="H19" s="289"/>
      <c r="I19" s="290"/>
      <c r="J19" s="291"/>
      <c r="K19" s="292"/>
      <c r="L19" s="279"/>
      <c r="M19" s="279"/>
    </row>
    <row r="20" spans="1:13" ht="12.75" customHeight="1">
      <c r="A20" s="849" t="s">
        <v>479</v>
      </c>
      <c r="B20" s="849"/>
      <c r="C20" s="286">
        <v>30</v>
      </c>
      <c r="D20" s="287"/>
      <c r="E20" s="287"/>
      <c r="F20" s="287"/>
      <c r="G20" s="288">
        <f t="shared" si="0"/>
        <v>0</v>
      </c>
      <c r="H20" s="289"/>
      <c r="I20" s="290"/>
      <c r="J20" s="291"/>
      <c r="K20" s="292"/>
      <c r="L20" s="279"/>
      <c r="M20" s="279"/>
    </row>
    <row r="21" spans="1:13" ht="12.75" customHeight="1">
      <c r="A21" s="849" t="s">
        <v>480</v>
      </c>
      <c r="B21" s="849"/>
      <c r="C21" s="286">
        <v>25</v>
      </c>
      <c r="D21" s="287"/>
      <c r="E21" s="287"/>
      <c r="F21" s="287"/>
      <c r="G21" s="288">
        <f t="shared" si="0"/>
        <v>0</v>
      </c>
      <c r="H21" s="289"/>
      <c r="I21" s="290"/>
      <c r="J21" s="291"/>
      <c r="K21" s="292"/>
      <c r="L21" s="279"/>
      <c r="M21" s="279"/>
    </row>
    <row r="22" spans="1:13" ht="12.75" customHeight="1">
      <c r="A22" s="849" t="s">
        <v>481</v>
      </c>
      <c r="B22" s="849"/>
      <c r="C22" s="286">
        <v>62</v>
      </c>
      <c r="D22" s="287"/>
      <c r="E22" s="287"/>
      <c r="F22" s="287"/>
      <c r="G22" s="288">
        <f t="shared" si="0"/>
        <v>0</v>
      </c>
      <c r="H22" s="289"/>
      <c r="I22" s="290"/>
      <c r="J22" s="291"/>
      <c r="K22" s="292"/>
      <c r="L22" s="279"/>
      <c r="M22" s="279"/>
    </row>
    <row r="23" spans="1:13" ht="12.75" customHeight="1">
      <c r="A23" s="849" t="s">
        <v>482</v>
      </c>
      <c r="B23" s="849"/>
      <c r="C23" s="286">
        <v>40</v>
      </c>
      <c r="D23" s="287"/>
      <c r="E23" s="287"/>
      <c r="F23" s="287"/>
      <c r="G23" s="288">
        <f t="shared" si="0"/>
        <v>0</v>
      </c>
      <c r="H23" s="289"/>
      <c r="I23" s="290"/>
      <c r="J23" s="291"/>
      <c r="K23" s="292"/>
      <c r="L23" s="279"/>
      <c r="M23" s="279"/>
    </row>
    <row r="24" spans="1:13" ht="12.75" customHeight="1">
      <c r="A24" s="849" t="s">
        <v>483</v>
      </c>
      <c r="B24" s="849"/>
      <c r="C24" s="286">
        <v>10</v>
      </c>
      <c r="D24" s="287"/>
      <c r="E24" s="287"/>
      <c r="F24" s="287"/>
      <c r="G24" s="288">
        <f t="shared" si="0"/>
        <v>0</v>
      </c>
      <c r="H24" s="289"/>
      <c r="I24" s="290"/>
      <c r="J24" s="291"/>
      <c r="K24" s="292"/>
      <c r="L24" s="279"/>
      <c r="M24" s="279"/>
    </row>
    <row r="25" spans="1:13" ht="12.75" customHeight="1">
      <c r="A25" s="849" t="s">
        <v>484</v>
      </c>
      <c r="B25" s="849"/>
      <c r="C25" s="286">
        <v>55</v>
      </c>
      <c r="D25" s="287"/>
      <c r="E25" s="287"/>
      <c r="F25" s="287"/>
      <c r="G25" s="288">
        <f t="shared" si="0"/>
        <v>0</v>
      </c>
      <c r="H25" s="289"/>
      <c r="I25" s="290"/>
      <c r="J25" s="291"/>
      <c r="K25" s="292"/>
      <c r="L25" s="279"/>
      <c r="M25" s="279"/>
    </row>
    <row r="26" spans="1:13" ht="12.75" customHeight="1">
      <c r="A26" s="849" t="s">
        <v>1403</v>
      </c>
      <c r="B26" s="849"/>
      <c r="C26" s="293">
        <v>290</v>
      </c>
      <c r="D26" s="287"/>
      <c r="E26" s="287"/>
      <c r="F26" s="287"/>
      <c r="G26" s="288">
        <f t="shared" si="0"/>
        <v>0</v>
      </c>
      <c r="H26" s="289"/>
      <c r="I26" s="290"/>
      <c r="J26" s="291"/>
      <c r="K26" s="294"/>
      <c r="L26" s="279"/>
      <c r="M26" s="279"/>
    </row>
    <row r="27" spans="1:13" ht="12.75" customHeight="1">
      <c r="A27" s="849" t="s">
        <v>1404</v>
      </c>
      <c r="B27" s="849"/>
      <c r="C27" s="293">
        <v>220</v>
      </c>
      <c r="D27" s="287"/>
      <c r="E27" s="287"/>
      <c r="F27" s="287"/>
      <c r="G27" s="288">
        <f t="shared" si="0"/>
        <v>0</v>
      </c>
      <c r="H27" s="289"/>
      <c r="I27" s="290"/>
      <c r="J27" s="291"/>
      <c r="K27" s="294"/>
      <c r="L27" s="279"/>
      <c r="M27" s="279"/>
    </row>
    <row r="28" spans="1:13" ht="12.75" customHeight="1">
      <c r="A28" s="849" t="s">
        <v>1405</v>
      </c>
      <c r="B28" s="849"/>
      <c r="C28" s="293">
        <v>25</v>
      </c>
      <c r="D28" s="287"/>
      <c r="E28" s="287"/>
      <c r="F28" s="287"/>
      <c r="G28" s="288">
        <f t="shared" si="0"/>
        <v>0</v>
      </c>
      <c r="H28" s="289"/>
      <c r="I28" s="290"/>
      <c r="J28" s="291"/>
      <c r="K28" s="294"/>
      <c r="L28" s="279"/>
      <c r="M28" s="279"/>
    </row>
    <row r="29" spans="1:13" ht="12.75" customHeight="1">
      <c r="A29" s="849" t="s">
        <v>1406</v>
      </c>
      <c r="B29" s="849"/>
      <c r="C29" s="293">
        <v>145</v>
      </c>
      <c r="D29" s="287"/>
      <c r="E29" s="287"/>
      <c r="F29" s="287"/>
      <c r="G29" s="288">
        <f t="shared" si="0"/>
        <v>0</v>
      </c>
      <c r="H29" s="289"/>
      <c r="I29" s="290"/>
      <c r="J29" s="291"/>
      <c r="K29" s="294"/>
      <c r="L29" s="279"/>
      <c r="M29" s="279"/>
    </row>
    <row r="30" spans="1:13" ht="12.75" customHeight="1">
      <c r="A30" s="849" t="s">
        <v>1407</v>
      </c>
      <c r="B30" s="849"/>
      <c r="C30" s="293">
        <v>130</v>
      </c>
      <c r="D30" s="287"/>
      <c r="E30" s="287"/>
      <c r="F30" s="287"/>
      <c r="G30" s="288">
        <f t="shared" si="0"/>
        <v>0</v>
      </c>
      <c r="H30" s="289"/>
      <c r="I30" s="290"/>
      <c r="J30" s="291"/>
      <c r="K30" s="294"/>
      <c r="L30" s="279"/>
      <c r="M30" s="279"/>
    </row>
    <row r="31" spans="1:13" ht="12.75" customHeight="1">
      <c r="A31" s="849" t="s">
        <v>1408</v>
      </c>
      <c r="B31" s="849"/>
      <c r="C31" s="293">
        <v>55</v>
      </c>
      <c r="D31" s="287"/>
      <c r="E31" s="287"/>
      <c r="F31" s="287"/>
      <c r="G31" s="288">
        <f t="shared" si="0"/>
        <v>0</v>
      </c>
      <c r="H31" s="289"/>
      <c r="I31" s="290"/>
      <c r="J31" s="291"/>
      <c r="K31" s="294"/>
      <c r="L31" s="279"/>
      <c r="M31" s="279"/>
    </row>
    <row r="32" spans="1:13" ht="12.75" customHeight="1">
      <c r="A32" s="849" t="s">
        <v>1409</v>
      </c>
      <c r="B32" s="849"/>
      <c r="C32" s="293">
        <v>110</v>
      </c>
      <c r="D32" s="287"/>
      <c r="E32" s="287"/>
      <c r="F32" s="287"/>
      <c r="G32" s="288">
        <f t="shared" si="0"/>
        <v>0</v>
      </c>
      <c r="H32" s="289"/>
      <c r="I32" s="290"/>
      <c r="J32" s="291"/>
      <c r="K32" s="294"/>
      <c r="L32" s="279"/>
      <c r="M32" s="279"/>
    </row>
    <row r="33" spans="1:13" ht="12.75" customHeight="1">
      <c r="A33" s="849" t="s">
        <v>1410</v>
      </c>
      <c r="B33" s="849"/>
      <c r="C33" s="293">
        <v>60</v>
      </c>
      <c r="D33" s="287"/>
      <c r="E33" s="287"/>
      <c r="F33" s="287"/>
      <c r="G33" s="288">
        <f t="shared" si="0"/>
        <v>0</v>
      </c>
      <c r="H33" s="289"/>
      <c r="I33" s="290"/>
      <c r="J33" s="291"/>
      <c r="K33" s="294"/>
      <c r="L33" s="279"/>
      <c r="M33" s="279"/>
    </row>
    <row r="34" spans="1:13" ht="12.75" customHeight="1">
      <c r="A34" s="849" t="s">
        <v>485</v>
      </c>
      <c r="B34" s="849"/>
      <c r="C34" s="293">
        <v>1200</v>
      </c>
      <c r="D34" s="287"/>
      <c r="E34" s="287"/>
      <c r="F34" s="287"/>
      <c r="G34" s="288">
        <f t="shared" si="0"/>
        <v>0</v>
      </c>
      <c r="H34" s="289"/>
      <c r="I34" s="290"/>
      <c r="J34" s="291"/>
      <c r="K34" s="294"/>
      <c r="L34" s="279"/>
      <c r="M34" s="279"/>
    </row>
    <row r="35" spans="1:13" ht="12.75" customHeight="1">
      <c r="A35" s="849" t="s">
        <v>486</v>
      </c>
      <c r="B35" s="849"/>
      <c r="C35" s="293">
        <v>250</v>
      </c>
      <c r="D35" s="287"/>
      <c r="E35" s="287"/>
      <c r="F35" s="287"/>
      <c r="G35" s="288">
        <f t="shared" si="0"/>
        <v>0</v>
      </c>
      <c r="H35" s="289"/>
      <c r="I35" s="290"/>
      <c r="J35" s="291"/>
      <c r="K35" s="294"/>
      <c r="L35" s="279"/>
      <c r="M35" s="279"/>
    </row>
    <row r="36" spans="1:13" ht="12.75" customHeight="1">
      <c r="A36" s="849" t="s">
        <v>487</v>
      </c>
      <c r="B36" s="849"/>
      <c r="C36" s="293">
        <v>450</v>
      </c>
      <c r="D36" s="287"/>
      <c r="E36" s="287"/>
      <c r="F36" s="287"/>
      <c r="G36" s="288">
        <f t="shared" si="0"/>
        <v>0</v>
      </c>
      <c r="H36" s="289"/>
      <c r="I36" s="290"/>
      <c r="J36" s="291"/>
      <c r="K36" s="294"/>
      <c r="L36" s="279"/>
      <c r="M36" s="279"/>
    </row>
    <row r="37" spans="1:13" ht="12.75" customHeight="1">
      <c r="A37" s="849" t="s">
        <v>459</v>
      </c>
      <c r="B37" s="849"/>
      <c r="C37" s="293">
        <v>1</v>
      </c>
      <c r="D37" s="287"/>
      <c r="E37" s="287"/>
      <c r="F37" s="287"/>
      <c r="G37" s="288">
        <f>C37*F37</f>
        <v>0</v>
      </c>
      <c r="H37" s="289"/>
      <c r="I37" s="290"/>
      <c r="J37" s="291"/>
      <c r="K37" s="294"/>
      <c r="L37" s="279"/>
      <c r="M37" s="279"/>
    </row>
    <row r="38" spans="1:13" ht="12.75" customHeight="1">
      <c r="A38" s="849" t="s">
        <v>1266</v>
      </c>
      <c r="B38" s="849"/>
      <c r="C38" s="293">
        <v>1</v>
      </c>
      <c r="D38" s="287"/>
      <c r="E38" s="287"/>
      <c r="F38" s="287"/>
      <c r="G38" s="288">
        <f>C38*F38</f>
        <v>0</v>
      </c>
      <c r="H38" s="289"/>
      <c r="I38" s="290"/>
      <c r="J38" s="291"/>
      <c r="K38" s="294"/>
      <c r="L38" s="279"/>
      <c r="M38" s="279"/>
    </row>
    <row r="39" spans="1:13" ht="12.75" customHeight="1">
      <c r="A39" s="850" t="s">
        <v>488</v>
      </c>
      <c r="B39" s="850"/>
      <c r="C39" s="293">
        <v>1</v>
      </c>
      <c r="D39" s="295"/>
      <c r="E39" s="295"/>
      <c r="F39" s="287"/>
      <c r="G39" s="288">
        <f t="shared" si="0"/>
        <v>0</v>
      </c>
      <c r="H39" s="289"/>
      <c r="I39" s="290"/>
      <c r="J39" s="291"/>
      <c r="K39" s="292"/>
      <c r="L39" s="279"/>
      <c r="M39" s="279"/>
    </row>
    <row r="40" spans="1:13" ht="12.75" customHeight="1">
      <c r="A40" s="850" t="s">
        <v>489</v>
      </c>
      <c r="B40" s="850"/>
      <c r="C40" s="293">
        <v>1</v>
      </c>
      <c r="D40" s="295"/>
      <c r="E40" s="295"/>
      <c r="F40" s="287"/>
      <c r="G40" s="288">
        <f t="shared" si="0"/>
        <v>0</v>
      </c>
      <c r="H40" s="289"/>
      <c r="I40" s="290"/>
      <c r="J40" s="291"/>
      <c r="K40" s="292"/>
      <c r="L40" s="279"/>
      <c r="M40" s="279"/>
    </row>
    <row r="41" spans="1:13" ht="12" customHeight="1" thickBot="1">
      <c r="A41" s="850" t="s">
        <v>490</v>
      </c>
      <c r="B41" s="850"/>
      <c r="C41" s="293">
        <v>1</v>
      </c>
      <c r="D41" s="295"/>
      <c r="E41" s="295"/>
      <c r="F41" s="287"/>
      <c r="G41" s="288">
        <f t="shared" si="0"/>
        <v>0</v>
      </c>
      <c r="H41" s="289"/>
      <c r="I41" s="290"/>
      <c r="J41" s="291"/>
      <c r="K41" s="292"/>
      <c r="L41" s="279"/>
      <c r="M41" s="279"/>
    </row>
    <row r="42" spans="1:13" ht="12.75" customHeight="1" thickBot="1">
      <c r="A42" s="847" t="s">
        <v>491</v>
      </c>
      <c r="B42" s="848"/>
      <c r="C42" s="296" t="s">
        <v>464</v>
      </c>
      <c r="D42" s="297"/>
      <c r="E42" s="297"/>
      <c r="F42" s="297"/>
      <c r="G42" s="298" t="s">
        <v>462</v>
      </c>
      <c r="H42" s="289"/>
      <c r="I42" s="290"/>
      <c r="J42" s="291"/>
      <c r="K42" s="294"/>
      <c r="L42" s="279"/>
      <c r="M42" s="279"/>
    </row>
    <row r="43" spans="1:13" ht="12.75" customHeight="1">
      <c r="A43" s="849" t="s">
        <v>492</v>
      </c>
      <c r="B43" s="849"/>
      <c r="C43" s="293">
        <v>3</v>
      </c>
      <c r="D43" s="295"/>
      <c r="E43" s="295"/>
      <c r="F43" s="287"/>
      <c r="G43" s="288">
        <f aca="true" t="shared" si="1" ref="G43:G49">C43*F43</f>
        <v>0</v>
      </c>
      <c r="H43" s="289"/>
      <c r="I43" s="290"/>
      <c r="J43" s="291"/>
      <c r="K43" s="294"/>
      <c r="L43" s="279"/>
      <c r="M43" s="279"/>
    </row>
    <row r="44" spans="1:13" ht="12.75" customHeight="1">
      <c r="A44" s="851" t="s">
        <v>493</v>
      </c>
      <c r="B44" s="851"/>
      <c r="C44" s="293">
        <v>1</v>
      </c>
      <c r="D44" s="295"/>
      <c r="E44" s="295"/>
      <c r="F44" s="287"/>
      <c r="G44" s="288">
        <f t="shared" si="1"/>
        <v>0</v>
      </c>
      <c r="H44" s="289"/>
      <c r="I44" s="290"/>
      <c r="J44" s="291"/>
      <c r="K44" s="294"/>
      <c r="L44" s="279"/>
      <c r="M44" s="279"/>
    </row>
    <row r="45" spans="1:13" ht="12.75" customHeight="1">
      <c r="A45" s="851" t="s">
        <v>494</v>
      </c>
      <c r="B45" s="851"/>
      <c r="C45" s="293">
        <v>1</v>
      </c>
      <c r="D45" s="295"/>
      <c r="E45" s="295"/>
      <c r="F45" s="287"/>
      <c r="G45" s="288">
        <f t="shared" si="1"/>
        <v>0</v>
      </c>
      <c r="H45" s="289"/>
      <c r="I45" s="290"/>
      <c r="J45" s="291"/>
      <c r="K45" s="294"/>
      <c r="L45" s="279"/>
      <c r="M45" s="279"/>
    </row>
    <row r="46" spans="1:13" ht="12.75" customHeight="1">
      <c r="A46" s="851" t="s">
        <v>495</v>
      </c>
      <c r="B46" s="851"/>
      <c r="C46" s="293">
        <v>1</v>
      </c>
      <c r="D46" s="295"/>
      <c r="E46" s="295"/>
      <c r="F46" s="287"/>
      <c r="G46" s="288">
        <f t="shared" si="1"/>
        <v>0</v>
      </c>
      <c r="H46" s="289"/>
      <c r="I46" s="290"/>
      <c r="J46" s="291"/>
      <c r="K46" s="294"/>
      <c r="L46" s="279"/>
      <c r="M46" s="279"/>
    </row>
    <row r="47" spans="1:13" ht="12.75" customHeight="1">
      <c r="A47" s="850" t="s">
        <v>488</v>
      </c>
      <c r="B47" s="850"/>
      <c r="C47" s="293">
        <v>1</v>
      </c>
      <c r="D47" s="295"/>
      <c r="E47" s="295"/>
      <c r="F47" s="287"/>
      <c r="G47" s="288">
        <f t="shared" si="1"/>
        <v>0</v>
      </c>
      <c r="H47" s="289"/>
      <c r="I47" s="290"/>
      <c r="J47" s="291"/>
      <c r="K47" s="292"/>
      <c r="L47" s="279"/>
      <c r="M47" s="279"/>
    </row>
    <row r="48" spans="1:13" ht="12.75" customHeight="1">
      <c r="A48" s="850" t="s">
        <v>489</v>
      </c>
      <c r="B48" s="850"/>
      <c r="C48" s="293">
        <v>1</v>
      </c>
      <c r="D48" s="295"/>
      <c r="E48" s="295"/>
      <c r="F48" s="287"/>
      <c r="G48" s="288">
        <f t="shared" si="1"/>
        <v>0</v>
      </c>
      <c r="H48" s="289"/>
      <c r="I48" s="290"/>
      <c r="J48" s="291"/>
      <c r="K48" s="292"/>
      <c r="L48" s="279"/>
      <c r="M48" s="279"/>
    </row>
    <row r="49" spans="1:13" ht="12" customHeight="1" thickBot="1">
      <c r="A49" s="850" t="s">
        <v>490</v>
      </c>
      <c r="B49" s="850"/>
      <c r="C49" s="293">
        <v>1</v>
      </c>
      <c r="D49" s="295"/>
      <c r="E49" s="295"/>
      <c r="F49" s="287"/>
      <c r="G49" s="288">
        <f t="shared" si="1"/>
        <v>0</v>
      </c>
      <c r="H49" s="289"/>
      <c r="I49" s="290"/>
      <c r="J49" s="291"/>
      <c r="K49" s="292"/>
      <c r="L49" s="279"/>
      <c r="M49" s="279"/>
    </row>
    <row r="50" spans="1:13" ht="12.75" customHeight="1" thickBot="1">
      <c r="A50" s="847" t="s">
        <v>496</v>
      </c>
      <c r="B50" s="848"/>
      <c r="C50" s="296" t="s">
        <v>464</v>
      </c>
      <c r="D50" s="297"/>
      <c r="E50" s="297"/>
      <c r="F50" s="297"/>
      <c r="G50" s="298" t="s">
        <v>462</v>
      </c>
      <c r="H50" s="289"/>
      <c r="I50" s="290"/>
      <c r="J50" s="291"/>
      <c r="K50" s="294"/>
      <c r="L50" s="279"/>
      <c r="M50" s="279"/>
    </row>
    <row r="51" spans="1:13" ht="12.75" customHeight="1">
      <c r="A51" s="849" t="s">
        <v>497</v>
      </c>
      <c r="B51" s="849"/>
      <c r="C51" s="293">
        <v>26</v>
      </c>
      <c r="D51" s="295"/>
      <c r="E51" s="295"/>
      <c r="F51" s="287"/>
      <c r="G51" s="288">
        <f aca="true" t="shared" si="2" ref="G51:G59">C51*F51</f>
        <v>0</v>
      </c>
      <c r="H51" s="289"/>
      <c r="I51" s="290"/>
      <c r="J51" s="291"/>
      <c r="K51" s="294"/>
      <c r="L51" s="279"/>
      <c r="M51" s="279"/>
    </row>
    <row r="52" spans="1:13" ht="12.75" customHeight="1">
      <c r="A52" s="851" t="s">
        <v>498</v>
      </c>
      <c r="B52" s="851"/>
      <c r="C52" s="293">
        <v>26</v>
      </c>
      <c r="D52" s="295"/>
      <c r="E52" s="295"/>
      <c r="F52" s="287"/>
      <c r="G52" s="288">
        <f t="shared" si="2"/>
        <v>0</v>
      </c>
      <c r="H52" s="289"/>
      <c r="I52" s="290"/>
      <c r="J52" s="291"/>
      <c r="K52" s="294"/>
      <c r="L52" s="279"/>
      <c r="M52" s="279"/>
    </row>
    <row r="53" spans="1:13" ht="12.75" customHeight="1">
      <c r="A53" s="851" t="s">
        <v>499</v>
      </c>
      <c r="B53" s="851"/>
      <c r="C53" s="293">
        <v>26</v>
      </c>
      <c r="D53" s="295"/>
      <c r="E53" s="295"/>
      <c r="F53" s="287"/>
      <c r="G53" s="288">
        <f t="shared" si="2"/>
        <v>0</v>
      </c>
      <c r="H53" s="289"/>
      <c r="I53" s="290"/>
      <c r="J53" s="291"/>
      <c r="K53" s="294"/>
      <c r="L53" s="279"/>
      <c r="M53" s="279"/>
    </row>
    <row r="54" spans="1:13" ht="12.75" customHeight="1">
      <c r="A54" s="851" t="s">
        <v>500</v>
      </c>
      <c r="B54" s="851"/>
      <c r="C54" s="293">
        <v>208</v>
      </c>
      <c r="D54" s="295"/>
      <c r="E54" s="295"/>
      <c r="F54" s="287"/>
      <c r="G54" s="288">
        <f t="shared" si="2"/>
        <v>0</v>
      </c>
      <c r="H54" s="289"/>
      <c r="I54" s="290"/>
      <c r="J54" s="291"/>
      <c r="K54" s="294"/>
      <c r="L54" s="279"/>
      <c r="M54" s="279"/>
    </row>
    <row r="55" spans="1:13" ht="12.75" customHeight="1">
      <c r="A55" s="851" t="s">
        <v>501</v>
      </c>
      <c r="B55" s="851"/>
      <c r="C55" s="293">
        <v>156</v>
      </c>
      <c r="D55" s="295"/>
      <c r="E55" s="295"/>
      <c r="F55" s="287"/>
      <c r="G55" s="288">
        <f t="shared" si="2"/>
        <v>0</v>
      </c>
      <c r="H55" s="289"/>
      <c r="I55" s="290"/>
      <c r="J55" s="291"/>
      <c r="K55" s="294"/>
      <c r="L55" s="279"/>
      <c r="M55" s="279"/>
    </row>
    <row r="56" spans="1:13" ht="12.75" customHeight="1">
      <c r="A56" s="851" t="s">
        <v>502</v>
      </c>
      <c r="B56" s="851"/>
      <c r="C56" s="293">
        <v>26</v>
      </c>
      <c r="D56" s="295"/>
      <c r="E56" s="295"/>
      <c r="F56" s="287"/>
      <c r="G56" s="288">
        <f t="shared" si="2"/>
        <v>0</v>
      </c>
      <c r="H56" s="289"/>
      <c r="I56" s="290"/>
      <c r="J56" s="291"/>
      <c r="K56" s="294"/>
      <c r="L56" s="279"/>
      <c r="M56" s="279"/>
    </row>
    <row r="57" spans="1:13" ht="12.75" customHeight="1">
      <c r="A57" s="851" t="s">
        <v>503</v>
      </c>
      <c r="B57" s="851"/>
      <c r="C57" s="293">
        <v>55</v>
      </c>
      <c r="D57" s="295"/>
      <c r="E57" s="295"/>
      <c r="F57" s="287"/>
      <c r="G57" s="288">
        <f t="shared" si="2"/>
        <v>0</v>
      </c>
      <c r="H57" s="289"/>
      <c r="I57" s="290"/>
      <c r="J57" s="291"/>
      <c r="K57" s="294"/>
      <c r="L57" s="279"/>
      <c r="M57" s="279"/>
    </row>
    <row r="58" spans="1:13" ht="12.75" customHeight="1">
      <c r="A58" s="851" t="s">
        <v>504</v>
      </c>
      <c r="B58" s="851"/>
      <c r="C58" s="293">
        <v>25</v>
      </c>
      <c r="D58" s="295"/>
      <c r="E58" s="295"/>
      <c r="F58" s="287"/>
      <c r="G58" s="288">
        <f t="shared" si="2"/>
        <v>0</v>
      </c>
      <c r="H58" s="289"/>
      <c r="I58" s="290"/>
      <c r="J58" s="291"/>
      <c r="K58" s="294"/>
      <c r="L58" s="279"/>
      <c r="M58" s="279"/>
    </row>
    <row r="59" spans="1:13" ht="12.75" customHeight="1" thickBot="1">
      <c r="A59" s="852" t="s">
        <v>505</v>
      </c>
      <c r="B59" s="852"/>
      <c r="C59" s="293">
        <v>26</v>
      </c>
      <c r="D59" s="295"/>
      <c r="E59" s="295"/>
      <c r="F59" s="287"/>
      <c r="G59" s="288">
        <f t="shared" si="2"/>
        <v>0</v>
      </c>
      <c r="H59" s="289"/>
      <c r="I59" s="290"/>
      <c r="J59" s="291"/>
      <c r="K59" s="292"/>
      <c r="L59" s="279"/>
      <c r="M59" s="279"/>
    </row>
    <row r="60" spans="1:13" ht="12.75" customHeight="1" thickBot="1">
      <c r="A60" s="847" t="s">
        <v>506</v>
      </c>
      <c r="B60" s="848"/>
      <c r="C60" s="296" t="s">
        <v>464</v>
      </c>
      <c r="D60" s="297"/>
      <c r="E60" s="297"/>
      <c r="F60" s="297"/>
      <c r="G60" s="298" t="s">
        <v>462</v>
      </c>
      <c r="H60" s="289"/>
      <c r="I60" s="290"/>
      <c r="J60" s="291"/>
      <c r="K60" s="292"/>
      <c r="L60" s="279"/>
      <c r="M60" s="279"/>
    </row>
    <row r="61" spans="1:13" ht="12.75" customHeight="1">
      <c r="A61" s="849" t="s">
        <v>507</v>
      </c>
      <c r="B61" s="849"/>
      <c r="C61" s="286">
        <v>4800</v>
      </c>
      <c r="D61" s="287"/>
      <c r="E61" s="287"/>
      <c r="F61" s="287"/>
      <c r="G61" s="288">
        <f aca="true" t="shared" si="3" ref="G61:G68">C61*F61</f>
        <v>0</v>
      </c>
      <c r="H61" s="289"/>
      <c r="I61" s="290"/>
      <c r="J61" s="291"/>
      <c r="K61" s="292"/>
      <c r="L61" s="279"/>
      <c r="M61" s="279"/>
    </row>
    <row r="62" spans="1:13" ht="12.75" customHeight="1">
      <c r="A62" s="849" t="s">
        <v>508</v>
      </c>
      <c r="B62" s="849"/>
      <c r="C62" s="293">
        <v>4000</v>
      </c>
      <c r="D62" s="287"/>
      <c r="E62" s="287"/>
      <c r="F62" s="287"/>
      <c r="G62" s="288">
        <f t="shared" si="3"/>
        <v>0</v>
      </c>
      <c r="H62" s="289"/>
      <c r="I62" s="290"/>
      <c r="J62" s="291"/>
      <c r="K62" s="294"/>
      <c r="L62" s="279"/>
      <c r="M62" s="279"/>
    </row>
    <row r="63" spans="1:13" ht="12.75" customHeight="1">
      <c r="A63" s="850" t="s">
        <v>509</v>
      </c>
      <c r="B63" s="850"/>
      <c r="C63" s="293">
        <v>2</v>
      </c>
      <c r="D63" s="295"/>
      <c r="E63" s="295"/>
      <c r="F63" s="287"/>
      <c r="G63" s="288">
        <f t="shared" si="3"/>
        <v>0</v>
      </c>
      <c r="H63" s="289"/>
      <c r="I63" s="290"/>
      <c r="J63" s="291"/>
      <c r="K63" s="294"/>
      <c r="L63" s="279"/>
      <c r="M63" s="279"/>
    </row>
    <row r="64" spans="1:13" ht="12.75" customHeight="1">
      <c r="A64" s="850" t="s">
        <v>510</v>
      </c>
      <c r="B64" s="850"/>
      <c r="C64" s="293">
        <v>1</v>
      </c>
      <c r="D64" s="295"/>
      <c r="E64" s="295"/>
      <c r="F64" s="287"/>
      <c r="G64" s="288">
        <f t="shared" si="3"/>
        <v>0</v>
      </c>
      <c r="H64" s="289"/>
      <c r="I64" s="290"/>
      <c r="J64" s="291"/>
      <c r="K64" s="292"/>
      <c r="L64" s="279"/>
      <c r="M64" s="279"/>
    </row>
    <row r="65" spans="1:13" ht="12.75" customHeight="1">
      <c r="A65" s="849" t="s">
        <v>1480</v>
      </c>
      <c r="B65" s="849"/>
      <c r="C65" s="293">
        <v>98</v>
      </c>
      <c r="D65" s="287"/>
      <c r="E65" s="287"/>
      <c r="F65" s="287"/>
      <c r="G65" s="288">
        <f t="shared" si="3"/>
        <v>0</v>
      </c>
      <c r="H65" s="289"/>
      <c r="I65" s="290"/>
      <c r="J65" s="291"/>
      <c r="K65" s="292"/>
      <c r="L65" s="279"/>
      <c r="M65" s="279"/>
    </row>
    <row r="66" spans="1:13" ht="12.75" customHeight="1">
      <c r="A66" s="850" t="s">
        <v>488</v>
      </c>
      <c r="B66" s="850"/>
      <c r="C66" s="293">
        <v>1</v>
      </c>
      <c r="D66" s="295"/>
      <c r="E66" s="295"/>
      <c r="F66" s="287"/>
      <c r="G66" s="288">
        <f t="shared" si="3"/>
        <v>0</v>
      </c>
      <c r="H66" s="289"/>
      <c r="I66" s="290"/>
      <c r="J66" s="291"/>
      <c r="K66" s="292"/>
      <c r="L66" s="279"/>
      <c r="M66" s="279"/>
    </row>
    <row r="67" spans="1:13" ht="12.75" customHeight="1">
      <c r="A67" s="850" t="s">
        <v>489</v>
      </c>
      <c r="B67" s="850"/>
      <c r="C67" s="293">
        <v>1</v>
      </c>
      <c r="D67" s="295"/>
      <c r="E67" s="295"/>
      <c r="F67" s="287"/>
      <c r="G67" s="288">
        <f t="shared" si="3"/>
        <v>0</v>
      </c>
      <c r="H67" s="289"/>
      <c r="I67" s="290"/>
      <c r="J67" s="291"/>
      <c r="K67" s="292"/>
      <c r="L67" s="279"/>
      <c r="M67" s="279"/>
    </row>
    <row r="68" spans="1:13" ht="12" customHeight="1" thickBot="1">
      <c r="A68" s="850" t="s">
        <v>490</v>
      </c>
      <c r="B68" s="850"/>
      <c r="C68" s="293">
        <v>1</v>
      </c>
      <c r="D68" s="295"/>
      <c r="E68" s="295"/>
      <c r="F68" s="287"/>
      <c r="G68" s="288">
        <f t="shared" si="3"/>
        <v>0</v>
      </c>
      <c r="H68" s="289"/>
      <c r="I68" s="290"/>
      <c r="J68" s="291"/>
      <c r="K68" s="292"/>
      <c r="L68" s="279"/>
      <c r="M68" s="279"/>
    </row>
    <row r="69" spans="1:13" ht="12.75" customHeight="1" thickBot="1">
      <c r="A69" s="847" t="s">
        <v>511</v>
      </c>
      <c r="B69" s="848"/>
      <c r="C69" s="296" t="s">
        <v>464</v>
      </c>
      <c r="D69" s="297"/>
      <c r="E69" s="297"/>
      <c r="F69" s="297"/>
      <c r="G69" s="298" t="s">
        <v>462</v>
      </c>
      <c r="H69" s="289"/>
      <c r="I69" s="290"/>
      <c r="J69" s="291"/>
      <c r="K69" s="292"/>
      <c r="L69" s="279"/>
      <c r="M69" s="279"/>
    </row>
    <row r="70" spans="1:13" ht="12.75" customHeight="1">
      <c r="A70" s="850" t="s">
        <v>512</v>
      </c>
      <c r="B70" s="850"/>
      <c r="C70" s="293">
        <v>1</v>
      </c>
      <c r="D70" s="295"/>
      <c r="E70" s="295"/>
      <c r="F70" s="287"/>
      <c r="G70" s="288">
        <f aca="true" t="shared" si="4" ref="G70:G75">C70*F70</f>
        <v>0</v>
      </c>
      <c r="H70" s="289"/>
      <c r="I70" s="290"/>
      <c r="J70" s="291"/>
      <c r="K70" s="292"/>
      <c r="L70" s="279"/>
      <c r="M70" s="279"/>
    </row>
    <row r="71" spans="1:13" ht="12.75" customHeight="1">
      <c r="A71" s="849" t="s">
        <v>513</v>
      </c>
      <c r="B71" s="849"/>
      <c r="C71" s="286">
        <v>2800</v>
      </c>
      <c r="D71" s="287"/>
      <c r="E71" s="287"/>
      <c r="F71" s="287"/>
      <c r="G71" s="288">
        <f t="shared" si="4"/>
        <v>0</v>
      </c>
      <c r="H71" s="289"/>
      <c r="I71" s="290"/>
      <c r="J71" s="291"/>
      <c r="K71" s="292"/>
      <c r="L71" s="279"/>
      <c r="M71" s="279"/>
    </row>
    <row r="72" spans="1:13" ht="12.75" customHeight="1">
      <c r="A72" s="849" t="s">
        <v>1411</v>
      </c>
      <c r="B72" s="849"/>
      <c r="C72" s="293">
        <v>38</v>
      </c>
      <c r="D72" s="287"/>
      <c r="E72" s="287"/>
      <c r="F72" s="287"/>
      <c r="G72" s="288">
        <f t="shared" si="4"/>
        <v>0</v>
      </c>
      <c r="H72" s="289"/>
      <c r="I72" s="290"/>
      <c r="J72" s="291"/>
      <c r="K72" s="292"/>
      <c r="L72" s="279"/>
      <c r="M72" s="279"/>
    </row>
    <row r="73" spans="1:13" ht="12.75" customHeight="1">
      <c r="A73" s="850" t="s">
        <v>488</v>
      </c>
      <c r="B73" s="850"/>
      <c r="C73" s="293">
        <v>1</v>
      </c>
      <c r="D73" s="295"/>
      <c r="E73" s="295"/>
      <c r="F73" s="287"/>
      <c r="G73" s="288">
        <f t="shared" si="4"/>
        <v>0</v>
      </c>
      <c r="H73" s="289"/>
      <c r="I73" s="290"/>
      <c r="J73" s="291"/>
      <c r="K73" s="292"/>
      <c r="L73" s="279"/>
      <c r="M73" s="279"/>
    </row>
    <row r="74" spans="1:13" ht="12.75" customHeight="1">
      <c r="A74" s="850" t="s">
        <v>489</v>
      </c>
      <c r="B74" s="850"/>
      <c r="C74" s="293">
        <v>1</v>
      </c>
      <c r="D74" s="295"/>
      <c r="E74" s="295"/>
      <c r="F74" s="287"/>
      <c r="G74" s="288">
        <f t="shared" si="4"/>
        <v>0</v>
      </c>
      <c r="H74" s="289"/>
      <c r="I74" s="290"/>
      <c r="J74" s="291"/>
      <c r="K74" s="292"/>
      <c r="L74" s="279"/>
      <c r="M74" s="279"/>
    </row>
    <row r="75" spans="1:13" ht="12" customHeight="1" thickBot="1">
      <c r="A75" s="850" t="s">
        <v>490</v>
      </c>
      <c r="B75" s="850"/>
      <c r="C75" s="293">
        <v>1</v>
      </c>
      <c r="D75" s="295"/>
      <c r="E75" s="295"/>
      <c r="F75" s="287"/>
      <c r="G75" s="288">
        <f t="shared" si="4"/>
        <v>0</v>
      </c>
      <c r="H75" s="289"/>
      <c r="I75" s="290"/>
      <c r="J75" s="291"/>
      <c r="K75" s="292"/>
      <c r="L75" s="279"/>
      <c r="M75" s="279"/>
    </row>
    <row r="76" spans="1:13" ht="12.75" customHeight="1" thickBot="1">
      <c r="A76" s="847" t="s">
        <v>514</v>
      </c>
      <c r="B76" s="848"/>
      <c r="C76" s="296" t="s">
        <v>464</v>
      </c>
      <c r="D76" s="297"/>
      <c r="E76" s="297"/>
      <c r="F76" s="297"/>
      <c r="G76" s="298" t="s">
        <v>462</v>
      </c>
      <c r="H76" s="289"/>
      <c r="I76" s="290"/>
      <c r="J76" s="291"/>
      <c r="K76" s="292"/>
      <c r="L76" s="279"/>
      <c r="M76" s="279"/>
    </row>
    <row r="77" spans="1:13" ht="12.75" customHeight="1">
      <c r="A77" s="850" t="s">
        <v>515</v>
      </c>
      <c r="B77" s="850"/>
      <c r="C77" s="293">
        <v>1</v>
      </c>
      <c r="D77" s="295"/>
      <c r="E77" s="295"/>
      <c r="F77" s="287"/>
      <c r="G77" s="288">
        <f aca="true" t="shared" si="5" ref="G77:G83">C77*F77</f>
        <v>0</v>
      </c>
      <c r="H77" s="289"/>
      <c r="I77" s="290"/>
      <c r="J77" s="291"/>
      <c r="K77" s="292"/>
      <c r="L77" s="279"/>
      <c r="M77" s="279"/>
    </row>
    <row r="78" spans="1:13" ht="12.75" customHeight="1">
      <c r="A78" s="850" t="s">
        <v>516</v>
      </c>
      <c r="B78" s="850"/>
      <c r="C78" s="293">
        <v>1</v>
      </c>
      <c r="D78" s="295"/>
      <c r="E78" s="295"/>
      <c r="F78" s="287"/>
      <c r="G78" s="288">
        <f t="shared" si="5"/>
        <v>0</v>
      </c>
      <c r="H78" s="289"/>
      <c r="I78" s="290"/>
      <c r="J78" s="291"/>
      <c r="K78" s="292"/>
      <c r="L78" s="279"/>
      <c r="M78" s="279"/>
    </row>
    <row r="79" spans="1:13" ht="12.75" customHeight="1">
      <c r="A79" s="849" t="s">
        <v>517</v>
      </c>
      <c r="B79" s="849"/>
      <c r="C79" s="286">
        <v>1500</v>
      </c>
      <c r="D79" s="287"/>
      <c r="E79" s="287"/>
      <c r="F79" s="287"/>
      <c r="G79" s="288">
        <f t="shared" si="5"/>
        <v>0</v>
      </c>
      <c r="H79" s="289"/>
      <c r="I79" s="290"/>
      <c r="J79" s="291"/>
      <c r="K79" s="292"/>
      <c r="L79" s="279"/>
      <c r="M79" s="279"/>
    </row>
    <row r="80" spans="1:13" ht="12.75" customHeight="1">
      <c r="A80" s="850" t="s">
        <v>518</v>
      </c>
      <c r="B80" s="850"/>
      <c r="C80" s="293">
        <v>13</v>
      </c>
      <c r="D80" s="295"/>
      <c r="E80" s="295"/>
      <c r="F80" s="287"/>
      <c r="G80" s="288">
        <f>C80*F80</f>
        <v>0</v>
      </c>
      <c r="H80" s="289"/>
      <c r="I80" s="290"/>
      <c r="J80" s="291"/>
      <c r="K80" s="292"/>
      <c r="L80" s="279"/>
      <c r="M80" s="279"/>
    </row>
    <row r="81" spans="1:13" ht="12.75" customHeight="1">
      <c r="A81" s="850" t="s">
        <v>519</v>
      </c>
      <c r="B81" s="850"/>
      <c r="C81" s="293">
        <v>1</v>
      </c>
      <c r="D81" s="295"/>
      <c r="E81" s="295"/>
      <c r="F81" s="287"/>
      <c r="G81" s="288">
        <f t="shared" si="5"/>
        <v>0</v>
      </c>
      <c r="H81" s="289"/>
      <c r="I81" s="290"/>
      <c r="J81" s="291"/>
      <c r="K81" s="292"/>
      <c r="L81" s="279"/>
      <c r="M81" s="279"/>
    </row>
    <row r="82" spans="1:13" ht="12.75" customHeight="1">
      <c r="A82" s="850" t="s">
        <v>488</v>
      </c>
      <c r="B82" s="850"/>
      <c r="C82" s="293">
        <v>1</v>
      </c>
      <c r="D82" s="295"/>
      <c r="E82" s="295"/>
      <c r="F82" s="287"/>
      <c r="G82" s="288">
        <f t="shared" si="5"/>
        <v>0</v>
      </c>
      <c r="H82" s="289"/>
      <c r="I82" s="290"/>
      <c r="J82" s="291"/>
      <c r="K82" s="292"/>
      <c r="L82" s="279"/>
      <c r="M82" s="279"/>
    </row>
    <row r="83" spans="1:13" ht="12" customHeight="1" thickBot="1">
      <c r="A83" s="850" t="s">
        <v>490</v>
      </c>
      <c r="B83" s="850"/>
      <c r="C83" s="293">
        <v>1</v>
      </c>
      <c r="D83" s="295"/>
      <c r="E83" s="295"/>
      <c r="F83" s="287"/>
      <c r="G83" s="288">
        <f t="shared" si="5"/>
        <v>0</v>
      </c>
      <c r="H83" s="289"/>
      <c r="I83" s="290"/>
      <c r="J83" s="291"/>
      <c r="K83" s="292"/>
      <c r="L83" s="279"/>
      <c r="M83" s="279"/>
    </row>
    <row r="84" spans="1:13" ht="12.75" customHeight="1" thickBot="1">
      <c r="A84" s="847" t="s">
        <v>520</v>
      </c>
      <c r="B84" s="848"/>
      <c r="C84" s="296" t="s">
        <v>464</v>
      </c>
      <c r="D84" s="297"/>
      <c r="E84" s="297"/>
      <c r="F84" s="297"/>
      <c r="G84" s="298" t="s">
        <v>462</v>
      </c>
      <c r="H84" s="289"/>
      <c r="I84" s="290"/>
      <c r="J84" s="291"/>
      <c r="K84" s="292"/>
      <c r="L84" s="279"/>
      <c r="M84" s="279"/>
    </row>
    <row r="85" spans="1:13" ht="12.75" customHeight="1">
      <c r="A85" s="850" t="s">
        <v>521</v>
      </c>
      <c r="B85" s="850"/>
      <c r="C85" s="293">
        <v>1</v>
      </c>
      <c r="D85" s="295"/>
      <c r="E85" s="295"/>
      <c r="F85" s="287"/>
      <c r="G85" s="288">
        <f>C85*F85</f>
        <v>0</v>
      </c>
      <c r="H85" s="289"/>
      <c r="I85" s="290"/>
      <c r="J85" s="291"/>
      <c r="K85" s="292"/>
      <c r="L85" s="279"/>
      <c r="M85" s="279"/>
    </row>
    <row r="86" spans="1:13" ht="12.75" customHeight="1">
      <c r="A86" s="850" t="s">
        <v>522</v>
      </c>
      <c r="B86" s="850"/>
      <c r="C86" s="293">
        <v>28</v>
      </c>
      <c r="D86" s="295"/>
      <c r="E86" s="295"/>
      <c r="F86" s="287"/>
      <c r="G86" s="288">
        <f>C86*F86</f>
        <v>0</v>
      </c>
      <c r="H86" s="289"/>
      <c r="I86" s="290"/>
      <c r="J86" s="291"/>
      <c r="K86" s="292"/>
      <c r="L86" s="279"/>
      <c r="M86" s="279"/>
    </row>
    <row r="87" spans="1:13" ht="12.75" customHeight="1">
      <c r="A87" s="850" t="s">
        <v>523</v>
      </c>
      <c r="B87" s="850"/>
      <c r="C87" s="293">
        <v>1</v>
      </c>
      <c r="D87" s="295"/>
      <c r="E87" s="295"/>
      <c r="F87" s="287"/>
      <c r="G87" s="288">
        <f>C87*F87</f>
        <v>0</v>
      </c>
      <c r="H87" s="289"/>
      <c r="I87" s="290"/>
      <c r="J87" s="291"/>
      <c r="K87" s="292"/>
      <c r="L87" s="279"/>
      <c r="M87" s="279"/>
    </row>
    <row r="88" spans="1:13" ht="12.75" customHeight="1">
      <c r="A88" s="850" t="s">
        <v>488</v>
      </c>
      <c r="B88" s="850"/>
      <c r="C88" s="293">
        <v>1</v>
      </c>
      <c r="D88" s="295"/>
      <c r="E88" s="295"/>
      <c r="F88" s="287"/>
      <c r="G88" s="288">
        <f>C88*F88</f>
        <v>0</v>
      </c>
      <c r="H88" s="289"/>
      <c r="I88" s="290"/>
      <c r="J88" s="291"/>
      <c r="K88" s="292"/>
      <c r="L88" s="279"/>
      <c r="M88" s="279"/>
    </row>
    <row r="89" spans="1:13" ht="12" customHeight="1" thickBot="1">
      <c r="A89" s="850" t="s">
        <v>490</v>
      </c>
      <c r="B89" s="850"/>
      <c r="C89" s="293">
        <v>1</v>
      </c>
      <c r="D89" s="295"/>
      <c r="E89" s="295"/>
      <c r="F89" s="287"/>
      <c r="G89" s="288">
        <f>C89*F89</f>
        <v>0</v>
      </c>
      <c r="H89" s="289"/>
      <c r="I89" s="290"/>
      <c r="J89" s="291"/>
      <c r="K89" s="292"/>
      <c r="L89" s="279"/>
      <c r="M89" s="279"/>
    </row>
    <row r="90" spans="1:13" ht="12.75" customHeight="1" thickBot="1">
      <c r="A90" s="847" t="s">
        <v>524</v>
      </c>
      <c r="B90" s="848"/>
      <c r="C90" s="296" t="s">
        <v>464</v>
      </c>
      <c r="D90" s="297"/>
      <c r="E90" s="297"/>
      <c r="F90" s="297"/>
      <c r="G90" s="298" t="s">
        <v>462</v>
      </c>
      <c r="H90" s="289"/>
      <c r="I90" s="290"/>
      <c r="J90" s="299"/>
      <c r="K90" s="294"/>
      <c r="L90" s="279"/>
      <c r="M90" s="279"/>
    </row>
    <row r="91" spans="1:13" ht="12.75" customHeight="1">
      <c r="A91" s="850" t="s">
        <v>525</v>
      </c>
      <c r="B91" s="850"/>
      <c r="C91" s="293">
        <v>1</v>
      </c>
      <c r="D91" s="295"/>
      <c r="E91" s="295"/>
      <c r="F91" s="287"/>
      <c r="G91" s="288">
        <f aca="true" t="shared" si="6" ref="G91:G99">C91*F91</f>
        <v>0</v>
      </c>
      <c r="H91" s="289"/>
      <c r="I91" s="290"/>
      <c r="J91" s="299"/>
      <c r="K91" s="294"/>
      <c r="L91" s="279"/>
      <c r="M91" s="279"/>
    </row>
    <row r="92" spans="1:13" ht="12.75" customHeight="1">
      <c r="A92" s="850" t="s">
        <v>490</v>
      </c>
      <c r="B92" s="850"/>
      <c r="C92" s="293">
        <v>1</v>
      </c>
      <c r="D92" s="295"/>
      <c r="E92" s="295"/>
      <c r="F92" s="287"/>
      <c r="G92" s="288">
        <f t="shared" si="6"/>
        <v>0</v>
      </c>
      <c r="H92" s="289"/>
      <c r="I92" s="290"/>
      <c r="J92" s="291"/>
      <c r="K92" s="292"/>
      <c r="L92" s="279"/>
      <c r="M92" s="279"/>
    </row>
    <row r="93" spans="1:13" ht="12.75" customHeight="1">
      <c r="A93" s="850" t="s">
        <v>526</v>
      </c>
      <c r="B93" s="850"/>
      <c r="C93" s="293">
        <v>1</v>
      </c>
      <c r="D93" s="295"/>
      <c r="E93" s="295"/>
      <c r="F93" s="287"/>
      <c r="G93" s="288">
        <f t="shared" si="6"/>
        <v>0</v>
      </c>
      <c r="H93" s="289"/>
      <c r="I93" s="290"/>
      <c r="J93" s="291"/>
      <c r="K93" s="292"/>
      <c r="L93" s="279"/>
      <c r="M93" s="279"/>
    </row>
    <row r="94" spans="1:13" ht="12.75" customHeight="1">
      <c r="A94" s="850" t="s">
        <v>527</v>
      </c>
      <c r="B94" s="850"/>
      <c r="C94" s="293">
        <v>1</v>
      </c>
      <c r="D94" s="295"/>
      <c r="E94" s="295"/>
      <c r="F94" s="287"/>
      <c r="G94" s="288">
        <f t="shared" si="6"/>
        <v>0</v>
      </c>
      <c r="H94" s="289"/>
      <c r="I94" s="290"/>
      <c r="J94" s="291"/>
      <c r="K94" s="292"/>
      <c r="L94" s="279"/>
      <c r="M94" s="279"/>
    </row>
    <row r="95" spans="1:13" ht="12.75" customHeight="1">
      <c r="A95" s="850" t="s">
        <v>528</v>
      </c>
      <c r="B95" s="850"/>
      <c r="C95" s="293">
        <v>1</v>
      </c>
      <c r="D95" s="295"/>
      <c r="E95" s="295"/>
      <c r="F95" s="287"/>
      <c r="G95" s="288">
        <f t="shared" si="6"/>
        <v>0</v>
      </c>
      <c r="H95" s="289"/>
      <c r="I95" s="290"/>
      <c r="J95" s="291"/>
      <c r="K95" s="292"/>
      <c r="L95" s="279"/>
      <c r="M95" s="279"/>
    </row>
    <row r="96" spans="1:13" ht="12.75" customHeight="1">
      <c r="A96" s="850" t="s">
        <v>529</v>
      </c>
      <c r="B96" s="850"/>
      <c r="C96" s="293">
        <v>1</v>
      </c>
      <c r="D96" s="295"/>
      <c r="E96" s="295"/>
      <c r="F96" s="287"/>
      <c r="G96" s="288">
        <f t="shared" si="6"/>
        <v>0</v>
      </c>
      <c r="H96" s="289"/>
      <c r="I96" s="290"/>
      <c r="J96" s="291"/>
      <c r="K96" s="292"/>
      <c r="L96" s="279"/>
      <c r="M96" s="279"/>
    </row>
    <row r="97" spans="1:13" ht="12.75" customHeight="1">
      <c r="A97" s="850" t="s">
        <v>530</v>
      </c>
      <c r="B97" s="850"/>
      <c r="C97" s="293">
        <v>1</v>
      </c>
      <c r="D97" s="295"/>
      <c r="E97" s="295"/>
      <c r="F97" s="287"/>
      <c r="G97" s="288">
        <f t="shared" si="6"/>
        <v>0</v>
      </c>
      <c r="H97" s="289"/>
      <c r="I97" s="290"/>
      <c r="J97" s="291"/>
      <c r="K97" s="292"/>
      <c r="L97" s="279"/>
      <c r="M97" s="279"/>
    </row>
    <row r="98" spans="1:13" ht="12.75" customHeight="1">
      <c r="A98" s="850" t="s">
        <v>531</v>
      </c>
      <c r="B98" s="850"/>
      <c r="C98" s="293">
        <v>30</v>
      </c>
      <c r="D98" s="295"/>
      <c r="E98" s="295"/>
      <c r="F98" s="287"/>
      <c r="G98" s="288">
        <f t="shared" si="6"/>
        <v>0</v>
      </c>
      <c r="H98" s="289"/>
      <c r="I98" s="290"/>
      <c r="J98" s="291"/>
      <c r="K98" s="292"/>
      <c r="L98" s="279"/>
      <c r="M98" s="279"/>
    </row>
    <row r="99" spans="1:13" ht="12.75" customHeight="1">
      <c r="A99" s="850" t="s">
        <v>532</v>
      </c>
      <c r="B99" s="850"/>
      <c r="C99" s="293">
        <v>1</v>
      </c>
      <c r="D99" s="295"/>
      <c r="E99" s="295"/>
      <c r="F99" s="287"/>
      <c r="G99" s="288">
        <f t="shared" si="6"/>
        <v>0</v>
      </c>
      <c r="H99" s="289"/>
      <c r="I99" s="290"/>
      <c r="J99" s="291"/>
      <c r="K99" s="292"/>
      <c r="L99" s="279"/>
      <c r="M99" s="279"/>
    </row>
    <row r="100" spans="1:13" ht="12.75" customHeight="1">
      <c r="A100" s="300"/>
      <c r="B100" s="300"/>
      <c r="C100" s="293"/>
      <c r="D100" s="295"/>
      <c r="E100" s="295"/>
      <c r="F100" s="287"/>
      <c r="G100" s="288"/>
      <c r="H100" s="289"/>
      <c r="I100" s="290"/>
      <c r="J100" s="291"/>
      <c r="K100" s="292"/>
      <c r="L100" s="279"/>
      <c r="M100" s="279"/>
    </row>
    <row r="101" spans="1:13" ht="12.75" customHeight="1">
      <c r="A101" s="300"/>
      <c r="B101" s="300"/>
      <c r="C101" s="293"/>
      <c r="D101" s="295"/>
      <c r="E101" s="295"/>
      <c r="F101" s="287"/>
      <c r="G101" s="288"/>
      <c r="H101" s="289"/>
      <c r="I101" s="290"/>
      <c r="J101" s="291"/>
      <c r="K101" s="292"/>
      <c r="L101" s="279"/>
      <c r="M101" s="279"/>
    </row>
    <row r="102" spans="1:13" ht="12.75" customHeight="1" thickBot="1">
      <c r="A102" s="850" t="s">
        <v>462</v>
      </c>
      <c r="B102" s="850"/>
      <c r="C102" s="293" t="s">
        <v>462</v>
      </c>
      <c r="D102" s="295"/>
      <c r="E102" s="295"/>
      <c r="F102" s="295"/>
      <c r="G102" s="289"/>
      <c r="H102" s="301"/>
      <c r="I102" s="302"/>
      <c r="J102" s="291"/>
      <c r="K102" s="292"/>
      <c r="L102" s="279"/>
      <c r="M102" s="279"/>
    </row>
    <row r="103" spans="1:13" ht="12.75" customHeight="1" thickBot="1">
      <c r="A103" s="854" t="s">
        <v>533</v>
      </c>
      <c r="B103" s="855"/>
      <c r="C103" s="303"/>
      <c r="D103" s="304"/>
      <c r="E103" s="304"/>
      <c r="F103" s="304"/>
      <c r="G103" s="305">
        <f>SUM(G10:G102)</f>
        <v>0</v>
      </c>
      <c r="I103" s="279"/>
      <c r="J103" s="279"/>
      <c r="K103" s="279"/>
      <c r="L103" s="279"/>
      <c r="M103" s="279"/>
    </row>
    <row r="104" spans="1:13" ht="12.75" customHeight="1">
      <c r="A104" s="856"/>
      <c r="B104" s="856"/>
      <c r="C104" s="306"/>
      <c r="D104" s="307"/>
      <c r="E104" s="307"/>
      <c r="F104" s="307"/>
      <c r="G104" s="307"/>
      <c r="H104" s="308"/>
      <c r="I104" s="309"/>
      <c r="J104" s="299"/>
      <c r="K104" s="294"/>
      <c r="L104" s="309"/>
      <c r="M104" s="294"/>
    </row>
    <row r="105" spans="2:13" ht="12.75" customHeight="1">
      <c r="B105" s="310"/>
      <c r="C105" s="293"/>
      <c r="D105" s="295"/>
      <c r="E105" s="295"/>
      <c r="F105" s="295"/>
      <c r="G105" s="289"/>
      <c r="H105" s="301"/>
      <c r="I105" s="302"/>
      <c r="J105" s="291"/>
      <c r="K105" s="292"/>
      <c r="L105" s="279"/>
      <c r="M105" s="279"/>
    </row>
    <row r="106" spans="1:13" ht="12.75" customHeight="1">
      <c r="A106" s="281"/>
      <c r="B106" s="286"/>
      <c r="C106" s="853" t="s">
        <v>462</v>
      </c>
      <c r="D106" s="853"/>
      <c r="E106" s="853"/>
      <c r="F106" s="853"/>
      <c r="G106" s="853"/>
      <c r="H106" s="853"/>
      <c r="I106" s="309"/>
      <c r="J106" s="299"/>
      <c r="K106" s="294"/>
      <c r="L106" s="309"/>
      <c r="M106" s="294"/>
    </row>
    <row r="107" spans="8:13" ht="12.75" customHeight="1">
      <c r="H107" s="311"/>
      <c r="I107" s="309"/>
      <c r="J107" s="299"/>
      <c r="K107" s="294"/>
      <c r="L107" s="309"/>
      <c r="M107" s="294"/>
    </row>
    <row r="108" spans="8:13" ht="12.75" customHeight="1">
      <c r="H108" s="311"/>
      <c r="I108" s="309"/>
      <c r="J108" s="299"/>
      <c r="K108" s="294"/>
      <c r="L108" s="309"/>
      <c r="M108" s="294"/>
    </row>
    <row r="109" spans="8:13" ht="12.75" customHeight="1">
      <c r="H109" s="311"/>
      <c r="I109" s="309"/>
      <c r="J109" s="299"/>
      <c r="K109" s="294"/>
      <c r="L109" s="309"/>
      <c r="M109" s="294"/>
    </row>
    <row r="110" spans="8:13" ht="12.75" customHeight="1">
      <c r="H110" s="311"/>
      <c r="I110" s="309"/>
      <c r="J110" s="299"/>
      <c r="K110" s="294"/>
      <c r="L110" s="309"/>
      <c r="M110" s="294"/>
    </row>
    <row r="111" spans="8:13" ht="12.75" customHeight="1">
      <c r="H111" s="311"/>
      <c r="I111" s="309"/>
      <c r="J111" s="299"/>
      <c r="K111" s="294"/>
      <c r="L111" s="309"/>
      <c r="M111" s="313"/>
    </row>
    <row r="112" spans="9:13" ht="12.75" customHeight="1">
      <c r="I112" s="279"/>
      <c r="J112" s="279"/>
      <c r="K112" s="279"/>
      <c r="L112" s="279"/>
      <c r="M112" s="279"/>
    </row>
    <row r="113" spans="9:13" ht="12.75" customHeight="1">
      <c r="I113" s="279"/>
      <c r="J113" s="279"/>
      <c r="K113" s="279"/>
      <c r="L113" s="279"/>
      <c r="M113" s="279"/>
    </row>
    <row r="114" spans="9:13" ht="12.75" customHeight="1">
      <c r="I114" s="279"/>
      <c r="J114" s="279"/>
      <c r="K114" s="279"/>
      <c r="L114" s="279"/>
      <c r="M114" s="279"/>
    </row>
    <row r="115" spans="9:13" ht="12.75" customHeight="1">
      <c r="I115" s="279"/>
      <c r="J115" s="279"/>
      <c r="K115" s="279"/>
      <c r="L115" s="279"/>
      <c r="M115" s="279"/>
    </row>
    <row r="116" spans="9:13" ht="12.75" customHeight="1">
      <c r="I116" s="279"/>
      <c r="J116" s="279"/>
      <c r="K116" s="279"/>
      <c r="L116" s="279"/>
      <c r="M116" s="279"/>
    </row>
  </sheetData>
  <sheetProtection/>
  <mergeCells count="98">
    <mergeCell ref="C106:H106"/>
    <mergeCell ref="A98:B98"/>
    <mergeCell ref="A99:B99"/>
    <mergeCell ref="A102:B102"/>
    <mergeCell ref="A103:B103"/>
    <mergeCell ref="A104:B104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6:B36"/>
    <mergeCell ref="A39:B39"/>
    <mergeCell ref="A40:B40"/>
    <mergeCell ref="A41:B41"/>
    <mergeCell ref="A42:B42"/>
    <mergeCell ref="A43:B43"/>
    <mergeCell ref="A37:B37"/>
    <mergeCell ref="A38:B38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2:G4"/>
    <mergeCell ref="B5:G5"/>
    <mergeCell ref="B6:G7"/>
    <mergeCell ref="A9:B9"/>
    <mergeCell ref="A10:B10"/>
    <mergeCell ref="A11:B1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Normal="80" zoomScaleSheetLayoutView="100" zoomScalePageLayoutView="0" workbookViewId="0" topLeftCell="A1">
      <selection activeCell="E15" sqref="E15"/>
    </sheetView>
  </sheetViews>
  <sheetFormatPr defaultColWidth="12.125" defaultRowHeight="12.75"/>
  <cols>
    <col min="1" max="1" width="8.625" style="242" customWidth="1"/>
    <col min="2" max="2" width="14.125" style="271" customWidth="1"/>
    <col min="3" max="3" width="60.00390625" style="272" customWidth="1"/>
    <col min="4" max="4" width="27.125" style="243" customWidth="1"/>
    <col min="5" max="5" width="12.75390625" style="244" customWidth="1"/>
    <col min="6" max="6" width="13.875" style="328" customWidth="1"/>
    <col min="7" max="7" width="16.25390625" style="245" customWidth="1"/>
    <col min="8" max="8" width="22.625" style="273" customWidth="1"/>
    <col min="9" max="16384" width="12.125" style="246" customWidth="1"/>
  </cols>
  <sheetData>
    <row r="1" spans="1:8" s="247" customFormat="1" ht="27.75" customHeight="1">
      <c r="A1" s="329" t="s">
        <v>1311</v>
      </c>
      <c r="B1" s="329" t="s">
        <v>23</v>
      </c>
      <c r="C1" s="330" t="s">
        <v>32</v>
      </c>
      <c r="D1" s="329" t="s">
        <v>33</v>
      </c>
      <c r="E1" s="330" t="s">
        <v>34</v>
      </c>
      <c r="F1" s="329" t="s">
        <v>35</v>
      </c>
      <c r="G1" s="330" t="s">
        <v>36</v>
      </c>
      <c r="H1" s="331" t="s">
        <v>37</v>
      </c>
    </row>
    <row r="2" spans="1:8" s="247" customFormat="1" ht="21" customHeight="1" thickBot="1">
      <c r="A2" s="332">
        <v>1</v>
      </c>
      <c r="B2" s="332">
        <v>2</v>
      </c>
      <c r="C2" s="333">
        <v>3</v>
      </c>
      <c r="D2" s="334">
        <v>4</v>
      </c>
      <c r="E2" s="335">
        <v>5</v>
      </c>
      <c r="F2" s="332">
        <v>6</v>
      </c>
      <c r="G2" s="335">
        <v>7</v>
      </c>
      <c r="H2" s="332">
        <v>8</v>
      </c>
    </row>
    <row r="3" spans="1:8" ht="12.75">
      <c r="A3" s="248"/>
      <c r="B3" s="336"/>
      <c r="C3" s="237" t="s">
        <v>565</v>
      </c>
      <c r="D3" s="250"/>
      <c r="E3" s="251"/>
      <c r="F3" s="337"/>
      <c r="G3" s="252"/>
      <c r="H3" s="257"/>
    </row>
    <row r="4" spans="1:8" ht="12.75">
      <c r="A4" s="248"/>
      <c r="B4" s="253"/>
      <c r="C4" s="254" t="s">
        <v>1312</v>
      </c>
      <c r="D4" s="255"/>
      <c r="E4" s="256" t="s">
        <v>45</v>
      </c>
      <c r="F4" s="338">
        <v>1</v>
      </c>
      <c r="G4" s="252"/>
      <c r="H4" s="257">
        <f aca="true" t="shared" si="0" ref="H4:H31">F4*G4</f>
        <v>0</v>
      </c>
    </row>
    <row r="5" spans="1:8" ht="12.75">
      <c r="A5" s="248"/>
      <c r="B5" s="253"/>
      <c r="C5" s="254" t="s">
        <v>1313</v>
      </c>
      <c r="D5" s="255"/>
      <c r="E5" s="256" t="s">
        <v>45</v>
      </c>
      <c r="F5" s="338">
        <v>1</v>
      </c>
      <c r="G5" s="252"/>
      <c r="H5" s="257">
        <f t="shared" si="0"/>
        <v>0</v>
      </c>
    </row>
    <row r="6" spans="1:8" ht="25.5">
      <c r="A6" s="248"/>
      <c r="B6" s="253"/>
      <c r="C6" s="254" t="s">
        <v>1314</v>
      </c>
      <c r="D6" s="255"/>
      <c r="E6" s="256" t="s">
        <v>45</v>
      </c>
      <c r="F6" s="338">
        <v>1</v>
      </c>
      <c r="G6" s="252"/>
      <c r="H6" s="257">
        <f t="shared" si="0"/>
        <v>0</v>
      </c>
    </row>
    <row r="7" spans="1:8" ht="14.25" customHeight="1">
      <c r="A7" s="248"/>
      <c r="B7" s="253"/>
      <c r="C7" s="254" t="s">
        <v>1315</v>
      </c>
      <c r="D7" s="255"/>
      <c r="E7" s="256" t="s">
        <v>45</v>
      </c>
      <c r="F7" s="338">
        <v>1</v>
      </c>
      <c r="G7" s="252"/>
      <c r="H7" s="257">
        <f t="shared" si="0"/>
        <v>0</v>
      </c>
    </row>
    <row r="8" spans="1:8" ht="12.75">
      <c r="A8" s="248"/>
      <c r="B8" s="253"/>
      <c r="C8" s="254" t="s">
        <v>1316</v>
      </c>
      <c r="D8" s="255"/>
      <c r="E8" s="256" t="s">
        <v>45</v>
      </c>
      <c r="F8" s="338">
        <v>1</v>
      </c>
      <c r="G8" s="252"/>
      <c r="H8" s="257">
        <f t="shared" si="0"/>
        <v>0</v>
      </c>
    </row>
    <row r="9" spans="1:8" ht="27.75" customHeight="1">
      <c r="A9" s="248"/>
      <c r="B9" s="253"/>
      <c r="C9" s="254" t="s">
        <v>1317</v>
      </c>
      <c r="D9" s="255"/>
      <c r="E9" s="256" t="s">
        <v>45</v>
      </c>
      <c r="F9" s="338">
        <v>1</v>
      </c>
      <c r="G9" s="252"/>
      <c r="H9" s="257">
        <f t="shared" si="0"/>
        <v>0</v>
      </c>
    </row>
    <row r="10" spans="1:8" ht="12.75">
      <c r="A10" s="248"/>
      <c r="B10" s="253"/>
      <c r="C10" s="254" t="s">
        <v>1318</v>
      </c>
      <c r="D10" s="255"/>
      <c r="E10" s="256" t="s">
        <v>45</v>
      </c>
      <c r="F10" s="338">
        <v>1</v>
      </c>
      <c r="G10" s="252"/>
      <c r="H10" s="257">
        <f t="shared" si="0"/>
        <v>0</v>
      </c>
    </row>
    <row r="11" spans="1:8" ht="12.75">
      <c r="A11" s="248"/>
      <c r="B11" s="253"/>
      <c r="C11" s="254" t="s">
        <v>1319</v>
      </c>
      <c r="D11" s="255"/>
      <c r="E11" s="256" t="s">
        <v>45</v>
      </c>
      <c r="F11" s="338">
        <v>1</v>
      </c>
      <c r="G11" s="252"/>
      <c r="H11" s="257">
        <f t="shared" si="0"/>
        <v>0</v>
      </c>
    </row>
    <row r="12" spans="1:8" ht="12.75">
      <c r="A12" s="248"/>
      <c r="B12" s="253"/>
      <c r="C12" s="254" t="s">
        <v>1320</v>
      </c>
      <c r="D12" s="255"/>
      <c r="E12" s="256" t="s">
        <v>45</v>
      </c>
      <c r="F12" s="338">
        <v>1</v>
      </c>
      <c r="G12" s="252"/>
      <c r="H12" s="257">
        <f t="shared" si="0"/>
        <v>0</v>
      </c>
    </row>
    <row r="13" spans="1:8" ht="12.75">
      <c r="A13" s="248"/>
      <c r="B13" s="253"/>
      <c r="C13" s="254" t="s">
        <v>1321</v>
      </c>
      <c r="D13" s="255"/>
      <c r="E13" s="256" t="s">
        <v>45</v>
      </c>
      <c r="F13" s="338">
        <v>1</v>
      </c>
      <c r="G13" s="252"/>
      <c r="H13" s="257">
        <f t="shared" si="0"/>
        <v>0</v>
      </c>
    </row>
    <row r="14" spans="1:8" ht="12.75">
      <c r="A14" s="248"/>
      <c r="B14" s="253"/>
      <c r="C14" s="254" t="s">
        <v>1322</v>
      </c>
      <c r="D14" s="255"/>
      <c r="E14" s="256" t="s">
        <v>45</v>
      </c>
      <c r="F14" s="338">
        <v>1</v>
      </c>
      <c r="G14" s="252"/>
      <c r="H14" s="257">
        <f t="shared" si="0"/>
        <v>0</v>
      </c>
    </row>
    <row r="15" spans="1:8" ht="25.5">
      <c r="A15" s="248"/>
      <c r="B15" s="253"/>
      <c r="C15" s="254" t="s">
        <v>1323</v>
      </c>
      <c r="D15" s="255"/>
      <c r="E15" s="256" t="s">
        <v>45</v>
      </c>
      <c r="F15" s="338">
        <v>1</v>
      </c>
      <c r="G15" s="252"/>
      <c r="H15" s="257">
        <f t="shared" si="0"/>
        <v>0</v>
      </c>
    </row>
    <row r="16" spans="1:8" ht="12.75">
      <c r="A16" s="248"/>
      <c r="B16" s="253"/>
      <c r="C16" s="254" t="s">
        <v>1324</v>
      </c>
      <c r="D16" s="255"/>
      <c r="E16" s="256" t="s">
        <v>45</v>
      </c>
      <c r="F16" s="338">
        <v>1</v>
      </c>
      <c r="G16" s="252"/>
      <c r="H16" s="257">
        <f t="shared" si="0"/>
        <v>0</v>
      </c>
    </row>
    <row r="17" spans="1:8" ht="12.75">
      <c r="A17" s="248"/>
      <c r="B17" s="253"/>
      <c r="C17" s="254" t="s">
        <v>1325</v>
      </c>
      <c r="D17" s="255"/>
      <c r="E17" s="256" t="s">
        <v>45</v>
      </c>
      <c r="F17" s="338">
        <v>1</v>
      </c>
      <c r="G17" s="252"/>
      <c r="H17" s="257">
        <f t="shared" si="0"/>
        <v>0</v>
      </c>
    </row>
    <row r="18" spans="1:8" ht="12.75">
      <c r="A18" s="248"/>
      <c r="B18" s="253"/>
      <c r="C18" s="254" t="s">
        <v>1326</v>
      </c>
      <c r="D18" s="255"/>
      <c r="E18" s="256" t="s">
        <v>45</v>
      </c>
      <c r="F18" s="338">
        <v>1</v>
      </c>
      <c r="G18" s="252"/>
      <c r="H18" s="257">
        <f t="shared" si="0"/>
        <v>0</v>
      </c>
    </row>
    <row r="19" spans="1:8" ht="12.75">
      <c r="A19" s="248"/>
      <c r="B19" s="253"/>
      <c r="C19" s="254" t="s">
        <v>1327</v>
      </c>
      <c r="D19" s="255"/>
      <c r="E19" s="256" t="s">
        <v>45</v>
      </c>
      <c r="F19" s="338">
        <v>1</v>
      </c>
      <c r="G19" s="252"/>
      <c r="H19" s="257">
        <f t="shared" si="0"/>
        <v>0</v>
      </c>
    </row>
    <row r="20" spans="1:8" ht="12.75">
      <c r="A20" s="248"/>
      <c r="B20" s="253"/>
      <c r="C20" s="254" t="s">
        <v>1328</v>
      </c>
      <c r="D20" s="255"/>
      <c r="E20" s="256" t="s">
        <v>45</v>
      </c>
      <c r="F20" s="338">
        <v>1</v>
      </c>
      <c r="G20" s="252"/>
      <c r="H20" s="257">
        <f t="shared" si="0"/>
        <v>0</v>
      </c>
    </row>
    <row r="21" spans="1:8" ht="28.5" customHeight="1">
      <c r="A21" s="248"/>
      <c r="B21" s="253"/>
      <c r="C21" s="254" t="s">
        <v>1329</v>
      </c>
      <c r="D21" s="255"/>
      <c r="E21" s="256" t="s">
        <v>45</v>
      </c>
      <c r="F21" s="338">
        <v>1</v>
      </c>
      <c r="G21" s="252"/>
      <c r="H21" s="257">
        <f t="shared" si="0"/>
        <v>0</v>
      </c>
    </row>
    <row r="22" spans="1:8" ht="25.5">
      <c r="A22" s="248"/>
      <c r="B22" s="253"/>
      <c r="C22" s="254" t="s">
        <v>1330</v>
      </c>
      <c r="D22" s="255"/>
      <c r="E22" s="256" t="s">
        <v>45</v>
      </c>
      <c r="F22" s="338">
        <v>1</v>
      </c>
      <c r="G22" s="252"/>
      <c r="H22" s="257">
        <f t="shared" si="0"/>
        <v>0</v>
      </c>
    </row>
    <row r="23" spans="1:8" ht="12.75">
      <c r="A23" s="248"/>
      <c r="B23" s="253"/>
      <c r="C23" s="254" t="s">
        <v>1331</v>
      </c>
      <c r="D23" s="255"/>
      <c r="E23" s="256" t="s">
        <v>45</v>
      </c>
      <c r="F23" s="338">
        <v>1</v>
      </c>
      <c r="G23" s="252"/>
      <c r="H23" s="257">
        <f t="shared" si="0"/>
        <v>0</v>
      </c>
    </row>
    <row r="24" spans="1:8" ht="12.75">
      <c r="A24" s="248"/>
      <c r="B24" s="253"/>
      <c r="C24" s="254" t="s">
        <v>1332</v>
      </c>
      <c r="D24" s="255"/>
      <c r="E24" s="256" t="s">
        <v>45</v>
      </c>
      <c r="F24" s="338">
        <v>1</v>
      </c>
      <c r="G24" s="252"/>
      <c r="H24" s="257">
        <f t="shared" si="0"/>
        <v>0</v>
      </c>
    </row>
    <row r="25" spans="1:8" ht="25.5">
      <c r="A25" s="248"/>
      <c r="B25" s="253"/>
      <c r="C25" s="254" t="s">
        <v>1333</v>
      </c>
      <c r="D25" s="255"/>
      <c r="E25" s="256" t="s">
        <v>45</v>
      </c>
      <c r="F25" s="338">
        <v>1</v>
      </c>
      <c r="G25" s="252"/>
      <c r="H25" s="257">
        <f t="shared" si="0"/>
        <v>0</v>
      </c>
    </row>
    <row r="26" spans="1:8" ht="12.75">
      <c r="A26" s="248"/>
      <c r="B26" s="253"/>
      <c r="C26" s="254" t="s">
        <v>1334</v>
      </c>
      <c r="D26" s="255"/>
      <c r="E26" s="256" t="s">
        <v>45</v>
      </c>
      <c r="F26" s="338">
        <v>1</v>
      </c>
      <c r="G26" s="252"/>
      <c r="H26" s="257">
        <f t="shared" si="0"/>
        <v>0</v>
      </c>
    </row>
    <row r="27" spans="1:8" ht="16.5" customHeight="1">
      <c r="A27" s="248"/>
      <c r="B27" s="253"/>
      <c r="C27" s="254" t="s">
        <v>1335</v>
      </c>
      <c r="D27" s="255"/>
      <c r="E27" s="256" t="s">
        <v>45</v>
      </c>
      <c r="F27" s="338">
        <v>1</v>
      </c>
      <c r="G27" s="252"/>
      <c r="H27" s="257">
        <f t="shared" si="0"/>
        <v>0</v>
      </c>
    </row>
    <row r="28" spans="1:8" ht="25.5">
      <c r="A28" s="248"/>
      <c r="B28" s="253"/>
      <c r="C28" s="254" t="s">
        <v>1336</v>
      </c>
      <c r="D28" s="255"/>
      <c r="E28" s="256" t="s">
        <v>45</v>
      </c>
      <c r="F28" s="338">
        <v>1</v>
      </c>
      <c r="G28" s="252"/>
      <c r="H28" s="257">
        <f t="shared" si="0"/>
        <v>0</v>
      </c>
    </row>
    <row r="29" spans="1:8" ht="25.5">
      <c r="A29" s="248"/>
      <c r="B29" s="253"/>
      <c r="C29" s="254" t="s">
        <v>1337</v>
      </c>
      <c r="D29" s="255"/>
      <c r="E29" s="256" t="s">
        <v>45</v>
      </c>
      <c r="F29" s="338">
        <v>1</v>
      </c>
      <c r="G29" s="252"/>
      <c r="H29" s="257">
        <f t="shared" si="0"/>
        <v>0</v>
      </c>
    </row>
    <row r="30" spans="1:8" ht="25.5">
      <c r="A30" s="248"/>
      <c r="B30" s="253"/>
      <c r="C30" s="254" t="s">
        <v>1338</v>
      </c>
      <c r="D30" s="255"/>
      <c r="E30" s="256" t="s">
        <v>45</v>
      </c>
      <c r="F30" s="338">
        <v>1</v>
      </c>
      <c r="G30" s="252"/>
      <c r="H30" s="257">
        <f t="shared" si="0"/>
        <v>0</v>
      </c>
    </row>
    <row r="31" spans="1:8" ht="25.5">
      <c r="A31" s="248"/>
      <c r="B31" s="253"/>
      <c r="C31" s="254" t="s">
        <v>1339</v>
      </c>
      <c r="D31" s="255"/>
      <c r="E31" s="256" t="s">
        <v>45</v>
      </c>
      <c r="F31" s="338">
        <v>1</v>
      </c>
      <c r="G31" s="252"/>
      <c r="H31" s="257">
        <f t="shared" si="0"/>
        <v>0</v>
      </c>
    </row>
    <row r="32" spans="1:8" s="247" customFormat="1" ht="13.5" thickBot="1">
      <c r="A32" s="260"/>
      <c r="B32" s="261"/>
      <c r="C32" s="275"/>
      <c r="D32" s="339"/>
      <c r="E32" s="340"/>
      <c r="F32" s="341"/>
      <c r="G32" s="262"/>
      <c r="H32" s="263"/>
    </row>
    <row r="33" spans="1:8" s="247" customFormat="1" ht="12.75">
      <c r="A33" s="264"/>
      <c r="B33" s="264"/>
      <c r="C33" s="45"/>
      <c r="D33" s="265"/>
      <c r="E33" s="266"/>
      <c r="F33" s="342"/>
      <c r="G33" s="267"/>
      <c r="H33" s="268"/>
    </row>
    <row r="34" spans="1:8" s="247" customFormat="1" ht="14.25">
      <c r="A34" s="264"/>
      <c r="B34" s="269"/>
      <c r="C34" s="343" t="s">
        <v>53</v>
      </c>
      <c r="D34" s="344"/>
      <c r="E34" s="345"/>
      <c r="F34" s="346"/>
      <c r="G34" s="347"/>
      <c r="H34" s="348">
        <f>SUM(H3:H32)</f>
        <v>0</v>
      </c>
    </row>
    <row r="35" spans="1:8" s="247" customFormat="1" ht="12.75">
      <c r="A35" s="264"/>
      <c r="B35" s="269"/>
      <c r="C35" s="45"/>
      <c r="D35" s="265"/>
      <c r="E35" s="266"/>
      <c r="F35" s="342"/>
      <c r="G35" s="267"/>
      <c r="H35" s="268"/>
    </row>
    <row r="36" spans="1:8" s="247" customFormat="1" ht="12.75">
      <c r="A36" s="264"/>
      <c r="B36" s="269"/>
      <c r="C36" s="45"/>
      <c r="D36" s="265"/>
      <c r="E36" s="266"/>
      <c r="F36" s="342"/>
      <c r="G36" s="267"/>
      <c r="H36" s="268"/>
    </row>
  </sheetData>
  <sheetProtection/>
  <printOptions/>
  <pageMargins left="0.7874015748031497" right="0.7874015748031497" top="1.062992125984252" bottom="1.062992125984252" header="0.7874015748031497" footer="0.7874015748031497"/>
  <pageSetup horizontalDpi="600" verticalDpi="600" orientation="landscape" paperSize="9" scale="73" r:id="rId1"/>
  <headerFooter alignWithMargins="0">
    <oddFooter>&amp;CStránka &amp;P&amp;RRaudnitzův dům - bydlení pro seniory_Rozklad ceny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W343"/>
  <sheetViews>
    <sheetView zoomScalePageLayoutView="0" workbookViewId="0" topLeftCell="A1">
      <selection activeCell="Q7" sqref="Q7"/>
    </sheetView>
  </sheetViews>
  <sheetFormatPr defaultColWidth="9.00390625" defaultRowHeight="12.75"/>
  <cols>
    <col min="2" max="2" width="14.25390625" style="0" customWidth="1"/>
    <col min="3" max="3" width="22.75390625" style="0" customWidth="1"/>
    <col min="4" max="4" width="11.625" style="0" customWidth="1"/>
    <col min="5" max="5" width="22.25390625" style="0" customWidth="1"/>
    <col min="6" max="6" width="16.875" style="0" customWidth="1"/>
    <col min="7" max="7" width="14.875" style="0" customWidth="1"/>
    <col min="8" max="8" width="2.75390625" style="0" customWidth="1"/>
    <col min="9" max="9" width="8.25390625" style="0" customWidth="1"/>
    <col min="10" max="10" width="8.375" style="0" customWidth="1"/>
    <col min="11" max="11" width="11.125" style="0" customWidth="1"/>
    <col min="12" max="12" width="10.75390625" style="0" customWidth="1"/>
    <col min="13" max="13" width="1.00390625" style="0" customWidth="1"/>
    <col min="14" max="14" width="12.375" style="0" customWidth="1"/>
    <col min="15" max="16" width="11.75390625" style="0" customWidth="1"/>
    <col min="17" max="17" width="14.25390625" style="0" customWidth="1"/>
    <col min="18" max="19" width="8.00390625" style="0" customWidth="1"/>
    <col min="20" max="20" width="13.00390625" style="0" customWidth="1"/>
    <col min="21" max="21" width="1.00390625" style="0" customWidth="1"/>
    <col min="22" max="22" width="10.75390625" style="0" customWidth="1"/>
    <col min="23" max="23" width="10.875" style="0" customWidth="1"/>
  </cols>
  <sheetData>
    <row r="2" ht="12.75">
      <c r="B2" s="1" t="s">
        <v>108</v>
      </c>
    </row>
    <row r="3" ht="13.5" thickBot="1"/>
    <row r="4" spans="9:23" ht="13.5" thickBot="1">
      <c r="I4" s="857" t="s">
        <v>291</v>
      </c>
      <c r="J4" s="858"/>
      <c r="K4" s="858"/>
      <c r="L4" s="859"/>
      <c r="M4" s="65"/>
      <c r="N4" s="857" t="s">
        <v>123</v>
      </c>
      <c r="O4" s="858"/>
      <c r="P4" s="858"/>
      <c r="Q4" s="858"/>
      <c r="R4" s="858"/>
      <c r="S4" s="858"/>
      <c r="T4" s="858"/>
      <c r="U4" s="65"/>
      <c r="V4" s="860"/>
      <c r="W4" s="860"/>
    </row>
    <row r="5" spans="2:23" ht="13.5" thickBot="1">
      <c r="B5" s="1" t="s">
        <v>104</v>
      </c>
      <c r="I5" s="64"/>
      <c r="J5" s="64"/>
      <c r="K5" s="65"/>
      <c r="L5" s="65"/>
      <c r="M5" s="66"/>
      <c r="N5" s="64"/>
      <c r="O5" s="64"/>
      <c r="P5" s="64"/>
      <c r="Q5" s="64" t="s">
        <v>1086</v>
      </c>
      <c r="R5" s="64"/>
      <c r="S5" s="64"/>
      <c r="T5" s="65" t="s">
        <v>340</v>
      </c>
      <c r="U5" s="77"/>
      <c r="V5" s="75"/>
      <c r="W5" s="76"/>
    </row>
    <row r="6" spans="2:21" ht="12.75">
      <c r="B6" s="58" t="s">
        <v>105</v>
      </c>
      <c r="C6" s="58" t="s">
        <v>106</v>
      </c>
      <c r="D6" s="58" t="s">
        <v>107</v>
      </c>
      <c r="I6" s="63"/>
      <c r="J6" s="63"/>
      <c r="K6" s="63"/>
      <c r="L6" s="63"/>
      <c r="M6" s="67"/>
      <c r="N6" s="63"/>
      <c r="O6" s="63"/>
      <c r="P6" s="63" t="s">
        <v>1087</v>
      </c>
      <c r="Q6" s="63">
        <f>(2.16+2.05+2.16+2.05+0.5)*4.2+1.48*2*3+(2.05+2.16+2.05)*8.5</f>
        <v>99.554</v>
      </c>
      <c r="R6" s="63"/>
      <c r="S6" s="63"/>
      <c r="T6" s="63"/>
      <c r="U6" s="68"/>
    </row>
    <row r="7" spans="2:21" ht="12.75">
      <c r="B7" t="s">
        <v>109</v>
      </c>
      <c r="C7" t="s">
        <v>117</v>
      </c>
      <c r="D7" s="56">
        <v>29.9</v>
      </c>
      <c r="I7" s="78">
        <f>D7</f>
        <v>29.9</v>
      </c>
      <c r="J7" s="55"/>
      <c r="K7" s="55"/>
      <c r="L7" s="55"/>
      <c r="M7" s="68"/>
      <c r="N7" s="55"/>
      <c r="O7" s="55"/>
      <c r="P7" s="55"/>
      <c r="Q7" s="55"/>
      <c r="R7" s="55"/>
      <c r="S7" s="55"/>
      <c r="T7" s="55">
        <f>(5.335+5.52)*2*3</f>
        <v>65.13</v>
      </c>
      <c r="U7" s="68"/>
    </row>
    <row r="8" spans="2:21" ht="12.75">
      <c r="B8" t="s">
        <v>110</v>
      </c>
      <c r="C8" t="s">
        <v>117</v>
      </c>
      <c r="D8" s="56">
        <v>28.78</v>
      </c>
      <c r="I8" s="78">
        <f aca="true" t="shared" si="0" ref="I8:I15">D8</f>
        <v>28.78</v>
      </c>
      <c r="J8" s="55"/>
      <c r="K8" s="55"/>
      <c r="L8" s="55"/>
      <c r="M8" s="68"/>
      <c r="N8" s="55"/>
      <c r="O8" s="55"/>
      <c r="P8" s="55"/>
      <c r="Q8" s="55"/>
      <c r="R8" s="55"/>
      <c r="S8" s="55"/>
      <c r="T8" s="55">
        <f>(5.17+5.55)*2*3</f>
        <v>64.32</v>
      </c>
      <c r="U8" s="68"/>
    </row>
    <row r="9" spans="2:21" ht="12.75">
      <c r="B9" t="s">
        <v>111</v>
      </c>
      <c r="C9" t="s">
        <v>117</v>
      </c>
      <c r="D9" s="56">
        <v>28.55</v>
      </c>
      <c r="I9" s="78">
        <f t="shared" si="0"/>
        <v>28.55</v>
      </c>
      <c r="J9" s="55"/>
      <c r="K9" s="55"/>
      <c r="L9" s="55"/>
      <c r="M9" s="68"/>
      <c r="N9" s="55"/>
      <c r="O9" s="55"/>
      <c r="P9" s="55"/>
      <c r="Q9" s="55"/>
      <c r="R9" s="55"/>
      <c r="S9" s="55"/>
      <c r="T9" s="55">
        <f>(5.585+5.01)*2*3</f>
        <v>63.56999999999999</v>
      </c>
      <c r="U9" s="68"/>
    </row>
    <row r="10" spans="2:21" ht="12.75">
      <c r="B10" t="s">
        <v>112</v>
      </c>
      <c r="C10" t="s">
        <v>117</v>
      </c>
      <c r="D10" s="56">
        <v>18.93</v>
      </c>
      <c r="I10" s="78">
        <f t="shared" si="0"/>
        <v>18.93</v>
      </c>
      <c r="J10" s="55"/>
      <c r="K10" s="55"/>
      <c r="L10" s="55"/>
      <c r="M10" s="68"/>
      <c r="N10" s="55"/>
      <c r="O10" s="55"/>
      <c r="P10" s="55"/>
      <c r="Q10" s="55"/>
      <c r="R10" s="55"/>
      <c r="S10" s="55"/>
      <c r="T10" s="55">
        <f>(3.46+3.46+5.01+5.01)*3</f>
        <v>50.81999999999999</v>
      </c>
      <c r="U10" s="68"/>
    </row>
    <row r="11" spans="2:21" ht="12.75">
      <c r="B11" t="s">
        <v>113</v>
      </c>
      <c r="C11" t="s">
        <v>118</v>
      </c>
      <c r="D11" s="56">
        <v>15.62</v>
      </c>
      <c r="I11" s="78">
        <f t="shared" si="0"/>
        <v>15.62</v>
      </c>
      <c r="J11" s="55"/>
      <c r="K11" s="55"/>
      <c r="L11" s="55"/>
      <c r="M11" s="68"/>
      <c r="N11" s="55"/>
      <c r="O11" s="55"/>
      <c r="P11" s="55"/>
      <c r="Q11" s="55"/>
      <c r="R11" s="55"/>
      <c r="S11" s="55"/>
      <c r="T11" s="55">
        <f>(5.8+5.8+1.25+1.25+1.49+1.49+3+1.2+1.23+2.79+1.24+0.35+0.24)*3</f>
        <v>81.38999999999999</v>
      </c>
      <c r="U11" s="68"/>
    </row>
    <row r="12" spans="2:21" ht="12.75">
      <c r="B12" t="s">
        <v>114</v>
      </c>
      <c r="C12" t="s">
        <v>117</v>
      </c>
      <c r="D12" s="56">
        <v>19.72</v>
      </c>
      <c r="I12" s="78">
        <f t="shared" si="0"/>
        <v>19.72</v>
      </c>
      <c r="J12" s="55"/>
      <c r="K12" s="55"/>
      <c r="L12" s="55"/>
      <c r="M12" s="68"/>
      <c r="N12" s="55"/>
      <c r="O12" s="55"/>
      <c r="P12" s="55"/>
      <c r="Q12" s="55"/>
      <c r="R12" s="55"/>
      <c r="S12" s="55"/>
      <c r="T12" s="55">
        <f>(5.01+5.01+3.79+3.79)*3</f>
        <v>52.8</v>
      </c>
      <c r="U12" s="68"/>
    </row>
    <row r="13" spans="2:21" ht="12.75">
      <c r="B13" t="s">
        <v>115</v>
      </c>
      <c r="C13" t="s">
        <v>118</v>
      </c>
      <c r="D13" s="56">
        <v>20.45</v>
      </c>
      <c r="I13" s="78">
        <f t="shared" si="0"/>
        <v>20.45</v>
      </c>
      <c r="J13" s="55"/>
      <c r="K13" s="55"/>
      <c r="L13" s="55"/>
      <c r="M13" s="68"/>
      <c r="N13" s="55"/>
      <c r="O13" s="55"/>
      <c r="P13" s="55"/>
      <c r="Q13" s="55"/>
      <c r="R13" s="55"/>
      <c r="S13" s="55"/>
      <c r="T13" s="55">
        <f>(3.69+2.5+2.5)*3</f>
        <v>26.07</v>
      </c>
      <c r="U13" s="68"/>
    </row>
    <row r="14" spans="2:21" ht="12.75">
      <c r="B14" t="s">
        <v>116</v>
      </c>
      <c r="C14" t="s">
        <v>119</v>
      </c>
      <c r="D14" s="56">
        <v>7.66</v>
      </c>
      <c r="I14" s="78">
        <f t="shared" si="0"/>
        <v>7.66</v>
      </c>
      <c r="J14" s="55"/>
      <c r="K14" s="55"/>
      <c r="L14" s="55"/>
      <c r="M14" s="68"/>
      <c r="N14" s="55"/>
      <c r="O14" s="55"/>
      <c r="P14" s="55"/>
      <c r="Q14" s="55"/>
      <c r="R14" s="55"/>
      <c r="S14" s="55"/>
      <c r="T14" s="55">
        <f>(3.675+3.545)*2*3</f>
        <v>43.32</v>
      </c>
      <c r="U14" s="68"/>
    </row>
    <row r="15" spans="2:21" ht="12.75">
      <c r="B15" s="82" t="s">
        <v>332</v>
      </c>
      <c r="C15" s="82" t="s">
        <v>332</v>
      </c>
      <c r="D15" s="83">
        <v>20.9</v>
      </c>
      <c r="I15" s="78">
        <f t="shared" si="0"/>
        <v>20.9</v>
      </c>
      <c r="J15" s="55"/>
      <c r="K15" s="55"/>
      <c r="L15" s="55"/>
      <c r="M15" s="68"/>
      <c r="N15" s="55"/>
      <c r="O15" s="55"/>
      <c r="P15" s="55"/>
      <c r="Q15" s="55"/>
      <c r="R15" s="55"/>
      <c r="S15" s="55"/>
      <c r="T15" s="55">
        <f>(8.45+3.31)*2*3</f>
        <v>70.56</v>
      </c>
      <c r="U15" s="68"/>
    </row>
    <row r="16" spans="2:21" ht="12.75">
      <c r="B16" s="82" t="s">
        <v>341</v>
      </c>
      <c r="C16" s="82"/>
      <c r="D16" s="83">
        <f>(4.8+1.05)*1.5+(2.65+4)*1.22+(0.8+2.7)*1.15</f>
        <v>20.912999999999997</v>
      </c>
      <c r="I16" s="78">
        <f>D16</f>
        <v>20.912999999999997</v>
      </c>
      <c r="J16" s="55"/>
      <c r="K16" s="55"/>
      <c r="L16" s="55"/>
      <c r="M16" s="68"/>
      <c r="N16" s="55"/>
      <c r="O16" s="55"/>
      <c r="P16" s="55"/>
      <c r="Q16" s="55"/>
      <c r="R16" s="55"/>
      <c r="S16" s="55"/>
      <c r="T16" s="55">
        <f>(4.8+2.6)*2*3+(2.65+5.2)*2*3+(2+2.7)*2*3</f>
        <v>119.7</v>
      </c>
      <c r="U16" s="68"/>
    </row>
    <row r="17" spans="2:21" ht="12.75">
      <c r="B17" s="1" t="s">
        <v>120</v>
      </c>
      <c r="C17" s="1"/>
      <c r="D17" s="226">
        <f>SUM(D7:D16)</f>
        <v>211.423</v>
      </c>
      <c r="I17" s="79">
        <f>SUM(I7:I16)</f>
        <v>211.423</v>
      </c>
      <c r="J17" s="80"/>
      <c r="K17" s="80"/>
      <c r="L17" s="80"/>
      <c r="M17" s="81"/>
      <c r="N17" s="80"/>
      <c r="O17" s="80"/>
      <c r="P17" s="80"/>
      <c r="Q17" s="80"/>
      <c r="R17" s="80"/>
      <c r="S17" s="80"/>
      <c r="T17" s="227">
        <f>SUM(T7:T16)</f>
        <v>637.6800000000001</v>
      </c>
      <c r="U17" s="68"/>
    </row>
    <row r="18" ht="13.5" thickBot="1"/>
    <row r="19" spans="9:23" ht="13.5" thickBot="1">
      <c r="I19" s="857" t="s">
        <v>291</v>
      </c>
      <c r="J19" s="858"/>
      <c r="K19" s="858"/>
      <c r="L19" s="859"/>
      <c r="M19" s="65"/>
      <c r="N19" s="857" t="s">
        <v>123</v>
      </c>
      <c r="O19" s="858"/>
      <c r="P19" s="858"/>
      <c r="Q19" s="858"/>
      <c r="R19" s="858"/>
      <c r="S19" s="858"/>
      <c r="T19" s="858"/>
      <c r="U19" s="65"/>
      <c r="V19" s="857" t="s">
        <v>124</v>
      </c>
      <c r="W19" s="859"/>
    </row>
    <row r="20" spans="2:23" ht="39" thickBot="1">
      <c r="B20" s="1" t="s">
        <v>121</v>
      </c>
      <c r="C20" s="1"/>
      <c r="D20" s="1"/>
      <c r="E20" s="1"/>
      <c r="F20" s="1"/>
      <c r="G20" s="1"/>
      <c r="I20" s="64" t="s">
        <v>208</v>
      </c>
      <c r="J20" s="64" t="s">
        <v>209</v>
      </c>
      <c r="K20" s="65" t="s">
        <v>210</v>
      </c>
      <c r="L20" s="65" t="s">
        <v>211</v>
      </c>
      <c r="M20" s="66"/>
      <c r="N20" s="65" t="s">
        <v>1052</v>
      </c>
      <c r="O20" s="65" t="s">
        <v>1053</v>
      </c>
      <c r="P20" s="65" t="s">
        <v>1055</v>
      </c>
      <c r="Q20" s="65" t="s">
        <v>1054</v>
      </c>
      <c r="R20" s="65" t="s">
        <v>1058</v>
      </c>
      <c r="S20" s="65" t="s">
        <v>1060</v>
      </c>
      <c r="T20" s="65" t="s">
        <v>213</v>
      </c>
      <c r="U20" s="66"/>
      <c r="V20" s="65" t="s">
        <v>215</v>
      </c>
      <c r="W20" s="64" t="s">
        <v>212</v>
      </c>
    </row>
    <row r="21" spans="2:23" ht="12.75">
      <c r="B21" s="58" t="s">
        <v>105</v>
      </c>
      <c r="C21" s="58" t="s">
        <v>106</v>
      </c>
      <c r="D21" s="58" t="s">
        <v>107</v>
      </c>
      <c r="E21" s="58" t="s">
        <v>122</v>
      </c>
      <c r="F21" s="58" t="s">
        <v>123</v>
      </c>
      <c r="G21" s="58" t="s">
        <v>124</v>
      </c>
      <c r="I21" s="63"/>
      <c r="J21" s="63"/>
      <c r="K21" s="63"/>
      <c r="L21" s="63"/>
      <c r="M21" s="67"/>
      <c r="N21" s="63"/>
      <c r="O21" s="63"/>
      <c r="P21" s="63"/>
      <c r="Q21" s="63"/>
      <c r="R21" s="63"/>
      <c r="S21" s="63"/>
      <c r="T21" s="63"/>
      <c r="U21" s="67"/>
      <c r="V21" s="63"/>
      <c r="W21" s="63"/>
    </row>
    <row r="22" spans="2:23" ht="12.75">
      <c r="B22" s="59" t="s">
        <v>125</v>
      </c>
      <c r="C22" t="s">
        <v>157</v>
      </c>
      <c r="D22" s="1">
        <v>34.55</v>
      </c>
      <c r="E22" t="s">
        <v>208</v>
      </c>
      <c r="F22" t="s">
        <v>212</v>
      </c>
      <c r="G22" t="s">
        <v>215</v>
      </c>
      <c r="I22" s="55">
        <f>D22</f>
        <v>34.55</v>
      </c>
      <c r="J22" s="55"/>
      <c r="K22" s="55"/>
      <c r="L22" s="55"/>
      <c r="M22" s="68"/>
      <c r="N22" s="63">
        <f>(2.705+5.23+0.25+3.25+0.25+1.63+2.85+0.25+3.09)*3.1</f>
        <v>60.46550000000001</v>
      </c>
      <c r="O22" s="63">
        <f>(5.23+0.25+0.25+3.25+0.75+0.75+3.09)*3.1</f>
        <v>42.067</v>
      </c>
      <c r="P22" s="55"/>
      <c r="Q22" s="55"/>
      <c r="R22" s="55"/>
      <c r="S22" s="55"/>
      <c r="T22" s="55"/>
      <c r="U22" s="68"/>
      <c r="V22" s="55">
        <f>D22</f>
        <v>34.55</v>
      </c>
      <c r="W22" s="55"/>
    </row>
    <row r="23" spans="2:23" ht="12.75">
      <c r="B23" s="59" t="s">
        <v>126</v>
      </c>
      <c r="C23" t="s">
        <v>158</v>
      </c>
      <c r="D23" s="1">
        <v>58.02</v>
      </c>
      <c r="E23" t="s">
        <v>209</v>
      </c>
      <c r="F23" t="s">
        <v>212</v>
      </c>
      <c r="G23" t="s">
        <v>212</v>
      </c>
      <c r="I23" s="55"/>
      <c r="J23" s="55">
        <f>D23</f>
        <v>58.02</v>
      </c>
      <c r="K23" s="55"/>
      <c r="L23" s="55"/>
      <c r="M23" s="68"/>
      <c r="N23" s="55">
        <f>(11.1+11.1)*2.8+(4.89+4.89)*3.2</f>
        <v>93.45599999999999</v>
      </c>
      <c r="O23" s="55">
        <f>(0.5*3)</f>
        <v>1.5</v>
      </c>
      <c r="P23" s="55"/>
      <c r="Q23" s="55"/>
      <c r="R23" s="55"/>
      <c r="S23" s="55"/>
      <c r="T23" s="55"/>
      <c r="U23" s="68"/>
      <c r="V23" s="55"/>
      <c r="W23" s="55">
        <f>D23</f>
        <v>58.02</v>
      </c>
    </row>
    <row r="24" spans="2:23" ht="12.75">
      <c r="B24" s="59" t="s">
        <v>127</v>
      </c>
      <c r="C24" t="s">
        <v>159</v>
      </c>
      <c r="D24" s="1">
        <v>17.91</v>
      </c>
      <c r="E24" t="s">
        <v>209</v>
      </c>
      <c r="F24" t="s">
        <v>212</v>
      </c>
      <c r="G24" t="s">
        <v>212</v>
      </c>
      <c r="I24" s="55"/>
      <c r="J24" s="55">
        <f>D24</f>
        <v>17.91</v>
      </c>
      <c r="K24" s="55"/>
      <c r="L24" s="55"/>
      <c r="M24" s="68"/>
      <c r="N24" s="55">
        <f>(3.665+3.665)*2.7+(4.82)*3.2</f>
        <v>35.215</v>
      </c>
      <c r="O24" s="55">
        <f>(4.82*3.2)</f>
        <v>15.424000000000001</v>
      </c>
      <c r="P24" s="55"/>
      <c r="Q24" s="55"/>
      <c r="R24" s="55"/>
      <c r="S24" s="55"/>
      <c r="T24" s="55"/>
      <c r="U24" s="68"/>
      <c r="V24" s="55"/>
      <c r="W24" s="55">
        <f aca="true" t="shared" si="1" ref="W24:W31">D24</f>
        <v>17.91</v>
      </c>
    </row>
    <row r="25" spans="2:23" ht="12.75">
      <c r="B25" s="221" t="s">
        <v>128</v>
      </c>
      <c r="C25" s="60" t="s">
        <v>161</v>
      </c>
      <c r="D25" s="223">
        <v>3.93</v>
      </c>
      <c r="E25" t="s">
        <v>208</v>
      </c>
      <c r="F25" t="s">
        <v>213</v>
      </c>
      <c r="G25" s="60" t="s">
        <v>215</v>
      </c>
      <c r="I25" s="55">
        <f>D25</f>
        <v>3.93</v>
      </c>
      <c r="J25" s="55"/>
      <c r="K25" s="55"/>
      <c r="L25" s="55"/>
      <c r="M25" s="68"/>
      <c r="N25" s="55">
        <f>1.75*0.25</f>
        <v>0.4375</v>
      </c>
      <c r="O25" s="55">
        <f>(2.25+2.25+1.75)*1.1</f>
        <v>6.875000000000001</v>
      </c>
      <c r="P25" s="55">
        <f>(1.75*2.6)</f>
        <v>4.55</v>
      </c>
      <c r="Q25" s="55">
        <f>(2.25+2.25+1.75)*2.6-0.8*2.1</f>
        <v>14.57</v>
      </c>
      <c r="R25" s="55"/>
      <c r="S25" s="55">
        <f>D25</f>
        <v>3.93</v>
      </c>
      <c r="T25" s="55">
        <f>(1.75+1.75+2.25+2.25)*2.6-0.8*2.1</f>
        <v>19.12</v>
      </c>
      <c r="U25" s="68"/>
      <c r="V25" s="55">
        <f>D25</f>
        <v>3.93</v>
      </c>
      <c r="W25" s="55"/>
    </row>
    <row r="26" spans="2:23" ht="12.75">
      <c r="B26" s="221" t="s">
        <v>129</v>
      </c>
      <c r="C26" s="60" t="s">
        <v>160</v>
      </c>
      <c r="D26" s="1">
        <v>4.35</v>
      </c>
      <c r="E26" t="s">
        <v>209</v>
      </c>
      <c r="F26" t="s">
        <v>212</v>
      </c>
      <c r="G26" t="s">
        <v>212</v>
      </c>
      <c r="I26" s="55"/>
      <c r="J26" s="55">
        <f>D26</f>
        <v>4.35</v>
      </c>
      <c r="K26" s="55"/>
      <c r="L26" s="55"/>
      <c r="M26" s="68"/>
      <c r="N26" s="55">
        <f>0.8*2.9</f>
        <v>2.32</v>
      </c>
      <c r="O26" s="55">
        <f>(2.41+2.41+1.75)*3.4-(0.8*2.1+1.2*2.1*2)</f>
        <v>15.618</v>
      </c>
      <c r="P26" s="55"/>
      <c r="Q26" s="55"/>
      <c r="R26" s="55"/>
      <c r="S26" s="55"/>
      <c r="T26" s="55"/>
      <c r="U26" s="68"/>
      <c r="V26" s="55"/>
      <c r="W26" s="55">
        <f t="shared" si="1"/>
        <v>4.35</v>
      </c>
    </row>
    <row r="27" spans="2:23" ht="12.75">
      <c r="B27" s="59" t="s">
        <v>130</v>
      </c>
      <c r="C27" t="s">
        <v>162</v>
      </c>
      <c r="D27" s="1">
        <v>29.12</v>
      </c>
      <c r="E27" t="s">
        <v>209</v>
      </c>
      <c r="F27" t="s">
        <v>212</v>
      </c>
      <c r="G27" t="s">
        <v>212</v>
      </c>
      <c r="I27" s="55"/>
      <c r="J27" s="55">
        <f>D27</f>
        <v>29.12</v>
      </c>
      <c r="K27" s="55"/>
      <c r="L27" s="55"/>
      <c r="M27" s="68"/>
      <c r="N27" s="55">
        <f>(5.685+5.685)*2.85+(4.82*3.3)</f>
        <v>48.3105</v>
      </c>
      <c r="O27" s="55">
        <f>(4.82)*3.3-1.2*2.1</f>
        <v>13.386000000000001</v>
      </c>
      <c r="P27" s="55"/>
      <c r="Q27" s="55"/>
      <c r="R27" s="55"/>
      <c r="S27" s="55"/>
      <c r="T27" s="55"/>
      <c r="U27" s="68"/>
      <c r="V27" s="55"/>
      <c r="W27" s="55">
        <f t="shared" si="1"/>
        <v>29.12</v>
      </c>
    </row>
    <row r="28" spans="2:23" ht="12.75">
      <c r="B28" s="59" t="s">
        <v>131</v>
      </c>
      <c r="C28" t="s">
        <v>163</v>
      </c>
      <c r="D28" s="1">
        <v>58.57</v>
      </c>
      <c r="E28" t="s">
        <v>209</v>
      </c>
      <c r="F28" t="s">
        <v>212</v>
      </c>
      <c r="G28" t="s">
        <v>212</v>
      </c>
      <c r="I28" s="55"/>
      <c r="J28" s="55">
        <f>D28</f>
        <v>58.57</v>
      </c>
      <c r="K28" s="55"/>
      <c r="L28" s="55"/>
      <c r="M28" s="68"/>
      <c r="N28" s="55">
        <f>(4.165+10.8)*2*3.3</f>
        <v>98.76899999999999</v>
      </c>
      <c r="O28" s="55"/>
      <c r="P28" s="55"/>
      <c r="Q28" s="55"/>
      <c r="R28" s="55"/>
      <c r="S28" s="55"/>
      <c r="T28" s="55"/>
      <c r="U28" s="68"/>
      <c r="V28" s="55"/>
      <c r="W28" s="55">
        <f t="shared" si="1"/>
        <v>58.57</v>
      </c>
    </row>
    <row r="29" spans="2:23" ht="12.75">
      <c r="B29" s="59" t="s">
        <v>132</v>
      </c>
      <c r="C29" t="s">
        <v>164</v>
      </c>
      <c r="D29" s="60">
        <v>23.78</v>
      </c>
      <c r="E29" t="s">
        <v>210</v>
      </c>
      <c r="F29" t="s">
        <v>212</v>
      </c>
      <c r="G29" t="s">
        <v>212</v>
      </c>
      <c r="I29" s="55"/>
      <c r="J29" s="55"/>
      <c r="K29" s="55">
        <f>D29</f>
        <v>23.78</v>
      </c>
      <c r="L29" s="55"/>
      <c r="M29" s="68"/>
      <c r="N29" s="55">
        <f>(6.1+3.61)*2.85</f>
        <v>27.673499999999997</v>
      </c>
      <c r="O29" s="55">
        <f>(3.61+6.1)*2.85-0.8*2.1*2</f>
        <v>24.313499999999998</v>
      </c>
      <c r="P29" s="55"/>
      <c r="Q29" s="55"/>
      <c r="R29" s="55"/>
      <c r="S29" s="55"/>
      <c r="T29" s="55"/>
      <c r="U29" s="68"/>
      <c r="V29" s="55"/>
      <c r="W29" s="55">
        <f t="shared" si="1"/>
        <v>23.78</v>
      </c>
    </row>
    <row r="30" spans="2:23" ht="12.75">
      <c r="B30" s="59" t="s">
        <v>133</v>
      </c>
      <c r="C30" t="s">
        <v>165</v>
      </c>
      <c r="D30" s="60">
        <v>32.55</v>
      </c>
      <c r="E30" t="s">
        <v>210</v>
      </c>
      <c r="F30" t="s">
        <v>212</v>
      </c>
      <c r="G30" t="s">
        <v>212</v>
      </c>
      <c r="I30" s="55"/>
      <c r="J30" s="55"/>
      <c r="K30" s="55">
        <f>D30</f>
        <v>32.55</v>
      </c>
      <c r="L30" s="55"/>
      <c r="M30" s="68"/>
      <c r="N30" s="55">
        <f>(5.69+5.35)*2*2.92</f>
        <v>64.47359999999999</v>
      </c>
      <c r="O30" s="55"/>
      <c r="P30" s="55"/>
      <c r="Q30" s="55"/>
      <c r="R30" s="55"/>
      <c r="S30" s="55"/>
      <c r="T30" s="55"/>
      <c r="U30" s="68"/>
      <c r="V30" s="55"/>
      <c r="W30" s="55">
        <f t="shared" si="1"/>
        <v>32.55</v>
      </c>
    </row>
    <row r="31" spans="2:23" ht="12.75">
      <c r="B31" s="59" t="s">
        <v>134</v>
      </c>
      <c r="C31" t="s">
        <v>166</v>
      </c>
      <c r="D31" s="60">
        <v>14.96</v>
      </c>
      <c r="E31" t="s">
        <v>210</v>
      </c>
      <c r="F31" t="s">
        <v>212</v>
      </c>
      <c r="G31" t="s">
        <v>212</v>
      </c>
      <c r="I31" s="55"/>
      <c r="J31" s="55"/>
      <c r="K31" s="55">
        <f>D31</f>
        <v>14.96</v>
      </c>
      <c r="L31" s="55"/>
      <c r="M31" s="68"/>
      <c r="N31" s="55">
        <f>(3.6+3.6+3.18)*2.95</f>
        <v>30.621000000000006</v>
      </c>
      <c r="O31" s="55">
        <f>(3.815*3.6)-0.7*2.1</f>
        <v>12.264</v>
      </c>
      <c r="P31" s="55"/>
      <c r="Q31" s="55"/>
      <c r="R31" s="55"/>
      <c r="S31" s="55"/>
      <c r="T31" s="55"/>
      <c r="U31" s="68"/>
      <c r="V31" s="55"/>
      <c r="W31" s="55">
        <f t="shared" si="1"/>
        <v>14.96</v>
      </c>
    </row>
    <row r="32" spans="2:23" ht="12.75">
      <c r="B32" s="59" t="s">
        <v>135</v>
      </c>
      <c r="C32" t="s">
        <v>161</v>
      </c>
      <c r="D32" s="60">
        <v>1.68</v>
      </c>
      <c r="E32" t="s">
        <v>208</v>
      </c>
      <c r="F32" t="s">
        <v>213</v>
      </c>
      <c r="G32" t="s">
        <v>215</v>
      </c>
      <c r="I32" s="55">
        <f>D32</f>
        <v>1.68</v>
      </c>
      <c r="J32" s="55"/>
      <c r="K32" s="55"/>
      <c r="L32" s="55"/>
      <c r="M32" s="68"/>
      <c r="N32" s="55">
        <f>(0.4*1.03+1.625*1.1)</f>
        <v>2.1995</v>
      </c>
      <c r="O32" s="55">
        <f>(1.625+1.03)*1.1</f>
        <v>2.9205000000000005</v>
      </c>
      <c r="P32" s="55">
        <f>(1.625+1.03)*2.6</f>
        <v>6.9030000000000005</v>
      </c>
      <c r="Q32" s="55">
        <f>(1.625+1.03)*2.6-0.7*2.1</f>
        <v>5.433000000000001</v>
      </c>
      <c r="R32" s="55"/>
      <c r="S32" s="55">
        <f>I32</f>
        <v>1.68</v>
      </c>
      <c r="T32" s="55">
        <f>(1.625+1.03)*2*2.6-0.7*2.1</f>
        <v>12.336</v>
      </c>
      <c r="U32" s="68"/>
      <c r="V32" s="55">
        <f>D32</f>
        <v>1.68</v>
      </c>
      <c r="W32" s="55"/>
    </row>
    <row r="33" spans="2:23" ht="12.75">
      <c r="B33" s="59" t="s">
        <v>136</v>
      </c>
      <c r="C33" t="s">
        <v>160</v>
      </c>
      <c r="D33" s="1">
        <v>2.74</v>
      </c>
      <c r="E33" t="s">
        <v>210</v>
      </c>
      <c r="F33" t="s">
        <v>213</v>
      </c>
      <c r="G33" t="s">
        <v>215</v>
      </c>
      <c r="I33" s="55"/>
      <c r="J33" s="55"/>
      <c r="K33" s="55">
        <f>D33</f>
        <v>2.74</v>
      </c>
      <c r="L33" s="55"/>
      <c r="M33" s="68"/>
      <c r="N33" s="55">
        <f>(1.5*0.4)</f>
        <v>0.6000000000000001</v>
      </c>
      <c r="O33" s="55">
        <f>(1.5+1.625+1.625)*1.1</f>
        <v>5.2250000000000005</v>
      </c>
      <c r="P33" s="55">
        <f>(1.5*2.6)</f>
        <v>3.9000000000000004</v>
      </c>
      <c r="Q33" s="55">
        <f>(1.625+1.625+1.5)*2.6-0.7*2.1*3</f>
        <v>7.9399999999999995</v>
      </c>
      <c r="R33" s="55"/>
      <c r="S33" s="55"/>
      <c r="T33" s="55">
        <f>(1.5+1.625)*2*2.6-0.7*2.1*3</f>
        <v>11.84</v>
      </c>
      <c r="U33" s="68"/>
      <c r="V33" s="55">
        <f>D33</f>
        <v>2.74</v>
      </c>
      <c r="W33" s="55"/>
    </row>
    <row r="34" spans="2:23" ht="12.75">
      <c r="B34" s="59" t="s">
        <v>137</v>
      </c>
      <c r="C34" t="s">
        <v>167</v>
      </c>
      <c r="D34" s="1">
        <v>1.71</v>
      </c>
      <c r="E34" t="s">
        <v>208</v>
      </c>
      <c r="F34" t="s">
        <v>213</v>
      </c>
      <c r="G34" t="s">
        <v>215</v>
      </c>
      <c r="I34" s="55">
        <f>D34</f>
        <v>1.71</v>
      </c>
      <c r="J34" s="55"/>
      <c r="K34" s="55"/>
      <c r="L34" s="55"/>
      <c r="M34" s="68"/>
      <c r="N34" s="55">
        <f>(1.065+1.625)*1</f>
        <v>2.69</v>
      </c>
      <c r="O34" s="55">
        <f>(1.625+1.065)*1</f>
        <v>2.69</v>
      </c>
      <c r="P34" s="55">
        <f>(1.065+1.625)*2.6</f>
        <v>6.994</v>
      </c>
      <c r="Q34" s="55">
        <f>(1.625+1.065)*2.6-0.7*2.1</f>
        <v>5.524</v>
      </c>
      <c r="R34" s="55"/>
      <c r="S34" s="55">
        <f>I34</f>
        <v>1.71</v>
      </c>
      <c r="T34" s="55">
        <f>(1.625+1.065)*2*2.6-0.7*2.1</f>
        <v>12.517999999999999</v>
      </c>
      <c r="U34" s="68"/>
      <c r="V34" s="55">
        <f>D34</f>
        <v>1.71</v>
      </c>
      <c r="W34" s="55"/>
    </row>
    <row r="35" spans="2:23" ht="12.75">
      <c r="B35" s="59" t="s">
        <v>138</v>
      </c>
      <c r="C35" t="s">
        <v>119</v>
      </c>
      <c r="D35" s="1">
        <v>3.97</v>
      </c>
      <c r="E35" t="s">
        <v>210</v>
      </c>
      <c r="F35" t="s">
        <v>212</v>
      </c>
      <c r="G35" t="s">
        <v>212</v>
      </c>
      <c r="I35" s="55"/>
      <c r="J35" s="55"/>
      <c r="K35" s="55">
        <f>D35</f>
        <v>3.97</v>
      </c>
      <c r="L35" s="55"/>
      <c r="M35" s="68"/>
      <c r="N35" s="55">
        <f>(1.985+1.93)*3.5</f>
        <v>13.7025</v>
      </c>
      <c r="O35" s="55">
        <f>(1.985+1.93)*3.6-0.8*2.1</f>
        <v>12.414000000000001</v>
      </c>
      <c r="P35" s="55"/>
      <c r="Q35" s="55"/>
      <c r="R35" s="55"/>
      <c r="S35" s="55"/>
      <c r="T35" s="55"/>
      <c r="U35" s="68"/>
      <c r="V35" s="55"/>
      <c r="W35" s="55">
        <f>D35</f>
        <v>3.97</v>
      </c>
    </row>
    <row r="36" spans="2:23" ht="12.75">
      <c r="B36" s="59" t="s">
        <v>139</v>
      </c>
      <c r="C36" t="s">
        <v>168</v>
      </c>
      <c r="D36" s="1">
        <v>3.62</v>
      </c>
      <c r="E36" t="s">
        <v>208</v>
      </c>
      <c r="F36" t="s">
        <v>213</v>
      </c>
      <c r="G36" t="s">
        <v>215</v>
      </c>
      <c r="I36" s="55">
        <f>D36</f>
        <v>3.62</v>
      </c>
      <c r="J36" s="55"/>
      <c r="K36" s="55"/>
      <c r="L36" s="55"/>
      <c r="M36" s="68"/>
      <c r="N36" s="55">
        <f>(1.875*1)</f>
        <v>1.875</v>
      </c>
      <c r="O36" s="55">
        <f>(1.875+1.93+1.93)*1</f>
        <v>5.734999999999999</v>
      </c>
      <c r="P36" s="55">
        <f>(1.875*2.6)</f>
        <v>4.875</v>
      </c>
      <c r="Q36" s="55">
        <f>(1.875+1.93+1.93)*2.6-0.7*2.1</f>
        <v>13.440999999999999</v>
      </c>
      <c r="R36" s="55">
        <f>(1.1+1.1)*2.6</f>
        <v>5.720000000000001</v>
      </c>
      <c r="S36" s="55">
        <f>I36</f>
        <v>3.62</v>
      </c>
      <c r="T36" s="55">
        <f>(1.875+1.93)*2*2.6-0.7*2.1</f>
        <v>18.316</v>
      </c>
      <c r="U36" s="68"/>
      <c r="V36" s="55">
        <f>D36</f>
        <v>3.62</v>
      </c>
      <c r="W36" s="55"/>
    </row>
    <row r="37" spans="2:23" ht="12.75">
      <c r="B37" s="59" t="s">
        <v>140</v>
      </c>
      <c r="C37" t="s">
        <v>160</v>
      </c>
      <c r="D37" s="1">
        <v>4.5</v>
      </c>
      <c r="E37" t="s">
        <v>210</v>
      </c>
      <c r="F37" t="s">
        <v>212</v>
      </c>
      <c r="G37" t="s">
        <v>212</v>
      </c>
      <c r="I37" s="55"/>
      <c r="J37" s="55"/>
      <c r="K37" s="55">
        <f>D37</f>
        <v>4.5</v>
      </c>
      <c r="L37" s="55"/>
      <c r="M37" s="68"/>
      <c r="N37" s="55">
        <f>(1.94*2.6)</f>
        <v>5.044</v>
      </c>
      <c r="O37" s="55">
        <f>(1.94+1.93+1.93)*3.5-0.8*2.1</f>
        <v>18.62</v>
      </c>
      <c r="P37" s="55"/>
      <c r="Q37" s="55"/>
      <c r="R37" s="55"/>
      <c r="S37" s="55"/>
      <c r="T37" s="55"/>
      <c r="U37" s="68"/>
      <c r="V37" s="55"/>
      <c r="W37" s="55">
        <f aca="true" t="shared" si="2" ref="W37:W42">D37</f>
        <v>4.5</v>
      </c>
    </row>
    <row r="38" spans="2:23" ht="12.75">
      <c r="B38" s="59" t="s">
        <v>141</v>
      </c>
      <c r="C38" t="s">
        <v>169</v>
      </c>
      <c r="D38" s="1">
        <v>10.37</v>
      </c>
      <c r="E38" t="s">
        <v>209</v>
      </c>
      <c r="F38" t="s">
        <v>212</v>
      </c>
      <c r="G38" t="s">
        <v>212</v>
      </c>
      <c r="I38" s="55"/>
      <c r="J38" s="55">
        <f>D38</f>
        <v>10.37</v>
      </c>
      <c r="K38" s="55"/>
      <c r="L38" s="55"/>
      <c r="M38" s="68"/>
      <c r="N38" s="55">
        <f>(2.055+1.24+2.71+1.73)*2*3.5-O38</f>
        <v>52.105</v>
      </c>
      <c r="O38" s="55">
        <f>(1.24*3-0.8*2.1)</f>
        <v>2.0399999999999996</v>
      </c>
      <c r="P38" s="55"/>
      <c r="Q38" s="55"/>
      <c r="R38" s="55"/>
      <c r="S38" s="55"/>
      <c r="T38" s="55"/>
      <c r="U38" s="68"/>
      <c r="V38" s="55"/>
      <c r="W38" s="55">
        <f t="shared" si="2"/>
        <v>10.37</v>
      </c>
    </row>
    <row r="39" spans="2:23" ht="12.75">
      <c r="B39" s="59" t="s">
        <v>142</v>
      </c>
      <c r="C39" t="s">
        <v>119</v>
      </c>
      <c r="D39" s="1">
        <v>22.5</v>
      </c>
      <c r="E39" t="s">
        <v>208</v>
      </c>
      <c r="F39" t="s">
        <v>212</v>
      </c>
      <c r="G39" t="s">
        <v>212</v>
      </c>
      <c r="I39" s="55">
        <f>D39</f>
        <v>22.5</v>
      </c>
      <c r="J39" s="55"/>
      <c r="K39" s="55"/>
      <c r="L39" s="55"/>
      <c r="M39" s="68"/>
      <c r="N39" s="55">
        <f>(4.1+3.35)*2*3.3-O39</f>
        <v>46.169999999999995</v>
      </c>
      <c r="O39" s="55">
        <f>(1.2*2.5)</f>
        <v>3</v>
      </c>
      <c r="P39" s="55"/>
      <c r="Q39" s="55"/>
      <c r="R39" s="55"/>
      <c r="S39" s="55"/>
      <c r="T39" s="55"/>
      <c r="U39" s="68"/>
      <c r="V39" s="55"/>
      <c r="W39" s="55">
        <f t="shared" si="2"/>
        <v>22.5</v>
      </c>
    </row>
    <row r="40" spans="2:23" ht="12.75">
      <c r="B40" s="59" t="s">
        <v>143</v>
      </c>
      <c r="C40" t="s">
        <v>118</v>
      </c>
      <c r="D40" s="1">
        <v>14.93</v>
      </c>
      <c r="E40" t="s">
        <v>209</v>
      </c>
      <c r="F40" t="s">
        <v>212</v>
      </c>
      <c r="G40" t="s">
        <v>212</v>
      </c>
      <c r="I40" s="55"/>
      <c r="J40" s="55">
        <f>D40</f>
        <v>14.93</v>
      </c>
      <c r="K40" s="55"/>
      <c r="L40" s="55"/>
      <c r="M40" s="68"/>
      <c r="N40" s="55">
        <f>(3.955+5.33)*2*3</f>
        <v>55.71</v>
      </c>
      <c r="O40" s="55">
        <v>2</v>
      </c>
      <c r="P40" s="55"/>
      <c r="Q40" s="55"/>
      <c r="R40" s="55"/>
      <c r="S40" s="55"/>
      <c r="T40" s="55"/>
      <c r="U40" s="68"/>
      <c r="V40" s="55"/>
      <c r="W40" s="55">
        <f t="shared" si="2"/>
        <v>14.93</v>
      </c>
    </row>
    <row r="41" spans="2:23" ht="12.75">
      <c r="B41" s="59" t="s">
        <v>144</v>
      </c>
      <c r="C41" t="s">
        <v>118</v>
      </c>
      <c r="D41" s="1">
        <v>18.68</v>
      </c>
      <c r="E41" t="s">
        <v>209</v>
      </c>
      <c r="F41" t="s">
        <v>212</v>
      </c>
      <c r="G41" t="s">
        <v>212</v>
      </c>
      <c r="I41" s="55"/>
      <c r="J41" s="55">
        <f>D41</f>
        <v>18.68</v>
      </c>
      <c r="K41" s="55"/>
      <c r="L41" s="55"/>
      <c r="M41" s="68"/>
      <c r="N41" s="55">
        <f>(5.85+1.73+0.53+0.815+1.2+0.18+1.745)*2*3-O41</f>
        <v>65.71499999999999</v>
      </c>
      <c r="O41" s="55">
        <f>(0.815+1.2+0.18)*3</f>
        <v>6.584999999999999</v>
      </c>
      <c r="P41" s="55"/>
      <c r="Q41" s="55"/>
      <c r="R41" s="55"/>
      <c r="S41" s="55"/>
      <c r="T41" s="55"/>
      <c r="U41" s="68"/>
      <c r="V41" s="55"/>
      <c r="W41" s="55">
        <f t="shared" si="2"/>
        <v>18.68</v>
      </c>
    </row>
    <row r="42" spans="2:23" ht="12.75">
      <c r="B42" s="59" t="s">
        <v>145</v>
      </c>
      <c r="C42" t="s">
        <v>157</v>
      </c>
      <c r="D42" s="1">
        <v>5.31</v>
      </c>
      <c r="E42" t="s">
        <v>208</v>
      </c>
      <c r="F42" t="s">
        <v>213</v>
      </c>
      <c r="G42" t="s">
        <v>212</v>
      </c>
      <c r="I42" s="55">
        <f>D42</f>
        <v>5.31</v>
      </c>
      <c r="J42" s="55"/>
      <c r="K42" s="55"/>
      <c r="L42" s="55"/>
      <c r="M42" s="68"/>
      <c r="N42" s="55"/>
      <c r="O42" s="55"/>
      <c r="P42" s="55">
        <f>(1.4+3.43+1.4)*3.5</f>
        <v>21.805</v>
      </c>
      <c r="Q42" s="55">
        <f>(3.43*3.5)</f>
        <v>12.005</v>
      </c>
      <c r="R42" s="55"/>
      <c r="S42" s="55"/>
      <c r="T42" s="55">
        <f>(3.43+1.4)*2*3.5</f>
        <v>33.81</v>
      </c>
      <c r="U42" s="68"/>
      <c r="V42" s="55"/>
      <c r="W42" s="55">
        <f t="shared" si="2"/>
        <v>5.31</v>
      </c>
    </row>
    <row r="43" spans="2:23" ht="12.75">
      <c r="B43" s="59" t="s">
        <v>146</v>
      </c>
      <c r="C43" t="s">
        <v>1057</v>
      </c>
      <c r="D43" s="1">
        <v>2.9</v>
      </c>
      <c r="E43" t="s">
        <v>208</v>
      </c>
      <c r="F43" t="s">
        <v>214</v>
      </c>
      <c r="G43" t="s">
        <v>215</v>
      </c>
      <c r="I43" s="55">
        <f>D43</f>
        <v>2.9</v>
      </c>
      <c r="J43" s="55"/>
      <c r="K43" s="55"/>
      <c r="L43" s="55"/>
      <c r="M43" s="68"/>
      <c r="N43" s="55">
        <f>(2.75*1)</f>
        <v>2.75</v>
      </c>
      <c r="O43" s="55">
        <f>(1.03+1.03+2.75)*1</f>
        <v>4.8100000000000005</v>
      </c>
      <c r="P43" s="55">
        <f>(2.75*2.6)</f>
        <v>7.15</v>
      </c>
      <c r="Q43" s="55">
        <f>(1.03+1.03+2.75)*2.6-0.7*2.1</f>
        <v>11.036000000000001</v>
      </c>
      <c r="R43" s="55"/>
      <c r="S43" s="55">
        <f>I43</f>
        <v>2.9</v>
      </c>
      <c r="T43" s="55">
        <f>(2.75+1.03)*2*2.6-0.7*2.1</f>
        <v>18.186000000000003</v>
      </c>
      <c r="U43" s="68"/>
      <c r="V43" s="55">
        <f aca="true" t="shared" si="3" ref="V43:V50">D43</f>
        <v>2.9</v>
      </c>
      <c r="W43" s="55"/>
    </row>
    <row r="44" spans="2:23" ht="12.75">
      <c r="B44" s="59" t="s">
        <v>147</v>
      </c>
      <c r="C44" t="s">
        <v>170</v>
      </c>
      <c r="D44" s="1">
        <v>13.78</v>
      </c>
      <c r="E44" t="s">
        <v>210</v>
      </c>
      <c r="F44" t="s">
        <v>214</v>
      </c>
      <c r="G44" t="s">
        <v>215</v>
      </c>
      <c r="I44" s="55"/>
      <c r="J44" s="55"/>
      <c r="K44" s="55">
        <f>D44</f>
        <v>13.78</v>
      </c>
      <c r="L44" s="55"/>
      <c r="M44" s="68"/>
      <c r="N44" s="55">
        <f>(3.125*1)</f>
        <v>3.125</v>
      </c>
      <c r="O44" s="55">
        <f>(4.395+3.125+4.395)*1</f>
        <v>11.915</v>
      </c>
      <c r="P44" s="55">
        <f>(3.125*2.1)</f>
        <v>6.5625</v>
      </c>
      <c r="Q44" s="55">
        <f>(4.395+3.125+4.395)*2.1-0.9*2.1</f>
        <v>23.1315</v>
      </c>
      <c r="R44" s="55"/>
      <c r="S44" s="55"/>
      <c r="T44" s="55">
        <f>(4.395+3.125)*2*2.1-0.9*2.1</f>
        <v>29.694</v>
      </c>
      <c r="U44" s="68"/>
      <c r="V44" s="55">
        <f t="shared" si="3"/>
        <v>13.78</v>
      </c>
      <c r="W44" s="55"/>
    </row>
    <row r="45" spans="2:23" ht="12.75">
      <c r="B45" s="59" t="s">
        <v>148</v>
      </c>
      <c r="C45" t="s">
        <v>171</v>
      </c>
      <c r="D45" s="1">
        <v>10.57</v>
      </c>
      <c r="E45" t="s">
        <v>210</v>
      </c>
      <c r="F45" t="s">
        <v>214</v>
      </c>
      <c r="G45" t="s">
        <v>215</v>
      </c>
      <c r="I45" s="55"/>
      <c r="J45" s="55"/>
      <c r="K45" s="55">
        <f>D45</f>
        <v>10.57</v>
      </c>
      <c r="L45" s="55"/>
      <c r="M45" s="68"/>
      <c r="N45" s="55">
        <f>(3.75*1)</f>
        <v>3.75</v>
      </c>
      <c r="O45" s="55">
        <f>(2.8+2.8+3.75)*1</f>
        <v>9.35</v>
      </c>
      <c r="P45" s="55">
        <f>(3.75*2.1)</f>
        <v>7.875</v>
      </c>
      <c r="Q45" s="55">
        <f>(2.8+2.8+3.75)*2.1-0.8*2.1</f>
        <v>17.955000000000002</v>
      </c>
      <c r="R45" s="55"/>
      <c r="S45" s="55"/>
      <c r="T45" s="55">
        <f>(2.8+3.75)*2*2.1-0.8*2.1</f>
        <v>25.830000000000002</v>
      </c>
      <c r="U45" s="68"/>
      <c r="V45" s="55">
        <f t="shared" si="3"/>
        <v>10.57</v>
      </c>
      <c r="W45" s="55"/>
    </row>
    <row r="46" spans="2:23" ht="12.75">
      <c r="B46" s="59" t="s">
        <v>149</v>
      </c>
      <c r="C46" t="s">
        <v>161</v>
      </c>
      <c r="D46" s="1">
        <v>4.81</v>
      </c>
      <c r="E46" t="s">
        <v>208</v>
      </c>
      <c r="F46" t="s">
        <v>213</v>
      </c>
      <c r="G46" t="s">
        <v>215</v>
      </c>
      <c r="I46" s="55">
        <f>D46</f>
        <v>4.81</v>
      </c>
      <c r="J46" s="55"/>
      <c r="K46" s="55"/>
      <c r="L46" s="55"/>
      <c r="M46" s="68"/>
      <c r="N46" s="55">
        <f>(1.75*0.5)</f>
        <v>0.875</v>
      </c>
      <c r="O46" s="55">
        <f>(2.8+2.8+1.75)*0.5</f>
        <v>3.675</v>
      </c>
      <c r="P46" s="55">
        <f>(1.75*2.6)</f>
        <v>4.55</v>
      </c>
      <c r="Q46" s="55">
        <f>(2.8+2.8+1.75)*2.6-0.8*1.97</f>
        <v>17.534</v>
      </c>
      <c r="R46" s="55"/>
      <c r="S46" s="55">
        <f>I46</f>
        <v>4.81</v>
      </c>
      <c r="T46" s="55">
        <f>(1.75+2.8)*2*2.6-0.8*1.97</f>
        <v>22.084</v>
      </c>
      <c r="U46" s="68"/>
      <c r="V46" s="55">
        <f t="shared" si="3"/>
        <v>4.81</v>
      </c>
      <c r="W46" s="55"/>
    </row>
    <row r="47" spans="2:23" ht="12.75">
      <c r="B47" s="59" t="s">
        <v>150</v>
      </c>
      <c r="C47" t="s">
        <v>172</v>
      </c>
      <c r="D47" s="1">
        <v>12.9</v>
      </c>
      <c r="E47" t="s">
        <v>208</v>
      </c>
      <c r="F47" t="s">
        <v>213</v>
      </c>
      <c r="G47" t="s">
        <v>215</v>
      </c>
      <c r="I47" s="55">
        <f>D47</f>
        <v>12.9</v>
      </c>
      <c r="J47" s="55"/>
      <c r="K47" s="55"/>
      <c r="L47" s="55"/>
      <c r="M47" s="68"/>
      <c r="N47" s="55">
        <f>(3.04)*0.5</f>
        <v>1.52</v>
      </c>
      <c r="O47" s="55">
        <f>(5.23+5.23+3.04+1+1+2.125+2.125+6)*0.5</f>
        <v>12.875</v>
      </c>
      <c r="P47" s="55">
        <f>(3.04)*2.6</f>
        <v>7.904000000000001</v>
      </c>
      <c r="Q47" s="55">
        <f>(5.23+5.23+3.04+2+2.125+2.125+6)*2.6-(0.8*2.1*5)</f>
        <v>58.550000000000004</v>
      </c>
      <c r="R47" s="55">
        <f>(1+0.93+1+1.1+1+1.1)*2.6</f>
        <v>15.938000000000002</v>
      </c>
      <c r="S47" s="55">
        <f>I47</f>
        <v>12.9</v>
      </c>
      <c r="T47" s="55">
        <f>(5.23+5.23+3.04+3.04+2+2.125+2.125+6)*2.6-(0.8*2.1*5)</f>
        <v>66.454</v>
      </c>
      <c r="U47" s="68"/>
      <c r="V47" s="55">
        <f t="shared" si="3"/>
        <v>12.9</v>
      </c>
      <c r="W47" s="55"/>
    </row>
    <row r="48" spans="2:23" ht="12.75">
      <c r="B48" s="59" t="s">
        <v>151</v>
      </c>
      <c r="C48" t="s">
        <v>173</v>
      </c>
      <c r="D48" s="1">
        <v>9.88</v>
      </c>
      <c r="E48" t="s">
        <v>210</v>
      </c>
      <c r="F48" t="s">
        <v>214</v>
      </c>
      <c r="G48" t="s">
        <v>215</v>
      </c>
      <c r="I48" s="55"/>
      <c r="J48" s="55"/>
      <c r="K48" s="55">
        <f>D48</f>
        <v>9.88</v>
      </c>
      <c r="L48" s="55"/>
      <c r="M48" s="68"/>
      <c r="N48" s="55"/>
      <c r="O48" s="55">
        <f>(3.25+3.09)*2*1</f>
        <v>12.68</v>
      </c>
      <c r="P48" s="55"/>
      <c r="Q48" s="55">
        <f>(3.25+3.09)*2*2.1-0.8*2.1</f>
        <v>24.948</v>
      </c>
      <c r="R48" s="55"/>
      <c r="S48" s="55"/>
      <c r="T48" s="55">
        <f>Q48</f>
        <v>24.948</v>
      </c>
      <c r="U48" s="68"/>
      <c r="V48" s="55">
        <f t="shared" si="3"/>
        <v>9.88</v>
      </c>
      <c r="W48" s="55"/>
    </row>
    <row r="49" spans="2:23" ht="12.75">
      <c r="B49" s="59" t="s">
        <v>152</v>
      </c>
      <c r="C49" t="s">
        <v>171</v>
      </c>
      <c r="D49" s="57">
        <v>10</v>
      </c>
      <c r="E49" t="s">
        <v>210</v>
      </c>
      <c r="F49" t="s">
        <v>214</v>
      </c>
      <c r="G49" t="s">
        <v>215</v>
      </c>
      <c r="I49" s="55"/>
      <c r="J49" s="55"/>
      <c r="K49" s="55">
        <f>D49</f>
        <v>10</v>
      </c>
      <c r="L49" s="55"/>
      <c r="M49" s="68"/>
      <c r="N49" s="55"/>
      <c r="O49" s="55">
        <f>(4+2.5)*2*1</f>
        <v>13</v>
      </c>
      <c r="P49" s="55"/>
      <c r="Q49" s="55">
        <f>(4+2.5)*2*2.1-0.8*2.1</f>
        <v>25.62</v>
      </c>
      <c r="R49" s="55"/>
      <c r="S49" s="55"/>
      <c r="T49" s="55">
        <f>Q49</f>
        <v>25.62</v>
      </c>
      <c r="U49" s="68"/>
      <c r="V49" s="55">
        <f t="shared" si="3"/>
        <v>10</v>
      </c>
      <c r="W49" s="55"/>
    </row>
    <row r="50" spans="2:23" ht="12.75">
      <c r="B50" s="59" t="s">
        <v>153</v>
      </c>
      <c r="C50" t="s">
        <v>118</v>
      </c>
      <c r="D50" s="1">
        <v>41.81</v>
      </c>
      <c r="E50" t="s">
        <v>209</v>
      </c>
      <c r="F50" t="s">
        <v>213</v>
      </c>
      <c r="G50" t="s">
        <v>215</v>
      </c>
      <c r="I50" s="55"/>
      <c r="J50" s="55">
        <f>D50</f>
        <v>41.81</v>
      </c>
      <c r="K50" s="55"/>
      <c r="L50" s="55"/>
      <c r="M50" s="68"/>
      <c r="N50" s="55">
        <f>(1.5+0.125+2.5+0.25+1.25+0.2+1.6+0.2+1.25+0.25+1.525)*1</f>
        <v>10.65</v>
      </c>
      <c r="O50" s="55">
        <f>(1.5+3.75+0.125+1.75+1.5+0.25+1.4+2.565+0.285+1.65+4.35+4.5+7.7+3.5+3.5+1.72+1.525)*1+(4+4+2.85+2.85+4.5)*3.1</f>
        <v>97.99000000000001</v>
      </c>
      <c r="P50" s="55">
        <f>(1.5+0.125+2.5+0.25+1.25+0.2+1.6+0.2+1.25+0.25+1.525)*2.1-3.5*2.1</f>
        <v>15.015</v>
      </c>
      <c r="Q50" s="55">
        <f>(1.5+3.75+0.125+1.75+1.5+0.25+1.4+2.565+0.285+1.65+4.35+4.5+7.7+3.5+3.5+1.72+1.525)*2.1-(0.9*2.1*3+0.8*2.1*6)</f>
        <v>71.54700000000001</v>
      </c>
      <c r="R50" s="55"/>
      <c r="S50" s="55"/>
      <c r="T50" s="55">
        <f>P50+Q50</f>
        <v>86.56200000000001</v>
      </c>
      <c r="U50" s="68"/>
      <c r="V50" s="55">
        <f t="shared" si="3"/>
        <v>41.81</v>
      </c>
      <c r="W50" s="55"/>
    </row>
    <row r="51" spans="2:23" ht="12.75">
      <c r="B51" s="59" t="s">
        <v>154</v>
      </c>
      <c r="C51" t="s">
        <v>119</v>
      </c>
      <c r="D51" s="1">
        <v>5.16</v>
      </c>
      <c r="E51" t="s">
        <v>208</v>
      </c>
      <c r="F51" t="s">
        <v>212</v>
      </c>
      <c r="G51" t="s">
        <v>212</v>
      </c>
      <c r="I51" s="55">
        <f>D51</f>
        <v>5.16</v>
      </c>
      <c r="J51" s="55"/>
      <c r="K51" s="55"/>
      <c r="L51" s="55"/>
      <c r="M51" s="68"/>
      <c r="N51" s="55"/>
      <c r="O51" s="55">
        <f>(4.2+4.2+1.25+1.25)*2.5-0.8*2.1</f>
        <v>25.57</v>
      </c>
      <c r="P51" s="55"/>
      <c r="Q51" s="55"/>
      <c r="R51" s="55"/>
      <c r="S51" s="55"/>
      <c r="T51" s="55"/>
      <c r="U51" s="68"/>
      <c r="V51" s="55"/>
      <c r="W51" s="55">
        <f>D51</f>
        <v>5.16</v>
      </c>
    </row>
    <row r="52" spans="2:23" ht="12.75">
      <c r="B52" s="59" t="s">
        <v>155</v>
      </c>
      <c r="C52" t="s">
        <v>117</v>
      </c>
      <c r="D52" s="1">
        <v>9.89</v>
      </c>
      <c r="E52" t="s">
        <v>209</v>
      </c>
      <c r="F52" t="s">
        <v>212</v>
      </c>
      <c r="G52" t="s">
        <v>212</v>
      </c>
      <c r="I52" s="55"/>
      <c r="J52" s="55">
        <f>D52</f>
        <v>9.89</v>
      </c>
      <c r="K52" s="55"/>
      <c r="L52" s="55"/>
      <c r="M52" s="68"/>
      <c r="N52" s="55">
        <f>(2.73+3.59+2.07+1.14+0.28+0.7)*3.3</f>
        <v>34.683</v>
      </c>
      <c r="O52" s="55">
        <f>(2.225)*3.5*3-0.8*2.1*2</f>
        <v>20.0025</v>
      </c>
      <c r="P52" s="55"/>
      <c r="Q52" s="55"/>
      <c r="R52" s="55"/>
      <c r="S52" s="55"/>
      <c r="T52" s="55"/>
      <c r="U52" s="68"/>
      <c r="V52" s="55"/>
      <c r="W52" s="55">
        <f>D52</f>
        <v>9.89</v>
      </c>
    </row>
    <row r="53" spans="2:23" ht="12.75">
      <c r="B53" s="59" t="s">
        <v>156</v>
      </c>
      <c r="C53" t="s">
        <v>118</v>
      </c>
      <c r="D53" s="1">
        <v>5.9</v>
      </c>
      <c r="E53" t="s">
        <v>209</v>
      </c>
      <c r="F53" t="s">
        <v>212</v>
      </c>
      <c r="G53" t="s">
        <v>212</v>
      </c>
      <c r="I53" s="55"/>
      <c r="J53" s="55">
        <f>D53</f>
        <v>5.9</v>
      </c>
      <c r="K53" s="55"/>
      <c r="L53" s="55"/>
      <c r="M53" s="68"/>
      <c r="N53" s="55">
        <f>(3.44+0.875+4)*2*3.5+(2.625+1.04)*2*3.5</f>
        <v>83.86</v>
      </c>
      <c r="O53" s="55"/>
      <c r="P53" s="55"/>
      <c r="Q53" s="55"/>
      <c r="R53" s="55"/>
      <c r="S53" s="55"/>
      <c r="T53" s="55"/>
      <c r="U53" s="68"/>
      <c r="V53" s="55"/>
      <c r="W53" s="55">
        <f>D53</f>
        <v>5.9</v>
      </c>
    </row>
    <row r="54" spans="2:23" ht="6" customHeight="1">
      <c r="B54" s="59"/>
      <c r="I54" s="55"/>
      <c r="J54" s="55"/>
      <c r="K54" s="55"/>
      <c r="L54" s="55"/>
      <c r="M54" s="68"/>
      <c r="N54" s="55"/>
      <c r="O54" s="55"/>
      <c r="P54" s="55"/>
      <c r="Q54" s="55"/>
      <c r="R54" s="55"/>
      <c r="S54" s="55"/>
      <c r="T54" s="55"/>
      <c r="U54" s="68"/>
      <c r="V54" s="55"/>
      <c r="W54" s="55"/>
    </row>
    <row r="55" spans="2:23" ht="12.75">
      <c r="B55" s="59" t="s">
        <v>174</v>
      </c>
      <c r="C55" t="s">
        <v>188</v>
      </c>
      <c r="D55" s="1">
        <v>16.31</v>
      </c>
      <c r="E55" t="s">
        <v>211</v>
      </c>
      <c r="F55" t="s">
        <v>212</v>
      </c>
      <c r="G55" t="s">
        <v>212</v>
      </c>
      <c r="I55" s="55">
        <f>D55</f>
        <v>16.31</v>
      </c>
      <c r="J55" s="55"/>
      <c r="K55" s="55"/>
      <c r="L55" s="55"/>
      <c r="M55" s="68"/>
      <c r="N55" s="55">
        <f>(3.59+4.26)*2*3.5</f>
        <v>54.949999999999996</v>
      </c>
      <c r="O55" s="55"/>
      <c r="P55" s="55"/>
      <c r="Q55" s="55"/>
      <c r="R55" s="55"/>
      <c r="S55" s="55"/>
      <c r="T55" s="55"/>
      <c r="U55" s="68"/>
      <c r="V55" s="55"/>
      <c r="W55" s="55">
        <f>D55</f>
        <v>16.31</v>
      </c>
    </row>
    <row r="56" spans="2:23" ht="12.75">
      <c r="B56" s="59" t="s">
        <v>175</v>
      </c>
      <c r="C56" t="s">
        <v>160</v>
      </c>
      <c r="D56" s="1">
        <v>3.22</v>
      </c>
      <c r="E56" t="s">
        <v>208</v>
      </c>
      <c r="F56" t="s">
        <v>212</v>
      </c>
      <c r="G56" t="s">
        <v>212</v>
      </c>
      <c r="I56" s="55">
        <f>D56</f>
        <v>3.22</v>
      </c>
      <c r="J56" s="55"/>
      <c r="K56" s="55"/>
      <c r="L56" s="55"/>
      <c r="M56" s="68"/>
      <c r="N56" s="55">
        <f>(1.1+0.485+0.6)*3.5</f>
        <v>7.6475</v>
      </c>
      <c r="O56" s="55">
        <f>(1.875+1.615+1.1)*3.5-0.8*2.1</f>
        <v>14.384999999999998</v>
      </c>
      <c r="P56" s="55"/>
      <c r="Q56" s="55"/>
      <c r="R56" s="55"/>
      <c r="S56" s="55"/>
      <c r="T56" s="55"/>
      <c r="U56" s="68"/>
      <c r="V56" s="55"/>
      <c r="W56" s="55">
        <f>D56</f>
        <v>3.22</v>
      </c>
    </row>
    <row r="57" spans="2:23" ht="12.75">
      <c r="B57" s="59" t="s">
        <v>176</v>
      </c>
      <c r="C57" t="s">
        <v>168</v>
      </c>
      <c r="D57" s="1">
        <v>4.1</v>
      </c>
      <c r="E57" t="s">
        <v>208</v>
      </c>
      <c r="F57" t="s">
        <v>213</v>
      </c>
      <c r="G57" t="s">
        <v>215</v>
      </c>
      <c r="I57" s="55">
        <f>D57</f>
        <v>4.1</v>
      </c>
      <c r="J57" s="55"/>
      <c r="K57" s="55"/>
      <c r="L57" s="55"/>
      <c r="M57" s="68"/>
      <c r="N57" s="55">
        <f>(2.025*1.1)</f>
        <v>2.2275</v>
      </c>
      <c r="O57" s="55">
        <f>(1.875+2.025+1.875)*1.1</f>
        <v>6.352500000000001</v>
      </c>
      <c r="P57" s="55">
        <f>(2.025)*2.6</f>
        <v>5.265</v>
      </c>
      <c r="Q57" s="55">
        <f>(2.025+1.875+1.875)*2.6-0.8*2.1</f>
        <v>13.335</v>
      </c>
      <c r="R57" s="55">
        <f>(1.1+1.1)*2.6</f>
        <v>5.720000000000001</v>
      </c>
      <c r="S57" s="55">
        <f>I57</f>
        <v>4.1</v>
      </c>
      <c r="T57" s="55">
        <f>(2.025+1.875)*2*2.6-0.8*2.1</f>
        <v>18.6</v>
      </c>
      <c r="U57" s="68"/>
      <c r="V57" s="55">
        <f>D57</f>
        <v>4.1</v>
      </c>
      <c r="W57" s="55"/>
    </row>
    <row r="58" spans="2:23" ht="12.75">
      <c r="B58" s="59" t="s">
        <v>177</v>
      </c>
      <c r="C58" t="s">
        <v>189</v>
      </c>
      <c r="D58" s="1">
        <v>22.65</v>
      </c>
      <c r="E58" t="s">
        <v>211</v>
      </c>
      <c r="F58" t="s">
        <v>212</v>
      </c>
      <c r="G58" t="s">
        <v>212</v>
      </c>
      <c r="I58" s="55"/>
      <c r="J58" s="55"/>
      <c r="K58" s="55"/>
      <c r="L58" s="55">
        <f>D58</f>
        <v>22.65</v>
      </c>
      <c r="M58" s="68"/>
      <c r="N58" s="55">
        <f>(6.6+2.025+5.5)*3.2</f>
        <v>45.2</v>
      </c>
      <c r="O58" s="55">
        <f>(1.375+0.125+1.66+0.125)*3.2-0.8*2.1</f>
        <v>8.832</v>
      </c>
      <c r="P58" s="55"/>
      <c r="Q58" s="55"/>
      <c r="R58" s="55"/>
      <c r="S58" s="55"/>
      <c r="T58" s="55"/>
      <c r="U58" s="68"/>
      <c r="V58" s="55"/>
      <c r="W58" s="55">
        <f>D58</f>
        <v>22.65</v>
      </c>
    </row>
    <row r="59" spans="2:23" ht="12.75">
      <c r="B59" s="59" t="s">
        <v>178</v>
      </c>
      <c r="C59" t="s">
        <v>160</v>
      </c>
      <c r="D59" s="1">
        <v>3.15</v>
      </c>
      <c r="E59" t="s">
        <v>208</v>
      </c>
      <c r="F59" t="s">
        <v>212</v>
      </c>
      <c r="G59" t="s">
        <v>212</v>
      </c>
      <c r="I59" s="55">
        <f>D59</f>
        <v>3.15</v>
      </c>
      <c r="J59" s="55"/>
      <c r="K59" s="55"/>
      <c r="L59" s="55"/>
      <c r="M59" s="68"/>
      <c r="N59" s="55">
        <f>(1.375*3.2+0.635*2.1*2+0.51*3.2+1.145*1.2)</f>
        <v>10.073</v>
      </c>
      <c r="O59" s="55">
        <f>(1.375+1.66)*3.2-0.8*2.1</f>
        <v>8.032000000000002</v>
      </c>
      <c r="P59" s="55"/>
      <c r="Q59" s="55"/>
      <c r="R59" s="55"/>
      <c r="S59" s="55"/>
      <c r="T59" s="55"/>
      <c r="U59" s="68"/>
      <c r="V59" s="55"/>
      <c r="W59" s="55">
        <f>D59</f>
        <v>3.15</v>
      </c>
    </row>
    <row r="60" spans="2:23" ht="6.75" customHeight="1">
      <c r="B60" s="59"/>
      <c r="I60" s="55"/>
      <c r="J60" s="55"/>
      <c r="K60" s="55"/>
      <c r="L60" s="55"/>
      <c r="M60" s="68"/>
      <c r="N60" s="55"/>
      <c r="O60" s="55"/>
      <c r="P60" s="55"/>
      <c r="Q60" s="55"/>
      <c r="R60" s="55"/>
      <c r="S60" s="55"/>
      <c r="T60" s="55"/>
      <c r="U60" s="68"/>
      <c r="V60" s="55"/>
      <c r="W60" s="55"/>
    </row>
    <row r="61" spans="2:23" ht="12.75">
      <c r="B61" s="59" t="s">
        <v>179</v>
      </c>
      <c r="C61" t="s">
        <v>168</v>
      </c>
      <c r="D61" s="1">
        <v>3.98</v>
      </c>
      <c r="E61" t="s">
        <v>208</v>
      </c>
      <c r="F61" t="s">
        <v>213</v>
      </c>
      <c r="G61" t="s">
        <v>215</v>
      </c>
      <c r="I61" s="55">
        <f>D61</f>
        <v>3.98</v>
      </c>
      <c r="J61" s="55"/>
      <c r="K61" s="55"/>
      <c r="L61" s="55"/>
      <c r="M61" s="68"/>
      <c r="N61" s="55">
        <f>(2.025*0.5)</f>
        <v>1.0125</v>
      </c>
      <c r="O61" s="55">
        <f>(2.025+1.875+1.875)*0.6</f>
        <v>3.4650000000000003</v>
      </c>
      <c r="P61" s="55">
        <f>(2.025)*2.6</f>
        <v>5.265</v>
      </c>
      <c r="Q61" s="55">
        <f>(2.025+1.875+1.875)*2.6-0.8*2.1</f>
        <v>13.335</v>
      </c>
      <c r="R61" s="55">
        <f>(1.1+1.1)*2.6</f>
        <v>5.720000000000001</v>
      </c>
      <c r="S61" s="55">
        <f>I61</f>
        <v>3.98</v>
      </c>
      <c r="T61" s="55">
        <f>(1.875+2.025)*2*2.6-0.8*2.1</f>
        <v>18.6</v>
      </c>
      <c r="U61" s="68"/>
      <c r="V61" s="55">
        <f>D61</f>
        <v>3.98</v>
      </c>
      <c r="W61" s="55"/>
    </row>
    <row r="62" spans="2:23" ht="12.75">
      <c r="B62" s="59" t="s">
        <v>180</v>
      </c>
      <c r="C62" t="s">
        <v>160</v>
      </c>
      <c r="D62" s="1">
        <v>3.82</v>
      </c>
      <c r="E62" t="s">
        <v>208</v>
      </c>
      <c r="F62" t="s">
        <v>212</v>
      </c>
      <c r="G62" t="s">
        <v>212</v>
      </c>
      <c r="I62" s="55">
        <f>D62</f>
        <v>3.82</v>
      </c>
      <c r="J62" s="55"/>
      <c r="K62" s="55"/>
      <c r="L62" s="55"/>
      <c r="M62" s="68"/>
      <c r="N62" s="55">
        <f>(1.875+1.9)*3.2</f>
        <v>12.08</v>
      </c>
      <c r="O62" s="55">
        <f>(1.875+1.9)*2*3.2-0.8*2.1*2</f>
        <v>20.8</v>
      </c>
      <c r="P62" s="55"/>
      <c r="Q62" s="55"/>
      <c r="R62" s="55"/>
      <c r="S62" s="55"/>
      <c r="T62" s="55"/>
      <c r="U62" s="68"/>
      <c r="V62" s="55"/>
      <c r="W62" s="55">
        <f>D62</f>
        <v>3.82</v>
      </c>
    </row>
    <row r="63" spans="2:23" ht="12.75">
      <c r="B63" s="59" t="s">
        <v>181</v>
      </c>
      <c r="C63" t="s">
        <v>188</v>
      </c>
      <c r="D63" s="1">
        <v>14.25</v>
      </c>
      <c r="E63" t="s">
        <v>211</v>
      </c>
      <c r="F63" t="s">
        <v>212</v>
      </c>
      <c r="G63" t="s">
        <v>212</v>
      </c>
      <c r="I63" s="55"/>
      <c r="J63" s="55"/>
      <c r="K63" s="55"/>
      <c r="L63" s="55">
        <f>D63</f>
        <v>14.25</v>
      </c>
      <c r="M63" s="68"/>
      <c r="N63" s="55">
        <f>(3.41+3.885)*2*3.5</f>
        <v>51.065</v>
      </c>
      <c r="O63" s="55"/>
      <c r="P63" s="55"/>
      <c r="Q63" s="55"/>
      <c r="R63" s="55"/>
      <c r="S63" s="55"/>
      <c r="T63" s="55"/>
      <c r="U63" s="68"/>
      <c r="V63" s="55"/>
      <c r="W63" s="55">
        <f>D63</f>
        <v>14.25</v>
      </c>
    </row>
    <row r="64" spans="2:23" ht="12.75">
      <c r="B64" s="59" t="s">
        <v>182</v>
      </c>
      <c r="C64" t="s">
        <v>189</v>
      </c>
      <c r="D64" s="1">
        <v>25.01</v>
      </c>
      <c r="E64" t="s">
        <v>211</v>
      </c>
      <c r="F64" t="s">
        <v>212</v>
      </c>
      <c r="G64" t="s">
        <v>212</v>
      </c>
      <c r="I64" s="55"/>
      <c r="J64" s="55"/>
      <c r="K64" s="55"/>
      <c r="L64" s="55">
        <f>D64</f>
        <v>25.01</v>
      </c>
      <c r="M64" s="68"/>
      <c r="N64" s="55">
        <f>(6.85+1.905+0.7+2.5)*3.2</f>
        <v>38.25599999999999</v>
      </c>
      <c r="O64" s="55">
        <f>(4.16+1.845+0.125+1.375+0.125)*3.4</f>
        <v>25.942</v>
      </c>
      <c r="P64" s="55"/>
      <c r="Q64" s="55"/>
      <c r="R64" s="55"/>
      <c r="S64" s="55"/>
      <c r="T64" s="55"/>
      <c r="U64" s="68"/>
      <c r="V64" s="55"/>
      <c r="W64" s="55">
        <f>D64</f>
        <v>25.01</v>
      </c>
    </row>
    <row r="65" spans="2:23" ht="12.75">
      <c r="B65" s="59" t="s">
        <v>183</v>
      </c>
      <c r="C65" t="s">
        <v>160</v>
      </c>
      <c r="D65" s="1">
        <v>3.39</v>
      </c>
      <c r="E65" t="s">
        <v>208</v>
      </c>
      <c r="F65" t="s">
        <v>212</v>
      </c>
      <c r="G65" t="s">
        <v>212</v>
      </c>
      <c r="I65" s="55">
        <f>D65</f>
        <v>3.39</v>
      </c>
      <c r="J65" s="55"/>
      <c r="K65" s="55"/>
      <c r="L65" s="55"/>
      <c r="M65" s="68"/>
      <c r="N65" s="55">
        <f>(1.375+1.18+0.665)*3.3</f>
        <v>10.626</v>
      </c>
      <c r="O65" s="55">
        <f>(1.845+1.375)*3.3-0.8*2.1</f>
        <v>8.946</v>
      </c>
      <c r="P65" s="55"/>
      <c r="Q65" s="55"/>
      <c r="R65" s="55"/>
      <c r="S65" s="55"/>
      <c r="T65" s="55"/>
      <c r="U65" s="68"/>
      <c r="V65" s="55"/>
      <c r="W65" s="55">
        <f>D65</f>
        <v>3.39</v>
      </c>
    </row>
    <row r="66" spans="2:23" ht="6" customHeight="1">
      <c r="B66" s="59"/>
      <c r="I66" s="55"/>
      <c r="J66" s="55"/>
      <c r="K66" s="55"/>
      <c r="L66" s="55"/>
      <c r="M66" s="68"/>
      <c r="N66" s="55"/>
      <c r="O66" s="55"/>
      <c r="P66" s="55"/>
      <c r="Q66" s="55"/>
      <c r="R66" s="55"/>
      <c r="S66" s="55"/>
      <c r="T66" s="55"/>
      <c r="U66" s="68"/>
      <c r="V66" s="55"/>
      <c r="W66" s="55"/>
    </row>
    <row r="67" spans="2:23" ht="12.75">
      <c r="B67" s="59" t="s">
        <v>184</v>
      </c>
      <c r="C67" t="s">
        <v>190</v>
      </c>
      <c r="D67" s="1">
        <v>23.49</v>
      </c>
      <c r="E67" t="s">
        <v>211</v>
      </c>
      <c r="F67" t="s">
        <v>212</v>
      </c>
      <c r="G67" t="s">
        <v>212</v>
      </c>
      <c r="I67" s="55"/>
      <c r="J67" s="55"/>
      <c r="K67" s="55"/>
      <c r="L67" s="55">
        <f>D67</f>
        <v>23.49</v>
      </c>
      <c r="M67" s="68"/>
      <c r="N67" s="55">
        <f>(3.805+5.835)*2*3.1-O67</f>
        <v>55.19800000000001</v>
      </c>
      <c r="O67" s="55">
        <f>(0.99+1.51)*2.5-0.8*2.1</f>
        <v>4.57</v>
      </c>
      <c r="P67" s="55"/>
      <c r="Q67" s="55"/>
      <c r="R67" s="55"/>
      <c r="S67" s="55"/>
      <c r="T67" s="55"/>
      <c r="U67" s="68"/>
      <c r="V67" s="55"/>
      <c r="W67" s="55">
        <f>D67</f>
        <v>23.49</v>
      </c>
    </row>
    <row r="68" spans="2:23" ht="12.75">
      <c r="B68" s="59" t="s">
        <v>185</v>
      </c>
      <c r="C68" t="s">
        <v>191</v>
      </c>
      <c r="D68" s="1">
        <v>13.03</v>
      </c>
      <c r="E68" t="s">
        <v>211</v>
      </c>
      <c r="F68" t="s">
        <v>212</v>
      </c>
      <c r="G68" t="s">
        <v>212</v>
      </c>
      <c r="I68" s="55"/>
      <c r="J68" s="55"/>
      <c r="K68" s="55"/>
      <c r="L68" s="55">
        <f>D68</f>
        <v>13.03</v>
      </c>
      <c r="M68" s="68"/>
      <c r="N68" s="55">
        <f>(3.3+3.84+1.65)*3.5</f>
        <v>30.764999999999997</v>
      </c>
      <c r="O68" s="55">
        <f>(3.84+1.7)*3.5*0.8*2.1*2</f>
        <v>65.1504</v>
      </c>
      <c r="P68" s="55"/>
      <c r="Q68" s="55"/>
      <c r="R68" s="55"/>
      <c r="S68" s="55"/>
      <c r="T68" s="55"/>
      <c r="U68" s="68"/>
      <c r="V68" s="55"/>
      <c r="W68" s="55">
        <f>D68</f>
        <v>13.03</v>
      </c>
    </row>
    <row r="69" spans="2:23" ht="12.75">
      <c r="B69" s="59" t="s">
        <v>186</v>
      </c>
      <c r="C69" t="s">
        <v>160</v>
      </c>
      <c r="D69" s="1">
        <v>4.76</v>
      </c>
      <c r="E69" t="s">
        <v>208</v>
      </c>
      <c r="F69" t="s">
        <v>212</v>
      </c>
      <c r="G69" t="s">
        <v>212</v>
      </c>
      <c r="I69" s="55">
        <f>D69</f>
        <v>4.76</v>
      </c>
      <c r="J69" s="55"/>
      <c r="K69" s="55"/>
      <c r="L69" s="55"/>
      <c r="M69" s="68"/>
      <c r="N69" s="55">
        <f>(2.305+1.7)*3.5</f>
        <v>14.0175</v>
      </c>
      <c r="O69" s="55">
        <f>(2.305+1.7)*3.5-0.8*2.1*2</f>
        <v>10.657499999999999</v>
      </c>
      <c r="P69" s="55"/>
      <c r="Q69" s="55"/>
      <c r="R69" s="55"/>
      <c r="S69" s="55"/>
      <c r="T69" s="55"/>
      <c r="U69" s="68"/>
      <c r="V69" s="55"/>
      <c r="W69" s="55">
        <f>D69</f>
        <v>4.76</v>
      </c>
    </row>
    <row r="70" spans="2:23" ht="12.75">
      <c r="B70" s="59" t="s">
        <v>187</v>
      </c>
      <c r="C70" t="s">
        <v>168</v>
      </c>
      <c r="D70" s="1">
        <v>4.72</v>
      </c>
      <c r="E70" t="s">
        <v>208</v>
      </c>
      <c r="F70" t="s">
        <v>213</v>
      </c>
      <c r="G70" t="s">
        <v>215</v>
      </c>
      <c r="I70" s="55">
        <f>D70</f>
        <v>4.72</v>
      </c>
      <c r="J70" s="55"/>
      <c r="K70" s="55"/>
      <c r="L70" s="55"/>
      <c r="M70" s="68"/>
      <c r="N70" s="55">
        <f>(1.7*1)+2*3.5-0.95*1.99</f>
        <v>6.8095</v>
      </c>
      <c r="O70" s="55">
        <f>(2+2.305+0.99)*1.1-0.8*2.1+0.95*1.1</f>
        <v>5.189500000000001</v>
      </c>
      <c r="P70" s="55">
        <f>(0.7+0.61+1.7)*2.6</f>
        <v>7.826</v>
      </c>
      <c r="Q70" s="55">
        <f>(0.99+0.95+2+2.305)*2.6-0.8*2.1</f>
        <v>14.557000000000002</v>
      </c>
      <c r="R70" s="55">
        <f>(1.1+1.1)*2.6</f>
        <v>5.720000000000001</v>
      </c>
      <c r="S70" s="55">
        <f>I70</f>
        <v>4.72</v>
      </c>
      <c r="T70" s="55">
        <f>(2.26+2.305)*2*2.6-0.8*2.1</f>
        <v>22.058</v>
      </c>
      <c r="U70" s="68"/>
      <c r="V70" s="55">
        <f>D70</f>
        <v>4.72</v>
      </c>
      <c r="W70" s="55"/>
    </row>
    <row r="71" spans="2:23" ht="5.25" customHeight="1">
      <c r="B71" s="59"/>
      <c r="I71" s="55"/>
      <c r="J71" s="55"/>
      <c r="K71" s="55"/>
      <c r="L71" s="55"/>
      <c r="M71" s="68"/>
      <c r="N71" s="55"/>
      <c r="O71" s="55"/>
      <c r="P71" s="55"/>
      <c r="Q71" s="55"/>
      <c r="R71" s="55"/>
      <c r="S71" s="55"/>
      <c r="T71" s="55"/>
      <c r="U71" s="68"/>
      <c r="V71" s="55"/>
      <c r="W71" s="55"/>
    </row>
    <row r="72" spans="2:23" ht="12.75">
      <c r="B72" s="59" t="s">
        <v>192</v>
      </c>
      <c r="C72" t="s">
        <v>190</v>
      </c>
      <c r="D72" s="1">
        <v>12.19</v>
      </c>
      <c r="E72" t="s">
        <v>211</v>
      </c>
      <c r="F72" t="s">
        <v>212</v>
      </c>
      <c r="G72" t="s">
        <v>212</v>
      </c>
      <c r="I72" s="55"/>
      <c r="J72" s="55"/>
      <c r="K72" s="55"/>
      <c r="L72" s="55">
        <f>D72</f>
        <v>12.19</v>
      </c>
      <c r="M72" s="68"/>
      <c r="N72" s="55">
        <f>(5.52+0.41+2.22+2.22)*3.2</f>
        <v>33.184000000000005</v>
      </c>
      <c r="O72" s="55">
        <f>(5.25+0.41)*3.2-0.8*2.1</f>
        <v>16.432000000000002</v>
      </c>
      <c r="P72" s="55"/>
      <c r="Q72" s="55"/>
      <c r="R72" s="55"/>
      <c r="S72" s="55"/>
      <c r="T72" s="55"/>
      <c r="U72" s="68"/>
      <c r="V72" s="55"/>
      <c r="W72" s="55">
        <f>D72</f>
        <v>12.19</v>
      </c>
    </row>
    <row r="73" spans="2:23" ht="12.75">
      <c r="B73" s="59" t="s">
        <v>193</v>
      </c>
      <c r="C73" t="s">
        <v>191</v>
      </c>
      <c r="D73" s="1">
        <v>11.31</v>
      </c>
      <c r="E73" t="s">
        <v>211</v>
      </c>
      <c r="F73" t="s">
        <v>212</v>
      </c>
      <c r="G73" t="s">
        <v>212</v>
      </c>
      <c r="I73" s="55"/>
      <c r="J73" s="55"/>
      <c r="K73" s="55"/>
      <c r="L73" s="55">
        <f>D73</f>
        <v>11.31</v>
      </c>
      <c r="M73" s="68"/>
      <c r="N73" s="55">
        <f>(3.34+2.32)*3.2</f>
        <v>18.112000000000002</v>
      </c>
      <c r="O73" s="55">
        <f>(3.21+3.34)*3.2-0.8*2.1</f>
        <v>19.28</v>
      </c>
      <c r="P73" s="55"/>
      <c r="Q73" s="55"/>
      <c r="R73" s="55"/>
      <c r="S73" s="55"/>
      <c r="T73" s="55"/>
      <c r="U73" s="68"/>
      <c r="V73" s="55"/>
      <c r="W73" s="55">
        <f>D73</f>
        <v>11.31</v>
      </c>
    </row>
    <row r="74" spans="2:23" ht="12.75">
      <c r="B74" s="59" t="s">
        <v>194</v>
      </c>
      <c r="C74" t="s">
        <v>160</v>
      </c>
      <c r="D74" s="1">
        <v>15.83</v>
      </c>
      <c r="E74" t="s">
        <v>208</v>
      </c>
      <c r="F74" t="s">
        <v>212</v>
      </c>
      <c r="G74" t="s">
        <v>212</v>
      </c>
      <c r="I74" s="55">
        <f>D74</f>
        <v>15.83</v>
      </c>
      <c r="J74" s="55"/>
      <c r="K74" s="55"/>
      <c r="L74" s="55"/>
      <c r="M74" s="68"/>
      <c r="N74" s="55">
        <f>(5.885+1.79+4.1+0.305+0.625+0.2+2.15)*2.6</f>
        <v>39.142999999999994</v>
      </c>
      <c r="O74" s="55">
        <f>(1.79+0.27+2.15+1.34)*2.6</f>
        <v>14.43</v>
      </c>
      <c r="P74" s="55"/>
      <c r="Q74" s="55"/>
      <c r="R74" s="55"/>
      <c r="S74" s="55"/>
      <c r="T74" s="55"/>
      <c r="U74" s="68"/>
      <c r="V74" s="55"/>
      <c r="W74" s="55">
        <f>D74</f>
        <v>15.83</v>
      </c>
    </row>
    <row r="75" spans="2:23" ht="12.75">
      <c r="B75" s="59" t="s">
        <v>195</v>
      </c>
      <c r="C75" t="s">
        <v>168</v>
      </c>
      <c r="D75" s="1">
        <v>4.31</v>
      </c>
      <c r="E75" t="s">
        <v>208</v>
      </c>
      <c r="F75" t="s">
        <v>213</v>
      </c>
      <c r="G75" t="s">
        <v>215</v>
      </c>
      <c r="I75" s="55">
        <f>D75</f>
        <v>4.31</v>
      </c>
      <c r="J75" s="55"/>
      <c r="K75" s="55"/>
      <c r="L75" s="55"/>
      <c r="M75" s="68"/>
      <c r="N75" s="55">
        <f>(1.875)*0.4</f>
        <v>0.75</v>
      </c>
      <c r="O75" s="55">
        <f>(1.875+2.315+2.315)*0.4</f>
        <v>2.602</v>
      </c>
      <c r="P75" s="55">
        <f>(1.875)*2.6</f>
        <v>4.875</v>
      </c>
      <c r="Q75" s="55">
        <f>(1.875+2.315+2.315)*2.6-0.8*2.1</f>
        <v>15.232999999999997</v>
      </c>
      <c r="R75" s="55">
        <f>(1.1+1.1)*2.6</f>
        <v>5.720000000000001</v>
      </c>
      <c r="S75" s="55">
        <f>I75</f>
        <v>4.31</v>
      </c>
      <c r="T75" s="55">
        <f>(1.875+2.315)*2*2.6-0.8*2.1</f>
        <v>20.107999999999997</v>
      </c>
      <c r="U75" s="68"/>
      <c r="V75" s="55">
        <f>D75</f>
        <v>4.31</v>
      </c>
      <c r="W75" s="55"/>
    </row>
    <row r="76" spans="2:23" ht="5.25" customHeight="1">
      <c r="B76" s="59"/>
      <c r="I76" s="55"/>
      <c r="J76" s="55"/>
      <c r="K76" s="55"/>
      <c r="L76" s="55"/>
      <c r="M76" s="68"/>
      <c r="N76" s="55"/>
      <c r="O76" s="55"/>
      <c r="P76" s="55"/>
      <c r="Q76" s="55"/>
      <c r="R76" s="55"/>
      <c r="S76" s="55"/>
      <c r="T76" s="55"/>
      <c r="U76" s="68"/>
      <c r="V76" s="55"/>
      <c r="W76" s="55"/>
    </row>
    <row r="77" spans="2:23" ht="12.75">
      <c r="B77" s="59" t="s">
        <v>196</v>
      </c>
      <c r="C77" t="s">
        <v>160</v>
      </c>
      <c r="D77" s="222">
        <v>7.88</v>
      </c>
      <c r="E77" t="s">
        <v>211</v>
      </c>
      <c r="F77" t="s">
        <v>212</v>
      </c>
      <c r="G77" t="s">
        <v>212</v>
      </c>
      <c r="I77" s="55"/>
      <c r="J77" s="55"/>
      <c r="K77" s="55"/>
      <c r="L77" s="55">
        <f>D77</f>
        <v>7.88</v>
      </c>
      <c r="M77" s="68"/>
      <c r="N77" s="55">
        <f>(3.205+3.205+2.33)*3.4</f>
        <v>29.716</v>
      </c>
      <c r="O77" s="55">
        <f>(2.34)*3.4-0.8*2.1</f>
        <v>6.276</v>
      </c>
      <c r="P77" s="55"/>
      <c r="Q77" s="55"/>
      <c r="R77" s="55"/>
      <c r="S77" s="55"/>
      <c r="T77" s="55"/>
      <c r="U77" s="68"/>
      <c r="V77" s="55"/>
      <c r="W77" s="55">
        <f>D77</f>
        <v>7.88</v>
      </c>
    </row>
    <row r="78" spans="2:23" ht="12.75">
      <c r="B78" s="59" t="s">
        <v>197</v>
      </c>
      <c r="C78" t="s">
        <v>168</v>
      </c>
      <c r="D78" s="222">
        <v>4.67</v>
      </c>
      <c r="E78" t="s">
        <v>208</v>
      </c>
      <c r="F78" t="s">
        <v>213</v>
      </c>
      <c r="G78" t="s">
        <v>215</v>
      </c>
      <c r="I78" s="55">
        <f>D78</f>
        <v>4.67</v>
      </c>
      <c r="J78" s="55"/>
      <c r="K78" s="55"/>
      <c r="L78" s="55"/>
      <c r="M78" s="68"/>
      <c r="N78" s="55">
        <f>(2.34*0.7)</f>
        <v>1.638</v>
      </c>
      <c r="O78" s="55">
        <f>(2.34+2+2)*0.7</f>
        <v>4.438</v>
      </c>
      <c r="P78" s="55">
        <f>(2.34*2.6)</f>
        <v>6.084</v>
      </c>
      <c r="Q78" s="55">
        <f>(2+2+2.34)*2.6-0.8*2.1</f>
        <v>14.804000000000002</v>
      </c>
      <c r="R78" s="55">
        <f>(1.1+1.1)*2.6</f>
        <v>5.720000000000001</v>
      </c>
      <c r="S78" s="55">
        <f>I78</f>
        <v>4.67</v>
      </c>
      <c r="T78" s="55">
        <f>(2.34+2)*2*2.6-0.8*2.1</f>
        <v>20.888</v>
      </c>
      <c r="U78" s="68"/>
      <c r="V78" s="55">
        <f>D78</f>
        <v>4.67</v>
      </c>
      <c r="W78" s="55"/>
    </row>
    <row r="79" spans="2:23" ht="12.75">
      <c r="B79" s="59" t="s">
        <v>198</v>
      </c>
      <c r="C79" t="s">
        <v>190</v>
      </c>
      <c r="D79" s="222">
        <v>30.55</v>
      </c>
      <c r="E79" t="s">
        <v>211</v>
      </c>
      <c r="F79" t="s">
        <v>212</v>
      </c>
      <c r="G79" t="s">
        <v>212</v>
      </c>
      <c r="I79" s="55"/>
      <c r="J79" s="55"/>
      <c r="K79" s="55"/>
      <c r="L79" s="55">
        <f>D79</f>
        <v>30.55</v>
      </c>
      <c r="M79" s="68"/>
      <c r="N79" s="55">
        <f>(5.34+5.69)*2*3.3-O79</f>
        <v>69.798</v>
      </c>
      <c r="O79" s="55">
        <f>1.2*2.5</f>
        <v>3</v>
      </c>
      <c r="P79" s="55"/>
      <c r="Q79" s="55"/>
      <c r="R79" s="55"/>
      <c r="S79" s="55"/>
      <c r="T79" s="55"/>
      <c r="U79" s="68"/>
      <c r="V79" s="55"/>
      <c r="W79" s="55">
        <f>D79</f>
        <v>30.55</v>
      </c>
    </row>
    <row r="80" spans="2:23" ht="12.75">
      <c r="B80" s="59" t="s">
        <v>199</v>
      </c>
      <c r="C80" t="s">
        <v>191</v>
      </c>
      <c r="D80" s="1">
        <v>19.04</v>
      </c>
      <c r="E80" t="s">
        <v>211</v>
      </c>
      <c r="F80" t="s">
        <v>212</v>
      </c>
      <c r="G80" t="s">
        <v>212</v>
      </c>
      <c r="I80" s="55"/>
      <c r="J80" s="55"/>
      <c r="K80" s="55"/>
      <c r="L80" s="55">
        <f>D80</f>
        <v>19.04</v>
      </c>
      <c r="M80" s="68"/>
      <c r="N80" s="55">
        <f>(2.84+0.77+5.33)*2*2.9-O80</f>
        <v>48.63999999999999</v>
      </c>
      <c r="O80" s="55">
        <f>(1.46*2.2)</f>
        <v>3.212</v>
      </c>
      <c r="P80" s="55"/>
      <c r="Q80" s="55"/>
      <c r="R80" s="55"/>
      <c r="S80" s="55"/>
      <c r="T80" s="55"/>
      <c r="U80" s="68"/>
      <c r="V80" s="55"/>
      <c r="W80" s="55">
        <f>D80</f>
        <v>19.04</v>
      </c>
    </row>
    <row r="81" spans="2:23" ht="4.5" customHeight="1">
      <c r="B81" s="59"/>
      <c r="I81" s="55"/>
      <c r="J81" s="55"/>
      <c r="K81" s="55"/>
      <c r="L81" s="55"/>
      <c r="M81" s="68"/>
      <c r="N81" s="55"/>
      <c r="O81" s="55"/>
      <c r="P81" s="55"/>
      <c r="Q81" s="55"/>
      <c r="R81" s="55"/>
      <c r="S81" s="55"/>
      <c r="T81" s="55"/>
      <c r="U81" s="68"/>
      <c r="V81" s="55"/>
      <c r="W81" s="55"/>
    </row>
    <row r="82" spans="2:23" ht="12.75">
      <c r="B82" s="59" t="s">
        <v>200</v>
      </c>
      <c r="C82" t="s">
        <v>168</v>
      </c>
      <c r="D82" s="1">
        <v>5.49</v>
      </c>
      <c r="E82" t="s">
        <v>208</v>
      </c>
      <c r="F82" t="s">
        <v>213</v>
      </c>
      <c r="G82" t="s">
        <v>215</v>
      </c>
      <c r="I82" s="55">
        <f>D82</f>
        <v>5.49</v>
      </c>
      <c r="J82" s="55"/>
      <c r="K82" s="55"/>
      <c r="L82" s="55"/>
      <c r="M82" s="68"/>
      <c r="N82" s="55"/>
      <c r="O82" s="55">
        <f>(2.295+2.5)*2*0.5</f>
        <v>4.795</v>
      </c>
      <c r="P82" s="55"/>
      <c r="Q82" s="55">
        <f>(2.295+2.5)*2*2.6-0.9*2.1</f>
        <v>23.044</v>
      </c>
      <c r="R82" s="55"/>
      <c r="S82" s="55">
        <f>I82</f>
        <v>5.49</v>
      </c>
      <c r="T82" s="55">
        <f>Q82</f>
        <v>23.044</v>
      </c>
      <c r="U82" s="68"/>
      <c r="V82" s="55">
        <f>D82</f>
        <v>5.49</v>
      </c>
      <c r="W82" s="55"/>
    </row>
    <row r="83" spans="2:23" ht="12.75">
      <c r="B83" s="59" t="s">
        <v>201</v>
      </c>
      <c r="C83" t="s">
        <v>160</v>
      </c>
      <c r="D83" s="1">
        <v>7.3</v>
      </c>
      <c r="E83" t="s">
        <v>211</v>
      </c>
      <c r="F83" t="s">
        <v>212</v>
      </c>
      <c r="G83" t="s">
        <v>215</v>
      </c>
      <c r="I83" s="55"/>
      <c r="J83" s="55"/>
      <c r="K83" s="55"/>
      <c r="L83" s="55">
        <f>D83</f>
        <v>7.3</v>
      </c>
      <c r="M83" s="68"/>
      <c r="N83" s="55">
        <f>(2.5*3.1)</f>
        <v>7.75</v>
      </c>
      <c r="O83" s="55">
        <f>(2.83+2.83+2.5)*3.1-0.9*2.1*2</f>
        <v>21.516000000000002</v>
      </c>
      <c r="P83" s="55"/>
      <c r="Q83" s="55"/>
      <c r="R83" s="55"/>
      <c r="S83" s="55"/>
      <c r="T83" s="55"/>
      <c r="U83" s="68"/>
      <c r="V83" s="55">
        <f>D83</f>
        <v>7.3</v>
      </c>
      <c r="W83" s="55"/>
    </row>
    <row r="84" spans="2:23" ht="12.75">
      <c r="B84" s="59" t="s">
        <v>202</v>
      </c>
      <c r="C84" t="s">
        <v>203</v>
      </c>
      <c r="D84" s="1">
        <v>21.53</v>
      </c>
      <c r="E84" t="s">
        <v>211</v>
      </c>
      <c r="F84" t="s">
        <v>212</v>
      </c>
      <c r="G84" t="s">
        <v>215</v>
      </c>
      <c r="I84" s="55"/>
      <c r="J84" s="55"/>
      <c r="K84" s="55"/>
      <c r="L84" s="55">
        <f>D84</f>
        <v>21.53</v>
      </c>
      <c r="M84" s="68"/>
      <c r="N84" s="55">
        <f>(4.1+5.25)*3.1</f>
        <v>28.985</v>
      </c>
      <c r="O84" s="55">
        <f>(4.1+5.25)*3.1-0.9*2.1</f>
        <v>27.095</v>
      </c>
      <c r="P84" s="55"/>
      <c r="Q84" s="55"/>
      <c r="R84" s="55"/>
      <c r="S84" s="55"/>
      <c r="T84" s="55"/>
      <c r="U84" s="68"/>
      <c r="V84" s="55">
        <f>D84</f>
        <v>21.53</v>
      </c>
      <c r="W84" s="55"/>
    </row>
    <row r="85" spans="2:23" ht="6" customHeight="1">
      <c r="B85" s="59"/>
      <c r="I85" s="55"/>
      <c r="J85" s="55"/>
      <c r="K85" s="55"/>
      <c r="L85" s="55"/>
      <c r="M85" s="68"/>
      <c r="N85" s="55"/>
      <c r="O85" s="55"/>
      <c r="P85" s="55"/>
      <c r="Q85" s="55"/>
      <c r="R85" s="55"/>
      <c r="S85" s="55"/>
      <c r="T85" s="55"/>
      <c r="U85" s="68"/>
      <c r="V85" s="55"/>
      <c r="W85" s="55"/>
    </row>
    <row r="86" spans="2:23" ht="12.75">
      <c r="B86" s="59" t="s">
        <v>204</v>
      </c>
      <c r="C86" t="s">
        <v>168</v>
      </c>
      <c r="D86" s="1">
        <v>5.36</v>
      </c>
      <c r="E86" t="s">
        <v>208</v>
      </c>
      <c r="F86" t="s">
        <v>213</v>
      </c>
      <c r="G86" t="s">
        <v>215</v>
      </c>
      <c r="I86" s="55">
        <f>D86</f>
        <v>5.36</v>
      </c>
      <c r="J86" s="55"/>
      <c r="K86" s="55"/>
      <c r="L86" s="55"/>
      <c r="M86" s="68"/>
      <c r="N86" s="55">
        <f>(2.5*0.5)</f>
        <v>1.25</v>
      </c>
      <c r="O86" s="55">
        <f>(2.265+2.5+2.265)*0.5</f>
        <v>3.5150000000000006</v>
      </c>
      <c r="P86" s="55">
        <f>(2.5*2.6)</f>
        <v>6.5</v>
      </c>
      <c r="Q86" s="55">
        <f>(2.265+2.265+2.5)*2.6-0.9*2.1</f>
        <v>16.388</v>
      </c>
      <c r="R86" s="55"/>
      <c r="S86" s="55">
        <f>I86</f>
        <v>5.36</v>
      </c>
      <c r="T86" s="55">
        <f>(2.265+2.5)*2*2.6-0.9*2.1</f>
        <v>22.888</v>
      </c>
      <c r="U86" s="68"/>
      <c r="V86" s="55">
        <f>D86</f>
        <v>5.36</v>
      </c>
      <c r="W86" s="55"/>
    </row>
    <row r="87" spans="2:23" ht="12.75">
      <c r="B87" s="59" t="s">
        <v>205</v>
      </c>
      <c r="C87" t="s">
        <v>160</v>
      </c>
      <c r="D87" s="1">
        <v>7.02</v>
      </c>
      <c r="E87" t="s">
        <v>211</v>
      </c>
      <c r="F87" t="s">
        <v>212</v>
      </c>
      <c r="G87" t="s">
        <v>215</v>
      </c>
      <c r="I87" s="55"/>
      <c r="J87" s="55"/>
      <c r="K87" s="55"/>
      <c r="L87" s="55">
        <f>D87</f>
        <v>7.02</v>
      </c>
      <c r="M87" s="68"/>
      <c r="N87" s="55"/>
      <c r="O87" s="55">
        <f>(2.75+2.5)*2*3.1-0.9*2.1*3</f>
        <v>26.880000000000003</v>
      </c>
      <c r="P87" s="55"/>
      <c r="Q87" s="55"/>
      <c r="R87" s="55"/>
      <c r="S87" s="55"/>
      <c r="T87" s="55"/>
      <c r="U87" s="68"/>
      <c r="V87" s="55">
        <f>D87</f>
        <v>7.02</v>
      </c>
      <c r="W87" s="55"/>
    </row>
    <row r="88" spans="2:23" ht="13.5" thickBot="1">
      <c r="B88" s="59" t="s">
        <v>206</v>
      </c>
      <c r="C88" t="s">
        <v>203</v>
      </c>
      <c r="D88" s="1">
        <v>30.35</v>
      </c>
      <c r="E88" t="s">
        <v>211</v>
      </c>
      <c r="F88" t="s">
        <v>212</v>
      </c>
      <c r="G88" t="s">
        <v>215</v>
      </c>
      <c r="I88" s="69"/>
      <c r="J88" s="69"/>
      <c r="K88" s="69"/>
      <c r="L88" s="55">
        <f>D88</f>
        <v>30.35</v>
      </c>
      <c r="M88" s="70"/>
      <c r="N88" s="69">
        <f>(5.975+5.05)*3.1</f>
        <v>34.177499999999995</v>
      </c>
      <c r="O88" s="69">
        <f>(5.11+5.975)*3.1-0.9*2.1</f>
        <v>32.4735</v>
      </c>
      <c r="P88" s="69"/>
      <c r="Q88" s="69"/>
      <c r="R88" s="69"/>
      <c r="S88" s="69"/>
      <c r="T88" s="69"/>
      <c r="U88" s="70"/>
      <c r="V88" s="55">
        <f>D88</f>
        <v>30.35</v>
      </c>
      <c r="W88" s="69"/>
    </row>
    <row r="89" spans="1:23" ht="18" customHeight="1" thickBot="1">
      <c r="A89" s="61"/>
      <c r="B89" s="71" t="s">
        <v>207</v>
      </c>
      <c r="C89" s="71"/>
      <c r="D89" s="72">
        <f>SUM(D22:D88)</f>
        <v>824.0599999999997</v>
      </c>
      <c r="E89" s="62"/>
      <c r="F89" s="62"/>
      <c r="G89" s="62"/>
      <c r="H89" s="62"/>
      <c r="I89" s="219">
        <f>SUM(I21:I88)</f>
        <v>182.18</v>
      </c>
      <c r="J89" s="219">
        <f>SUM(J21:J88)</f>
        <v>269.55</v>
      </c>
      <c r="K89" s="219">
        <f>SUM(K21:K88)</f>
        <v>126.72999999999999</v>
      </c>
      <c r="L89" s="219">
        <f>SUM(L21:L88)</f>
        <v>245.60000000000002</v>
      </c>
      <c r="M89" s="62"/>
      <c r="N89" s="225">
        <f>SUM(N21:N88)</f>
        <v>1501.8366000000003</v>
      </c>
      <c r="O89" s="225">
        <f aca="true" t="shared" si="4" ref="O89:T89">SUM(O21:O88)</f>
        <v>772.8108999999997</v>
      </c>
      <c r="P89" s="225">
        <f t="shared" si="4"/>
        <v>133.89849999999998</v>
      </c>
      <c r="Q89" s="225">
        <f t="shared" si="4"/>
        <v>419.9305</v>
      </c>
      <c r="R89" s="225">
        <f t="shared" si="4"/>
        <v>50.257999999999996</v>
      </c>
      <c r="S89" s="225">
        <f>SUM(S21:S88)</f>
        <v>64.18</v>
      </c>
      <c r="T89" s="225">
        <f t="shared" si="4"/>
        <v>553.5040000000001</v>
      </c>
      <c r="U89" s="62"/>
      <c r="V89" s="73">
        <f>SUM(V21:V88)</f>
        <v>253.71</v>
      </c>
      <c r="W89" s="219">
        <f>SUM(W21:W88)</f>
        <v>570.3499999999999</v>
      </c>
    </row>
    <row r="90" ht="12.75">
      <c r="B90" s="59"/>
    </row>
    <row r="91" spans="2:4" ht="12.75">
      <c r="B91" s="59" t="s">
        <v>974</v>
      </c>
      <c r="D91" s="56">
        <f>D22+D44+D45+D46+D47+D48+D49+D50+D51+D82+D83+D84+D86+D87+D88</f>
        <v>220.51000000000005</v>
      </c>
    </row>
    <row r="92" ht="12.75">
      <c r="B92" s="59"/>
    </row>
    <row r="93" ht="13.5" thickBot="1">
      <c r="B93" s="59"/>
    </row>
    <row r="94" spans="2:23" ht="13.5" thickBot="1">
      <c r="B94" s="1" t="s">
        <v>216</v>
      </c>
      <c r="C94" s="1"/>
      <c r="D94" s="1"/>
      <c r="E94" s="1"/>
      <c r="F94" s="1"/>
      <c r="G94" s="1"/>
      <c r="I94" s="857" t="s">
        <v>291</v>
      </c>
      <c r="J94" s="858"/>
      <c r="K94" s="858"/>
      <c r="L94" s="859"/>
      <c r="M94" s="65"/>
      <c r="N94" s="857" t="s">
        <v>123</v>
      </c>
      <c r="O94" s="858"/>
      <c r="P94" s="858"/>
      <c r="Q94" s="858"/>
      <c r="R94" s="858"/>
      <c r="S94" s="858"/>
      <c r="T94" s="858"/>
      <c r="U94" s="65"/>
      <c r="V94" s="857" t="s">
        <v>124</v>
      </c>
      <c r="W94" s="859"/>
    </row>
    <row r="95" spans="2:23" ht="42.75" customHeight="1" thickBot="1">
      <c r="B95" s="58" t="s">
        <v>105</v>
      </c>
      <c r="C95" s="58" t="s">
        <v>106</v>
      </c>
      <c r="D95" s="58" t="s">
        <v>107</v>
      </c>
      <c r="E95" s="58" t="s">
        <v>122</v>
      </c>
      <c r="F95" s="58" t="s">
        <v>123</v>
      </c>
      <c r="G95" s="58" t="s">
        <v>124</v>
      </c>
      <c r="I95" s="64" t="str">
        <f>I20</f>
        <v>dlažba</v>
      </c>
      <c r="J95" s="64" t="str">
        <f>J20</f>
        <v>teraco</v>
      </c>
      <c r="K95" s="65" t="str">
        <f>K20</f>
        <v>marmoleum + sokl 70 mm</v>
      </c>
      <c r="L95" s="65" t="str">
        <f>L20</f>
        <v>dřevěná sendvičová</v>
      </c>
      <c r="M95" s="66"/>
      <c r="N95" s="65" t="s">
        <v>1052</v>
      </c>
      <c r="O95" s="65" t="s">
        <v>1053</v>
      </c>
      <c r="P95" s="65" t="s">
        <v>1055</v>
      </c>
      <c r="Q95" s="65" t="s">
        <v>1054</v>
      </c>
      <c r="R95" s="65" t="s">
        <v>1059</v>
      </c>
      <c r="S95" s="65" t="s">
        <v>1060</v>
      </c>
      <c r="T95" s="65" t="s">
        <v>213</v>
      </c>
      <c r="U95" s="66"/>
      <c r="V95" s="65" t="str">
        <f>V20</f>
        <v>SDK podhled</v>
      </c>
      <c r="W95" s="64" t="str">
        <f>W20</f>
        <v>omítka</v>
      </c>
    </row>
    <row r="96" spans="2:23" ht="12.75">
      <c r="B96" s="59" t="s">
        <v>217</v>
      </c>
      <c r="C96" t="s">
        <v>118</v>
      </c>
      <c r="D96" s="1">
        <v>27.45</v>
      </c>
      <c r="E96" t="s">
        <v>209</v>
      </c>
      <c r="F96" t="s">
        <v>212</v>
      </c>
      <c r="G96" t="s">
        <v>212</v>
      </c>
      <c r="I96" s="63"/>
      <c r="J96" s="63">
        <f>D96</f>
        <v>27.45</v>
      </c>
      <c r="K96" s="63"/>
      <c r="L96" s="63"/>
      <c r="M96" s="67"/>
      <c r="N96" s="63">
        <f>(3.235+1.605+0.935+1.22+2.6+1.2+0.645)*2.8</f>
        <v>32.032</v>
      </c>
      <c r="O96" s="63">
        <f>(1.765+4.08+1.765+15.55)*2.8-(0.8*2.1*5)</f>
        <v>56.448</v>
      </c>
      <c r="P96" s="63"/>
      <c r="Q96" s="63"/>
      <c r="R96" s="63"/>
      <c r="S96" s="63"/>
      <c r="T96" s="63"/>
      <c r="U96" s="67"/>
      <c r="V96" s="63"/>
      <c r="W96" s="63">
        <f>D96</f>
        <v>27.45</v>
      </c>
    </row>
    <row r="97" spans="2:23" ht="12.75">
      <c r="B97" s="59" t="s">
        <v>218</v>
      </c>
      <c r="C97" t="s">
        <v>118</v>
      </c>
      <c r="D97" s="1">
        <v>29.29</v>
      </c>
      <c r="E97" t="s">
        <v>209</v>
      </c>
      <c r="F97" t="s">
        <v>212</v>
      </c>
      <c r="G97" t="s">
        <v>212</v>
      </c>
      <c r="I97" s="55"/>
      <c r="J97" s="55">
        <f>D97</f>
        <v>29.29</v>
      </c>
      <c r="K97" s="55"/>
      <c r="L97" s="55"/>
      <c r="M97" s="68"/>
      <c r="N97" s="55">
        <f>(16.56+0.74+16.56+0.74+1.605+1.605)*3.6-O97</f>
        <v>93.618</v>
      </c>
      <c r="O97" s="55">
        <f>(1.695+0.15+1.75+1.9+0.15+2.11+2+0.15+1.9)*3.6</f>
        <v>42.498</v>
      </c>
      <c r="P97" s="55"/>
      <c r="Q97" s="55"/>
      <c r="R97" s="55"/>
      <c r="S97" s="55"/>
      <c r="T97" s="55"/>
      <c r="U97" s="68"/>
      <c r="V97" s="55"/>
      <c r="W97" s="55">
        <f>D97</f>
        <v>29.29</v>
      </c>
    </row>
    <row r="98" spans="2:23" ht="12.75">
      <c r="B98" s="59" t="s">
        <v>219</v>
      </c>
      <c r="C98" t="s">
        <v>288</v>
      </c>
      <c r="D98" s="1">
        <v>49.47</v>
      </c>
      <c r="E98" t="s">
        <v>209</v>
      </c>
      <c r="F98" t="s">
        <v>212</v>
      </c>
      <c r="G98" t="s">
        <v>212</v>
      </c>
      <c r="I98" s="55"/>
      <c r="J98" s="55">
        <f>D98</f>
        <v>49.47</v>
      </c>
      <c r="K98" s="55"/>
      <c r="L98" s="55"/>
      <c r="M98" s="68"/>
      <c r="N98" s="55">
        <f>(2.975+1.45+5.25+0.4+5.195)*2*3.6-O98</f>
        <v>77.10600000000002</v>
      </c>
      <c r="O98" s="55">
        <f>(3.15+1.94+1.895+0.15+2.92)*3.6-0.8*2.1*2</f>
        <v>32.838</v>
      </c>
      <c r="P98" s="55"/>
      <c r="Q98" s="55"/>
      <c r="R98" s="55"/>
      <c r="S98" s="55"/>
      <c r="T98" s="55"/>
      <c r="U98" s="68"/>
      <c r="V98" s="55"/>
      <c r="W98" s="55">
        <f>D98</f>
        <v>49.47</v>
      </c>
    </row>
    <row r="99" spans="2:23" ht="12.75">
      <c r="B99" s="59" t="s">
        <v>220</v>
      </c>
      <c r="C99" t="s">
        <v>118</v>
      </c>
      <c r="D99" s="1">
        <v>32.07</v>
      </c>
      <c r="E99" t="s">
        <v>209</v>
      </c>
      <c r="F99" t="s">
        <v>212</v>
      </c>
      <c r="G99" t="s">
        <v>212</v>
      </c>
      <c r="I99" s="55"/>
      <c r="J99" s="55">
        <f>D99</f>
        <v>32.07</v>
      </c>
      <c r="K99" s="55"/>
      <c r="L99" s="55"/>
      <c r="M99" s="68"/>
      <c r="N99" s="55">
        <f>(16.395+0.66+1.77)*2*3.6-O99</f>
        <v>101.3915</v>
      </c>
      <c r="O99" s="55">
        <f>(2.15+1.95+1.72+1.745+0.15+1.875)*3.6-(0.8*2.1*2)+(0.895*1.1+2)</f>
        <v>34.1485</v>
      </c>
      <c r="P99" s="55"/>
      <c r="Q99" s="55"/>
      <c r="R99" s="55"/>
      <c r="S99" s="55"/>
      <c r="T99" s="55"/>
      <c r="U99" s="68"/>
      <c r="V99" s="55"/>
      <c r="W99" s="55">
        <f>D99</f>
        <v>32.07</v>
      </c>
    </row>
    <row r="100" spans="2:23" ht="12.75">
      <c r="B100" s="59" t="s">
        <v>221</v>
      </c>
      <c r="C100" t="s">
        <v>118</v>
      </c>
      <c r="D100" s="1">
        <v>14.74</v>
      </c>
      <c r="E100" t="s">
        <v>209</v>
      </c>
      <c r="F100" t="s">
        <v>212</v>
      </c>
      <c r="G100" t="s">
        <v>212</v>
      </c>
      <c r="I100" s="55"/>
      <c r="J100" s="55">
        <f>D100</f>
        <v>14.74</v>
      </c>
      <c r="K100" s="55"/>
      <c r="L100" s="55"/>
      <c r="M100" s="68"/>
      <c r="N100" s="55">
        <f>(1.36+10.675)*2*3.6-O100</f>
        <v>77.004</v>
      </c>
      <c r="O100" s="55">
        <f>(1.36+1.36+1.36)*3.6-(0.8*2.1*3)</f>
        <v>9.648</v>
      </c>
      <c r="P100" s="55"/>
      <c r="Q100" s="55"/>
      <c r="R100" s="55"/>
      <c r="S100" s="55"/>
      <c r="T100" s="55"/>
      <c r="U100" s="68"/>
      <c r="V100" s="55"/>
      <c r="W100" s="55">
        <f>D100</f>
        <v>14.74</v>
      </c>
    </row>
    <row r="101" spans="2:23" ht="3.75" customHeight="1">
      <c r="B101" s="59"/>
      <c r="I101" s="55"/>
      <c r="J101" s="55"/>
      <c r="K101" s="55"/>
      <c r="L101" s="55"/>
      <c r="M101" s="68"/>
      <c r="N101" s="55"/>
      <c r="O101" s="55"/>
      <c r="P101" s="55"/>
      <c r="Q101" s="55"/>
      <c r="R101" s="55"/>
      <c r="S101" s="55"/>
      <c r="T101" s="55"/>
      <c r="U101" s="68"/>
      <c r="V101" s="55"/>
      <c r="W101" s="55"/>
    </row>
    <row r="102" spans="2:23" ht="12.75">
      <c r="B102" s="59" t="s">
        <v>222</v>
      </c>
      <c r="C102" t="s">
        <v>203</v>
      </c>
      <c r="D102" s="1">
        <v>32.37</v>
      </c>
      <c r="E102" t="s">
        <v>211</v>
      </c>
      <c r="F102" t="s">
        <v>212</v>
      </c>
      <c r="G102" t="s">
        <v>212</v>
      </c>
      <c r="I102" s="55"/>
      <c r="J102" s="55"/>
      <c r="K102" s="55"/>
      <c r="L102" s="55">
        <f>D102</f>
        <v>32.37</v>
      </c>
      <c r="M102" s="68"/>
      <c r="N102" s="55">
        <f>(8.245+3.83)*2.8</f>
        <v>33.809999999999995</v>
      </c>
      <c r="O102" s="55">
        <f>(8.175+4.04)*2.8-(0.8*2.1)</f>
        <v>32.522</v>
      </c>
      <c r="P102" s="55"/>
      <c r="Q102" s="55"/>
      <c r="R102" s="55"/>
      <c r="S102" s="55"/>
      <c r="T102" s="55"/>
      <c r="U102" s="68"/>
      <c r="V102" s="55"/>
      <c r="W102" s="55">
        <f>D102</f>
        <v>32.37</v>
      </c>
    </row>
    <row r="103" spans="2:23" ht="12.75">
      <c r="B103" s="59" t="s">
        <v>223</v>
      </c>
      <c r="C103" t="s">
        <v>168</v>
      </c>
      <c r="D103" s="1">
        <v>5.16</v>
      </c>
      <c r="E103" t="s">
        <v>208</v>
      </c>
      <c r="F103" t="s">
        <v>213</v>
      </c>
      <c r="G103" t="s">
        <v>215</v>
      </c>
      <c r="I103" s="55">
        <f>D103</f>
        <v>5.16</v>
      </c>
      <c r="J103" s="55"/>
      <c r="K103" s="55"/>
      <c r="L103" s="55"/>
      <c r="M103" s="68"/>
      <c r="N103" s="55">
        <f>(2.29+2.25)*0.3</f>
        <v>1.3619999999999999</v>
      </c>
      <c r="O103" s="55">
        <f>(2.29+2.25)*0.3</f>
        <v>1.3619999999999999</v>
      </c>
      <c r="P103" s="55">
        <f>(2.29+2.25)*2.5</f>
        <v>11.35</v>
      </c>
      <c r="Q103" s="55">
        <f>(2.29+2.25)*2.5-0.8*2.1</f>
        <v>9.67</v>
      </c>
      <c r="R103" s="55">
        <f>(1.1+1.1)*2.5</f>
        <v>5.5</v>
      </c>
      <c r="S103" s="55">
        <f>D103</f>
        <v>5.16</v>
      </c>
      <c r="T103" s="55">
        <f>(2.29+2.25)*2*2.5-(0.8*2.1)</f>
        <v>21.02</v>
      </c>
      <c r="U103" s="68"/>
      <c r="V103" s="55">
        <f>D103</f>
        <v>5.16</v>
      </c>
      <c r="W103" s="55"/>
    </row>
    <row r="104" spans="2:23" ht="12.75">
      <c r="B104" s="59" t="s">
        <v>224</v>
      </c>
      <c r="C104" t="s">
        <v>160</v>
      </c>
      <c r="D104" s="1">
        <v>4.16</v>
      </c>
      <c r="E104" t="s">
        <v>211</v>
      </c>
      <c r="F104" t="s">
        <v>212</v>
      </c>
      <c r="G104" t="s">
        <v>212</v>
      </c>
      <c r="I104" s="55"/>
      <c r="J104" s="55"/>
      <c r="K104" s="55"/>
      <c r="L104" s="55">
        <f>D104</f>
        <v>4.16</v>
      </c>
      <c r="M104" s="68"/>
      <c r="N104" s="55">
        <f>(1.75*2.8)</f>
        <v>4.8999999999999995</v>
      </c>
      <c r="O104" s="55">
        <f>(2.385+1.75+2.385)*2.8-0.8*2.1*2</f>
        <v>14.895999999999997</v>
      </c>
      <c r="P104" s="55"/>
      <c r="Q104" s="55"/>
      <c r="R104" s="55"/>
      <c r="S104" s="55"/>
      <c r="T104" s="55"/>
      <c r="U104" s="68"/>
      <c r="V104" s="55"/>
      <c r="W104" s="55">
        <f>D104</f>
        <v>4.16</v>
      </c>
    </row>
    <row r="105" spans="2:23" ht="4.5" customHeight="1">
      <c r="B105" s="59"/>
      <c r="I105" s="55"/>
      <c r="J105" s="55"/>
      <c r="K105" s="55"/>
      <c r="L105" s="55"/>
      <c r="M105" s="68"/>
      <c r="N105" s="55"/>
      <c r="O105" s="55"/>
      <c r="P105" s="55"/>
      <c r="Q105" s="55"/>
      <c r="R105" s="55"/>
      <c r="S105" s="55"/>
      <c r="T105" s="55"/>
      <c r="U105" s="68"/>
      <c r="V105" s="55"/>
      <c r="W105" s="55"/>
    </row>
    <row r="106" spans="2:23" ht="12.75">
      <c r="B106" s="59" t="s">
        <v>225</v>
      </c>
      <c r="C106" t="s">
        <v>203</v>
      </c>
      <c r="D106" s="1">
        <v>25.16</v>
      </c>
      <c r="E106" t="s">
        <v>211</v>
      </c>
      <c r="F106" t="s">
        <v>212</v>
      </c>
      <c r="G106" t="s">
        <v>212</v>
      </c>
      <c r="I106" s="55"/>
      <c r="J106" s="55"/>
      <c r="K106" s="55"/>
      <c r="L106" s="55">
        <f>D106</f>
        <v>25.16</v>
      </c>
      <c r="M106" s="68"/>
      <c r="N106" s="55">
        <f>(4.28+5.8+1.2)*3.6</f>
        <v>40.608</v>
      </c>
      <c r="O106" s="55">
        <f>(5.8+4.29)*3.6-0.8*2.1</f>
        <v>34.644</v>
      </c>
      <c r="P106" s="55"/>
      <c r="Q106" s="55"/>
      <c r="R106" s="55"/>
      <c r="S106" s="55"/>
      <c r="T106" s="55"/>
      <c r="U106" s="68"/>
      <c r="V106" s="55"/>
      <c r="W106" s="55">
        <f>D106</f>
        <v>25.16</v>
      </c>
    </row>
    <row r="107" spans="2:23" ht="12.75">
      <c r="B107" s="59" t="s">
        <v>226</v>
      </c>
      <c r="C107" t="s">
        <v>168</v>
      </c>
      <c r="D107" s="1">
        <v>4.9</v>
      </c>
      <c r="E107" t="s">
        <v>208</v>
      </c>
      <c r="F107" t="s">
        <v>213</v>
      </c>
      <c r="G107" t="s">
        <v>215</v>
      </c>
      <c r="I107" s="55">
        <f>D107</f>
        <v>4.9</v>
      </c>
      <c r="J107" s="55"/>
      <c r="K107" s="55"/>
      <c r="L107" s="55"/>
      <c r="M107" s="68"/>
      <c r="N107" s="55">
        <f>(2.8*1.1)</f>
        <v>3.08</v>
      </c>
      <c r="O107" s="55">
        <f>(2.8+1.75+1.75)*1.1</f>
        <v>6.930000000000001</v>
      </c>
      <c r="P107" s="55">
        <f>(2.8*2.6)</f>
        <v>7.279999999999999</v>
      </c>
      <c r="Q107" s="55">
        <f>(1.75+1.75+2.8)*2.6-0.8*2.1</f>
        <v>14.7</v>
      </c>
      <c r="R107" s="55">
        <f>(1.1+1.1)*2.6</f>
        <v>5.720000000000001</v>
      </c>
      <c r="S107" s="55">
        <f>I107</f>
        <v>4.9</v>
      </c>
      <c r="T107" s="55">
        <f>(1.75+2.8)*2*2.6-0.8*2.1</f>
        <v>21.98</v>
      </c>
      <c r="U107" s="68"/>
      <c r="V107" s="55">
        <f>D107</f>
        <v>4.9</v>
      </c>
      <c r="W107" s="55"/>
    </row>
    <row r="108" spans="2:23" ht="12.75">
      <c r="B108" s="59" t="s">
        <v>227</v>
      </c>
      <c r="C108" t="s">
        <v>160</v>
      </c>
      <c r="D108" s="1">
        <v>5.1</v>
      </c>
      <c r="E108" t="s">
        <v>211</v>
      </c>
      <c r="F108" t="s">
        <v>212</v>
      </c>
      <c r="G108" t="s">
        <v>215</v>
      </c>
      <c r="I108" s="55"/>
      <c r="J108" s="55"/>
      <c r="K108" s="55"/>
      <c r="L108" s="55">
        <f>D108</f>
        <v>5.1</v>
      </c>
      <c r="M108" s="68"/>
      <c r="N108" s="55">
        <f>(2.8*3.7)</f>
        <v>10.36</v>
      </c>
      <c r="O108" s="55">
        <f>(1.695+1.695+2.8)*3.7-0.8*2.1</f>
        <v>21.223</v>
      </c>
      <c r="P108" s="55"/>
      <c r="Q108" s="55"/>
      <c r="R108" s="55"/>
      <c r="S108" s="55"/>
      <c r="T108" s="55"/>
      <c r="U108" s="68"/>
      <c r="V108" s="55">
        <f>D108</f>
        <v>5.1</v>
      </c>
      <c r="W108" s="55"/>
    </row>
    <row r="109" spans="2:23" ht="4.5" customHeight="1">
      <c r="B109" s="59"/>
      <c r="I109" s="55"/>
      <c r="J109" s="55"/>
      <c r="K109" s="55"/>
      <c r="L109" s="55"/>
      <c r="M109" s="68"/>
      <c r="N109" s="55"/>
      <c r="O109" s="55"/>
      <c r="P109" s="55"/>
      <c r="Q109" s="55"/>
      <c r="R109" s="55"/>
      <c r="S109" s="55"/>
      <c r="T109" s="55"/>
      <c r="U109" s="68"/>
      <c r="V109" s="55"/>
      <c r="W109" s="55"/>
    </row>
    <row r="110" spans="2:23" ht="12.75">
      <c r="B110" s="59" t="s">
        <v>228</v>
      </c>
      <c r="C110" t="s">
        <v>203</v>
      </c>
      <c r="D110" s="1">
        <v>19.19</v>
      </c>
      <c r="E110" t="s">
        <v>211</v>
      </c>
      <c r="F110" t="s">
        <v>212</v>
      </c>
      <c r="G110" t="s">
        <v>212</v>
      </c>
      <c r="I110" s="55"/>
      <c r="J110" s="55"/>
      <c r="K110" s="55"/>
      <c r="L110" s="55">
        <f>D110</f>
        <v>19.19</v>
      </c>
      <c r="M110" s="68"/>
      <c r="N110" s="55">
        <f>(4.36)*3.7</f>
        <v>16.132</v>
      </c>
      <c r="O110" s="55">
        <f>(4.36+4.34+4.22)*3.7-0.8*2.1</f>
        <v>46.123999999999995</v>
      </c>
      <c r="P110" s="55"/>
      <c r="Q110" s="55"/>
      <c r="R110" s="55"/>
      <c r="S110" s="55"/>
      <c r="T110" s="55"/>
      <c r="U110" s="68"/>
      <c r="V110" s="55"/>
      <c r="W110" s="55">
        <f>D110</f>
        <v>19.19</v>
      </c>
    </row>
    <row r="111" spans="2:23" ht="12.75">
      <c r="B111" s="59" t="s">
        <v>229</v>
      </c>
      <c r="C111" t="s">
        <v>160</v>
      </c>
      <c r="D111" s="1">
        <v>6.06</v>
      </c>
      <c r="E111" t="s">
        <v>211</v>
      </c>
      <c r="F111" t="s">
        <v>212</v>
      </c>
      <c r="G111" t="s">
        <v>215</v>
      </c>
      <c r="I111" s="55"/>
      <c r="J111" s="55"/>
      <c r="K111" s="55"/>
      <c r="L111" s="55">
        <f>D111</f>
        <v>6.06</v>
      </c>
      <c r="M111" s="68"/>
      <c r="N111" s="55">
        <f>(2.7*3.7)</f>
        <v>9.990000000000002</v>
      </c>
      <c r="O111" s="55">
        <f>(2.11+2.11+2.7)*3.7-0.8*2.1*2</f>
        <v>22.244</v>
      </c>
      <c r="P111" s="55"/>
      <c r="Q111" s="55"/>
      <c r="R111" s="55"/>
      <c r="S111" s="55"/>
      <c r="T111" s="55"/>
      <c r="U111" s="68"/>
      <c r="V111" s="55">
        <f>D111</f>
        <v>6.06</v>
      </c>
      <c r="W111" s="55"/>
    </row>
    <row r="112" spans="2:23" ht="12.75">
      <c r="B112" s="59" t="s">
        <v>230</v>
      </c>
      <c r="C112" t="s">
        <v>168</v>
      </c>
      <c r="D112" s="1">
        <v>5.04</v>
      </c>
      <c r="E112" t="s">
        <v>208</v>
      </c>
      <c r="F112" t="s">
        <v>213</v>
      </c>
      <c r="G112" t="s">
        <v>215</v>
      </c>
      <c r="I112" s="55">
        <f>D112</f>
        <v>5.04</v>
      </c>
      <c r="J112" s="55"/>
      <c r="K112" s="55"/>
      <c r="L112" s="55"/>
      <c r="M112" s="68"/>
      <c r="N112" s="55">
        <f>(2.65*1.1)</f>
        <v>2.915</v>
      </c>
      <c r="O112" s="55">
        <f>(1.9+1.9+2.65)*1.1</f>
        <v>7.095</v>
      </c>
      <c r="P112" s="55">
        <f>(2.65*2.6)</f>
        <v>6.89</v>
      </c>
      <c r="Q112" s="55">
        <f>(2.65+1.9+1.9)*2.6-0.8*2.1</f>
        <v>15.09</v>
      </c>
      <c r="R112" s="55">
        <f>(1.1+1.1)*2.6</f>
        <v>5.720000000000001</v>
      </c>
      <c r="S112" s="55">
        <f>I112</f>
        <v>5.04</v>
      </c>
      <c r="T112" s="55">
        <f>(2.65+1.9)*2*2.6-0.8*2.1</f>
        <v>21.98</v>
      </c>
      <c r="U112" s="68"/>
      <c r="V112" s="55">
        <f>D112</f>
        <v>5.04</v>
      </c>
      <c r="W112" s="55"/>
    </row>
    <row r="113" spans="2:23" ht="4.5" customHeight="1">
      <c r="B113" s="59"/>
      <c r="I113" s="55"/>
      <c r="J113" s="55"/>
      <c r="K113" s="55"/>
      <c r="L113" s="55"/>
      <c r="M113" s="68"/>
      <c r="N113" s="55"/>
      <c r="O113" s="55"/>
      <c r="P113" s="55"/>
      <c r="Q113" s="55"/>
      <c r="R113" s="55"/>
      <c r="S113" s="55"/>
      <c r="T113" s="55"/>
      <c r="U113" s="68"/>
      <c r="V113" s="55"/>
      <c r="W113" s="55"/>
    </row>
    <row r="114" spans="2:23" ht="12.75">
      <c r="B114" s="59" t="s">
        <v>231</v>
      </c>
      <c r="C114" t="s">
        <v>203</v>
      </c>
      <c r="D114" s="222">
        <v>24.79</v>
      </c>
      <c r="E114" t="s">
        <v>211</v>
      </c>
      <c r="F114" t="s">
        <v>212</v>
      </c>
      <c r="G114" t="s">
        <v>212</v>
      </c>
      <c r="I114" s="55"/>
      <c r="J114" s="55"/>
      <c r="K114" s="55"/>
      <c r="L114" s="55">
        <f>D114</f>
        <v>24.79</v>
      </c>
      <c r="M114" s="68"/>
      <c r="N114" s="55">
        <f>(5.89+5.89+4.06)*3.7-1.04*2</f>
        <v>56.528000000000006</v>
      </c>
      <c r="O114" s="55">
        <f>(4.22*3.7+1.04*2)</f>
        <v>17.694</v>
      </c>
      <c r="P114" s="55"/>
      <c r="Q114" s="55"/>
      <c r="R114" s="55"/>
      <c r="S114" s="55"/>
      <c r="T114" s="55"/>
      <c r="U114" s="68"/>
      <c r="V114" s="55"/>
      <c r="W114" s="55">
        <f>D114</f>
        <v>24.79</v>
      </c>
    </row>
    <row r="115" spans="2:23" ht="12.75">
      <c r="B115" s="59" t="s">
        <v>232</v>
      </c>
      <c r="C115" t="s">
        <v>160</v>
      </c>
      <c r="D115" s="1">
        <v>5.33</v>
      </c>
      <c r="E115" t="s">
        <v>211</v>
      </c>
      <c r="F115" t="s">
        <v>212</v>
      </c>
      <c r="G115" t="s">
        <v>215</v>
      </c>
      <c r="I115" s="55"/>
      <c r="J115" s="55"/>
      <c r="K115" s="55"/>
      <c r="L115" s="55">
        <f>D115</f>
        <v>5.33</v>
      </c>
      <c r="M115" s="68"/>
      <c r="N115" s="55">
        <f>(2.65+1)*3.7</f>
        <v>13.505</v>
      </c>
      <c r="O115" s="55">
        <f>(2.65+1.9+1.5)*3.7-0.8*2.1</f>
        <v>20.705000000000002</v>
      </c>
      <c r="P115" s="55"/>
      <c r="Q115" s="55"/>
      <c r="R115" s="55"/>
      <c r="S115" s="55"/>
      <c r="T115" s="55"/>
      <c r="U115" s="68"/>
      <c r="V115" s="55">
        <f>D115</f>
        <v>5.33</v>
      </c>
      <c r="W115" s="55"/>
    </row>
    <row r="116" spans="2:23" ht="12.75">
      <c r="B116" s="59" t="s">
        <v>233</v>
      </c>
      <c r="C116" t="s">
        <v>168</v>
      </c>
      <c r="D116" s="1">
        <v>5.3</v>
      </c>
      <c r="E116" t="s">
        <v>208</v>
      </c>
      <c r="F116" t="s">
        <v>213</v>
      </c>
      <c r="G116" t="s">
        <v>215</v>
      </c>
      <c r="I116" s="55">
        <f>D116</f>
        <v>5.3</v>
      </c>
      <c r="J116" s="55"/>
      <c r="K116" s="55"/>
      <c r="L116" s="55"/>
      <c r="M116" s="68"/>
      <c r="N116" s="55">
        <f>(2.65*1.1)</f>
        <v>2.915</v>
      </c>
      <c r="O116" s="55">
        <f>(2+2+2.65)*1.1</f>
        <v>7.315000000000001</v>
      </c>
      <c r="P116" s="55">
        <f>(2.65*2.6)</f>
        <v>6.89</v>
      </c>
      <c r="Q116" s="55">
        <f>(2.65+2+2)*2.6-0.8*2.1</f>
        <v>15.610000000000003</v>
      </c>
      <c r="R116" s="55">
        <f>(1.1+1.1)*2.6</f>
        <v>5.720000000000001</v>
      </c>
      <c r="S116" s="55">
        <f>I116</f>
        <v>5.3</v>
      </c>
      <c r="T116" s="55">
        <f>(2.65+2)*2*2.6-0.8*2.1</f>
        <v>22.500000000000004</v>
      </c>
      <c r="U116" s="68"/>
      <c r="V116" s="55">
        <f>D116</f>
        <v>5.3</v>
      </c>
      <c r="W116" s="55"/>
    </row>
    <row r="117" spans="2:23" ht="4.5" customHeight="1">
      <c r="B117" s="59"/>
      <c r="I117" s="55"/>
      <c r="J117" s="55"/>
      <c r="K117" s="55"/>
      <c r="L117" s="55"/>
      <c r="M117" s="68"/>
      <c r="N117" s="55"/>
      <c r="O117" s="55"/>
      <c r="P117" s="55"/>
      <c r="Q117" s="55"/>
      <c r="R117" s="55"/>
      <c r="S117" s="55"/>
      <c r="T117" s="55"/>
      <c r="U117" s="68"/>
      <c r="V117" s="55"/>
      <c r="W117" s="55"/>
    </row>
    <row r="118" spans="2:23" ht="12.75">
      <c r="B118" s="59" t="s">
        <v>234</v>
      </c>
      <c r="C118" t="s">
        <v>203</v>
      </c>
      <c r="D118" s="1">
        <v>26.37</v>
      </c>
      <c r="E118" t="s">
        <v>211</v>
      </c>
      <c r="F118" t="s">
        <v>212</v>
      </c>
      <c r="G118" t="s">
        <v>215</v>
      </c>
      <c r="I118" s="55"/>
      <c r="J118" s="55"/>
      <c r="K118" s="55"/>
      <c r="L118" s="55">
        <f>D118</f>
        <v>26.37</v>
      </c>
      <c r="M118" s="68"/>
      <c r="N118" s="55">
        <f>(5.3+5.19)*3.7-1.04*2</f>
        <v>36.733000000000004</v>
      </c>
      <c r="O118" s="55">
        <f>(4.5+5.25+0.6)*3.7-0.8*2.1</f>
        <v>36.615</v>
      </c>
      <c r="P118" s="55"/>
      <c r="Q118" s="55"/>
      <c r="R118" s="55"/>
      <c r="S118" s="55"/>
      <c r="T118" s="55"/>
      <c r="U118" s="68"/>
      <c r="V118" s="55">
        <f>D118</f>
        <v>26.37</v>
      </c>
      <c r="W118" s="55"/>
    </row>
    <row r="119" spans="2:23" ht="12.75">
      <c r="B119" s="59" t="s">
        <v>235</v>
      </c>
      <c r="C119" t="s">
        <v>160</v>
      </c>
      <c r="D119" s="1">
        <v>4.98</v>
      </c>
      <c r="E119" t="s">
        <v>211</v>
      </c>
      <c r="F119" t="s">
        <v>212</v>
      </c>
      <c r="G119" t="s">
        <v>215</v>
      </c>
      <c r="I119" s="55"/>
      <c r="J119" s="55"/>
      <c r="K119" s="55"/>
      <c r="L119" s="55">
        <f>D119</f>
        <v>4.98</v>
      </c>
      <c r="M119" s="68"/>
      <c r="N119" s="55">
        <f>(2.425*3.7)</f>
        <v>8.9725</v>
      </c>
      <c r="O119" s="55">
        <f>(2.425+1.94+1.94)*3.7-0.8*2.1*3</f>
        <v>18.2885</v>
      </c>
      <c r="P119" s="55"/>
      <c r="Q119" s="55"/>
      <c r="R119" s="55"/>
      <c r="S119" s="55"/>
      <c r="T119" s="55"/>
      <c r="U119" s="68"/>
      <c r="V119" s="55">
        <f>D119</f>
        <v>4.98</v>
      </c>
      <c r="W119" s="55"/>
    </row>
    <row r="120" spans="2:23" ht="12.75">
      <c r="B120" s="59" t="s">
        <v>236</v>
      </c>
      <c r="C120" t="s">
        <v>168</v>
      </c>
      <c r="D120" s="1">
        <v>5.4</v>
      </c>
      <c r="E120" t="s">
        <v>208</v>
      </c>
      <c r="F120" t="s">
        <v>213</v>
      </c>
      <c r="G120" t="s">
        <v>215</v>
      </c>
      <c r="I120" s="55">
        <f>D120</f>
        <v>5.4</v>
      </c>
      <c r="J120" s="55"/>
      <c r="K120" s="55"/>
      <c r="L120" s="55"/>
      <c r="M120" s="68"/>
      <c r="N120" s="55">
        <f>(1.8*1.1)</f>
        <v>1.9800000000000002</v>
      </c>
      <c r="O120" s="55">
        <f>(3+3+1.8)*1.1</f>
        <v>8.58</v>
      </c>
      <c r="P120" s="55">
        <f>(1.8*2.6)</f>
        <v>4.680000000000001</v>
      </c>
      <c r="Q120" s="55">
        <f>(1.8+3+3)*2.6-0.8*2.1</f>
        <v>18.6</v>
      </c>
      <c r="R120" s="55">
        <f>(1.1+1.1)*2.6</f>
        <v>5.720000000000001</v>
      </c>
      <c r="S120" s="55">
        <f>I120</f>
        <v>5.4</v>
      </c>
      <c r="T120" s="55">
        <f>(1.8+3)*2*2.6-0.8*2.1</f>
        <v>23.28</v>
      </c>
      <c r="U120" s="68"/>
      <c r="V120" s="55">
        <f>D120</f>
        <v>5.4</v>
      </c>
      <c r="W120" s="55"/>
    </row>
    <row r="121" spans="2:23" ht="4.5" customHeight="1">
      <c r="B121" s="59"/>
      <c r="I121" s="55"/>
      <c r="J121" s="55"/>
      <c r="K121" s="55"/>
      <c r="L121" s="55"/>
      <c r="M121" s="68"/>
      <c r="N121" s="55"/>
      <c r="O121" s="55"/>
      <c r="P121" s="55"/>
      <c r="Q121" s="55"/>
      <c r="R121" s="55"/>
      <c r="S121" s="55"/>
      <c r="T121" s="55"/>
      <c r="U121" s="68"/>
      <c r="V121" s="55"/>
      <c r="W121" s="55"/>
    </row>
    <row r="122" spans="2:23" ht="12.75">
      <c r="B122" s="59" t="s">
        <v>237</v>
      </c>
      <c r="C122" t="s">
        <v>203</v>
      </c>
      <c r="D122" s="1">
        <v>25.36</v>
      </c>
      <c r="E122" t="s">
        <v>211</v>
      </c>
      <c r="F122" t="s">
        <v>212</v>
      </c>
      <c r="G122" t="s">
        <v>212</v>
      </c>
      <c r="I122" s="55"/>
      <c r="J122" s="55"/>
      <c r="K122" s="55"/>
      <c r="L122" s="55">
        <f>D122</f>
        <v>25.36</v>
      </c>
      <c r="M122" s="68"/>
      <c r="N122" s="55">
        <f>(4.85+5.385+4.345)*3.7</f>
        <v>53.946</v>
      </c>
      <c r="O122" s="55">
        <f>(5.195+0.6)*3.7-0.8*2.1</f>
        <v>19.7615</v>
      </c>
      <c r="P122" s="55"/>
      <c r="Q122" s="55"/>
      <c r="R122" s="55"/>
      <c r="S122" s="55"/>
      <c r="T122" s="55"/>
      <c r="U122" s="68"/>
      <c r="V122" s="55"/>
      <c r="W122" s="55">
        <f>D122</f>
        <v>25.36</v>
      </c>
    </row>
    <row r="123" spans="2:23" ht="12.75">
      <c r="B123" s="59" t="s">
        <v>238</v>
      </c>
      <c r="C123" t="s">
        <v>168</v>
      </c>
      <c r="D123" s="1">
        <v>5.26</v>
      </c>
      <c r="E123" t="s">
        <v>208</v>
      </c>
      <c r="F123" t="s">
        <v>213</v>
      </c>
      <c r="G123" t="s">
        <v>215</v>
      </c>
      <c r="I123" s="55">
        <f>D123</f>
        <v>5.26</v>
      </c>
      <c r="J123" s="55"/>
      <c r="K123" s="55"/>
      <c r="L123" s="55"/>
      <c r="M123" s="68"/>
      <c r="N123" s="55"/>
      <c r="O123" s="55">
        <f>(2.92+1.8)*2*1.1</f>
        <v>10.384</v>
      </c>
      <c r="P123" s="55"/>
      <c r="Q123" s="55">
        <f>(2.92+1.8)*2*2.6-0.8*2.1</f>
        <v>22.864</v>
      </c>
      <c r="R123" s="55">
        <f>(1.1+1.1)*2.6</f>
        <v>5.720000000000001</v>
      </c>
      <c r="S123" s="55">
        <f>I123</f>
        <v>5.26</v>
      </c>
      <c r="T123" s="55">
        <f>(2.92+1.8)*2*2.6-0.8*2.1</f>
        <v>22.864</v>
      </c>
      <c r="U123" s="68"/>
      <c r="V123" s="55">
        <f>D123</f>
        <v>5.26</v>
      </c>
      <c r="W123" s="55"/>
    </row>
    <row r="124" spans="2:23" ht="12.75">
      <c r="B124" s="59" t="s">
        <v>239</v>
      </c>
      <c r="C124" t="s">
        <v>160</v>
      </c>
      <c r="D124" s="1">
        <v>5.02</v>
      </c>
      <c r="E124" t="s">
        <v>211</v>
      </c>
      <c r="F124" t="s">
        <v>212</v>
      </c>
      <c r="G124" t="s">
        <v>215</v>
      </c>
      <c r="I124" s="55"/>
      <c r="J124" s="55"/>
      <c r="K124" s="55"/>
      <c r="L124" s="55">
        <f>D124</f>
        <v>5.02</v>
      </c>
      <c r="M124" s="68"/>
      <c r="N124" s="55">
        <f>(2.425)*3.7</f>
        <v>8.9725</v>
      </c>
      <c r="O124" s="55">
        <f>(2.425+1.895+1.895)*3.7-0.8*2.1*3</f>
        <v>17.9555</v>
      </c>
      <c r="P124" s="55"/>
      <c r="Q124" s="55"/>
      <c r="R124" s="55"/>
      <c r="S124" s="55"/>
      <c r="T124" s="55"/>
      <c r="U124" s="68"/>
      <c r="V124" s="55">
        <f>D124</f>
        <v>5.02</v>
      </c>
      <c r="W124" s="55"/>
    </row>
    <row r="125" spans="2:23" ht="4.5" customHeight="1">
      <c r="B125" s="59"/>
      <c r="I125" s="55"/>
      <c r="J125" s="55"/>
      <c r="K125" s="55"/>
      <c r="L125" s="55"/>
      <c r="M125" s="68"/>
      <c r="N125" s="55"/>
      <c r="O125" s="55"/>
      <c r="P125" s="55"/>
      <c r="Q125" s="55"/>
      <c r="R125" s="55"/>
      <c r="S125" s="55"/>
      <c r="T125" s="55"/>
      <c r="U125" s="68"/>
      <c r="V125" s="55"/>
      <c r="W125" s="55"/>
    </row>
    <row r="126" spans="2:23" ht="12.75">
      <c r="B126" s="59" t="s">
        <v>240</v>
      </c>
      <c r="C126" t="s">
        <v>203</v>
      </c>
      <c r="D126" s="1">
        <v>25.7</v>
      </c>
      <c r="E126" t="s">
        <v>211</v>
      </c>
      <c r="F126" t="s">
        <v>212</v>
      </c>
      <c r="G126" t="s">
        <v>212</v>
      </c>
      <c r="I126" s="55"/>
      <c r="J126" s="55"/>
      <c r="K126" s="55"/>
      <c r="L126" s="55">
        <f>D126</f>
        <v>25.7</v>
      </c>
      <c r="M126" s="68"/>
      <c r="N126" s="55">
        <f>(4.21+4.035+5.895)*3.7</f>
        <v>52.318000000000005</v>
      </c>
      <c r="O126" s="55">
        <f>(5.86*3.7)-(0.8*2.1*2)</f>
        <v>18.322000000000003</v>
      </c>
      <c r="P126" s="55"/>
      <c r="Q126" s="55"/>
      <c r="R126" s="55"/>
      <c r="S126" s="55"/>
      <c r="T126" s="55"/>
      <c r="U126" s="68"/>
      <c r="V126" s="55"/>
      <c r="W126" s="55">
        <f>D126</f>
        <v>25.7</v>
      </c>
    </row>
    <row r="127" spans="2:23" ht="12.75">
      <c r="B127" s="59" t="s">
        <v>241</v>
      </c>
      <c r="C127" t="s">
        <v>289</v>
      </c>
      <c r="D127" s="1">
        <v>3.61</v>
      </c>
      <c r="E127" t="s">
        <v>211</v>
      </c>
      <c r="F127" t="s">
        <v>212</v>
      </c>
      <c r="G127" t="s">
        <v>215</v>
      </c>
      <c r="I127" s="55"/>
      <c r="J127" s="55"/>
      <c r="K127" s="55"/>
      <c r="L127" s="55">
        <f>D127</f>
        <v>3.61</v>
      </c>
      <c r="M127" s="68"/>
      <c r="N127" s="55">
        <f>(2.125*3.7)-0.6*2</f>
        <v>6.6625000000000005</v>
      </c>
      <c r="O127" s="55">
        <f>(1.62+1.62+2.125)*3.7+0.6*2</f>
        <v>21.0505</v>
      </c>
      <c r="P127" s="55"/>
      <c r="Q127" s="55"/>
      <c r="R127" s="55"/>
      <c r="S127" s="55"/>
      <c r="T127" s="55"/>
      <c r="U127" s="68"/>
      <c r="V127" s="55">
        <f>D127</f>
        <v>3.61</v>
      </c>
      <c r="W127" s="55"/>
    </row>
    <row r="128" spans="2:23" ht="12.75">
      <c r="B128" s="59" t="s">
        <v>242</v>
      </c>
      <c r="C128" t="s">
        <v>160</v>
      </c>
      <c r="D128" s="1">
        <v>4.47</v>
      </c>
      <c r="E128" t="s">
        <v>211</v>
      </c>
      <c r="F128" t="s">
        <v>212</v>
      </c>
      <c r="G128" t="s">
        <v>215</v>
      </c>
      <c r="I128" s="55"/>
      <c r="J128" s="55"/>
      <c r="K128" s="55"/>
      <c r="L128" s="55">
        <f>D128</f>
        <v>4.47</v>
      </c>
      <c r="M128" s="68"/>
      <c r="N128" s="55"/>
      <c r="O128" s="55">
        <f>(1.95+2.125)*2*3.7-(0.8*2.1*3)</f>
        <v>25.115000000000002</v>
      </c>
      <c r="P128" s="55"/>
      <c r="Q128" s="55"/>
      <c r="R128" s="55"/>
      <c r="S128" s="55"/>
      <c r="T128" s="55"/>
      <c r="U128" s="68"/>
      <c r="V128" s="55">
        <f>D128</f>
        <v>4.47</v>
      </c>
      <c r="W128" s="55"/>
    </row>
    <row r="129" spans="2:23" ht="12.75">
      <c r="B129" s="59" t="s">
        <v>243</v>
      </c>
      <c r="C129" t="s">
        <v>168</v>
      </c>
      <c r="D129" s="1">
        <v>4.25</v>
      </c>
      <c r="E129" t="s">
        <v>208</v>
      </c>
      <c r="F129" t="s">
        <v>213</v>
      </c>
      <c r="G129" t="s">
        <v>215</v>
      </c>
      <c r="I129" s="55">
        <f>D129</f>
        <v>4.25</v>
      </c>
      <c r="J129" s="55"/>
      <c r="K129" s="55"/>
      <c r="L129" s="55"/>
      <c r="M129" s="68"/>
      <c r="N129" s="55">
        <f>(2.125*1.1)</f>
        <v>2.3375000000000004</v>
      </c>
      <c r="O129" s="55">
        <f>(2.125+2+2)*1.1</f>
        <v>6.737500000000001</v>
      </c>
      <c r="P129" s="55">
        <f>(2.125*2.6)</f>
        <v>5.525</v>
      </c>
      <c r="Q129" s="55">
        <f>(2+2+2.125)*2.6-0.8*2.1</f>
        <v>14.245000000000001</v>
      </c>
      <c r="R129" s="55">
        <f>(1.1+1.1)*2.6</f>
        <v>5.720000000000001</v>
      </c>
      <c r="S129" s="55">
        <f>I129</f>
        <v>4.25</v>
      </c>
      <c r="T129" s="55">
        <f>(2.125+2)*2*2.6-0.8*2.1</f>
        <v>19.77</v>
      </c>
      <c r="U129" s="68"/>
      <c r="V129" s="55">
        <f>D129</f>
        <v>4.25</v>
      </c>
      <c r="W129" s="55"/>
    </row>
    <row r="130" spans="2:23" ht="4.5" customHeight="1">
      <c r="B130" s="59"/>
      <c r="I130" s="55"/>
      <c r="J130" s="55"/>
      <c r="K130" s="55"/>
      <c r="L130" s="55"/>
      <c r="M130" s="68"/>
      <c r="N130" s="55"/>
      <c r="O130" s="55"/>
      <c r="P130" s="55"/>
      <c r="Q130" s="55"/>
      <c r="R130" s="55"/>
      <c r="S130" s="55"/>
      <c r="T130" s="55"/>
      <c r="U130" s="68"/>
      <c r="V130" s="55"/>
      <c r="W130" s="55"/>
    </row>
    <row r="131" spans="2:23" ht="12.75">
      <c r="B131" s="59" t="s">
        <v>244</v>
      </c>
      <c r="C131" t="s">
        <v>203</v>
      </c>
      <c r="D131" s="1">
        <v>17.98</v>
      </c>
      <c r="E131" t="s">
        <v>211</v>
      </c>
      <c r="F131" t="s">
        <v>212</v>
      </c>
      <c r="G131" t="s">
        <v>212</v>
      </c>
      <c r="I131" s="55"/>
      <c r="J131" s="55"/>
      <c r="K131" s="55"/>
      <c r="L131" s="55">
        <f>D131</f>
        <v>17.98</v>
      </c>
      <c r="M131" s="68"/>
      <c r="N131" s="55">
        <f>(4.25*3.7)</f>
        <v>15.725000000000001</v>
      </c>
      <c r="O131" s="55">
        <f>(4.005+4.005+4.25)*3.7</f>
        <v>45.362</v>
      </c>
      <c r="P131" s="55"/>
      <c r="Q131" s="55"/>
      <c r="R131" s="55"/>
      <c r="S131" s="55"/>
      <c r="T131" s="55"/>
      <c r="U131" s="68"/>
      <c r="V131" s="55"/>
      <c r="W131" s="55">
        <f>D131</f>
        <v>17.98</v>
      </c>
    </row>
    <row r="132" spans="2:23" ht="12.75">
      <c r="B132" s="59" t="s">
        <v>245</v>
      </c>
      <c r="C132" t="s">
        <v>168</v>
      </c>
      <c r="D132" s="1">
        <v>4.12</v>
      </c>
      <c r="E132" t="s">
        <v>208</v>
      </c>
      <c r="F132" t="s">
        <v>213</v>
      </c>
      <c r="G132" t="s">
        <v>215</v>
      </c>
      <c r="I132" s="55">
        <f>D132</f>
        <v>4.12</v>
      </c>
      <c r="J132" s="55"/>
      <c r="K132" s="55"/>
      <c r="L132" s="55"/>
      <c r="M132" s="68"/>
      <c r="N132" s="55">
        <f>(2.28*1.1)</f>
        <v>2.508</v>
      </c>
      <c r="O132" s="55">
        <f>(1.875+1.875+2.28)*1.1</f>
        <v>6.633</v>
      </c>
      <c r="P132" s="55">
        <f>(2.28*2.6)</f>
        <v>5.928</v>
      </c>
      <c r="Q132" s="55">
        <f>(1.875+1.875+2.28)*2.6-0.8*2.1</f>
        <v>13.998</v>
      </c>
      <c r="R132" s="55">
        <f>(1.1+1.1)*2.6</f>
        <v>5.720000000000001</v>
      </c>
      <c r="S132" s="55">
        <f>I132</f>
        <v>4.12</v>
      </c>
      <c r="T132" s="55">
        <f>(1.875+2.28)*2*2.6-0.8*2.1</f>
        <v>19.926</v>
      </c>
      <c r="U132" s="68"/>
      <c r="V132" s="55">
        <f>D132</f>
        <v>4.12</v>
      </c>
      <c r="W132" s="55"/>
    </row>
    <row r="133" spans="2:23" ht="12.75">
      <c r="B133" s="59" t="s">
        <v>246</v>
      </c>
      <c r="C133" t="s">
        <v>160</v>
      </c>
      <c r="D133" s="1">
        <v>4.37</v>
      </c>
      <c r="E133" t="s">
        <v>211</v>
      </c>
      <c r="F133" t="s">
        <v>212</v>
      </c>
      <c r="G133" t="s">
        <v>215</v>
      </c>
      <c r="I133" s="55"/>
      <c r="J133" s="55"/>
      <c r="K133" s="55"/>
      <c r="L133" s="55">
        <f>D133</f>
        <v>4.37</v>
      </c>
      <c r="M133" s="68"/>
      <c r="N133" s="55">
        <f>(2.28*3.7)</f>
        <v>8.436</v>
      </c>
      <c r="O133" s="55">
        <f>(1.755+1.755+2.28)*3.7-0.8*2.1*3</f>
        <v>16.382999999999996</v>
      </c>
      <c r="P133" s="55"/>
      <c r="Q133" s="55"/>
      <c r="R133" s="55"/>
      <c r="S133" s="55"/>
      <c r="T133" s="55"/>
      <c r="U133" s="68"/>
      <c r="V133" s="55">
        <f>D133</f>
        <v>4.37</v>
      </c>
      <c r="W133" s="55"/>
    </row>
    <row r="134" spans="2:23" ht="4.5" customHeight="1">
      <c r="B134" s="59"/>
      <c r="I134" s="55"/>
      <c r="J134" s="55"/>
      <c r="K134" s="55"/>
      <c r="L134" s="55"/>
      <c r="M134" s="68"/>
      <c r="N134" s="55"/>
      <c r="O134" s="55"/>
      <c r="P134" s="55"/>
      <c r="Q134" s="55"/>
      <c r="R134" s="55"/>
      <c r="S134" s="55"/>
      <c r="T134" s="55"/>
      <c r="U134" s="68"/>
      <c r="V134" s="55"/>
      <c r="W134" s="55"/>
    </row>
    <row r="135" spans="2:23" ht="12.75">
      <c r="B135" s="59" t="s">
        <v>247</v>
      </c>
      <c r="C135" t="s">
        <v>203</v>
      </c>
      <c r="D135" s="1">
        <v>24.13</v>
      </c>
      <c r="E135" t="s">
        <v>211</v>
      </c>
      <c r="F135" t="s">
        <v>212</v>
      </c>
      <c r="G135" t="s">
        <v>212</v>
      </c>
      <c r="I135" s="55"/>
      <c r="J135" s="55"/>
      <c r="K135" s="55"/>
      <c r="L135" s="55">
        <f>D135</f>
        <v>24.13</v>
      </c>
      <c r="M135" s="68"/>
      <c r="N135" s="55">
        <f>(6.025+3.93)*3.7</f>
        <v>36.8335</v>
      </c>
      <c r="O135" s="55">
        <f>(5.96+3.93)*3.7*0.8*2.1</f>
        <v>61.47624000000001</v>
      </c>
      <c r="P135" s="55"/>
      <c r="Q135" s="55"/>
      <c r="R135" s="55"/>
      <c r="S135" s="55"/>
      <c r="T135" s="55"/>
      <c r="U135" s="68"/>
      <c r="V135" s="55"/>
      <c r="W135" s="55">
        <f>D135</f>
        <v>24.13</v>
      </c>
    </row>
    <row r="136" spans="2:23" ht="12.75">
      <c r="B136" s="59" t="s">
        <v>248</v>
      </c>
      <c r="C136" t="s">
        <v>160</v>
      </c>
      <c r="D136" s="1">
        <v>6.64</v>
      </c>
      <c r="E136" t="s">
        <v>211</v>
      </c>
      <c r="F136" t="s">
        <v>212</v>
      </c>
      <c r="G136" t="s">
        <v>215</v>
      </c>
      <c r="I136" s="55"/>
      <c r="J136" s="55"/>
      <c r="K136" s="55"/>
      <c r="L136" s="55">
        <f>D136</f>
        <v>6.64</v>
      </c>
      <c r="M136" s="68"/>
      <c r="N136" s="55">
        <f>(3.55+1.665)*3.7</f>
        <v>19.2955</v>
      </c>
      <c r="O136" s="55">
        <f>(3.55+1.665)*3.7-0.8*2.1*2</f>
        <v>15.935500000000001</v>
      </c>
      <c r="P136" s="55"/>
      <c r="Q136" s="55"/>
      <c r="R136" s="55"/>
      <c r="S136" s="55"/>
      <c r="T136" s="55"/>
      <c r="U136" s="68"/>
      <c r="V136" s="55">
        <f>D136</f>
        <v>6.64</v>
      </c>
      <c r="W136" s="55"/>
    </row>
    <row r="137" spans="2:23" ht="12.75">
      <c r="B137" s="59" t="s">
        <v>249</v>
      </c>
      <c r="C137" t="s">
        <v>168</v>
      </c>
      <c r="D137" s="1">
        <v>4.52</v>
      </c>
      <c r="E137" t="s">
        <v>208</v>
      </c>
      <c r="F137" t="s">
        <v>213</v>
      </c>
      <c r="G137" t="s">
        <v>215</v>
      </c>
      <c r="I137" s="55">
        <f>D137</f>
        <v>4.52</v>
      </c>
      <c r="J137" s="55"/>
      <c r="K137" s="55"/>
      <c r="L137" s="55"/>
      <c r="M137" s="68"/>
      <c r="N137" s="55">
        <f>(1.865*1.1)</f>
        <v>2.0515000000000003</v>
      </c>
      <c r="O137" s="55">
        <f>(2.365+2.365+1.865)*1.1</f>
        <v>7.254500000000001</v>
      </c>
      <c r="P137" s="55">
        <f>(1.865*2.6)</f>
        <v>4.849</v>
      </c>
      <c r="Q137" s="55">
        <f>(1.865+2.365+2.365)*2.6-0.8*2.1</f>
        <v>15.467000000000002</v>
      </c>
      <c r="R137" s="55">
        <f>(1.1+1.1)*2.6</f>
        <v>5.720000000000001</v>
      </c>
      <c r="S137" s="55">
        <f>I137</f>
        <v>4.52</v>
      </c>
      <c r="T137" s="55">
        <f>(2.365+1.865)*2*2.6-0.8*2.1</f>
        <v>20.316000000000003</v>
      </c>
      <c r="U137" s="68"/>
      <c r="V137" s="55">
        <f>D137</f>
        <v>4.52</v>
      </c>
      <c r="W137" s="55"/>
    </row>
    <row r="138" spans="2:23" ht="4.5" customHeight="1">
      <c r="B138" s="59"/>
      <c r="I138" s="55"/>
      <c r="J138" s="55"/>
      <c r="K138" s="55"/>
      <c r="L138" s="55"/>
      <c r="M138" s="68"/>
      <c r="N138" s="55"/>
      <c r="O138" s="55"/>
      <c r="P138" s="55"/>
      <c r="Q138" s="55"/>
      <c r="R138" s="55"/>
      <c r="S138" s="55"/>
      <c r="T138" s="55"/>
      <c r="U138" s="68"/>
      <c r="V138" s="55"/>
      <c r="W138" s="55"/>
    </row>
    <row r="139" spans="2:23" ht="12.75">
      <c r="B139" s="59" t="s">
        <v>250</v>
      </c>
      <c r="C139" t="s">
        <v>203</v>
      </c>
      <c r="D139" s="1">
        <v>23.42</v>
      </c>
      <c r="E139" t="s">
        <v>211</v>
      </c>
      <c r="F139" t="s">
        <v>212</v>
      </c>
      <c r="G139" t="s">
        <v>212</v>
      </c>
      <c r="I139" s="55"/>
      <c r="J139" s="55"/>
      <c r="K139" s="55"/>
      <c r="L139" s="55">
        <f>D139</f>
        <v>23.42</v>
      </c>
      <c r="M139" s="68"/>
      <c r="N139" s="55">
        <f>(5.685+3.85+3.97)*3.7</f>
        <v>49.968500000000006</v>
      </c>
      <c r="O139" s="55">
        <f>(5.685)*3.7-0.8*2.1</f>
        <v>19.3545</v>
      </c>
      <c r="P139" s="55"/>
      <c r="Q139" s="55"/>
      <c r="R139" s="55"/>
      <c r="S139" s="55"/>
      <c r="T139" s="55"/>
      <c r="U139" s="68"/>
      <c r="V139" s="55"/>
      <c r="W139" s="55">
        <f>D139</f>
        <v>23.42</v>
      </c>
    </row>
    <row r="140" spans="2:23" ht="12.75">
      <c r="B140" s="59" t="s">
        <v>251</v>
      </c>
      <c r="C140" t="s">
        <v>190</v>
      </c>
      <c r="D140" s="1">
        <v>17.5</v>
      </c>
      <c r="E140" t="s">
        <v>211</v>
      </c>
      <c r="F140" t="s">
        <v>212</v>
      </c>
      <c r="G140" t="s">
        <v>212</v>
      </c>
      <c r="I140" s="55"/>
      <c r="J140" s="55"/>
      <c r="K140" s="55"/>
      <c r="L140" s="55">
        <f>D140</f>
        <v>17.5</v>
      </c>
      <c r="M140" s="68"/>
      <c r="N140" s="55">
        <f>(5.65+2.895+2.965)*3.7</f>
        <v>42.587</v>
      </c>
      <c r="O140" s="55">
        <f>(5.7*3.7)-0.8*2.1</f>
        <v>19.410000000000004</v>
      </c>
      <c r="P140" s="55"/>
      <c r="Q140" s="55"/>
      <c r="R140" s="55"/>
      <c r="S140" s="55"/>
      <c r="T140" s="55"/>
      <c r="U140" s="68"/>
      <c r="V140" s="55"/>
      <c r="W140" s="55">
        <f>D140</f>
        <v>17.5</v>
      </c>
    </row>
    <row r="141" spans="2:23" ht="12.75">
      <c r="B141" s="59" t="s">
        <v>252</v>
      </c>
      <c r="C141" t="s">
        <v>188</v>
      </c>
      <c r="D141" s="1">
        <v>16.93</v>
      </c>
      <c r="E141" t="s">
        <v>211</v>
      </c>
      <c r="F141" t="s">
        <v>212</v>
      </c>
      <c r="G141" t="s">
        <v>212</v>
      </c>
      <c r="I141" s="55"/>
      <c r="J141" s="55"/>
      <c r="K141" s="55"/>
      <c r="L141" s="55">
        <f>D141</f>
        <v>16.93</v>
      </c>
      <c r="M141" s="68"/>
      <c r="N141" s="55">
        <f>(5.695+2.8+2.86)*3.7</f>
        <v>42.0135</v>
      </c>
      <c r="O141" s="55">
        <f>(5.7*3.7)-0.8*2.1</f>
        <v>19.410000000000004</v>
      </c>
      <c r="P141" s="55"/>
      <c r="Q141" s="55"/>
      <c r="R141" s="55"/>
      <c r="S141" s="55"/>
      <c r="T141" s="55"/>
      <c r="U141" s="68"/>
      <c r="V141" s="55"/>
      <c r="W141" s="55">
        <f>D141</f>
        <v>16.93</v>
      </c>
    </row>
    <row r="142" spans="2:23" ht="12.75">
      <c r="B142" s="59" t="s">
        <v>253</v>
      </c>
      <c r="C142" t="s">
        <v>168</v>
      </c>
      <c r="D142" s="1">
        <v>4.99</v>
      </c>
      <c r="E142" t="s">
        <v>208</v>
      </c>
      <c r="F142" t="s">
        <v>213</v>
      </c>
      <c r="G142" t="s">
        <v>215</v>
      </c>
      <c r="I142" s="55">
        <f>D142</f>
        <v>4.99</v>
      </c>
      <c r="J142" s="55"/>
      <c r="K142" s="55"/>
      <c r="L142" s="55"/>
      <c r="M142" s="68"/>
      <c r="N142" s="55">
        <f>(2.85+1.75)*1.1</f>
        <v>5.06</v>
      </c>
      <c r="O142" s="55">
        <f>(2.85+1.75)*1.1</f>
        <v>5.06</v>
      </c>
      <c r="P142" s="55">
        <f>(2.85+1.75)*2.6-0.8*2.1</f>
        <v>10.28</v>
      </c>
      <c r="Q142" s="55">
        <f>(1.75+2.85)*2.6</f>
        <v>11.959999999999999</v>
      </c>
      <c r="R142" s="55">
        <f>(1.1+1.1)*2.6</f>
        <v>5.720000000000001</v>
      </c>
      <c r="S142" s="55">
        <f>I142</f>
        <v>4.99</v>
      </c>
      <c r="T142" s="55">
        <f>(1.75+2.85)*2*2.6-0.8*2.1</f>
        <v>22.24</v>
      </c>
      <c r="U142" s="68"/>
      <c r="V142" s="55">
        <f>D142</f>
        <v>4.99</v>
      </c>
      <c r="W142" s="55"/>
    </row>
    <row r="143" spans="2:23" ht="12.75">
      <c r="B143" s="59" t="s">
        <v>254</v>
      </c>
      <c r="C143" t="s">
        <v>161</v>
      </c>
      <c r="D143" s="1">
        <v>1.92</v>
      </c>
      <c r="E143" t="s">
        <v>208</v>
      </c>
      <c r="F143" t="s">
        <v>213</v>
      </c>
      <c r="G143" t="s">
        <v>215</v>
      </c>
      <c r="I143" s="55">
        <f>D143</f>
        <v>1.92</v>
      </c>
      <c r="J143" s="55"/>
      <c r="K143" s="55"/>
      <c r="L143" s="55"/>
      <c r="M143" s="68"/>
      <c r="N143" s="55">
        <f>(1.1*1.1)</f>
        <v>1.2100000000000002</v>
      </c>
      <c r="O143" s="55">
        <f>(1.1+1.75+1.75)*1.1</f>
        <v>5.06</v>
      </c>
      <c r="P143" s="55">
        <f>(1.1*2.6)</f>
        <v>2.8600000000000003</v>
      </c>
      <c r="Q143" s="55">
        <f>(1.1+1.75+1.75)*2.6-0.8*2.1</f>
        <v>10.28</v>
      </c>
      <c r="R143" s="55"/>
      <c r="S143" s="55">
        <f>I143</f>
        <v>1.92</v>
      </c>
      <c r="T143" s="55">
        <f>(1.1+1.75)*2*2.6-0.8*2.1</f>
        <v>13.14</v>
      </c>
      <c r="U143" s="68"/>
      <c r="V143" s="55">
        <f>D143</f>
        <v>1.92</v>
      </c>
      <c r="W143" s="55"/>
    </row>
    <row r="144" spans="2:23" ht="12.75">
      <c r="B144" s="59" t="s">
        <v>255</v>
      </c>
      <c r="C144" t="s">
        <v>160</v>
      </c>
      <c r="D144" s="1">
        <v>3.11</v>
      </c>
      <c r="E144" t="s">
        <v>211</v>
      </c>
      <c r="F144" t="s">
        <v>212</v>
      </c>
      <c r="G144" t="s">
        <v>212</v>
      </c>
      <c r="I144" s="55"/>
      <c r="J144" s="55"/>
      <c r="K144" s="55"/>
      <c r="L144" s="55">
        <f>D144</f>
        <v>3.11</v>
      </c>
      <c r="M144" s="68"/>
      <c r="N144" s="55">
        <f>(1.46+1.955)*3.7</f>
        <v>12.6355</v>
      </c>
      <c r="O144" s="55">
        <f>(1.46+1.955)*3.7-0.8*2.1*2</f>
        <v>9.275500000000001</v>
      </c>
      <c r="P144" s="55"/>
      <c r="Q144" s="55"/>
      <c r="R144" s="55"/>
      <c r="S144" s="55"/>
      <c r="T144" s="55"/>
      <c r="U144" s="68"/>
      <c r="V144" s="55"/>
      <c r="W144" s="55">
        <f>D144</f>
        <v>3.11</v>
      </c>
    </row>
    <row r="145" spans="2:23" ht="4.5" customHeight="1">
      <c r="B145" s="59"/>
      <c r="I145" s="55"/>
      <c r="J145" s="55"/>
      <c r="K145" s="55"/>
      <c r="L145" s="55"/>
      <c r="M145" s="68"/>
      <c r="N145" s="55"/>
      <c r="O145" s="55"/>
      <c r="P145" s="55"/>
      <c r="Q145" s="55"/>
      <c r="R145" s="55"/>
      <c r="S145" s="55"/>
      <c r="T145" s="55"/>
      <c r="U145" s="68"/>
      <c r="V145" s="55"/>
      <c r="W145" s="55"/>
    </row>
    <row r="146" spans="2:23" ht="12.75">
      <c r="B146" s="59" t="s">
        <v>256</v>
      </c>
      <c r="C146" t="s">
        <v>160</v>
      </c>
      <c r="D146" s="1">
        <v>6.78</v>
      </c>
      <c r="E146" t="s">
        <v>211</v>
      </c>
      <c r="F146" t="s">
        <v>212</v>
      </c>
      <c r="G146" t="s">
        <v>215</v>
      </c>
      <c r="I146" s="55"/>
      <c r="J146" s="55"/>
      <c r="K146" s="55"/>
      <c r="L146" s="55">
        <f>D146</f>
        <v>6.78</v>
      </c>
      <c r="M146" s="68"/>
      <c r="N146" s="55">
        <f>(4.4*3.7)</f>
        <v>16.28</v>
      </c>
      <c r="O146" s="55">
        <f>(4.4+1.56+1.56)*3.7-0.8*2.1*2</f>
        <v>24.464000000000006</v>
      </c>
      <c r="P146" s="55"/>
      <c r="Q146" s="55"/>
      <c r="R146" s="55"/>
      <c r="S146" s="55"/>
      <c r="T146" s="55"/>
      <c r="U146" s="68"/>
      <c r="V146" s="55">
        <f>D146</f>
        <v>6.78</v>
      </c>
      <c r="W146" s="55"/>
    </row>
    <row r="147" spans="2:23" ht="12.75">
      <c r="B147" s="59" t="s">
        <v>257</v>
      </c>
      <c r="C147" t="s">
        <v>203</v>
      </c>
      <c r="D147" s="222">
        <v>21.51</v>
      </c>
      <c r="E147" t="s">
        <v>211</v>
      </c>
      <c r="F147" t="s">
        <v>212</v>
      </c>
      <c r="G147" t="s">
        <v>212</v>
      </c>
      <c r="I147" s="55"/>
      <c r="J147" s="55"/>
      <c r="K147" s="55"/>
      <c r="L147" s="55">
        <f>D147</f>
        <v>21.51</v>
      </c>
      <c r="M147" s="68"/>
      <c r="N147" s="55">
        <f>(5.35+1.945+2.09)*3.7</f>
        <v>34.7245</v>
      </c>
      <c r="O147" s="55">
        <f>(4.76+2.09+1.945+0.6)*3.7-0.8*2.1</f>
        <v>33.0815</v>
      </c>
      <c r="P147" s="55"/>
      <c r="Q147" s="55"/>
      <c r="R147" s="55"/>
      <c r="S147" s="55"/>
      <c r="T147" s="55"/>
      <c r="U147" s="68"/>
      <c r="V147" s="55"/>
      <c r="W147" s="55">
        <f>D147</f>
        <v>21.51</v>
      </c>
    </row>
    <row r="148" spans="2:23" ht="12.75">
      <c r="B148" s="59" t="s">
        <v>258</v>
      </c>
      <c r="C148" t="s">
        <v>168</v>
      </c>
      <c r="D148" s="222">
        <v>4.76</v>
      </c>
      <c r="E148" t="s">
        <v>208</v>
      </c>
      <c r="F148" t="s">
        <v>213</v>
      </c>
      <c r="G148" t="s">
        <v>215</v>
      </c>
      <c r="I148" s="55">
        <f>D148</f>
        <v>4.76</v>
      </c>
      <c r="J148" s="55"/>
      <c r="K148" s="55"/>
      <c r="L148" s="55"/>
      <c r="M148" s="68"/>
      <c r="N148" s="55">
        <f>(0.6+0.9)*1.1</f>
        <v>1.6500000000000001</v>
      </c>
      <c r="O148" s="55">
        <f>(2.715+2.165+1.85+1.2+0.5)*1.1</f>
        <v>9.273</v>
      </c>
      <c r="P148" s="55">
        <f>(0.6+0.9)*2.6</f>
        <v>3.9000000000000004</v>
      </c>
      <c r="Q148" s="55">
        <f>(2.715+2.165+1.85+1.25+0.5)*2.6-0.8*2.1</f>
        <v>20.368000000000002</v>
      </c>
      <c r="R148" s="55">
        <f>(1.1+1.1)*2.6</f>
        <v>5.720000000000001</v>
      </c>
      <c r="S148" s="55">
        <f>I148</f>
        <v>4.76</v>
      </c>
      <c r="T148" s="55">
        <f>(2.165+2.715)*2*2.6-0.8*2.1</f>
        <v>23.696</v>
      </c>
      <c r="U148" s="68"/>
      <c r="V148" s="55">
        <f>D148</f>
        <v>4.76</v>
      </c>
      <c r="W148" s="55"/>
    </row>
    <row r="149" spans="2:23" ht="4.5" customHeight="1">
      <c r="B149" s="59"/>
      <c r="I149" s="55"/>
      <c r="J149" s="55"/>
      <c r="K149" s="55"/>
      <c r="L149" s="55"/>
      <c r="M149" s="68"/>
      <c r="N149" s="55"/>
      <c r="O149" s="55"/>
      <c r="P149" s="55"/>
      <c r="Q149" s="55"/>
      <c r="R149" s="55"/>
      <c r="S149" s="55"/>
      <c r="T149" s="55"/>
      <c r="U149" s="68"/>
      <c r="V149" s="55"/>
      <c r="W149" s="55"/>
    </row>
    <row r="150" spans="2:23" ht="12.75">
      <c r="B150" s="59" t="s">
        <v>259</v>
      </c>
      <c r="C150" t="s">
        <v>160</v>
      </c>
      <c r="D150" s="1">
        <v>6.81</v>
      </c>
      <c r="E150" t="s">
        <v>208</v>
      </c>
      <c r="F150" t="s">
        <v>212</v>
      </c>
      <c r="G150" t="s">
        <v>215</v>
      </c>
      <c r="I150" s="55">
        <f>D150</f>
        <v>6.81</v>
      </c>
      <c r="J150" s="55"/>
      <c r="K150" s="55"/>
      <c r="L150" s="55"/>
      <c r="M150" s="68"/>
      <c r="N150" s="55">
        <f>(3.055)*3.7</f>
        <v>11.303500000000001</v>
      </c>
      <c r="O150" s="55">
        <f>(2.08+2.08+3.055)*3.7</f>
        <v>26.6955</v>
      </c>
      <c r="P150" s="55"/>
      <c r="Q150" s="55"/>
      <c r="R150" s="55"/>
      <c r="S150" s="55"/>
      <c r="T150" s="55"/>
      <c r="U150" s="68"/>
      <c r="V150" s="55">
        <f>D150</f>
        <v>6.81</v>
      </c>
      <c r="W150" s="55"/>
    </row>
    <row r="151" spans="2:23" ht="12.75">
      <c r="B151" s="59" t="s">
        <v>260</v>
      </c>
      <c r="C151" t="s">
        <v>203</v>
      </c>
      <c r="D151" s="1">
        <v>31.32</v>
      </c>
      <c r="E151" t="s">
        <v>211</v>
      </c>
      <c r="F151" t="s">
        <v>212</v>
      </c>
      <c r="G151" t="s">
        <v>212</v>
      </c>
      <c r="I151" s="55"/>
      <c r="J151" s="55"/>
      <c r="K151" s="55"/>
      <c r="L151" s="55">
        <f>D151</f>
        <v>31.32</v>
      </c>
      <c r="M151" s="68"/>
      <c r="N151" s="55">
        <f>(3.515+6.75)*3.7</f>
        <v>37.980500000000006</v>
      </c>
      <c r="O151" s="55">
        <f>(3.05+3.515+2.08+3.05+1.25+0.1+3.08)*3.7-0.8*2.1*2</f>
        <v>56.3025</v>
      </c>
      <c r="P151" s="55"/>
      <c r="Q151" s="55"/>
      <c r="R151" s="55"/>
      <c r="S151" s="55"/>
      <c r="T151" s="55"/>
      <c r="U151" s="68"/>
      <c r="V151" s="55"/>
      <c r="W151" s="55">
        <f>D151</f>
        <v>31.32</v>
      </c>
    </row>
    <row r="152" spans="2:23" ht="12.75">
      <c r="B152" s="59" t="s">
        <v>261</v>
      </c>
      <c r="C152" s="60" t="s">
        <v>168</v>
      </c>
      <c r="D152" s="224">
        <v>5.39</v>
      </c>
      <c r="E152" t="s">
        <v>208</v>
      </c>
      <c r="F152" t="s">
        <v>213</v>
      </c>
      <c r="G152" t="s">
        <v>215</v>
      </c>
      <c r="I152" s="55">
        <f>D152</f>
        <v>5.39</v>
      </c>
      <c r="J152" s="55"/>
      <c r="K152" s="55"/>
      <c r="L152" s="55"/>
      <c r="M152" s="68"/>
      <c r="N152" s="55">
        <f>(3.08+1.75)*1.1</f>
        <v>5.313000000000001</v>
      </c>
      <c r="O152" s="55">
        <f>(1.75+3.08)*1.1</f>
        <v>5.313000000000001</v>
      </c>
      <c r="P152" s="55">
        <f>(1.75+3.08)*2.6</f>
        <v>12.558</v>
      </c>
      <c r="Q152" s="55">
        <f>(1.75+3.08)*2.6-0.8*2.1</f>
        <v>10.878</v>
      </c>
      <c r="R152" s="55">
        <f>(1.1+1.1)*2.6</f>
        <v>5.720000000000001</v>
      </c>
      <c r="S152" s="55">
        <f>I152</f>
        <v>5.39</v>
      </c>
      <c r="T152" s="55">
        <f>(1.75+3.08)*2*2.6-0.8*2.1</f>
        <v>23.436</v>
      </c>
      <c r="U152" s="68"/>
      <c r="V152" s="55">
        <f>D152</f>
        <v>5.39</v>
      </c>
      <c r="W152" s="55"/>
    </row>
    <row r="153" spans="2:23" ht="12.75">
      <c r="B153" s="59" t="s">
        <v>262</v>
      </c>
      <c r="C153" s="60" t="s">
        <v>160</v>
      </c>
      <c r="D153" s="224">
        <v>2.28</v>
      </c>
      <c r="E153" t="s">
        <v>211</v>
      </c>
      <c r="F153" t="s">
        <v>212</v>
      </c>
      <c r="G153" t="s">
        <v>215</v>
      </c>
      <c r="I153" s="55"/>
      <c r="J153" s="55"/>
      <c r="K153" s="55"/>
      <c r="L153" s="55">
        <f>D153</f>
        <v>2.28</v>
      </c>
      <c r="M153" s="68"/>
      <c r="N153" s="55">
        <f>(1.25*3.7)</f>
        <v>4.625</v>
      </c>
      <c r="O153" s="55">
        <f>(1.75+1.75+1.25)*3.7-0.8*2.1*2</f>
        <v>14.215</v>
      </c>
      <c r="P153" s="55"/>
      <c r="Q153" s="55"/>
      <c r="R153" s="55"/>
      <c r="S153" s="55"/>
      <c r="T153" s="55"/>
      <c r="U153" s="68"/>
      <c r="V153" s="55">
        <f>D153</f>
        <v>2.28</v>
      </c>
      <c r="W153" s="55"/>
    </row>
    <row r="154" spans="2:23" ht="4.5" customHeight="1">
      <c r="B154" s="59"/>
      <c r="I154" s="55"/>
      <c r="J154" s="55"/>
      <c r="K154" s="55"/>
      <c r="L154" s="55"/>
      <c r="M154" s="68"/>
      <c r="N154" s="55"/>
      <c r="O154" s="55"/>
      <c r="P154" s="55"/>
      <c r="Q154" s="55"/>
      <c r="R154" s="55"/>
      <c r="S154" s="55"/>
      <c r="T154" s="55"/>
      <c r="U154" s="68"/>
      <c r="V154" s="55"/>
      <c r="W154" s="55"/>
    </row>
    <row r="155" spans="2:23" ht="12.75">
      <c r="B155" s="59" t="s">
        <v>263</v>
      </c>
      <c r="C155" t="s">
        <v>203</v>
      </c>
      <c r="D155" s="1">
        <v>43.51</v>
      </c>
      <c r="E155" t="s">
        <v>211</v>
      </c>
      <c r="F155" t="s">
        <v>212</v>
      </c>
      <c r="G155" t="s">
        <v>212</v>
      </c>
      <c r="I155" s="55"/>
      <c r="J155" s="55"/>
      <c r="K155" s="55"/>
      <c r="L155" s="55">
        <f>D155</f>
        <v>43.51</v>
      </c>
      <c r="M155" s="68"/>
      <c r="N155" s="55">
        <f>(5.36+3.93+3.93+0.15+1.9+2.91+2.91+5.47)*3.7</f>
        <v>98.272</v>
      </c>
      <c r="O155" s="55">
        <f>(1.9+0.15+1.4+3.17+5.47)*3.7-0.8*2.1*2</f>
        <v>41.373000000000005</v>
      </c>
      <c r="P155" s="55"/>
      <c r="Q155" s="55"/>
      <c r="R155" s="55"/>
      <c r="S155" s="55"/>
      <c r="T155" s="55"/>
      <c r="U155" s="68"/>
      <c r="V155" s="55"/>
      <c r="W155" s="55">
        <f>D155</f>
        <v>43.51</v>
      </c>
    </row>
    <row r="156" spans="2:23" ht="12.75">
      <c r="B156" s="59" t="s">
        <v>264</v>
      </c>
      <c r="C156" t="s">
        <v>161</v>
      </c>
      <c r="D156" s="1">
        <v>2.16</v>
      </c>
      <c r="E156" t="s">
        <v>208</v>
      </c>
      <c r="F156" t="s">
        <v>213</v>
      </c>
      <c r="G156" t="s">
        <v>215</v>
      </c>
      <c r="I156" s="55">
        <f>D156</f>
        <v>2.16</v>
      </c>
      <c r="J156" s="55"/>
      <c r="K156" s="55"/>
      <c r="L156" s="55"/>
      <c r="M156" s="68"/>
      <c r="N156" s="55">
        <f>(1.1)*1.1</f>
        <v>1.2100000000000002</v>
      </c>
      <c r="O156" s="55">
        <f>(1.1+1.9+1.9)*1.1-0.8*2.1</f>
        <v>3.7100000000000004</v>
      </c>
      <c r="P156" s="55">
        <f>(1.1*2.6)</f>
        <v>2.8600000000000003</v>
      </c>
      <c r="Q156" s="55">
        <f>(1.1+1.9+1.9)*2.6-0.8*2.1</f>
        <v>11.060000000000002</v>
      </c>
      <c r="R156" s="55"/>
      <c r="S156" s="55">
        <f>I156</f>
        <v>2.16</v>
      </c>
      <c r="T156" s="55">
        <f>(1.1+1.9)*2*2.6-0.8*2.1</f>
        <v>13.920000000000002</v>
      </c>
      <c r="U156" s="68"/>
      <c r="V156" s="55">
        <f>D156</f>
        <v>2.16</v>
      </c>
      <c r="W156" s="55"/>
    </row>
    <row r="157" spans="2:23" ht="12.75">
      <c r="B157" s="59" t="s">
        <v>265</v>
      </c>
      <c r="C157" t="s">
        <v>168</v>
      </c>
      <c r="D157" s="1">
        <v>5.65</v>
      </c>
      <c r="E157" t="s">
        <v>208</v>
      </c>
      <c r="F157" t="s">
        <v>213</v>
      </c>
      <c r="G157" t="s">
        <v>215</v>
      </c>
      <c r="I157" s="55">
        <f>D157</f>
        <v>5.65</v>
      </c>
      <c r="J157" s="55"/>
      <c r="K157" s="55"/>
      <c r="L157" s="55"/>
      <c r="M157" s="68"/>
      <c r="N157" s="55">
        <f>(3.17+1.9)*1.1</f>
        <v>5.577000000000001</v>
      </c>
      <c r="O157" s="55">
        <f>(3.17+1.9)*1.1</f>
        <v>5.577000000000001</v>
      </c>
      <c r="P157" s="55">
        <f>(3.17+1.9)*2.6</f>
        <v>13.182</v>
      </c>
      <c r="Q157" s="55">
        <f>(3.17+1.9)*2.6-0.8*2.1</f>
        <v>11.502</v>
      </c>
      <c r="R157" s="55">
        <f>(1.1+1.1)*2.6</f>
        <v>5.720000000000001</v>
      </c>
      <c r="S157" s="55">
        <f>I157</f>
        <v>5.65</v>
      </c>
      <c r="T157" s="55">
        <f>(3.17+1.9)*2*2.6-0.8*2.1</f>
        <v>24.684</v>
      </c>
      <c r="U157" s="68"/>
      <c r="V157" s="55">
        <f>D157</f>
        <v>5.65</v>
      </c>
      <c r="W157" s="55"/>
    </row>
    <row r="158" spans="2:23" ht="12.75">
      <c r="B158" s="59" t="s">
        <v>266</v>
      </c>
      <c r="C158" t="s">
        <v>188</v>
      </c>
      <c r="D158" s="1">
        <v>16.44</v>
      </c>
      <c r="E158" t="s">
        <v>211</v>
      </c>
      <c r="F158" t="s">
        <v>212</v>
      </c>
      <c r="G158" t="s">
        <v>215</v>
      </c>
      <c r="I158" s="55"/>
      <c r="J158" s="55"/>
      <c r="K158" s="55"/>
      <c r="L158" s="55">
        <f>D158</f>
        <v>16.44</v>
      </c>
      <c r="M158" s="68"/>
      <c r="N158" s="55">
        <f>(5.44+2.88)*3.7</f>
        <v>30.784000000000002</v>
      </c>
      <c r="O158" s="55">
        <f>(5.44)*3.7-0.8*2.1+(1.2*3.7-0.8*2.1)</f>
        <v>21.208000000000006</v>
      </c>
      <c r="P158" s="55"/>
      <c r="Q158" s="55"/>
      <c r="R158" s="55"/>
      <c r="S158" s="55"/>
      <c r="T158" s="55"/>
      <c r="U158" s="68"/>
      <c r="V158" s="55">
        <f>D158</f>
        <v>16.44</v>
      </c>
      <c r="W158" s="55"/>
    </row>
    <row r="159" spans="2:23" ht="4.5" customHeight="1">
      <c r="B159" s="59"/>
      <c r="I159" s="55"/>
      <c r="J159" s="55"/>
      <c r="K159" s="55"/>
      <c r="L159" s="55"/>
      <c r="M159" s="68"/>
      <c r="N159" s="55"/>
      <c r="O159" s="55"/>
      <c r="P159" s="55"/>
      <c r="Q159" s="55"/>
      <c r="R159" s="55"/>
      <c r="S159" s="55"/>
      <c r="T159" s="55"/>
      <c r="U159" s="68"/>
      <c r="V159" s="55"/>
      <c r="W159" s="55"/>
    </row>
    <row r="160" spans="2:23" ht="12.75">
      <c r="B160" s="59" t="s">
        <v>267</v>
      </c>
      <c r="C160" t="s">
        <v>160</v>
      </c>
      <c r="D160" s="1">
        <v>4.06</v>
      </c>
      <c r="E160" t="s">
        <v>211</v>
      </c>
      <c r="F160" t="s">
        <v>212</v>
      </c>
      <c r="G160" t="s">
        <v>215</v>
      </c>
      <c r="I160" s="55"/>
      <c r="J160" s="55"/>
      <c r="K160" s="55"/>
      <c r="L160" s="55">
        <f>D160</f>
        <v>4.06</v>
      </c>
      <c r="M160" s="68"/>
      <c r="N160" s="55">
        <f>(1.75)*3.1</f>
        <v>5.425</v>
      </c>
      <c r="O160" s="55">
        <f>(1.75+1.955+1.955)*3.1-(0.8*2.1*2)</f>
        <v>14.186</v>
      </c>
      <c r="P160" s="55"/>
      <c r="Q160" s="55"/>
      <c r="R160" s="55"/>
      <c r="S160" s="55"/>
      <c r="T160" s="55"/>
      <c r="U160" s="68"/>
      <c r="V160" s="55">
        <f>D160</f>
        <v>4.06</v>
      </c>
      <c r="W160" s="55"/>
    </row>
    <row r="161" spans="2:23" ht="12.75">
      <c r="B161" s="59" t="s">
        <v>268</v>
      </c>
      <c r="C161" t="s">
        <v>168</v>
      </c>
      <c r="D161" s="1">
        <v>7.02</v>
      </c>
      <c r="E161" t="s">
        <v>208</v>
      </c>
      <c r="F161" t="s">
        <v>213</v>
      </c>
      <c r="G161" t="s">
        <v>215</v>
      </c>
      <c r="I161" s="55">
        <f>D161</f>
        <v>7.02</v>
      </c>
      <c r="J161" s="55"/>
      <c r="K161" s="55"/>
      <c r="L161" s="55"/>
      <c r="M161" s="68"/>
      <c r="N161" s="55">
        <f>(3.405+1.995)*0.5</f>
        <v>2.7</v>
      </c>
      <c r="O161" s="55">
        <f>(1.955+3.405)*0.5</f>
        <v>2.6799999999999997</v>
      </c>
      <c r="P161" s="55">
        <f>(3.405+1.955)*2.6</f>
        <v>13.935999999999998</v>
      </c>
      <c r="Q161" s="55">
        <f>(1.955+3.405)*2.6-0.8*2.1</f>
        <v>12.255999999999998</v>
      </c>
      <c r="R161" s="55">
        <f>(1.1+1.1)*2.6</f>
        <v>5.720000000000001</v>
      </c>
      <c r="S161" s="55">
        <f>I161</f>
        <v>7.02</v>
      </c>
      <c r="T161" s="55">
        <f>(1.955+3.405)*2*2.6-0.8*2.1</f>
        <v>26.191999999999997</v>
      </c>
      <c r="U161" s="68"/>
      <c r="V161" s="55">
        <f>D161</f>
        <v>7.02</v>
      </c>
      <c r="W161" s="55"/>
    </row>
    <row r="162" spans="2:23" ht="12.75">
      <c r="B162" s="59" t="s">
        <v>269</v>
      </c>
      <c r="C162" t="s">
        <v>203</v>
      </c>
      <c r="D162" s="1">
        <v>34.57</v>
      </c>
      <c r="E162" t="s">
        <v>211</v>
      </c>
      <c r="F162" t="s">
        <v>212</v>
      </c>
      <c r="G162" t="s">
        <v>212</v>
      </c>
      <c r="I162" s="55"/>
      <c r="J162" s="55"/>
      <c r="K162" s="55"/>
      <c r="L162" s="55">
        <f>D162</f>
        <v>34.57</v>
      </c>
      <c r="M162" s="68"/>
      <c r="N162" s="55">
        <f>(6.555)*3.1</f>
        <v>20.3205</v>
      </c>
      <c r="O162" s="55">
        <f>(5.41+5.31+6.555)*3.1-0.8*2.1*2</f>
        <v>50.192499999999995</v>
      </c>
      <c r="P162" s="55"/>
      <c r="Q162" s="55"/>
      <c r="R162" s="55"/>
      <c r="S162" s="55"/>
      <c r="T162" s="55"/>
      <c r="U162" s="68"/>
      <c r="V162" s="55"/>
      <c r="W162" s="55">
        <f>D162</f>
        <v>34.57</v>
      </c>
    </row>
    <row r="163" spans="2:23" ht="12.75">
      <c r="B163" s="59" t="s">
        <v>270</v>
      </c>
      <c r="C163" t="s">
        <v>188</v>
      </c>
      <c r="D163" s="1">
        <v>16.84</v>
      </c>
      <c r="E163" t="s">
        <v>211</v>
      </c>
      <c r="F163" t="s">
        <v>212</v>
      </c>
      <c r="G163" t="s">
        <v>215</v>
      </c>
      <c r="I163" s="55"/>
      <c r="J163" s="55"/>
      <c r="K163" s="55"/>
      <c r="L163" s="55">
        <f>D163</f>
        <v>16.84</v>
      </c>
      <c r="M163" s="68"/>
      <c r="N163" s="55">
        <f>(5.3+3)*3.1</f>
        <v>25.730000000000004</v>
      </c>
      <c r="O163" s="55">
        <f>(5.3+0.18+3)*3.1-0.8*2.1</f>
        <v>24.608000000000004</v>
      </c>
      <c r="P163" s="55"/>
      <c r="Q163" s="55"/>
      <c r="R163" s="55"/>
      <c r="S163" s="55"/>
      <c r="T163" s="55"/>
      <c r="U163" s="68"/>
      <c r="V163" s="55">
        <f>D163</f>
        <v>16.84</v>
      </c>
      <c r="W163" s="55"/>
    </row>
    <row r="164" spans="2:23" ht="4.5" customHeight="1">
      <c r="B164" s="59"/>
      <c r="I164" s="55"/>
      <c r="J164" s="55"/>
      <c r="K164" s="55"/>
      <c r="L164" s="55"/>
      <c r="M164" s="68"/>
      <c r="N164" s="55"/>
      <c r="O164" s="55"/>
      <c r="P164" s="55"/>
      <c r="Q164" s="55"/>
      <c r="R164" s="55"/>
      <c r="S164" s="55"/>
      <c r="T164" s="55"/>
      <c r="U164" s="68"/>
      <c r="V164" s="55"/>
      <c r="W164" s="55"/>
    </row>
    <row r="165" spans="2:23" ht="12.75">
      <c r="B165" s="59" t="s">
        <v>271</v>
      </c>
      <c r="C165" t="s">
        <v>168</v>
      </c>
      <c r="D165" s="1">
        <v>7.09</v>
      </c>
      <c r="E165" t="s">
        <v>208</v>
      </c>
      <c r="F165" t="s">
        <v>213</v>
      </c>
      <c r="G165" t="s">
        <v>215</v>
      </c>
      <c r="I165" s="55">
        <f>D165</f>
        <v>7.09</v>
      </c>
      <c r="J165" s="55"/>
      <c r="K165" s="55"/>
      <c r="L165" s="55"/>
      <c r="M165" s="68"/>
      <c r="N165" s="55">
        <f>(3.55+1.895)*0.5</f>
        <v>2.7225</v>
      </c>
      <c r="O165" s="55">
        <f>N165</f>
        <v>2.7225</v>
      </c>
      <c r="P165" s="55">
        <f>(1.895+3.55)*2.6</f>
        <v>14.157000000000002</v>
      </c>
      <c r="Q165" s="55">
        <f>(1.895+3.55)*2.6-0.8*2.1</f>
        <v>12.477000000000002</v>
      </c>
      <c r="R165" s="55">
        <f>(1.1+1.1)*2.6</f>
        <v>5.720000000000001</v>
      </c>
      <c r="S165" s="55">
        <f>I165</f>
        <v>7.09</v>
      </c>
      <c r="T165" s="55">
        <f>(1.895+3.55)*2*2.6-0.8*2.1</f>
        <v>26.634000000000004</v>
      </c>
      <c r="U165" s="68"/>
      <c r="V165" s="55">
        <f>D165</f>
        <v>7.09</v>
      </c>
      <c r="W165" s="55"/>
    </row>
    <row r="166" spans="2:23" ht="12.75">
      <c r="B166" s="59" t="s">
        <v>272</v>
      </c>
      <c r="C166" t="s">
        <v>160</v>
      </c>
      <c r="D166" s="1">
        <v>4.23</v>
      </c>
      <c r="E166" t="s">
        <v>211</v>
      </c>
      <c r="F166" t="s">
        <v>212</v>
      </c>
      <c r="G166" t="s">
        <v>215</v>
      </c>
      <c r="I166" s="55"/>
      <c r="J166" s="55"/>
      <c r="K166" s="55"/>
      <c r="L166" s="55">
        <f>D166</f>
        <v>4.23</v>
      </c>
      <c r="M166" s="68"/>
      <c r="N166" s="55">
        <f>(1.87*3.1)</f>
        <v>5.797000000000001</v>
      </c>
      <c r="O166" s="55">
        <f>(1.93+1.93+1.87)*3.1-0.8*2.1*2</f>
        <v>14.403000000000002</v>
      </c>
      <c r="P166" s="55"/>
      <c r="Q166" s="55"/>
      <c r="R166" s="55"/>
      <c r="S166" s="55"/>
      <c r="T166" s="55"/>
      <c r="U166" s="68"/>
      <c r="V166" s="55">
        <f>D166</f>
        <v>4.23</v>
      </c>
      <c r="W166" s="55"/>
    </row>
    <row r="167" spans="2:23" ht="12.75">
      <c r="B167" s="59" t="s">
        <v>273</v>
      </c>
      <c r="C167" t="s">
        <v>203</v>
      </c>
      <c r="D167" s="1">
        <v>35.42</v>
      </c>
      <c r="E167" t="s">
        <v>211</v>
      </c>
      <c r="F167" t="s">
        <v>212</v>
      </c>
      <c r="G167" t="s">
        <v>212</v>
      </c>
      <c r="I167" s="55"/>
      <c r="J167" s="55"/>
      <c r="K167" s="55"/>
      <c r="L167" s="55">
        <f>D167</f>
        <v>35.42</v>
      </c>
      <c r="M167" s="68"/>
      <c r="N167" s="55">
        <f>(6.405)*3.1</f>
        <v>19.855500000000003</v>
      </c>
      <c r="O167" s="55">
        <f>(6.405+5.57+5.34)*3.1-0.8*2.1*2</f>
        <v>50.316500000000005</v>
      </c>
      <c r="P167" s="55"/>
      <c r="Q167" s="55"/>
      <c r="R167" s="55"/>
      <c r="S167" s="55"/>
      <c r="T167" s="55"/>
      <c r="U167" s="68"/>
      <c r="V167" s="55"/>
      <c r="W167" s="55">
        <f>D167</f>
        <v>35.42</v>
      </c>
    </row>
    <row r="168" spans="2:23" ht="12.75">
      <c r="B168" s="59" t="s">
        <v>274</v>
      </c>
      <c r="C168" t="s">
        <v>188</v>
      </c>
      <c r="D168" s="1">
        <v>16.45</v>
      </c>
      <c r="E168" t="s">
        <v>211</v>
      </c>
      <c r="F168" t="s">
        <v>212</v>
      </c>
      <c r="G168" t="s">
        <v>215</v>
      </c>
      <c r="I168" s="55"/>
      <c r="J168" s="55"/>
      <c r="K168" s="55"/>
      <c r="L168" s="55">
        <f>D168</f>
        <v>16.45</v>
      </c>
      <c r="M168" s="68"/>
      <c r="N168" s="55">
        <f>(3+5.34)*3.1</f>
        <v>25.854</v>
      </c>
      <c r="O168" s="55">
        <f>(5.34+3)*3.1-0.8*2.1</f>
        <v>24.174</v>
      </c>
      <c r="P168" s="55"/>
      <c r="Q168" s="55"/>
      <c r="R168" s="55"/>
      <c r="S168" s="55"/>
      <c r="T168" s="55"/>
      <c r="U168" s="68"/>
      <c r="V168" s="55">
        <f>D168</f>
        <v>16.45</v>
      </c>
      <c r="W168" s="55"/>
    </row>
    <row r="169" spans="2:23" ht="4.5" customHeight="1">
      <c r="B169" s="59"/>
      <c r="I169" s="55"/>
      <c r="J169" s="55"/>
      <c r="K169" s="55"/>
      <c r="L169" s="55"/>
      <c r="M169" s="68"/>
      <c r="N169" s="55"/>
      <c r="O169" s="55"/>
      <c r="P169" s="55"/>
      <c r="Q169" s="55"/>
      <c r="R169" s="55"/>
      <c r="S169" s="55"/>
      <c r="T169" s="55"/>
      <c r="U169" s="68"/>
      <c r="V169" s="55"/>
      <c r="W169" s="55"/>
    </row>
    <row r="170" spans="2:23" ht="12.75">
      <c r="B170" s="59" t="s">
        <v>275</v>
      </c>
      <c r="C170" t="s">
        <v>203</v>
      </c>
      <c r="D170" s="1">
        <v>34.42</v>
      </c>
      <c r="E170" t="s">
        <v>211</v>
      </c>
      <c r="F170" t="s">
        <v>212</v>
      </c>
      <c r="G170" t="s">
        <v>212</v>
      </c>
      <c r="I170" s="55"/>
      <c r="J170" s="55"/>
      <c r="K170" s="55"/>
      <c r="L170" s="55">
        <f>D170</f>
        <v>34.42</v>
      </c>
      <c r="M170" s="68"/>
      <c r="N170" s="55">
        <f>(6.235+0.185+2.25+0.15+1.87+4.19+1.905)*2.8</f>
        <v>46.998000000000005</v>
      </c>
      <c r="O170" s="55">
        <f>(6.235+2.125+0.125+2.25+0.185+0.15+1.87)*2.8-0.8*2.1</f>
        <v>34.552</v>
      </c>
      <c r="P170" s="55"/>
      <c r="Q170" s="55"/>
      <c r="R170" s="55"/>
      <c r="S170" s="55"/>
      <c r="T170" s="55"/>
      <c r="U170" s="68"/>
      <c r="V170" s="55"/>
      <c r="W170" s="55">
        <f>D170</f>
        <v>34.42</v>
      </c>
    </row>
    <row r="171" spans="2:23" ht="12.75">
      <c r="B171" s="59" t="s">
        <v>276</v>
      </c>
      <c r="C171" t="s">
        <v>168</v>
      </c>
      <c r="D171" s="1">
        <v>4.71</v>
      </c>
      <c r="E171" t="s">
        <v>208</v>
      </c>
      <c r="F171" t="s">
        <v>213</v>
      </c>
      <c r="G171" t="s">
        <v>215</v>
      </c>
      <c r="I171" s="55">
        <f>D171</f>
        <v>4.71</v>
      </c>
      <c r="J171" s="55"/>
      <c r="K171" s="55"/>
      <c r="L171" s="55"/>
      <c r="M171" s="68"/>
      <c r="N171" s="55"/>
      <c r="O171" s="55">
        <f>(2.125+2.25)*2*0.3</f>
        <v>2.625</v>
      </c>
      <c r="P171" s="55"/>
      <c r="Q171" s="55">
        <f>(2.25+2.125)*2*2.5-0.8*2.1</f>
        <v>20.195</v>
      </c>
      <c r="R171" s="55">
        <f>(1.1+1.1)*2.6</f>
        <v>5.720000000000001</v>
      </c>
      <c r="S171" s="55">
        <f>I171</f>
        <v>4.71</v>
      </c>
      <c r="T171" s="55">
        <f>Q171</f>
        <v>20.195</v>
      </c>
      <c r="U171" s="68"/>
      <c r="V171" s="55">
        <f>D171</f>
        <v>4.71</v>
      </c>
      <c r="W171" s="55"/>
    </row>
    <row r="172" spans="2:23" ht="12.75">
      <c r="B172" s="59" t="s">
        <v>277</v>
      </c>
      <c r="C172" t="s">
        <v>160</v>
      </c>
      <c r="D172" s="1">
        <v>4.29</v>
      </c>
      <c r="E172" t="s">
        <v>211</v>
      </c>
      <c r="F172" t="s">
        <v>212</v>
      </c>
      <c r="G172" t="s">
        <v>215</v>
      </c>
      <c r="I172" s="55"/>
      <c r="J172" s="55"/>
      <c r="K172" s="55"/>
      <c r="L172" s="55">
        <f>D172</f>
        <v>4.29</v>
      </c>
      <c r="M172" s="68"/>
      <c r="N172" s="55">
        <f>(2.125*2.8)</f>
        <v>5.949999999999999</v>
      </c>
      <c r="O172" s="55">
        <f>(1.87+1.87+2.125)*2.8</f>
        <v>16.422</v>
      </c>
      <c r="P172" s="55"/>
      <c r="Q172" s="55"/>
      <c r="R172" s="55"/>
      <c r="S172" s="55"/>
      <c r="T172" s="55"/>
      <c r="U172" s="68"/>
      <c r="V172" s="55">
        <f>D172</f>
        <v>4.29</v>
      </c>
      <c r="W172" s="55"/>
    </row>
    <row r="173" spans="2:23" ht="4.5" customHeight="1">
      <c r="B173" s="59"/>
      <c r="I173" s="55"/>
      <c r="J173" s="55"/>
      <c r="K173" s="55"/>
      <c r="L173" s="55"/>
      <c r="M173" s="68"/>
      <c r="N173" s="55"/>
      <c r="O173" s="55"/>
      <c r="P173" s="55"/>
      <c r="Q173" s="55"/>
      <c r="R173" s="55"/>
      <c r="S173" s="55"/>
      <c r="T173" s="55"/>
      <c r="U173" s="68"/>
      <c r="V173" s="55"/>
      <c r="W173" s="55"/>
    </row>
    <row r="174" spans="2:23" ht="12.75">
      <c r="B174" s="59" t="s">
        <v>278</v>
      </c>
      <c r="C174" t="s">
        <v>203</v>
      </c>
      <c r="D174" s="1">
        <v>26.82</v>
      </c>
      <c r="E174" t="s">
        <v>211</v>
      </c>
      <c r="F174" t="s">
        <v>212</v>
      </c>
      <c r="G174" t="s">
        <v>212</v>
      </c>
      <c r="I174" s="55"/>
      <c r="J174" s="55"/>
      <c r="K174" s="55"/>
      <c r="L174" s="55">
        <f>D174</f>
        <v>26.82</v>
      </c>
      <c r="M174" s="68"/>
      <c r="N174" s="55">
        <f>(4.275*2.8)</f>
        <v>11.97</v>
      </c>
      <c r="O174" s="55">
        <f>(4.275+6.275+6.275)*2.8-0.8*2.1</f>
        <v>45.43000000000001</v>
      </c>
      <c r="P174" s="55"/>
      <c r="Q174" s="55"/>
      <c r="R174" s="55"/>
      <c r="S174" s="55"/>
      <c r="T174" s="55"/>
      <c r="U174" s="68"/>
      <c r="V174" s="55"/>
      <c r="W174" s="55">
        <f>D174</f>
        <v>26.82</v>
      </c>
    </row>
    <row r="175" spans="2:23" ht="12.75">
      <c r="B175" s="59" t="s">
        <v>279</v>
      </c>
      <c r="C175" t="s">
        <v>160</v>
      </c>
      <c r="D175" s="1">
        <v>4.89</v>
      </c>
      <c r="E175" t="s">
        <v>211</v>
      </c>
      <c r="F175" t="s">
        <v>212</v>
      </c>
      <c r="G175" t="s">
        <v>215</v>
      </c>
      <c r="I175" s="55"/>
      <c r="J175" s="55"/>
      <c r="K175" s="55"/>
      <c r="L175" s="55">
        <f>D175</f>
        <v>4.89</v>
      </c>
      <c r="M175" s="68"/>
      <c r="N175" s="55"/>
      <c r="O175" s="55">
        <f>(2.025+2.25)*2*2.8-0.8*2.1*2</f>
        <v>20.580000000000002</v>
      </c>
      <c r="P175" s="55"/>
      <c r="Q175" s="55"/>
      <c r="R175" s="55"/>
      <c r="S175" s="55"/>
      <c r="T175" s="55"/>
      <c r="U175" s="68"/>
      <c r="V175" s="55">
        <f>D175</f>
        <v>4.89</v>
      </c>
      <c r="W175" s="55"/>
    </row>
    <row r="176" spans="2:23" ht="12.75">
      <c r="B176" s="59" t="s">
        <v>280</v>
      </c>
      <c r="C176" t="s">
        <v>168</v>
      </c>
      <c r="D176" s="1">
        <v>4.72</v>
      </c>
      <c r="E176" t="s">
        <v>208</v>
      </c>
      <c r="F176" t="s">
        <v>213</v>
      </c>
      <c r="G176" t="s">
        <v>215</v>
      </c>
      <c r="I176" s="55">
        <f>D176</f>
        <v>4.72</v>
      </c>
      <c r="J176" s="55"/>
      <c r="K176" s="55"/>
      <c r="L176" s="55"/>
      <c r="M176" s="68"/>
      <c r="N176" s="55"/>
      <c r="O176" s="55">
        <f>(2.25+2.1)*2*0.3</f>
        <v>2.61</v>
      </c>
      <c r="P176" s="55"/>
      <c r="Q176" s="55">
        <f>(2.25+2.1)*2*2.6-0.8*2.1</f>
        <v>20.939999999999998</v>
      </c>
      <c r="R176" s="55">
        <f>(1.1+1.1)*2.6</f>
        <v>5.720000000000001</v>
      </c>
      <c r="S176" s="55">
        <f>I176</f>
        <v>4.72</v>
      </c>
      <c r="T176" s="55">
        <f>(2.25+2.1)*2*2.6-0.8*2.1</f>
        <v>20.939999999999998</v>
      </c>
      <c r="U176" s="68"/>
      <c r="V176" s="55">
        <f>D176</f>
        <v>4.72</v>
      </c>
      <c r="W176" s="55"/>
    </row>
    <row r="177" spans="2:23" ht="4.5" customHeight="1">
      <c r="B177" s="59"/>
      <c r="I177" s="55"/>
      <c r="J177" s="55"/>
      <c r="K177" s="55"/>
      <c r="L177" s="55"/>
      <c r="M177" s="68"/>
      <c r="N177" s="55"/>
      <c r="O177" s="55"/>
      <c r="P177" s="55"/>
      <c r="Q177" s="55"/>
      <c r="R177" s="55"/>
      <c r="S177" s="55"/>
      <c r="T177" s="55"/>
      <c r="U177" s="68"/>
      <c r="V177" s="55"/>
      <c r="W177" s="55"/>
    </row>
    <row r="178" spans="2:23" ht="12.75">
      <c r="B178" s="59" t="s">
        <v>281</v>
      </c>
      <c r="C178" t="s">
        <v>203</v>
      </c>
      <c r="D178" s="1">
        <v>21.4</v>
      </c>
      <c r="E178" t="s">
        <v>211</v>
      </c>
      <c r="F178" t="s">
        <v>212</v>
      </c>
      <c r="G178" t="s">
        <v>212</v>
      </c>
      <c r="I178" s="55"/>
      <c r="J178" s="55"/>
      <c r="K178" s="55"/>
      <c r="L178" s="55">
        <f>D178</f>
        <v>21.4</v>
      </c>
      <c r="M178" s="68"/>
      <c r="N178" s="55">
        <f>(4.64*2.8)</f>
        <v>12.991999999999999</v>
      </c>
      <c r="O178" s="55">
        <f>(4.615+4.535+4.64)*2.8-0.8*2.1*2</f>
        <v>35.251999999999995</v>
      </c>
      <c r="P178" s="55"/>
      <c r="Q178" s="55"/>
      <c r="R178" s="55"/>
      <c r="S178" s="55"/>
      <c r="T178" s="55"/>
      <c r="U178" s="68"/>
      <c r="V178" s="55"/>
      <c r="W178" s="55">
        <f>D178</f>
        <v>21.4</v>
      </c>
    </row>
    <row r="179" spans="2:23" ht="12.75">
      <c r="B179" s="59" t="s">
        <v>282</v>
      </c>
      <c r="C179" t="s">
        <v>160</v>
      </c>
      <c r="D179" s="1">
        <v>7.85</v>
      </c>
      <c r="E179" t="s">
        <v>211</v>
      </c>
      <c r="F179" t="s">
        <v>212</v>
      </c>
      <c r="G179" t="s">
        <v>215</v>
      </c>
      <c r="I179" s="55"/>
      <c r="J179" s="55"/>
      <c r="K179" s="55"/>
      <c r="L179" s="55">
        <f>D179</f>
        <v>7.85</v>
      </c>
      <c r="M179" s="68"/>
      <c r="N179" s="55"/>
      <c r="O179" s="55">
        <f>(4.125+1.865)*2*2.8-0.8*2.1*2</f>
        <v>30.183999999999997</v>
      </c>
      <c r="P179" s="55"/>
      <c r="Q179" s="55"/>
      <c r="R179" s="55"/>
      <c r="S179" s="55"/>
      <c r="T179" s="55"/>
      <c r="U179" s="68"/>
      <c r="V179" s="55">
        <f>D179</f>
        <v>7.85</v>
      </c>
      <c r="W179" s="55"/>
    </row>
    <row r="180" spans="2:23" ht="12.75">
      <c r="B180" s="59" t="s">
        <v>283</v>
      </c>
      <c r="C180" t="s">
        <v>160</v>
      </c>
      <c r="D180" s="1">
        <v>2.59</v>
      </c>
      <c r="E180" t="s">
        <v>208</v>
      </c>
      <c r="F180" t="s">
        <v>212</v>
      </c>
      <c r="G180" t="s">
        <v>215</v>
      </c>
      <c r="I180" s="55">
        <f>D180</f>
        <v>2.59</v>
      </c>
      <c r="J180" s="55"/>
      <c r="K180" s="55"/>
      <c r="L180" s="55"/>
      <c r="M180" s="68"/>
      <c r="N180" s="55"/>
      <c r="O180" s="55">
        <f>(1.375+1.8)*2*2.8-0.8*2.1*2</f>
        <v>14.419999999999998</v>
      </c>
      <c r="P180" s="55"/>
      <c r="Q180" s="55"/>
      <c r="R180" s="55"/>
      <c r="S180" s="55"/>
      <c r="T180" s="55"/>
      <c r="U180" s="68"/>
      <c r="V180" s="55">
        <f>D180</f>
        <v>2.59</v>
      </c>
      <c r="W180" s="55"/>
    </row>
    <row r="181" spans="2:23" ht="12.75">
      <c r="B181" s="59" t="s">
        <v>284</v>
      </c>
      <c r="C181" t="s">
        <v>168</v>
      </c>
      <c r="D181" s="1">
        <v>5.13</v>
      </c>
      <c r="E181" t="s">
        <v>208</v>
      </c>
      <c r="F181" t="s">
        <v>213</v>
      </c>
      <c r="G181" t="s">
        <v>215</v>
      </c>
      <c r="I181" s="55">
        <f>D181</f>
        <v>5.13</v>
      </c>
      <c r="J181" s="55"/>
      <c r="K181" s="55"/>
      <c r="L181" s="55"/>
      <c r="M181" s="68"/>
      <c r="N181" s="55"/>
      <c r="O181" s="55">
        <f>(1.8+2.85)*2*0.3</f>
        <v>2.79</v>
      </c>
      <c r="P181" s="55"/>
      <c r="Q181" s="55">
        <f>(1.8+2.85)*2*2.6-0.8*2.1</f>
        <v>22.500000000000004</v>
      </c>
      <c r="R181" s="55">
        <f>(1.1+1.1)*2.6</f>
        <v>5.720000000000001</v>
      </c>
      <c r="S181" s="55">
        <f>I181</f>
        <v>5.13</v>
      </c>
      <c r="T181" s="55">
        <f>(1.8+2.85)*2*2.6-0.8*2.1</f>
        <v>22.500000000000004</v>
      </c>
      <c r="U181" s="68"/>
      <c r="V181" s="55">
        <f>D181</f>
        <v>5.13</v>
      </c>
      <c r="W181" s="55"/>
    </row>
    <row r="182" spans="2:23" ht="4.5" customHeight="1">
      <c r="B182" s="59"/>
      <c r="I182" s="55"/>
      <c r="J182" s="55"/>
      <c r="K182" s="55"/>
      <c r="L182" s="55"/>
      <c r="M182" s="68"/>
      <c r="N182" s="55"/>
      <c r="O182" s="55"/>
      <c r="P182" s="55"/>
      <c r="Q182" s="55"/>
      <c r="R182" s="55"/>
      <c r="S182" s="55"/>
      <c r="T182" s="55"/>
      <c r="U182" s="68"/>
      <c r="V182" s="55"/>
      <c r="W182" s="55"/>
    </row>
    <row r="183" spans="2:23" ht="12.75">
      <c r="B183" s="59" t="s">
        <v>285</v>
      </c>
      <c r="C183" t="s">
        <v>203</v>
      </c>
      <c r="D183" s="1">
        <v>26.84</v>
      </c>
      <c r="E183" t="s">
        <v>211</v>
      </c>
      <c r="F183" t="s">
        <v>212</v>
      </c>
      <c r="G183" t="s">
        <v>212</v>
      </c>
      <c r="I183" s="55"/>
      <c r="J183" s="55"/>
      <c r="K183" s="55"/>
      <c r="L183" s="55">
        <f>D183</f>
        <v>26.84</v>
      </c>
      <c r="M183" s="68"/>
      <c r="N183" s="55">
        <f>(4.125*2.8)</f>
        <v>11.549999999999999</v>
      </c>
      <c r="O183" s="55">
        <f>(6.545+6.545+4.125)*2.8-0.8*2.1</f>
        <v>46.522</v>
      </c>
      <c r="P183" s="55"/>
      <c r="Q183" s="55"/>
      <c r="R183" s="55"/>
      <c r="S183" s="55"/>
      <c r="T183" s="55"/>
      <c r="U183" s="68"/>
      <c r="V183" s="55"/>
      <c r="W183" s="55">
        <f>D183</f>
        <v>26.84</v>
      </c>
    </row>
    <row r="184" spans="2:23" ht="12.75">
      <c r="B184" s="59" t="s">
        <v>286</v>
      </c>
      <c r="C184" t="s">
        <v>160</v>
      </c>
      <c r="D184" s="1">
        <v>4.47</v>
      </c>
      <c r="E184" t="s">
        <v>211</v>
      </c>
      <c r="F184" t="s">
        <v>212</v>
      </c>
      <c r="G184" t="s">
        <v>215</v>
      </c>
      <c r="I184" s="55"/>
      <c r="J184" s="55"/>
      <c r="K184" s="55"/>
      <c r="L184" s="55">
        <f>D184</f>
        <v>4.47</v>
      </c>
      <c r="M184" s="68"/>
      <c r="N184" s="55"/>
      <c r="O184" s="55">
        <f>(1.85+2.25)*2*2.8-0.8*2.1*3</f>
        <v>17.919999999999995</v>
      </c>
      <c r="P184" s="55"/>
      <c r="Q184" s="55"/>
      <c r="R184" s="55"/>
      <c r="S184" s="55"/>
      <c r="T184" s="55"/>
      <c r="U184" s="68"/>
      <c r="V184" s="55">
        <f>D184</f>
        <v>4.47</v>
      </c>
      <c r="W184" s="55"/>
    </row>
    <row r="185" spans="2:23" ht="13.5" thickBot="1">
      <c r="B185" s="59" t="s">
        <v>287</v>
      </c>
      <c r="C185" t="s">
        <v>168</v>
      </c>
      <c r="D185" s="1">
        <v>4.78</v>
      </c>
      <c r="E185" t="s">
        <v>208</v>
      </c>
      <c r="F185" t="s">
        <v>213</v>
      </c>
      <c r="G185" t="s">
        <v>215</v>
      </c>
      <c r="I185" s="69">
        <f>D185</f>
        <v>4.78</v>
      </c>
      <c r="J185" s="69"/>
      <c r="K185" s="69"/>
      <c r="L185" s="69"/>
      <c r="M185" s="70"/>
      <c r="N185" s="69"/>
      <c r="O185" s="69">
        <f>(2.125+2.25)*2*0.3</f>
        <v>2.625</v>
      </c>
      <c r="P185" s="69"/>
      <c r="Q185" s="69">
        <f>(2.125+2.25)*2*2.6-0.8*2.1</f>
        <v>21.07</v>
      </c>
      <c r="R185" s="69">
        <f>(1.1+1.1)*2.6</f>
        <v>5.720000000000001</v>
      </c>
      <c r="S185" s="69">
        <f>I185</f>
        <v>4.78</v>
      </c>
      <c r="T185" s="69">
        <f>Q185</f>
        <v>21.07</v>
      </c>
      <c r="U185" s="70"/>
      <c r="V185" s="55">
        <f>D185</f>
        <v>4.78</v>
      </c>
      <c r="W185" s="69"/>
    </row>
    <row r="186" spans="1:23" s="1" customFormat="1" ht="13.5" thickBot="1">
      <c r="A186" s="74"/>
      <c r="B186" s="71" t="s">
        <v>290</v>
      </c>
      <c r="C186" s="71"/>
      <c r="D186" s="72">
        <f>SUM(D96:D185)</f>
        <v>960.83</v>
      </c>
      <c r="E186" s="71"/>
      <c r="F186" s="71"/>
      <c r="G186" s="71"/>
      <c r="H186" s="71"/>
      <c r="I186" s="219">
        <f>SUM(I96:I185)</f>
        <v>111.67</v>
      </c>
      <c r="J186" s="219">
        <f>SUM(J96:J185)</f>
        <v>153.02</v>
      </c>
      <c r="K186" s="219">
        <f>SUM(K96:K185)</f>
        <v>0</v>
      </c>
      <c r="L186" s="219">
        <f>SUM(L96:L185)</f>
        <v>696.1399999999999</v>
      </c>
      <c r="M186" s="71"/>
      <c r="N186" s="219">
        <f>SUM(N96:N185)</f>
        <v>1433.0865000000006</v>
      </c>
      <c r="O186" s="219">
        <f aca="true" t="shared" si="5" ref="O186:T186">SUM(O96:O185)</f>
        <v>1518.18524</v>
      </c>
      <c r="P186" s="219">
        <f t="shared" si="5"/>
        <v>127.125</v>
      </c>
      <c r="Q186" s="219">
        <f t="shared" si="5"/>
        <v>325.73</v>
      </c>
      <c r="R186" s="219">
        <f t="shared" si="5"/>
        <v>108.46</v>
      </c>
      <c r="S186" s="219">
        <f>SUM(S96:S185)</f>
        <v>102.27</v>
      </c>
      <c r="T186" s="219">
        <f t="shared" si="5"/>
        <v>452.2830000000001</v>
      </c>
      <c r="U186" s="71"/>
      <c r="V186" s="73">
        <f>SUM(V96:V185)</f>
        <v>272.19999999999993</v>
      </c>
      <c r="W186" s="219">
        <f>SUM(W96:W185)</f>
        <v>688.63</v>
      </c>
    </row>
    <row r="187" ht="12.75">
      <c r="B187" s="59"/>
    </row>
    <row r="188" spans="2:4" ht="12.75">
      <c r="B188" s="59" t="s">
        <v>974</v>
      </c>
      <c r="D188">
        <f>D96+D102+D103+D104+D170+D171+D172+D174+D175+D176+D178+D179+D180+D181+D183+D184+D185</f>
        <v>222.04999999999998</v>
      </c>
    </row>
    <row r="189" ht="12.75">
      <c r="B189" s="59"/>
    </row>
    <row r="190" spans="2:20" ht="12.75">
      <c r="B190" s="59"/>
      <c r="L190">
        <f>I186+J186+K186+L186+I89+J89+K89+L89</f>
        <v>1784.8899999999999</v>
      </c>
      <c r="T190" s="228">
        <f>T186+T89</f>
        <v>1005.7870000000003</v>
      </c>
    </row>
    <row r="191" spans="2:4" ht="12.75">
      <c r="B191" s="59"/>
      <c r="C191" t="s">
        <v>975</v>
      </c>
      <c r="D191" s="56">
        <f>D186+D89+D17</f>
        <v>1996.3129999999999</v>
      </c>
    </row>
    <row r="192" ht="12.75">
      <c r="B192" s="59"/>
    </row>
    <row r="193" ht="12.75">
      <c r="B193" s="59"/>
    </row>
    <row r="194" ht="12.75">
      <c r="B194" s="59"/>
    </row>
    <row r="195" ht="12.75">
      <c r="B195" s="59"/>
    </row>
    <row r="196" ht="12.75">
      <c r="B196" s="59"/>
    </row>
    <row r="197" ht="12.75">
      <c r="B197" s="59"/>
    </row>
    <row r="198" ht="12.75">
      <c r="B198" s="59"/>
    </row>
    <row r="199" ht="12.75">
      <c r="B199" s="59"/>
    </row>
    <row r="200" ht="12.75">
      <c r="B200" s="59"/>
    </row>
    <row r="201" ht="12.75">
      <c r="B201" s="59"/>
    </row>
    <row r="202" ht="12.75">
      <c r="B202" s="59"/>
    </row>
    <row r="203" ht="12.75">
      <c r="B203" s="59"/>
    </row>
    <row r="204" ht="12.75">
      <c r="B204" s="59"/>
    </row>
    <row r="205" ht="12.75">
      <c r="B205" s="59"/>
    </row>
    <row r="206" ht="12.75">
      <c r="B206" s="59"/>
    </row>
    <row r="207" ht="12.75">
      <c r="B207" s="59"/>
    </row>
    <row r="208" ht="12.75">
      <c r="B208" s="59"/>
    </row>
    <row r="209" ht="12.75">
      <c r="B209" s="59"/>
    </row>
    <row r="210" ht="12.75">
      <c r="B210" s="59"/>
    </row>
    <row r="211" ht="12.75">
      <c r="B211" s="59"/>
    </row>
    <row r="212" ht="12.75">
      <c r="B212" s="59"/>
    </row>
    <row r="213" ht="12.75">
      <c r="B213" s="59"/>
    </row>
    <row r="214" ht="12.75">
      <c r="B214" s="59"/>
    </row>
    <row r="215" ht="12.75">
      <c r="B215" s="59"/>
    </row>
    <row r="216" ht="12.75">
      <c r="B216" s="59"/>
    </row>
    <row r="217" ht="12.75">
      <c r="B217" s="59"/>
    </row>
    <row r="218" ht="12.75">
      <c r="B218" s="59"/>
    </row>
    <row r="219" ht="12.75">
      <c r="B219" s="59"/>
    </row>
    <row r="220" ht="12.75">
      <c r="B220" s="59"/>
    </row>
    <row r="221" ht="12.75">
      <c r="B221" s="59"/>
    </row>
    <row r="222" ht="12.75">
      <c r="B222" s="59"/>
    </row>
    <row r="223" ht="12.75">
      <c r="B223" s="59"/>
    </row>
    <row r="224" ht="12.75">
      <c r="B224" s="59"/>
    </row>
    <row r="225" ht="12.75">
      <c r="B225" s="59"/>
    </row>
    <row r="226" ht="12.75">
      <c r="B226" s="59"/>
    </row>
    <row r="227" ht="12.75">
      <c r="B227" s="59"/>
    </row>
    <row r="228" ht="12.75">
      <c r="B228" s="59"/>
    </row>
    <row r="229" ht="12.75">
      <c r="B229" s="59"/>
    </row>
    <row r="230" ht="12.75">
      <c r="B230" s="59"/>
    </row>
    <row r="231" ht="12.75">
      <c r="B231" s="59"/>
    </row>
    <row r="232" ht="12.75">
      <c r="B232" s="59"/>
    </row>
    <row r="233" ht="12.75">
      <c r="B233" s="59"/>
    </row>
    <row r="234" ht="12.75">
      <c r="B234" s="59"/>
    </row>
    <row r="235" ht="12.75">
      <c r="B235" s="59"/>
    </row>
    <row r="236" ht="12.75">
      <c r="B236" s="59"/>
    </row>
    <row r="237" ht="12.75">
      <c r="B237" s="59"/>
    </row>
    <row r="238" ht="12.75">
      <c r="B238" s="59"/>
    </row>
    <row r="239" ht="12.75">
      <c r="B239" s="59"/>
    </row>
    <row r="240" ht="12.75">
      <c r="B240" s="59"/>
    </row>
    <row r="241" ht="12.75">
      <c r="B241" s="59"/>
    </row>
    <row r="242" ht="12.75">
      <c r="B242" s="59"/>
    </row>
    <row r="243" ht="12.75">
      <c r="B243" s="59"/>
    </row>
    <row r="244" ht="12.75">
      <c r="B244" s="59"/>
    </row>
    <row r="245" ht="12.75">
      <c r="B245" s="59"/>
    </row>
    <row r="246" ht="12.75">
      <c r="B246" s="59"/>
    </row>
    <row r="247" ht="12.75">
      <c r="B247" s="59"/>
    </row>
    <row r="248" ht="12.75">
      <c r="B248" s="59"/>
    </row>
    <row r="249" ht="12.75">
      <c r="B249" s="59"/>
    </row>
    <row r="250" ht="12.75">
      <c r="B250" s="59"/>
    </row>
    <row r="251" ht="12.75">
      <c r="B251" s="59"/>
    </row>
    <row r="252" ht="12.75">
      <c r="B252" s="59"/>
    </row>
    <row r="253" ht="12.75">
      <c r="B253" s="59"/>
    </row>
    <row r="254" ht="12.75">
      <c r="B254" s="59"/>
    </row>
    <row r="255" ht="12.75">
      <c r="B255" s="59"/>
    </row>
    <row r="256" ht="12.75">
      <c r="B256" s="59"/>
    </row>
    <row r="257" ht="12.75">
      <c r="B257" s="59"/>
    </row>
    <row r="258" ht="12.75">
      <c r="B258" s="59"/>
    </row>
    <row r="259" ht="12.75">
      <c r="B259" s="59"/>
    </row>
    <row r="260" ht="12.75">
      <c r="B260" s="59"/>
    </row>
    <row r="261" ht="12.75">
      <c r="B261" s="59"/>
    </row>
    <row r="262" ht="12.75">
      <c r="B262" s="59"/>
    </row>
    <row r="263" ht="12.75">
      <c r="B263" s="59"/>
    </row>
    <row r="264" ht="12.75">
      <c r="B264" s="59"/>
    </row>
    <row r="265" ht="12.75">
      <c r="B265" s="59"/>
    </row>
    <row r="266" ht="12.75">
      <c r="B266" s="59"/>
    </row>
    <row r="267" ht="12.75">
      <c r="B267" s="59"/>
    </row>
    <row r="268" ht="12.75">
      <c r="B268" s="59"/>
    </row>
    <row r="269" ht="12.75">
      <c r="B269" s="59"/>
    </row>
    <row r="270" ht="12.75">
      <c r="B270" s="59"/>
    </row>
    <row r="271" ht="12.75">
      <c r="B271" s="59"/>
    </row>
    <row r="272" ht="12.75">
      <c r="B272" s="59"/>
    </row>
    <row r="273" ht="12.75">
      <c r="B273" s="59"/>
    </row>
    <row r="274" ht="12.75">
      <c r="B274" s="59"/>
    </row>
    <row r="275" ht="12.75">
      <c r="B275" s="59"/>
    </row>
    <row r="276" ht="12.75">
      <c r="B276" s="59"/>
    </row>
    <row r="277" ht="12.75">
      <c r="B277" s="59"/>
    </row>
    <row r="278" ht="12.75">
      <c r="B278" s="59"/>
    </row>
    <row r="279" ht="12.75">
      <c r="B279" s="59"/>
    </row>
    <row r="280" ht="12.75">
      <c r="B280" s="59"/>
    </row>
    <row r="281" ht="12.75">
      <c r="B281" s="59"/>
    </row>
    <row r="282" ht="12.75">
      <c r="B282" s="59"/>
    </row>
    <row r="283" ht="12.75">
      <c r="B283" s="59"/>
    </row>
    <row r="284" ht="12.75">
      <c r="B284" s="59"/>
    </row>
    <row r="285" ht="12.75">
      <c r="B285" s="59"/>
    </row>
    <row r="286" ht="12.75">
      <c r="B286" s="59"/>
    </row>
    <row r="287" ht="12.75">
      <c r="B287" s="59"/>
    </row>
    <row r="288" ht="12.75">
      <c r="B288" s="59"/>
    </row>
    <row r="289" ht="12.75">
      <c r="B289" s="59"/>
    </row>
    <row r="290" ht="12.75">
      <c r="B290" s="59"/>
    </row>
    <row r="291" ht="12.75">
      <c r="B291" s="59"/>
    </row>
    <row r="292" ht="12.75">
      <c r="B292" s="59"/>
    </row>
    <row r="293" ht="12.75">
      <c r="B293" s="59"/>
    </row>
    <row r="294" ht="12.75">
      <c r="B294" s="59"/>
    </row>
    <row r="295" ht="12.75">
      <c r="B295" s="59"/>
    </row>
    <row r="296" ht="12.75">
      <c r="B296" s="59"/>
    </row>
    <row r="297" ht="12.75">
      <c r="B297" s="59"/>
    </row>
    <row r="298" ht="12.75">
      <c r="B298" s="59"/>
    </row>
    <row r="299" ht="12.75">
      <c r="B299" s="59"/>
    </row>
    <row r="300" ht="12.75">
      <c r="B300" s="59"/>
    </row>
    <row r="301" ht="12.75">
      <c r="B301" s="59"/>
    </row>
    <row r="302" ht="12.75">
      <c r="B302" s="59"/>
    </row>
    <row r="303" ht="12.75">
      <c r="B303" s="59"/>
    </row>
    <row r="304" ht="12.75">
      <c r="B304" s="59"/>
    </row>
    <row r="305" ht="12.75">
      <c r="B305" s="59"/>
    </row>
    <row r="306" ht="12.75">
      <c r="B306" s="59"/>
    </row>
    <row r="307" ht="12.75">
      <c r="B307" s="59"/>
    </row>
    <row r="308" ht="12.75">
      <c r="B308" s="59"/>
    </row>
    <row r="309" ht="12.75">
      <c r="B309" s="59"/>
    </row>
    <row r="310" ht="12.75">
      <c r="B310" s="59"/>
    </row>
    <row r="311" ht="12.75">
      <c r="B311" s="59"/>
    </row>
    <row r="312" ht="12.75">
      <c r="B312" s="59"/>
    </row>
    <row r="313" ht="12.75">
      <c r="B313" s="59"/>
    </row>
    <row r="314" ht="12.75">
      <c r="B314" s="59"/>
    </row>
    <row r="315" ht="12.75">
      <c r="B315" s="59"/>
    </row>
    <row r="316" ht="12.75">
      <c r="B316" s="59"/>
    </row>
    <row r="317" ht="12.75">
      <c r="B317" s="59"/>
    </row>
    <row r="318" ht="12.75">
      <c r="B318" s="59"/>
    </row>
    <row r="319" ht="12.75">
      <c r="B319" s="59"/>
    </row>
    <row r="320" ht="12.75">
      <c r="B320" s="59"/>
    </row>
    <row r="321" ht="12.75">
      <c r="B321" s="59"/>
    </row>
    <row r="322" ht="12.75">
      <c r="B322" s="59"/>
    </row>
    <row r="323" ht="12.75">
      <c r="B323" s="59"/>
    </row>
    <row r="324" ht="12.75">
      <c r="B324" s="59"/>
    </row>
    <row r="325" ht="12.75">
      <c r="B325" s="59"/>
    </row>
    <row r="326" ht="12.75">
      <c r="B326" s="59"/>
    </row>
    <row r="327" ht="12.75">
      <c r="B327" s="59"/>
    </row>
    <row r="328" ht="12.75">
      <c r="B328" s="59"/>
    </row>
    <row r="329" ht="12.75">
      <c r="B329" s="59"/>
    </row>
    <row r="330" ht="12.75">
      <c r="B330" s="59"/>
    </row>
    <row r="331" ht="12.75">
      <c r="B331" s="59"/>
    </row>
    <row r="332" ht="12.75">
      <c r="B332" s="59"/>
    </row>
    <row r="333" ht="12.75">
      <c r="B333" s="59"/>
    </row>
    <row r="334" ht="12.75">
      <c r="B334" s="59"/>
    </row>
    <row r="335" ht="12.75">
      <c r="B335" s="59"/>
    </row>
    <row r="336" ht="12.75">
      <c r="B336" s="59"/>
    </row>
    <row r="337" ht="12.75">
      <c r="B337" s="59"/>
    </row>
    <row r="338" ht="12.75">
      <c r="B338" s="59"/>
    </row>
    <row r="339" ht="12.75">
      <c r="B339" s="59"/>
    </row>
    <row r="340" ht="12.75">
      <c r="B340" s="59"/>
    </row>
    <row r="341" ht="12.75">
      <c r="B341" s="59"/>
    </row>
    <row r="342" ht="12.75">
      <c r="B342" s="59"/>
    </row>
    <row r="343" ht="12.75">
      <c r="B343" s="59"/>
    </row>
  </sheetData>
  <sheetProtection/>
  <mergeCells count="9">
    <mergeCell ref="I94:L94"/>
    <mergeCell ref="N94:T94"/>
    <mergeCell ref="V94:W94"/>
    <mergeCell ref="I4:L4"/>
    <mergeCell ref="N4:T4"/>
    <mergeCell ref="V4:W4"/>
    <mergeCell ref="I19:L19"/>
    <mergeCell ref="N19:T19"/>
    <mergeCell ref="V19:W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Svobodová Eliška, Bc.</cp:lastModifiedBy>
  <cp:lastPrinted>2018-10-18T14:30:02Z</cp:lastPrinted>
  <dcterms:created xsi:type="dcterms:W3CDTF">2009-05-04T22:50:33Z</dcterms:created>
  <dcterms:modified xsi:type="dcterms:W3CDTF">2018-10-31T13:01:57Z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