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20" windowHeight="10800" tabRatio="942" activeTab="0"/>
  </bookViews>
  <sheets>
    <sheet name="Rekapitulace stavby" sheetId="1" r:id="rId1"/>
    <sheet name="00 - VON" sheetId="2" r:id="rId2"/>
    <sheet name="Architektonické a st..." sheetId="3" r:id="rId3"/>
    <sheet name="VZT+UT" sheetId="4" r:id="rId4"/>
    <sheet name="elektro" sheetId="5" r:id="rId5"/>
  </sheets>
  <definedNames>
    <definedName name="_xlnm.Print_Titles" localSheetId="1">'00 - VON'!$112:$112</definedName>
    <definedName name="_xlnm.Print_Titles" localSheetId="2">'Architektonické a st...'!$127:$127</definedName>
    <definedName name="_xlnm.Print_Titles" localSheetId="0">'Rekapitulace stavby'!$85:$85</definedName>
    <definedName name="_xlnm.Print_Area" localSheetId="1">('00 - VON'!$C$4:$Q$70,'00 - VON'!$C$76:$Q$96,'00 - VON'!$C$102:$Q$124)</definedName>
    <definedName name="_xlnm.Print_Area" localSheetId="2">('Architektonické a st...'!$C$4:$Q$70,'Architektonické a st...'!$C$76:$Q$111,'Architektonické a st...'!$C$117:$Q$300)</definedName>
    <definedName name="_xlnm.Print_Area" localSheetId="0">('Rekapitulace stavby'!$C$4:$AP$70,'Rekapitulace stavby'!$C$76:$AP$93)</definedName>
  </definedNames>
  <calcPr fullCalcOnLoad="1"/>
</workbook>
</file>

<file path=xl/sharedStrings.xml><?xml version="1.0" encoding="utf-8"?>
<sst xmlns="http://schemas.openxmlformats.org/spreadsheetml/2006/main" count="2066" uniqueCount="677">
  <si>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</si>
  <si>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</si>
  <si>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</si>
  <si>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</si>
  <si>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</si>
  <si>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</si>
  <si>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</si>
  <si>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</si>
  <si>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</si>
  <si>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</si>
  <si>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</si>
  <si>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</si>
  <si>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</si>
  <si>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</si>
  <si>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</si>
  <si>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</si>
  <si>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</si>
  <si>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</si>
  <si>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</si>
  <si>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</si>
  <si>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</si>
  <si>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</si>
  <si>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</si>
  <si>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</si>
  <si>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</si>
  <si>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</si>
  <si>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</si>
  <si>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</si>
  <si>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</si>
  <si>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</si>
  <si>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</si>
  <si>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</si>
  <si>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</si>
  <si>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</si>
  <si>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</si>
  <si>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</si>
  <si>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</si>
  <si>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</si>
  <si>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</si>
  <si>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</si>
  <si>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</si>
  <si>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</si>
  <si>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</si>
  <si>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</si>
  <si>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</si>
  <si>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</si>
  <si>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</si>
  <si>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</si>
  <si>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</si>
  <si>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</si>
  <si>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</si>
  <si>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</si>
  <si>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</si>
  <si>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</si>
  <si>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</si>
  <si>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</si>
  <si>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</si>
  <si>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</si>
  <si>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</si>
  <si>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</si>
  <si>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</si>
  <si>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</si>
  <si>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</si>
  <si>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</si>
  <si>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</si>
  <si>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</si>
  <si>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</si>
  <si>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</si>
  <si>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</si>
  <si>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</si>
  <si>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</si>
  <si>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</si>
  <si>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</si>
  <si>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</si>
  <si>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</si>
  <si>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{FFA65614-EE34-4B74-A2D6-E69185151FD5}</t>
  </si>
  <si>
    <t>{00000000-0000-0000-0000-000000000000}</t>
  </si>
  <si>
    <t>/</t>
  </si>
  <si>
    <t>00</t>
  </si>
  <si>
    <t>VON</t>
  </si>
  <si>
    <t>{EB5C9BD6-DCDF-480D-8114-253AD4F61C0D}</t>
  </si>
  <si>
    <t>01</t>
  </si>
  <si>
    <t>Architektonické a stavební řešení</t>
  </si>
  <si>
    <t>{E714F6A5-1256-49C0-8A4B-1E5FD5A4B804}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</si>
  <si>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</si>
  <si>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</si>
  <si>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</si>
  <si>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</si>
  <si>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</si>
  <si>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</si>
  <si>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</si>
  <si>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</si>
  <si>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</si>
  <si>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-1</t>
  </si>
  <si>
    <t>KRYCÍ LIST ROZPOČTU</t>
  </si>
  <si>
    <t>Objekt:</t>
  </si>
  <si>
    <t>00 - VON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</si>
  <si>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</si>
  <si>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</si>
  <si>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</si>
  <si>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</si>
  <si>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</si>
  <si>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</si>
  <si>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VRN5 - Finanční náklady</t>
  </si>
  <si>
    <t>VRN4 - Inženýrská činnost</t>
  </si>
  <si>
    <t>VRN3 - Zařízení staveniště</t>
  </si>
  <si>
    <t>VRN1 - Průzkumné, geodetické a projektové práce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</si>
  <si>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</si>
  <si>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</si>
  <si>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</si>
  <si>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</si>
  <si>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</si>
  <si>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</si>
  <si>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</si>
  <si>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</si>
  <si>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</si>
  <si>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</si>
  <si>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</si>
  <si>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</si>
  <si>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</si>
  <si>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</si>
  <si>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</si>
  <si>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</si>
  <si>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</si>
  <si>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</si>
  <si>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50001000</t>
  </si>
  <si>
    <t>Finanční náklady - bankovní záruky, pojištění</t>
  </si>
  <si>
    <t>SOUBOR</t>
  </si>
  <si>
    <t>4</t>
  </si>
  <si>
    <t>9</t>
  </si>
  <si>
    <t>45002000</t>
  </si>
  <si>
    <t>Kompletační a koordinační činnost</t>
  </si>
  <si>
    <t>8</t>
  </si>
  <si>
    <t>5</t>
  </si>
  <si>
    <t>30001000</t>
  </si>
  <si>
    <t>Zařízení staveniště</t>
  </si>
  <si>
    <t>11434000</t>
  </si>
  <si>
    <t>Měření (monitoring) hlukové hladiny</t>
  </si>
  <si>
    <t>2</t>
  </si>
  <si>
    <t>11464000</t>
  </si>
  <si>
    <t>Měření (monitoring) úrovně osvětlení</t>
  </si>
  <si>
    <t>11</t>
  </si>
  <si>
    <t>3</t>
  </si>
  <si>
    <t>12002000</t>
  </si>
  <si>
    <t>Geodetické práce</t>
  </si>
  <si>
    <t>12</t>
  </si>
  <si>
    <t>13254000</t>
  </si>
  <si>
    <t>13</t>
  </si>
  <si>
    <t>01 - Architektonické a stavební řešení</t>
  </si>
  <si>
    <t>1 - Zemní práce</t>
  </si>
  <si>
    <t>2 - Základání</t>
  </si>
  <si>
    <t>3 - Svislé a kompletní konstrukce</t>
  </si>
  <si>
    <t>61 - Úprava povrchů vnitřních</t>
  </si>
  <si>
    <t>62 - Úprava povrchů vnějších</t>
  </si>
  <si>
    <t>89 - Ostatní konstrukce</t>
  </si>
  <si>
    <t>94 - Lešení a stavební výtahy</t>
  </si>
  <si>
    <t>96 - Bourání konstrukcí</t>
  </si>
  <si>
    <t>998 - Pŕesun hmot</t>
  </si>
  <si>
    <t>711 - Izolace proti vodě, vlhkosti a plynům</t>
  </si>
  <si>
    <t>712 - Povlakové krytiny</t>
  </si>
  <si>
    <t>713 - Izolace tepelné</t>
  </si>
  <si>
    <t>720 - Zdravotechnické instalace</t>
  </si>
  <si>
    <t>730 - Vytápění</t>
  </si>
  <si>
    <t>751 - Vzduchotechnika</t>
  </si>
  <si>
    <t>764 - Konstrukce klempířské</t>
  </si>
  <si>
    <t>767 - Konstrukce zámečnické</t>
  </si>
  <si>
    <t>771 - Podlahy z dlaždic</t>
  </si>
  <si>
    <t>786 - Dokončovací práce - čalounické úpravy</t>
  </si>
  <si>
    <t>M21 - Montáže elektro</t>
  </si>
  <si>
    <t>111201101</t>
  </si>
  <si>
    <t>Odstranění křovin i s kořeny na ploše do 1000m2</t>
  </si>
  <si>
    <t>m2</t>
  </si>
  <si>
    <t>111201401</t>
  </si>
  <si>
    <t>Spálení křovin a stromů do pr. 100mm</t>
  </si>
  <si>
    <t>112-R-111</t>
  </si>
  <si>
    <t xml:space="preserve">Kácení stromů a náletové zeleně včeně odvoz do 10 km a likvidace (popř. naštěpkování) </t>
  </si>
  <si>
    <t>kpl</t>
  </si>
  <si>
    <t>112-R-112</t>
  </si>
  <si>
    <t>Vykopání pařezů včetně odvozu do 10 km a likvidace</t>
  </si>
  <si>
    <t>113107122</t>
  </si>
  <si>
    <t>Odstranění podkladů tl. do 100mm živičných</t>
  </si>
  <si>
    <t>113112310</t>
  </si>
  <si>
    <t>Vybourání okapového chodníčku vč. betonového podkladu tl. 0,4m</t>
  </si>
  <si>
    <t>122202201</t>
  </si>
  <si>
    <t>Odkopávky a prokopávky nezapažené objemu do 100 m3 v hornině tř. 3</t>
  </si>
  <si>
    <t>M3</t>
  </si>
  <si>
    <t>139711101</t>
  </si>
  <si>
    <t>Vykopávky v uzavřených prostorách tř. 1-4</t>
  </si>
  <si>
    <t>m3</t>
  </si>
  <si>
    <t>161101501</t>
  </si>
  <si>
    <t>Svislé přemístění výkopku nošení do v 3m tř. 1-4</t>
  </si>
  <si>
    <t>162201211</t>
  </si>
  <si>
    <t>Vodorovné přemístění výkopku z horniny tř. 1 až 4 stavebním kolečkem do 10 m</t>
  </si>
  <si>
    <t>162701105</t>
  </si>
  <si>
    <t>Vodorovné přemístění do 10000 m výkopku/sypaniny z horniny tř. 1 až 4</t>
  </si>
  <si>
    <t>88</t>
  </si>
  <si>
    <t>167101101</t>
  </si>
  <si>
    <t>Nakládání výkopku z hornin tř. 1 až 4 do 100 m3</t>
  </si>
  <si>
    <t>92</t>
  </si>
  <si>
    <t>171201211</t>
  </si>
  <si>
    <t>Poplatek za uložení odpadu ze sypaniny na skládce (skládkovné)</t>
  </si>
  <si>
    <t>T</t>
  </si>
  <si>
    <t>27 - Základní - základy</t>
  </si>
  <si>
    <t>274321311</t>
  </si>
  <si>
    <t>Základové pasy ze ŽB tř. C 16/20</t>
  </si>
  <si>
    <t>274361821</t>
  </si>
  <si>
    <t>Výztuž základových pasů betonářskou ocelí 10 505 (R)</t>
  </si>
  <si>
    <t>279113134</t>
  </si>
  <si>
    <t>Základová zeď tl. Do 300 mm z tvárnic ztraceného bednění včetně výplně z betonu tř. C 16/20</t>
  </si>
  <si>
    <t>279-R-111</t>
  </si>
  <si>
    <t>Kotvení základového zdiva ke zdivu stávajícímu (2x na bm)</t>
  </si>
  <si>
    <t>ks</t>
  </si>
  <si>
    <t>342272323</t>
  </si>
  <si>
    <t>Příčky tl 100 mm z pórobetonových přesných hladkých příčkovek objemové hmotnosti 500 kg/m3</t>
  </si>
  <si>
    <t>120</t>
  </si>
  <si>
    <t>(5,75+2,8+4,2+2,9+3,3)*2,5-1,08-0,54</t>
  </si>
  <si>
    <t>345244222</t>
  </si>
  <si>
    <t>Zídky atikové, parapetní, schodišťové a zábradelní tl. 150 mm z cihel  - přizdívka atiky</t>
  </si>
  <si>
    <t>346244811</t>
  </si>
  <si>
    <t>Přizdívky izolační tl 65 mm z  cihel plných pevnosti P 20 na MVC</t>
  </si>
  <si>
    <t>121</t>
  </si>
  <si>
    <t>342-R-111</t>
  </si>
  <si>
    <t>Zřízení odvětrávacích otvorů vč. dodávky a osazení mřížek plastových pr. 80mm</t>
  </si>
  <si>
    <t>122</t>
  </si>
  <si>
    <t>612142001</t>
  </si>
  <si>
    <t>Potažení vnitřních stěn sklovláknitým pletivem vtlačeným do tenkovrstvé hmoty</t>
  </si>
  <si>
    <t>151</t>
  </si>
  <si>
    <t>612321111</t>
  </si>
  <si>
    <t>152</t>
  </si>
  <si>
    <t>622142001</t>
  </si>
  <si>
    <t>Potažení vnějších stěn sklovláknitým pletivem vtlačeným do tenkovrstvé hmoty</t>
  </si>
  <si>
    <t>156</t>
  </si>
  <si>
    <t>622-R-112</t>
  </si>
  <si>
    <t>Oprava vnější omítky stěn v rozsahu do 100%, vč. otlučení, očištění, penetrace a vyrovnání povrchu omítkou jádrovou tl. do 15 mm</t>
  </si>
  <si>
    <t>622321141</t>
  </si>
  <si>
    <t>Vápenocementová omítka štuková dvouvrstvá vnějších stěn nanášená ručně boky schodiště</t>
  </si>
  <si>
    <t>622321121</t>
  </si>
  <si>
    <t>Vápenocementová omítka hladká jednovrstvá vnějších stěn nanášená ručně - vyrovnání podkladu soklu</t>
  </si>
  <si>
    <t>157</t>
  </si>
  <si>
    <t>622211001</t>
  </si>
  <si>
    <t>Montáž kontaktního zateplení vnějších stěn z polystyrenových desek tl. do 40 mm ostění a atiky</t>
  </si>
  <si>
    <t>ostění</t>
  </si>
  <si>
    <t>((1,2+0,9)*2+(1,2+1,8)*2+(1,2+3,6)*15+(1,2+4,15)*20+(1,2+4,2)*11+(2,4+3,6)*14+(2,4+4,15)*7+(2,4+4,2)*3+(3,6+3,6)*4+(3,6+4,15)*5+(3,6+4,2)*6+(0,9+5,69)*6+(1,5+5,69)*2+(3,536+4,14)*2+(5,6+4,15)+(0,8+4))*0,3</t>
  </si>
  <si>
    <t>zateplení pod žaluzií</t>
  </si>
  <si>
    <t>66*0,3</t>
  </si>
  <si>
    <t>vyrovnávací vrstva krytu žaluzií</t>
  </si>
  <si>
    <t>66*3</t>
  </si>
  <si>
    <t>atika</t>
  </si>
  <si>
    <t>(11,95+21,6+11,95+21,6+3,713+6,1+3,713+21,805+11+11+2,4)*2*0,3</t>
  </si>
  <si>
    <t>parapety</t>
  </si>
  <si>
    <t>((0,9*2)+(1,2*48)+(2,4*24)+(3,6*15)+(3,536*2))*0,3</t>
  </si>
  <si>
    <t>DI</t>
  </si>
  <si>
    <t>M</t>
  </si>
  <si>
    <t>283764150</t>
  </si>
  <si>
    <t>polystyren extrudovaný fasádní, 1250x600x30 mm</t>
  </si>
  <si>
    <t>283759290</t>
  </si>
  <si>
    <t xml:space="preserve">deska polystyrenová fasádní EPS 70F 1250x600x10 mm </t>
  </si>
  <si>
    <t>283764160</t>
  </si>
  <si>
    <t>polystyren extrudovaný fasádní, 1250x600x40 mm</t>
  </si>
  <si>
    <t>283759330</t>
  </si>
  <si>
    <t>deska polystyrenová fasádní EPS 70F 1250x600x30 mm (šedá)</t>
  </si>
  <si>
    <t>622211031</t>
  </si>
  <si>
    <t>Montáž zateplení vnějších stěn z polystyrénových desek tl do 160 mm</t>
  </si>
  <si>
    <t>162</t>
  </si>
  <si>
    <t>plochy v.č.181016/S26,27</t>
  </si>
  <si>
    <t>714,08+56,6</t>
  </si>
  <si>
    <t>283759520</t>
  </si>
  <si>
    <t>deska fasádní polystyrénová EPS 70 F 1000 x 500 x 160 mm (šedá)</t>
  </si>
  <si>
    <t>163</t>
  </si>
  <si>
    <t>283763890</t>
  </si>
  <si>
    <t>polystyren fasádní extrudovaný, 1250x600x120 mm</t>
  </si>
  <si>
    <t>632450122</t>
  </si>
  <si>
    <t>Vyrovnávací cementový potěr tl do 30 mm ze suchých směsí provedený v pásu - atika</t>
  </si>
  <si>
    <t>621-R-001</t>
  </si>
  <si>
    <t>v.č.181016/S-15</t>
  </si>
  <si>
    <t>283763790</t>
  </si>
  <si>
    <t>polystyren fasádní EPS 70S, 1250x600x100 mm</t>
  </si>
  <si>
    <t>631515270</t>
  </si>
  <si>
    <t>deska minerální fasádní TF Profi 1000 x 500 x 100 mm v.č.181016/s15</t>
  </si>
  <si>
    <t>621221031</t>
  </si>
  <si>
    <t>Montáž zateplení vnějších stěn z minerální vlny s podélnou orientací vláken tl do 160 mm</t>
  </si>
  <si>
    <t>631515380</t>
  </si>
  <si>
    <t xml:space="preserve">deska minerální fasádní TF Profi 1000 x 500 x 160 mm </t>
  </si>
  <si>
    <t>622511111</t>
  </si>
  <si>
    <t>Tenkovrstvá akrylátová mozaiková střednězrnná omítka včetně penetrace vnějších stěn</t>
  </si>
  <si>
    <t>166</t>
  </si>
  <si>
    <t>622521011</t>
  </si>
  <si>
    <t>Tenkovrstvá silikonová zrnitá omítka tl. 1,5 mm včetně penetrace vnějších stěn</t>
  </si>
  <si>
    <t>167</t>
  </si>
  <si>
    <t>43a</t>
  </si>
  <si>
    <t>6225R1000</t>
  </si>
  <si>
    <t>622143003</t>
  </si>
  <si>
    <t>Montáž plastových nebo pozinovaných rohových profilů s tkaninou</t>
  </si>
  <si>
    <t>m</t>
  </si>
  <si>
    <t>168</t>
  </si>
  <si>
    <t>590514840</t>
  </si>
  <si>
    <t>lišt rohová PVC 10/10 cm s tkaninou bal. 2,5 m</t>
  </si>
  <si>
    <t>622143004</t>
  </si>
  <si>
    <t>Montáž omítkových začišťovacích (APU lišt)</t>
  </si>
  <si>
    <t>590514760</t>
  </si>
  <si>
    <t>profil okenní začišťovcí a parapetní s tkaninou</t>
  </si>
  <si>
    <t>622112121</t>
  </si>
  <si>
    <t xml:space="preserve">Montáž omítkových plastových nebo pozinovaných dilatačních profilů </t>
  </si>
  <si>
    <t>553430160</t>
  </si>
  <si>
    <t>profil omítkový dilatační pro omítky do 18 mm</t>
  </si>
  <si>
    <t>622252001</t>
  </si>
  <si>
    <t>Montáž zakládacích soklovýh profilů s okapničkou</t>
  </si>
  <si>
    <t>590514200</t>
  </si>
  <si>
    <t>lišta zakládací s okapničkou tl. 1,0 mm</t>
  </si>
  <si>
    <t>629995101</t>
  </si>
  <si>
    <t>Očištění vnějších ploch omytím tlakovou vodou</t>
  </si>
  <si>
    <t>619995001</t>
  </si>
  <si>
    <t>Začištění omítek kolem oken, dveří, podlah nebo obkladů</t>
  </si>
  <si>
    <t>169</t>
  </si>
  <si>
    <t>632453351</t>
  </si>
  <si>
    <t>Potěr betonový samonivelační C 25/30 tl. do 50mm</t>
  </si>
  <si>
    <t>30,41+9,72+9,89+5,79</t>
  </si>
  <si>
    <t>62999011</t>
  </si>
  <si>
    <t>Zakrytí výplní otvorů a svislých ploch fólií přilepenou lepící páskou</t>
  </si>
  <si>
    <t>891-R-111</t>
  </si>
  <si>
    <t>Dmtž, uskladnění a zpětná montáž propagačních prvků umíštěných na fasádě</t>
  </si>
  <si>
    <t>204</t>
  </si>
  <si>
    <t>949101111</t>
  </si>
  <si>
    <t>Lešení pomocné pro objekty pozemních staveb s lešeňovou podlahou v do 1,9 m zatížení do 150 kg/m2</t>
  </si>
  <si>
    <t>M2</t>
  </si>
  <si>
    <t>211</t>
  </si>
  <si>
    <t>952901111</t>
  </si>
  <si>
    <t>Vyčištění budov bytové a občanské výstavby při výšce podlaží do 4 m</t>
  </si>
  <si>
    <t>212</t>
  </si>
  <si>
    <t>941311112</t>
  </si>
  <si>
    <t>Montáž lešení řadového modulového lehkého zatížení do 200 kg/m2 š do 0,9 m v do 25 m</t>
  </si>
  <si>
    <t>216</t>
  </si>
  <si>
    <t>941311211</t>
  </si>
  <si>
    <t>Příplatek k lešení řadovému modulovému lehkému š 0,9 m v do 25 m za první a ZKD den použití</t>
  </si>
  <si>
    <t>217</t>
  </si>
  <si>
    <t>941311811</t>
  </si>
  <si>
    <t>Demontáž lešení řadového modulového lehkého zatížení do 200 kg/m2 š do 0,9 m v do 10 m</t>
  </si>
  <si>
    <t>218</t>
  </si>
  <si>
    <t>944511111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</si>
  <si>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</si>
  <si>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</si>
  <si>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</si>
  <si>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771273812</t>
  </si>
  <si>
    <t>Demontáž obkladů stupnic z dlaždic keramických lepených š do 350 mm</t>
  </si>
  <si>
    <t>227</t>
  </si>
  <si>
    <t>771273832</t>
  </si>
  <si>
    <t>Demontáž obkladů podstupnic z dlaždic keramických lepených v do 250 mm</t>
  </si>
  <si>
    <t>228</t>
  </si>
  <si>
    <t>771573810</t>
  </si>
  <si>
    <t>Demontáž podlah z dlaždic keramických lepených</t>
  </si>
  <si>
    <t>233</t>
  </si>
  <si>
    <t>953-R-111</t>
  </si>
  <si>
    <t>Zřízení okapového chodníku z dlaždice betonových 500x500x50 mm osazených do lože ŠP tl. 100 mm</t>
  </si>
  <si>
    <t>978-R-111</t>
  </si>
  <si>
    <t>Očištění vnějších ploch zídek z cihel bílých</t>
  </si>
  <si>
    <t>234</t>
  </si>
  <si>
    <t>978059641</t>
  </si>
  <si>
    <t>Odsekání a odebrání obkladů stěn včetně omítky až na zdivo z vnějších okladaček plochy přes 1 m2</t>
  </si>
  <si>
    <t>235</t>
  </si>
  <si>
    <t>978-R-112</t>
  </si>
  <si>
    <t>Provedení stříšek betonových plotových  zákrytových v 60mm na zídkách schodišťových š.300mm přírodních</t>
  </si>
  <si>
    <t>965041141</t>
  </si>
  <si>
    <t>Bourání mazanin tl. nad 100 mm plochy do 4 m2</t>
  </si>
  <si>
    <t>v.č.181016/S-02</t>
  </si>
  <si>
    <t>(30,41+9,72+9,89+5,79)*0,05</t>
  </si>
  <si>
    <t>963012520</t>
  </si>
  <si>
    <t>Bourání stropů z ŽB desek š přes 300 mm tl přes 140 mm</t>
  </si>
  <si>
    <t>3,6*3,3*0,15</t>
  </si>
  <si>
    <t>961031411</t>
  </si>
  <si>
    <t>Bourání základů cihelných na MC – bourání šachty na úroveň -0,6m od TÚ</t>
  </si>
  <si>
    <t>(3,6+2,4+3,6)*0,6*0,45</t>
  </si>
  <si>
    <t>977211112</t>
  </si>
  <si>
    <t>Řezání ŽB kcí hl. do 250 mm stěnovou piilou do průměru výztuže</t>
  </si>
  <si>
    <t>997013112</t>
  </si>
  <si>
    <t xml:space="preserve">Vnitrostaveništní doprava suti a vybouraných hmot pro budovy v do 9 m </t>
  </si>
  <si>
    <t>t</t>
  </si>
  <si>
    <t>250</t>
  </si>
  <si>
    <t>997013501</t>
  </si>
  <si>
    <t>Odvoz suti a vybouraných hmot na skládku nebo meziskládku do 1 km se složením</t>
  </si>
  <si>
    <t>251</t>
  </si>
  <si>
    <t>997013509</t>
  </si>
  <si>
    <t>Příplate k odvoz suti a vybouraných hmot na skládku ZDK 1 km</t>
  </si>
  <si>
    <t>997013841</t>
  </si>
  <si>
    <t>Poplatek za uložení netříděné stavební suti na skládce (skládkovné)</t>
  </si>
  <si>
    <t>252</t>
  </si>
  <si>
    <t>997221845</t>
  </si>
  <si>
    <t>Poplatek za uložení odpadu z asfaltových povrchů na skládce (skládkovné)</t>
  </si>
  <si>
    <t>998017002</t>
  </si>
  <si>
    <t>Přesun hmot s omezením mechanizace pro budovy v do 12 m</t>
  </si>
  <si>
    <t>403</t>
  </si>
  <si>
    <t>711111101</t>
  </si>
  <si>
    <t>Izolace proti vodě za studena svislé za studena nátěrem penetračním</t>
  </si>
  <si>
    <t>16</t>
  </si>
  <si>
    <t>400</t>
  </si>
  <si>
    <t>111631500</t>
  </si>
  <si>
    <t>lak asfaltoý penetrační (např. ALP/9 bal 9 kg)</t>
  </si>
  <si>
    <t>401</t>
  </si>
  <si>
    <t>7111415659</t>
  </si>
  <si>
    <t xml:space="preserve">Provedení izolace proti zemní vlhkosti pásy přitavením svislé NAIP </t>
  </si>
  <si>
    <t>628331580</t>
  </si>
  <si>
    <t>pás těžký asfaltový modofikovaný vyztužený skelnou rohoží minerální (např. Glasbit G 200 S 40)</t>
  </si>
  <si>
    <t>402</t>
  </si>
  <si>
    <t>998711202</t>
  </si>
  <si>
    <t>Přesun hmot pro izolace proti vodě, vlhkosti a plynům v objektech výšky do 12 m</t>
  </si>
  <si>
    <t>%</t>
  </si>
  <si>
    <t>399</t>
  </si>
  <si>
    <t>712311101</t>
  </si>
  <si>
    <t>Provedení povlakové krytina střech do 10°lakem asfaltovým</t>
  </si>
  <si>
    <t>v.č. 181016/S-22</t>
  </si>
  <si>
    <t>(12,525*22)*2+(3,713*6,4)*2+(11,4*22,205)+(11,4*5,6)</t>
  </si>
  <si>
    <t>712331111</t>
  </si>
  <si>
    <t>Provedení povlakové krytiny střech do 10°podkladní vrstvy pásy na sucho samolepící</t>
  </si>
  <si>
    <t>628662825</t>
  </si>
  <si>
    <t>podkladní pás asfaltový samolepící s přesahy</t>
  </si>
  <si>
    <t>712341559</t>
  </si>
  <si>
    <t>Provedení povlakové krytiny střech do 10°pásy NAIP přitavením v ploše</t>
  </si>
  <si>
    <t>628361090</t>
  </si>
  <si>
    <t>pás asfaltový modifikovaný SBS s nosnou vložkou z AL folie kašírovanou skleněnými vlákny s posypem</t>
  </si>
  <si>
    <t>712363421</t>
  </si>
  <si>
    <t>Provedení povlakové krytiny střech do 10°, mechanicky kotvené</t>
  </si>
  <si>
    <t>628522640</t>
  </si>
  <si>
    <t>pás asfaltový modifikovaný SBS s nosnou vložkou z polyesterové rohože s hrubozrnným posypem</t>
  </si>
  <si>
    <t>712363422</t>
  </si>
  <si>
    <t>Zapravení prostupů a otvorů ve střeše</t>
  </si>
  <si>
    <t>kus</t>
  </si>
  <si>
    <t>713141151</t>
  </si>
  <si>
    <t>Montáž izolace tepelné střech plochých kladené volně 1 vrstva rohoží, pásů, desek</t>
  </si>
  <si>
    <t>335</t>
  </si>
  <si>
    <t>283723140</t>
  </si>
  <si>
    <t>EPS 150S deska izolační  600x1000x130 mm</t>
  </si>
  <si>
    <t>336</t>
  </si>
  <si>
    <t>631537160</t>
  </si>
  <si>
    <t xml:space="preserve">EPS 150S deska izolační 600x1000x150 mm </t>
  </si>
  <si>
    <t>337</t>
  </si>
  <si>
    <t>998713202</t>
  </si>
  <si>
    <t>Přesun hmot pro izolace tepelné v objektech v do 12 m</t>
  </si>
  <si>
    <t>344</t>
  </si>
  <si>
    <t>723-R-111</t>
  </si>
  <si>
    <t>Úprava kohotku na fasádě</t>
  </si>
  <si>
    <t>723-R-112</t>
  </si>
  <si>
    <t>Úprava gajgrů vč. zústění do kanalizace po dokončení KZS</t>
  </si>
  <si>
    <t>730-R-111</t>
  </si>
  <si>
    <t>Vytápění - ohřev TUV - samostatný rozpočet</t>
  </si>
  <si>
    <t>751-R-111</t>
  </si>
  <si>
    <t>Vzduchotechnika - samostatný rozpočet</t>
  </si>
  <si>
    <t>764002851</t>
  </si>
  <si>
    <t>Demontáž oplechování parapetů do suti</t>
  </si>
  <si>
    <t>347</t>
  </si>
  <si>
    <t>764431830</t>
  </si>
  <si>
    <t>Demontáž oplechování atiky do suti</t>
  </si>
  <si>
    <t>348</t>
  </si>
  <si>
    <t>764711115</t>
  </si>
  <si>
    <t xml:space="preserve">Oplechování parapetů rovných FeZn poplast  rš 480 mm </t>
  </si>
  <si>
    <t>355</t>
  </si>
  <si>
    <t>764731116</t>
  </si>
  <si>
    <t>Oplechování atik FeZn poplast rš 750 mm</t>
  </si>
  <si>
    <t>356</t>
  </si>
  <si>
    <t>764-R-110</t>
  </si>
  <si>
    <t>Obklad OSB 15 deskou pod oplechování atiky mechanicky kotvenou vč. dodávky</t>
  </si>
  <si>
    <t>357</t>
  </si>
  <si>
    <t>764-R-111</t>
  </si>
  <si>
    <t>Dmtž a osazení nových komínků pro odvětrání do DN 125 s integrovanou  manžetou</t>
  </si>
  <si>
    <t>764-R-113</t>
  </si>
  <si>
    <t>Výšková úprava střešních dešťových vpustí</t>
  </si>
  <si>
    <t>359</t>
  </si>
  <si>
    <t>764-R-114</t>
  </si>
  <si>
    <t>Záchytný bezpečnostní systém (výkr.181016/S-23)</t>
  </si>
  <si>
    <t>360</t>
  </si>
  <si>
    <t>764-R-115</t>
  </si>
  <si>
    <t>Výměna odvětrávacích hlavic</t>
  </si>
  <si>
    <t>361</t>
  </si>
  <si>
    <t>764-R-116</t>
  </si>
  <si>
    <t>Demontáž svodů dl. Do 3,5m a mtž nových DN 125 vč. dodávky svodů a výměny gajgrů</t>
  </si>
  <si>
    <t>998764202</t>
  </si>
  <si>
    <t>Přesun hmot pro konstrukce klempířské v objektech v do 12 m</t>
  </si>
  <si>
    <t>354</t>
  </si>
  <si>
    <t>767-R-101</t>
  </si>
  <si>
    <t>Dmtž a zpětná mtž vlajkových úchytů na fasádě</t>
  </si>
  <si>
    <t>277</t>
  </si>
  <si>
    <t>767-R-102</t>
  </si>
  <si>
    <t>Úprava délky a způsobu kotvení zábradlí na terasách</t>
  </si>
  <si>
    <t>278</t>
  </si>
  <si>
    <t>767-R-103</t>
  </si>
  <si>
    <t>Dmtž madel schodišť</t>
  </si>
  <si>
    <t>279</t>
  </si>
  <si>
    <t>767-R-104</t>
  </si>
  <si>
    <t>Dmtž zábradlí bočních schodišť</t>
  </si>
  <si>
    <t>280</t>
  </si>
  <si>
    <t>767-R-111</t>
  </si>
  <si>
    <t>Dodávka a montáž  zábradlí z ocelových trubek 60-38 mm výška 1,1 m vč. povrchové úpravy nátěrem</t>
  </si>
  <si>
    <t>281</t>
  </si>
  <si>
    <t>767-R-112</t>
  </si>
  <si>
    <t>Dodávka a montáž madel z ocelových trubek 38 mm kotvených do fasády vč. povrchové úpravy nátěrem</t>
  </si>
  <si>
    <t>282</t>
  </si>
  <si>
    <t>767-R-113</t>
  </si>
  <si>
    <t>Dmtž oblokových markýz polykarbonátových</t>
  </si>
  <si>
    <t>283</t>
  </si>
  <si>
    <t>767-R-114</t>
  </si>
  <si>
    <t>D+M polykarbonátové obloukové stříšky nadedveřní 1500/930 mm tl. 5mm</t>
  </si>
  <si>
    <t>284</t>
  </si>
  <si>
    <t>D+M polykarbonátové obloukové stříšky nadedveřní 2500/900 mm tl. 5mm</t>
  </si>
  <si>
    <t>767-R-115</t>
  </si>
  <si>
    <t>D+M žebřík ocelový s košem</t>
  </si>
  <si>
    <t>998767202</t>
  </si>
  <si>
    <t>Přesun hmot pro zámečnické konstrukce v objektech v do 12 m</t>
  </si>
  <si>
    <t>276</t>
  </si>
  <si>
    <t>771274123</t>
  </si>
  <si>
    <t>Montáž obkladů stupnic z dlaždic protiskluzných keramických flexibilní lepidlo š do 300 mm</t>
  </si>
  <si>
    <t>286</t>
  </si>
  <si>
    <t>771274232</t>
  </si>
  <si>
    <t>Montáž obkladů podstupnic z dlaždic hladkých keramických flexibilní lepidlo v do 200 mm</t>
  </si>
  <si>
    <t>287</t>
  </si>
  <si>
    <t>771990112</t>
  </si>
  <si>
    <t>Vyrovnání podkladu samonivelační stěrkou tl 4 mm pevnosti 30 Mpa</t>
  </si>
  <si>
    <t>288</t>
  </si>
  <si>
    <t>771591175</t>
  </si>
  <si>
    <t>Montáž profilu ukončujícího pro dlažby vč. dodávky</t>
  </si>
  <si>
    <t>289</t>
  </si>
  <si>
    <t>771574351</t>
  </si>
  <si>
    <t>Montáž podlah keramických režných protiskluz lepených rychletuhnoucím flexi lepidlem do 50 ks/ m2</t>
  </si>
  <si>
    <t>292</t>
  </si>
  <si>
    <t>597864190</t>
  </si>
  <si>
    <t>schodovka slinutá mrazuvzdorná 300/300/9 mm protiskluzná R10</t>
  </si>
  <si>
    <t>597614190</t>
  </si>
  <si>
    <t>dlažba slinutá mrazuvzdorná formátu 300/300/9 mm protiskluzná R10</t>
  </si>
  <si>
    <t>297</t>
  </si>
  <si>
    <t>771591171</t>
  </si>
  <si>
    <t>Montáž profilu ukončujícího pro plynulý přechod povrchů</t>
  </si>
  <si>
    <t>294</t>
  </si>
  <si>
    <t>553432220</t>
  </si>
  <si>
    <t>lišta přechodová 30 mm, vrtaná, elox stříbrná</t>
  </si>
  <si>
    <t>295</t>
  </si>
  <si>
    <t>998771202</t>
  </si>
  <si>
    <t>Přesun hmot pro podlahy z dlaždic v objektech v do 12 m</t>
  </si>
  <si>
    <t>296</t>
  </si>
  <si>
    <t>786612200</t>
  </si>
  <si>
    <t>Montáž zastiňujících rolet z textilií nebo umělých tkanin, el. Ovládané – není předmětem VZ</t>
  </si>
  <si>
    <t>320</t>
  </si>
  <si>
    <t>786625221</t>
  </si>
  <si>
    <t>Montáž lamelové předokenní žaluzie C-80 do oken zdvojených kovových kyvných nebo otočných, el. ovládané vč. dodávky</t>
  </si>
  <si>
    <t>321</t>
  </si>
  <si>
    <t>M 21 - Montáže elektro</t>
  </si>
  <si>
    <t>M-21-001</t>
  </si>
  <si>
    <t>Demontáž hromosvodu</t>
  </si>
  <si>
    <t>M-21-002</t>
  </si>
  <si>
    <t>Demontáž svítidel na fasádě, úprava, zpětná montáž, revize</t>
  </si>
  <si>
    <t>M-21-003</t>
  </si>
  <si>
    <t>Přívody pro žaluzie a rolety CYKY 3x1,5mm vč. výseku a zapravení rýh a ostatního materiálu a revize</t>
  </si>
  <si>
    <t>M-21-004</t>
  </si>
  <si>
    <t>Elektro rozvody - samostatný rozpočet</t>
  </si>
  <si>
    <t>M-21-005</t>
  </si>
  <si>
    <t>Demontáž telefonního tabla na fasádě, úprava, zpětná montáž, revize</t>
  </si>
  <si>
    <t>M-21-006</t>
  </si>
  <si>
    <t>Demontáž antény, zpětná montáž vč. dodávky nového držáku antény, zaměření</t>
  </si>
  <si>
    <t xml:space="preserve"> ROZPOČET</t>
  </si>
  <si>
    <t>MŠ Renoirova č.p.648 , Praha 5 - Hlubočepy</t>
  </si>
  <si>
    <t>P.Č.</t>
  </si>
  <si>
    <t>Kód položky</t>
  </si>
  <si>
    <t>Množství celkem</t>
  </si>
  <si>
    <t>Dodávka celkem</t>
  </si>
  <si>
    <t>Montáž celkem</t>
  </si>
  <si>
    <t>VYTÁPĚNÍ - OHŘEV TUV</t>
  </si>
  <si>
    <t>Akumulační stojatý zásobník TUV  100 V 750 litrů</t>
  </si>
  <si>
    <t>Pojistná skupina dle ČSN 736660</t>
  </si>
  <si>
    <t>Závitové koleno</t>
  </si>
  <si>
    <t>Elektrická topná vložka 4-12 kW pro  100 - 750</t>
  </si>
  <si>
    <t>Solární kolektor Vitosol-FM, typ SV1F</t>
  </si>
  <si>
    <t>Spojovací trubky (2 ks)</t>
  </si>
  <si>
    <t>Sada jímky,připojovací potrubí 1m-2 ks se šroubením</t>
  </si>
  <si>
    <t>Odlučovač vzduchu, rychloodvzdušňovač</t>
  </si>
  <si>
    <t>Čerpadlová skupina Solar-Divicon PS 10 s VE čerpadlem</t>
  </si>
  <si>
    <t>5.0</t>
  </si>
  <si>
    <t>Regulace Vitosolic 100 typ SD1</t>
  </si>
  <si>
    <t>Čidlo teploty zásobníku NTC</t>
  </si>
  <si>
    <t>Vztyč.pro ploché střechy 25-60o, pro 4 kolektory</t>
  </si>
  <si>
    <t>Vztyč.pro ploché střechy 25-60o, pro 3 kolektory</t>
  </si>
  <si>
    <t>Solární expanzní  80 litrů, 10 bar</t>
  </si>
  <si>
    <t>Solární ruční plnící pumpička</t>
  </si>
  <si>
    <t>Teplonosné medium Tyfocor-LS 25 litrů</t>
  </si>
  <si>
    <t>Montáž</t>
  </si>
  <si>
    <t>Kulový kohout G 1"</t>
  </si>
  <si>
    <t>Vypouštěcí kohout G 1/2"</t>
  </si>
  <si>
    <t>6.0</t>
  </si>
  <si>
    <t>Montáž armatur</t>
  </si>
  <si>
    <t>6.01</t>
  </si>
  <si>
    <t>Ocelová trubka 32  x 3</t>
  </si>
  <si>
    <t>bm</t>
  </si>
  <si>
    <t>Tepelné izolace potrubí 32x3, tl. 25mm</t>
  </si>
  <si>
    <t>Montáž potrubí a tep.izolací</t>
  </si>
  <si>
    <t>Dodávka - Celkem</t>
  </si>
  <si>
    <t>Montáž - Celkem</t>
  </si>
  <si>
    <t>Celkem bez DPH</t>
  </si>
  <si>
    <t>VZDUCHOTECHNIKA</t>
  </si>
  <si>
    <t>Kompaktní vzduchotechnická jednotka v podstropním provedení</t>
  </si>
  <si>
    <t>pro přívod i odvod vzduchu s rekuperací tepla typ FGT 10</t>
  </si>
  <si>
    <t xml:space="preserve">Vp=Vo=700m3/h, dp=400Pa, Pv=2x0,33kW, Pov=1,0kW,230V </t>
  </si>
  <si>
    <t>sestava manžety,el.klapky,ventilátory přívodu a odvodu vzduchu,</t>
  </si>
  <si>
    <t>el.předehřívač vzduchu, rekuperátor,kompletní regulace apod.</t>
  </si>
  <si>
    <t xml:space="preserve">% </t>
  </si>
  <si>
    <t>Protidešťová žaluzie 600x400</t>
  </si>
  <si>
    <t>Výústky do kruhového potrubí vel.500x125 vč.regulace</t>
  </si>
  <si>
    <t>Výústky do kruhového potrubí vel.300x75 vč.regulace</t>
  </si>
  <si>
    <t>Mřížka pro osazení do dveří (2 ks)</t>
  </si>
  <si>
    <t>Potrubí čtyřhranné z pozinkovaného plechu sk.I , do 30% TK</t>
  </si>
  <si>
    <t>Potrubí Spiro - DN 315, do 30% TK</t>
  </si>
  <si>
    <t>Potrubí Spiro - DN 250, do 30% TK</t>
  </si>
  <si>
    <t>03</t>
  </si>
  <si>
    <t>03.01</t>
  </si>
  <si>
    <t>Demontáž stávajících jednotek vč. napojovacího pootrubí</t>
  </si>
  <si>
    <t>03.02</t>
  </si>
  <si>
    <t>Demontáž stávajícího odvětrání na fasádě, úprava a jeho zpětná montáž viz.v.č.181016/S-44</t>
  </si>
  <si>
    <t>zak.č.16114</t>
  </si>
  <si>
    <t>ELEKTROINSTALACE</t>
  </si>
  <si>
    <t>Číslo pol.</t>
  </si>
  <si>
    <t>Popis položky</t>
  </si>
  <si>
    <t>Materál / MJ</t>
  </si>
  <si>
    <t>Montáž / MJ</t>
  </si>
  <si>
    <t>Celkem mat.</t>
  </si>
  <si>
    <t>Celkem mont.</t>
  </si>
  <si>
    <t>trubka oheb.el.inst.(pod) typ 23- 16mm</t>
  </si>
  <si>
    <t>krab.pristrojova KU 68-1901</t>
  </si>
  <si>
    <t>krab.odbocna + vicko ,bez zap. KU 68 -1902</t>
  </si>
  <si>
    <t>ovladač žaluziový stiskací, 230V/10A, IP20,  s krytem</t>
  </si>
  <si>
    <t>svítidlo žárovkové 1x100W, IP44, nástěnné</t>
  </si>
  <si>
    <t>vnitřní videojednotka komunikační dom.systému (sběrnicová)</t>
  </si>
  <si>
    <t>venkovní videojednotka komunikační dom.systému (2 účastníci)</t>
  </si>
  <si>
    <t>elektrický zámek</t>
  </si>
  <si>
    <t>uzemn. v zemi FeZn 10 mm vc.svorek;propoj.aj.</t>
  </si>
  <si>
    <t>svod vodic AlMgSi 8mm, měkký</t>
  </si>
  <si>
    <t>jimaci tyc 1,5m delky, JR1,5-AlMgSi</t>
  </si>
  <si>
    <t>držák jimaci tyče DJD</t>
  </si>
  <si>
    <t>izolační tyč s příslušenstvím</t>
  </si>
  <si>
    <t>svorka SS</t>
  </si>
  <si>
    <t>svorka SZ</t>
  </si>
  <si>
    <t>svorka SK</t>
  </si>
  <si>
    <t>svorka SR3</t>
  </si>
  <si>
    <t>objimka ST</t>
  </si>
  <si>
    <t>podpera do zdiva PV1</t>
  </si>
  <si>
    <t>podpera na rovnou střechu PV21</t>
  </si>
  <si>
    <t>podpera na konstrukci PV32</t>
  </si>
  <si>
    <t>ochranny uhelnik nebo trubka s drzaky (do zdiva)</t>
  </si>
  <si>
    <t>Kabel CYKY 3-Ox1.5 mm2 750V (PO)</t>
  </si>
  <si>
    <t>Kabel CYKY 3-Jx1.5 mm2 750V (PO)</t>
  </si>
  <si>
    <t>Kabel CYKY 3-Jx4 mm2 750V (PO)</t>
  </si>
  <si>
    <t>Kabel CYKY 5-Jx6 mm2 750V (PO)</t>
  </si>
  <si>
    <t>Vodič CY  4 mm2 (PU)</t>
  </si>
  <si>
    <t>datový kabel U/UTP Cat.6</t>
  </si>
  <si>
    <t>Kabel J-Y(St)Y 2x2x0,8mm</t>
  </si>
  <si>
    <t>Úprava rozvaděče RH</t>
  </si>
  <si>
    <t>Úprava rozvaděče R1</t>
  </si>
  <si>
    <t>Úprava rozvaděče R2.1</t>
  </si>
  <si>
    <t>Úprava rozvaděče R2.4</t>
  </si>
  <si>
    <t>Demontáže</t>
  </si>
  <si>
    <t>hod.</t>
  </si>
  <si>
    <t>Zemní práce</t>
  </si>
  <si>
    <t>Zednické práce (sekání rýh, průrazy,...)</t>
  </si>
  <si>
    <t>Zákres skutečného provedení</t>
  </si>
  <si>
    <t>Výchozí revize</t>
  </si>
  <si>
    <t>SOUČET</t>
  </si>
  <si>
    <t>CELKEM BEZ DPH</t>
  </si>
  <si>
    <t>v.č.181016/S15</t>
  </si>
  <si>
    <t>Příplatek za příplatkový odstín 50Kč v.č.181016/S50</t>
  </si>
  <si>
    <t>Vápenocementová omítka jednovrstvá zatřená vnitřních stěn nanášená ručně vč.malby</t>
  </si>
  <si>
    <t>30,41+9,72+9,89+5.79</t>
  </si>
  <si>
    <t>Montáž zateplení podhledů suterénu z polystyrénových desek tl do 100mm. vč. potažení ploch sklovláknitým pletivem vtlačeným do hmoty, s tenkovrstvou štukovou omítkou vč.malby</t>
  </si>
  <si>
    <t>Stavební přípomoce vč.181016/S-16,17/vyb.otvoru,začištění,malba/</t>
  </si>
  <si>
    <t>Stavební přípomoce (viz. v.č.181016/S-18,19,20,21)/vyb.otvoru, začištění,malba/</t>
  </si>
  <si>
    <t>Studio Perspektiv, s.r.o.</t>
  </si>
  <si>
    <t>Městská část Praha 5</t>
  </si>
  <si>
    <t xml:space="preserve">„Snížení energetické náročnosti MŠ Renoirova“ </t>
  </si>
  <si>
    <t>00063631</t>
  </si>
  <si>
    <t>CZ00063631</t>
  </si>
  <si>
    <t>02696622</t>
  </si>
  <si>
    <t>CZ02696622</t>
  </si>
  <si>
    <t>Dokumentace skutečného provedení stavby, vč. PENB</t>
  </si>
  <si>
    <t>767-R-117</t>
  </si>
  <si>
    <t>Konstrukce pro střešní kolektory,včetně vybourání stávající konstrukce,vyrovnání cem, potěrem , osazení,utěsnění a oplechování a vložení asf.pásu viz v.č.181016/S53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</si>
</sst>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;\-#,##0.00"/>
    <numFmt numFmtId="166" formatCode="0.00%;\-0.00%"/>
    <numFmt numFmtId="167" formatCode="dd\.mm\.yyyy"/>
    <numFmt numFmtId="168" formatCode="#,##0.00000;\-#,##0.00000"/>
    <numFmt numFmtId="169" formatCode="#,##0.000;\-#,##0.000"/>
    <numFmt numFmtId="170" formatCode="#,##0;\-#,##0"/>
    <numFmt numFmtId="171" formatCode="mmm\ dd"/>
    <numFmt numFmtId="172" formatCode="#,##0\ [$Kč-405];\-#,##0\ [$Kč-405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86">
    <font>
      <sz val="8"/>
      <name val="Trebuchet MS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30"/>
      <name val="Trebuchet MS"/>
      <family val="2"/>
    </font>
    <font>
      <u val="single"/>
      <sz val="8"/>
      <color indexed="30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30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23"/>
      <name val="Trebuchet MS"/>
      <family val="2"/>
    </font>
    <font>
      <i/>
      <sz val="8"/>
      <name val="Trebuchet MS"/>
      <family val="2"/>
    </font>
    <font>
      <i/>
      <sz val="8"/>
      <color indexed="55"/>
      <name val="Trebuchet MS"/>
      <family val="2"/>
    </font>
    <font>
      <i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9" fillId="0" borderId="0" applyNumberFormat="0" applyFill="0" applyBorder="0">
      <alignment vertical="top" wrapText="1"/>
      <protection locked="0"/>
    </xf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9" fillId="0" borderId="7" applyNumberFormat="0" applyFill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8" fillId="33" borderId="0" xfId="38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4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4" fillId="34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0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5" fontId="22" fillId="0" borderId="22" xfId="0" applyNumberFormat="1" applyFont="1" applyBorder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168" fontId="22" fillId="0" borderId="0" xfId="0" applyNumberFormat="1" applyFont="1" applyAlignment="1">
      <alignment horizontal="right" vertical="center"/>
    </xf>
    <xf numFmtId="165" fontId="22" fillId="0" borderId="23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38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165" fontId="29" fillId="0" borderId="22" xfId="0" applyNumberFormat="1" applyFont="1" applyBorder="1" applyAlignment="1">
      <alignment horizontal="right" vertical="center"/>
    </xf>
    <xf numFmtId="165" fontId="29" fillId="0" borderId="0" xfId="0" applyNumberFormat="1" applyFont="1" applyAlignment="1">
      <alignment horizontal="right" vertical="center"/>
    </xf>
    <xf numFmtId="168" fontId="29" fillId="0" borderId="0" xfId="0" applyNumberFormat="1" applyFont="1" applyAlignment="1">
      <alignment horizontal="right" vertical="center"/>
    </xf>
    <xf numFmtId="165" fontId="29" fillId="0" borderId="23" xfId="0" applyNumberFormat="1" applyFont="1" applyBorder="1" applyAlignment="1">
      <alignment horizontal="right" vertical="center"/>
    </xf>
    <xf numFmtId="0" fontId="23" fillId="34" borderId="0" xfId="0" applyFont="1" applyFill="1" applyAlignment="1">
      <alignment horizontal="left" vertical="center"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4" fillId="34" borderId="18" xfId="0" applyFont="1" applyFill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8" fontId="31" fillId="0" borderId="20" xfId="0" applyNumberFormat="1" applyFont="1" applyBorder="1" applyAlignment="1">
      <alignment horizontal="right"/>
    </xf>
    <xf numFmtId="168" fontId="31" fillId="0" borderId="21" xfId="0" applyNumberFormat="1" applyFont="1" applyBorder="1" applyAlignment="1">
      <alignment horizontal="right"/>
    </xf>
    <xf numFmtId="165" fontId="3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3" fillId="0" borderId="13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22" xfId="0" applyFont="1" applyBorder="1" applyAlignment="1">
      <alignment horizontal="left"/>
    </xf>
    <xf numFmtId="168" fontId="33" fillId="0" borderId="0" xfId="0" applyNumberFormat="1" applyFont="1" applyAlignment="1">
      <alignment horizontal="right"/>
    </xf>
    <xf numFmtId="168" fontId="33" fillId="0" borderId="23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165" fontId="33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9" fontId="0" fillId="0" borderId="33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horizontal="left" vertical="center"/>
    </xf>
    <xf numFmtId="168" fontId="17" fillId="0" borderId="0" xfId="0" applyNumberFormat="1" applyFont="1" applyAlignment="1">
      <alignment horizontal="right" vertical="center"/>
    </xf>
    <xf numFmtId="168" fontId="17" fillId="0" borderId="23" xfId="0" applyNumberFormat="1" applyFont="1" applyBorder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0" fontId="17" fillId="0" borderId="25" xfId="0" applyFont="1" applyBorder="1" applyAlignment="1">
      <alignment horizontal="center" vertical="center"/>
    </xf>
    <xf numFmtId="168" fontId="17" fillId="0" borderId="25" xfId="0" applyNumberFormat="1" applyFont="1" applyBorder="1" applyAlignment="1">
      <alignment horizontal="right" vertical="center"/>
    </xf>
    <xf numFmtId="168" fontId="17" fillId="0" borderId="26" xfId="0" applyNumberFormat="1" applyFont="1" applyBorder="1" applyAlignment="1">
      <alignment horizontal="right" vertical="center"/>
    </xf>
    <xf numFmtId="0" fontId="0" fillId="35" borderId="33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left" vertical="center" wrapText="1"/>
    </xf>
    <xf numFmtId="0" fontId="34" fillId="0" borderId="33" xfId="0" applyFont="1" applyBorder="1" applyAlignment="1">
      <alignment horizontal="center" vertical="center" wrapText="1"/>
    </xf>
    <xf numFmtId="169" fontId="34" fillId="0" borderId="33" xfId="0" applyNumberFormat="1" applyFont="1" applyBorder="1" applyAlignment="1">
      <alignment horizontal="right" vertical="center"/>
    </xf>
    <xf numFmtId="0" fontId="34" fillId="0" borderId="14" xfId="0" applyFont="1" applyBorder="1" applyAlignment="1">
      <alignment horizontal="left" vertical="center"/>
    </xf>
    <xf numFmtId="0" fontId="34" fillId="0" borderId="33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168" fontId="34" fillId="0" borderId="0" xfId="0" applyNumberFormat="1" applyFont="1" applyAlignment="1">
      <alignment horizontal="right" vertical="center"/>
    </xf>
    <xf numFmtId="168" fontId="34" fillId="0" borderId="23" xfId="0" applyNumberFormat="1" applyFont="1" applyBorder="1" applyAlignment="1">
      <alignment horizontal="right" vertical="center"/>
    </xf>
    <xf numFmtId="165" fontId="34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33" xfId="0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 wrapText="1"/>
    </xf>
    <xf numFmtId="169" fontId="35" fillId="0" borderId="33" xfId="0" applyNumberFormat="1" applyFont="1" applyBorder="1" applyAlignment="1">
      <alignment horizontal="right" vertical="center"/>
    </xf>
    <xf numFmtId="0" fontId="35" fillId="0" borderId="14" xfId="0" applyFont="1" applyBorder="1" applyAlignment="1">
      <alignment horizontal="left" vertical="center"/>
    </xf>
    <xf numFmtId="0" fontId="36" fillId="0" borderId="33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168" fontId="36" fillId="0" borderId="0" xfId="0" applyNumberFormat="1" applyFont="1" applyAlignment="1">
      <alignment horizontal="right" vertical="center"/>
    </xf>
    <xf numFmtId="168" fontId="36" fillId="0" borderId="23" xfId="0" applyNumberFormat="1" applyFont="1" applyBorder="1" applyAlignment="1">
      <alignment horizontal="right" vertical="center"/>
    </xf>
    <xf numFmtId="165" fontId="35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9" fontId="38" fillId="0" borderId="33" xfId="0" applyNumberFormat="1" applyFont="1" applyBorder="1" applyAlignment="1">
      <alignment horizontal="right" vertical="center"/>
    </xf>
    <xf numFmtId="169" fontId="37" fillId="0" borderId="33" xfId="0" applyNumberFormat="1" applyFont="1" applyBorder="1" applyAlignment="1">
      <alignment horizontal="right" vertical="center"/>
    </xf>
    <xf numFmtId="0" fontId="35" fillId="35" borderId="33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68" fontId="17" fillId="0" borderId="0" xfId="0" applyNumberFormat="1" applyFont="1" applyBorder="1" applyAlignment="1">
      <alignment horizontal="right" vertical="center"/>
    </xf>
    <xf numFmtId="170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16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39" fillId="36" borderId="0" xfId="0" applyFont="1" applyFill="1" applyBorder="1" applyAlignment="1" applyProtection="1">
      <alignment horizontal="left"/>
      <protection/>
    </xf>
    <xf numFmtId="0" fontId="40" fillId="36" borderId="0" xfId="0" applyFont="1" applyFill="1" applyBorder="1" applyAlignment="1" applyProtection="1">
      <alignment horizontal="left"/>
      <protection/>
    </xf>
    <xf numFmtId="0" fontId="40" fillId="36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41" fillId="35" borderId="34" xfId="0" applyFont="1" applyFill="1" applyBorder="1" applyAlignment="1" applyProtection="1">
      <alignment horizontal="center" vertical="center" wrapText="1"/>
      <protection/>
    </xf>
    <xf numFmtId="0" fontId="41" fillId="35" borderId="35" xfId="0" applyFont="1" applyFill="1" applyBorder="1" applyAlignment="1" applyProtection="1">
      <alignment horizontal="center" vertical="center" wrapText="1"/>
      <protection/>
    </xf>
    <xf numFmtId="0" fontId="41" fillId="35" borderId="36" xfId="0" applyFont="1" applyFill="1" applyBorder="1" applyAlignment="1" applyProtection="1">
      <alignment horizontal="center" vertical="center" wrapText="1"/>
      <protection/>
    </xf>
    <xf numFmtId="0" fontId="41" fillId="35" borderId="37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left" vertical="top"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41" fillId="35" borderId="38" xfId="0" applyFont="1" applyFill="1" applyBorder="1" applyAlignment="1" applyProtection="1">
      <alignment horizontal="center" vertical="center" wrapText="1"/>
      <protection/>
    </xf>
    <xf numFmtId="0" fontId="41" fillId="35" borderId="39" xfId="0" applyFont="1" applyFill="1" applyBorder="1" applyAlignment="1" applyProtection="1">
      <alignment horizontal="center" vertical="center" wrapText="1"/>
      <protection/>
    </xf>
    <xf numFmtId="170" fontId="42" fillId="0" borderId="4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9" fillId="35" borderId="0" xfId="0" applyFont="1" applyFill="1" applyBorder="1" applyAlignment="1">
      <alignment horizontal="left" wrapText="1"/>
    </xf>
    <xf numFmtId="0" fontId="42" fillId="0" borderId="0" xfId="0" applyFont="1" applyBorder="1" applyAlignment="1">
      <alignment horizontal="center" wrapText="1"/>
    </xf>
    <xf numFmtId="169" fontId="42" fillId="0" borderId="0" xfId="0" applyNumberFormat="1" applyFont="1" applyBorder="1" applyAlignment="1">
      <alignment horizontal="center"/>
    </xf>
    <xf numFmtId="169" fontId="42" fillId="0" borderId="41" xfId="0" applyNumberFormat="1" applyFont="1" applyBorder="1" applyAlignment="1">
      <alignment horizontal="center"/>
    </xf>
    <xf numFmtId="170" fontId="1" fillId="0" borderId="36" xfId="0" applyNumberFormat="1" applyFont="1" applyBorder="1" applyAlignment="1">
      <alignment horizontal="center" vertical="top"/>
    </xf>
    <xf numFmtId="171" fontId="1" fillId="0" borderId="36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center" vertical="top" wrapText="1"/>
    </xf>
    <xf numFmtId="169" fontId="1" fillId="0" borderId="36" xfId="0" applyNumberFormat="1" applyFont="1" applyBorder="1" applyAlignment="1">
      <alignment horizontal="center" vertical="top"/>
    </xf>
    <xf numFmtId="165" fontId="1" fillId="0" borderId="36" xfId="0" applyNumberFormat="1" applyFont="1" applyBorder="1" applyAlignment="1">
      <alignment horizontal="center" vertical="top"/>
    </xf>
    <xf numFmtId="0" fontId="0" fillId="0" borderId="42" xfId="0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44" fillId="0" borderId="42" xfId="0" applyFont="1" applyBorder="1" applyAlignment="1">
      <alignment horizontal="left" vertical="top"/>
    </xf>
    <xf numFmtId="0" fontId="44" fillId="0" borderId="36" xfId="0" applyFont="1" applyBorder="1" applyAlignment="1">
      <alignment horizontal="left" vertical="top"/>
    </xf>
    <xf numFmtId="0" fontId="44" fillId="0" borderId="43" xfId="0" applyFont="1" applyBorder="1" applyAlignment="1">
      <alignment horizontal="left" vertical="top"/>
    </xf>
    <xf numFmtId="0" fontId="44" fillId="0" borderId="38" xfId="0" applyFont="1" applyBorder="1" applyAlignment="1">
      <alignment horizontal="left" vertical="top"/>
    </xf>
    <xf numFmtId="0" fontId="44" fillId="0" borderId="44" xfId="0" applyFont="1" applyBorder="1" applyAlignment="1">
      <alignment horizontal="left" vertical="top"/>
    </xf>
    <xf numFmtId="0" fontId="44" fillId="0" borderId="45" xfId="0" applyFont="1" applyBorder="1" applyAlignment="1">
      <alignment horizontal="left" vertical="top"/>
    </xf>
    <xf numFmtId="49" fontId="1" fillId="0" borderId="36" xfId="0" applyNumberFormat="1" applyFont="1" applyBorder="1" applyAlignment="1">
      <alignment horizontal="center" vertical="top" wrapText="1"/>
    </xf>
    <xf numFmtId="0" fontId="45" fillId="0" borderId="36" xfId="0" applyFont="1" applyBorder="1" applyAlignment="1">
      <alignment horizontal="left" wrapText="1"/>
    </xf>
    <xf numFmtId="0" fontId="45" fillId="0" borderId="36" xfId="0" applyFont="1" applyBorder="1" applyAlignment="1">
      <alignment horizontal="center" vertical="top" wrapText="1"/>
    </xf>
    <xf numFmtId="169" fontId="45" fillId="0" borderId="36" xfId="0" applyNumberFormat="1" applyFont="1" applyBorder="1" applyAlignment="1">
      <alignment horizontal="center" vertical="top"/>
    </xf>
    <xf numFmtId="165" fontId="45" fillId="0" borderId="36" xfId="0" applyNumberFormat="1" applyFont="1" applyBorder="1" applyAlignment="1">
      <alignment horizontal="center" vertical="top"/>
    </xf>
    <xf numFmtId="170" fontId="1" fillId="0" borderId="38" xfId="0" applyNumberFormat="1" applyFont="1" applyBorder="1" applyAlignment="1">
      <alignment horizontal="center" vertical="top"/>
    </xf>
    <xf numFmtId="171" fontId="1" fillId="0" borderId="38" xfId="0" applyNumberFormat="1" applyFont="1" applyBorder="1" applyAlignment="1">
      <alignment horizontal="center" vertical="top" wrapText="1"/>
    </xf>
    <xf numFmtId="0" fontId="45" fillId="0" borderId="38" xfId="0" applyFont="1" applyBorder="1" applyAlignment="1">
      <alignment horizontal="left" wrapText="1"/>
    </xf>
    <xf numFmtId="0" fontId="45" fillId="0" borderId="38" xfId="0" applyFont="1" applyBorder="1" applyAlignment="1">
      <alignment horizontal="center" vertical="top" wrapText="1"/>
    </xf>
    <xf numFmtId="169" fontId="45" fillId="0" borderId="38" xfId="0" applyNumberFormat="1" applyFont="1" applyBorder="1" applyAlignment="1">
      <alignment horizontal="center" vertical="top"/>
    </xf>
    <xf numFmtId="165" fontId="45" fillId="0" borderId="38" xfId="0" applyNumberFormat="1" applyFont="1" applyBorder="1" applyAlignment="1">
      <alignment horizontal="center" vertical="top"/>
    </xf>
    <xf numFmtId="165" fontId="45" fillId="0" borderId="38" xfId="0" applyNumberFormat="1" applyFont="1" applyBorder="1" applyAlignment="1">
      <alignment horizontal="center"/>
    </xf>
    <xf numFmtId="0" fontId="46" fillId="0" borderId="36" xfId="0" applyFont="1" applyBorder="1" applyAlignment="1">
      <alignment horizontal="left" vertical="top" wrapText="1"/>
    </xf>
    <xf numFmtId="165" fontId="46" fillId="0" borderId="36" xfId="0" applyNumberFormat="1" applyFont="1" applyBorder="1" applyAlignment="1">
      <alignment horizontal="center" vertical="top"/>
    </xf>
    <xf numFmtId="165" fontId="42" fillId="0" borderId="0" xfId="0" applyNumberFormat="1" applyFont="1" applyBorder="1" applyAlignment="1">
      <alignment horizontal="center"/>
    </xf>
    <xf numFmtId="165" fontId="42" fillId="0" borderId="41" xfId="0" applyNumberFormat="1" applyFont="1" applyBorder="1" applyAlignment="1">
      <alignment horizontal="center"/>
    </xf>
    <xf numFmtId="170" fontId="1" fillId="0" borderId="36" xfId="0" applyNumberFormat="1" applyFont="1" applyBorder="1" applyAlignment="1">
      <alignment horizontal="center"/>
    </xf>
    <xf numFmtId="171" fontId="1" fillId="0" borderId="36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169" fontId="1" fillId="0" borderId="36" xfId="0" applyNumberFormat="1" applyFont="1" applyBorder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165" fontId="45" fillId="0" borderId="36" xfId="0" applyNumberFormat="1" applyFont="1" applyBorder="1" applyAlignment="1">
      <alignment horizontal="center"/>
    </xf>
    <xf numFmtId="0" fontId="44" fillId="0" borderId="46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 wrapText="1"/>
    </xf>
    <xf numFmtId="0" fontId="47" fillId="0" borderId="0" xfId="50" applyFont="1">
      <alignment/>
      <protection/>
    </xf>
    <xf numFmtId="0" fontId="3" fillId="0" borderId="0" xfId="50">
      <alignment/>
      <protection/>
    </xf>
    <xf numFmtId="0" fontId="48" fillId="0" borderId="0" xfId="50" applyFont="1" applyAlignment="1">
      <alignment horizontal="right"/>
      <protection/>
    </xf>
    <xf numFmtId="0" fontId="49" fillId="0" borderId="0" xfId="50" applyFont="1">
      <alignment/>
      <protection/>
    </xf>
    <xf numFmtId="0" fontId="50" fillId="0" borderId="47" xfId="50" applyFont="1" applyFill="1" applyBorder="1" applyAlignment="1">
      <alignment horizontal="center"/>
      <protection/>
    </xf>
    <xf numFmtId="0" fontId="48" fillId="0" borderId="47" xfId="50" applyFont="1" applyFill="1" applyBorder="1" applyAlignment="1">
      <alignment horizontal="center"/>
      <protection/>
    </xf>
    <xf numFmtId="0" fontId="50" fillId="0" borderId="34" xfId="50" applyFont="1" applyFill="1" applyBorder="1" applyAlignment="1">
      <alignment horizontal="center" wrapText="1"/>
      <protection/>
    </xf>
    <xf numFmtId="0" fontId="50" fillId="0" borderId="34" xfId="50" applyFont="1" applyFill="1" applyBorder="1" applyAlignment="1">
      <alignment horizontal="left" wrapText="1" indent="1"/>
      <protection/>
    </xf>
    <xf numFmtId="0" fontId="50" fillId="0" borderId="34" xfId="50" applyFont="1" applyFill="1" applyBorder="1" applyAlignment="1">
      <alignment horizontal="right" wrapText="1"/>
      <protection/>
    </xf>
    <xf numFmtId="0" fontId="50" fillId="0" borderId="34" xfId="50" applyFont="1" applyFill="1" applyBorder="1" applyAlignment="1">
      <alignment horizontal="left" wrapText="1"/>
      <protection/>
    </xf>
    <xf numFmtId="4" fontId="48" fillId="0" borderId="34" xfId="50" applyNumberFormat="1" applyFont="1" applyBorder="1">
      <alignment/>
      <protection/>
    </xf>
    <xf numFmtId="0" fontId="50" fillId="0" borderId="35" xfId="50" applyFont="1" applyFill="1" applyBorder="1" applyAlignment="1">
      <alignment horizontal="left" wrapText="1" indent="1"/>
      <protection/>
    </xf>
    <xf numFmtId="0" fontId="50" fillId="0" borderId="48" xfId="50" applyFont="1" applyFill="1" applyBorder="1" applyAlignment="1">
      <alignment horizontal="right" wrapText="1"/>
      <protection/>
    </xf>
    <xf numFmtId="0" fontId="50" fillId="0" borderId="48" xfId="50" applyFont="1" applyFill="1" applyBorder="1" applyAlignment="1">
      <alignment horizontal="left" wrapText="1"/>
      <protection/>
    </xf>
    <xf numFmtId="4" fontId="48" fillId="0" borderId="48" xfId="50" applyNumberFormat="1" applyFont="1" applyBorder="1">
      <alignment/>
      <protection/>
    </xf>
    <xf numFmtId="4" fontId="48" fillId="0" borderId="49" xfId="50" applyNumberFormat="1" applyFont="1" applyBorder="1">
      <alignment/>
      <protection/>
    </xf>
    <xf numFmtId="172" fontId="48" fillId="0" borderId="34" xfId="50" applyNumberFormat="1" applyFont="1" applyBorder="1">
      <alignment/>
      <protection/>
    </xf>
    <xf numFmtId="172" fontId="51" fillId="0" borderId="34" xfId="50" applyNumberFormat="1" applyFont="1" applyBorder="1">
      <alignment/>
      <protection/>
    </xf>
    <xf numFmtId="0" fontId="13" fillId="37" borderId="0" xfId="0" applyFont="1" applyFill="1" applyAlignment="1">
      <alignment horizontal="left" vertical="center"/>
    </xf>
    <xf numFmtId="0" fontId="0" fillId="37" borderId="0" xfId="0" applyFont="1" applyFill="1" applyAlignment="1">
      <alignment horizontal="left" vertical="center"/>
    </xf>
    <xf numFmtId="14" fontId="13" fillId="37" borderId="0" xfId="0" applyNumberFormat="1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top"/>
    </xf>
    <xf numFmtId="49" fontId="13" fillId="37" borderId="0" xfId="0" applyNumberFormat="1" applyFont="1" applyFill="1" applyAlignment="1">
      <alignment horizontal="left" vertical="center"/>
    </xf>
    <xf numFmtId="0" fontId="0" fillId="37" borderId="0" xfId="0" applyFill="1" applyAlignment="1">
      <alignment horizontal="left" vertical="top"/>
    </xf>
    <xf numFmtId="0" fontId="0" fillId="38" borderId="33" xfId="0" applyFont="1" applyFill="1" applyBorder="1" applyAlignment="1">
      <alignment horizontal="center" vertical="center"/>
    </xf>
    <xf numFmtId="165" fontId="23" fillId="34" borderId="0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165" fontId="28" fillId="0" borderId="0" xfId="0" applyNumberFormat="1" applyFont="1" applyBorder="1" applyAlignment="1">
      <alignment horizontal="right" vertical="center"/>
    </xf>
    <xf numFmtId="165" fontId="23" fillId="0" borderId="0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50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left" vertical="center"/>
    </xf>
    <xf numFmtId="165" fontId="14" fillId="34" borderId="5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67" fontId="13" fillId="37" borderId="0" xfId="0" applyNumberFormat="1" applyFont="1" applyFill="1" applyBorder="1" applyAlignment="1">
      <alignment horizontal="left" vertical="top"/>
    </xf>
    <xf numFmtId="166" fontId="17" fillId="0" borderId="0" xfId="0" applyNumberFormat="1" applyFont="1" applyBorder="1" applyAlignment="1">
      <alignment horizontal="right" vertical="center"/>
    </xf>
    <xf numFmtId="165" fontId="18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16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165" fontId="0" fillId="0" borderId="33" xfId="0" applyNumberFormat="1" applyFont="1" applyBorder="1" applyAlignment="1">
      <alignment horizontal="right" vertical="center"/>
    </xf>
    <xf numFmtId="165" fontId="30" fillId="0" borderId="0" xfId="0" applyNumberFormat="1" applyFont="1" applyBorder="1" applyAlignment="1">
      <alignment horizontal="right"/>
    </xf>
    <xf numFmtId="0" fontId="13" fillId="34" borderId="31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165" fontId="30" fillId="0" borderId="0" xfId="0" applyNumberFormat="1" applyFont="1" applyBorder="1" applyAlignment="1">
      <alignment horizontal="right" vertical="center"/>
    </xf>
    <xf numFmtId="0" fontId="13" fillId="34" borderId="0" xfId="0" applyFont="1" applyFill="1" applyBorder="1" applyAlignment="1">
      <alignment horizontal="center" vertical="center"/>
    </xf>
    <xf numFmtId="165" fontId="17" fillId="0" borderId="0" xfId="0" applyNumberFormat="1" applyFont="1" applyBorder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0" fontId="8" fillId="33" borderId="0" xfId="38" applyNumberFormat="1" applyFont="1" applyFill="1" applyBorder="1" applyAlignment="1" applyProtection="1">
      <alignment horizontal="center" vertical="center"/>
      <protection/>
    </xf>
    <xf numFmtId="0" fontId="35" fillId="0" borderId="33" xfId="0" applyFont="1" applyBorder="1" applyAlignment="1">
      <alignment horizontal="left" vertical="center" wrapText="1"/>
    </xf>
    <xf numFmtId="165" fontId="35" fillId="0" borderId="33" xfId="0" applyNumberFormat="1" applyFont="1" applyBorder="1" applyAlignment="1">
      <alignment horizontal="right" vertical="center"/>
    </xf>
    <xf numFmtId="0" fontId="34" fillId="0" borderId="33" xfId="0" applyFont="1" applyBorder="1" applyAlignment="1">
      <alignment horizontal="left" vertical="center" wrapText="1"/>
    </xf>
    <xf numFmtId="165" fontId="34" fillId="0" borderId="33" xfId="0" applyNumberFormat="1" applyFont="1" applyBorder="1" applyAlignment="1">
      <alignment horizontal="right" vertical="center"/>
    </xf>
    <xf numFmtId="0" fontId="37" fillId="0" borderId="33" xfId="0" applyFont="1" applyBorder="1" applyAlignment="1">
      <alignment horizontal="left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elektro" xfId="50"/>
    <cellStyle name="Poznámka" xfId="51"/>
    <cellStyle name="Percent" xfId="52"/>
    <cellStyle name="Propojená buňka" xfId="53"/>
    <cellStyle name="Result" xfId="54"/>
    <cellStyle name="Result2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tabSelected="1" zoomScalePageLayoutView="0" workbookViewId="0" topLeftCell="B1">
      <pane ySplit="1" topLeftCell="A2" activePane="bottomLeft" state="frozen"/>
      <selection pane="topLeft" activeCell="B1" sqref="B1"/>
      <selection pane="bottomLeft" activeCell="K6" sqref="K6:AO6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7" customFormat="1" ht="22.5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4"/>
      <c r="AH1" s="4"/>
      <c r="BA1" s="8" t="s">
        <v>4</v>
      </c>
      <c r="BB1" s="8"/>
      <c r="BT1" s="8" t="s">
        <v>5</v>
      </c>
      <c r="BU1" s="8" t="s">
        <v>5</v>
      </c>
    </row>
    <row r="2" spans="3:72" s="1" customFormat="1" ht="37.5" customHeight="1">
      <c r="C2" s="262" t="s">
        <v>6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R2" s="263" t="s">
        <v>7</v>
      </c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S2" s="9" t="s">
        <v>8</v>
      </c>
      <c r="BT2" s="9" t="s">
        <v>9</v>
      </c>
    </row>
    <row r="3" spans="2:72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2:71" s="1" customFormat="1" ht="37.5" customHeight="1">
      <c r="B4" s="13"/>
      <c r="C4" s="255" t="s">
        <v>11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14"/>
      <c r="AS4" s="15" t="s">
        <v>12</v>
      </c>
      <c r="BS4" s="9" t="s">
        <v>13</v>
      </c>
    </row>
    <row r="5" spans="2:71" s="1" customFormat="1" ht="15" customHeight="1">
      <c r="B5" s="13"/>
      <c r="D5" s="16" t="s">
        <v>14</v>
      </c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Q5" s="14"/>
      <c r="BS5" s="9" t="s">
        <v>8</v>
      </c>
    </row>
    <row r="6" spans="2:71" s="1" customFormat="1" ht="37.5" customHeight="1">
      <c r="B6" s="13"/>
      <c r="D6" s="17" t="s">
        <v>15</v>
      </c>
      <c r="K6" s="264" t="s">
        <v>669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Q6" s="14"/>
      <c r="BS6" s="9" t="s">
        <v>16</v>
      </c>
    </row>
    <row r="7" spans="2:71" s="1" customFormat="1" ht="15" customHeight="1">
      <c r="B7" s="13"/>
      <c r="D7" s="18" t="s">
        <v>17</v>
      </c>
      <c r="K7" s="19"/>
      <c r="AK7" s="18" t="s">
        <v>18</v>
      </c>
      <c r="AN7" s="19"/>
      <c r="AQ7" s="14"/>
      <c r="BS7" s="9" t="s">
        <v>19</v>
      </c>
    </row>
    <row r="8" spans="2:71" s="1" customFormat="1" ht="15" customHeight="1">
      <c r="B8" s="13"/>
      <c r="D8" s="18" t="s">
        <v>20</v>
      </c>
      <c r="K8" s="19" t="s">
        <v>21</v>
      </c>
      <c r="AK8" s="18" t="s">
        <v>22</v>
      </c>
      <c r="AN8" s="238"/>
      <c r="AQ8" s="14"/>
      <c r="BS8" s="9" t="s">
        <v>23</v>
      </c>
    </row>
    <row r="9" spans="2:71" s="1" customFormat="1" ht="15" customHeight="1">
      <c r="B9" s="13"/>
      <c r="AQ9" s="14"/>
      <c r="BS9" s="9" t="s">
        <v>24</v>
      </c>
    </row>
    <row r="10" spans="2:71" s="1" customFormat="1" ht="15" customHeight="1">
      <c r="B10" s="13"/>
      <c r="D10" s="18" t="s">
        <v>25</v>
      </c>
      <c r="K10" s="1" t="s">
        <v>668</v>
      </c>
      <c r="AK10" s="18" t="s">
        <v>26</v>
      </c>
      <c r="AN10" s="239" t="s">
        <v>670</v>
      </c>
      <c r="AQ10" s="14"/>
      <c r="BS10" s="9" t="s">
        <v>16</v>
      </c>
    </row>
    <row r="11" spans="2:71" s="1" customFormat="1" ht="19.5" customHeight="1">
      <c r="B11" s="13"/>
      <c r="E11" s="19" t="s">
        <v>21</v>
      </c>
      <c r="AK11" s="18" t="s">
        <v>27</v>
      </c>
      <c r="AN11" s="239" t="s">
        <v>671</v>
      </c>
      <c r="AQ11" s="14"/>
      <c r="BS11" s="9" t="s">
        <v>16</v>
      </c>
    </row>
    <row r="12" spans="2:71" s="1" customFormat="1" ht="7.5" customHeight="1">
      <c r="B12" s="13"/>
      <c r="AN12" s="240"/>
      <c r="AQ12" s="14"/>
      <c r="BS12" s="9" t="s">
        <v>16</v>
      </c>
    </row>
    <row r="13" spans="2:71" s="1" customFormat="1" ht="15" customHeight="1">
      <c r="B13" s="13"/>
      <c r="D13" s="18" t="s">
        <v>28</v>
      </c>
      <c r="AK13" s="18" t="s">
        <v>26</v>
      </c>
      <c r="AN13" s="241"/>
      <c r="AQ13" s="14"/>
      <c r="BS13" s="9" t="s">
        <v>16</v>
      </c>
    </row>
    <row r="14" spans="2:71" s="1" customFormat="1" ht="15.75" customHeight="1">
      <c r="B14" s="13"/>
      <c r="E14" s="19" t="s">
        <v>21</v>
      </c>
      <c r="AK14" s="18" t="s">
        <v>27</v>
      </c>
      <c r="AN14" s="241"/>
      <c r="AQ14" s="14"/>
      <c r="BS14" s="9" t="s">
        <v>16</v>
      </c>
    </row>
    <row r="15" spans="2:71" s="1" customFormat="1" ht="7.5" customHeight="1">
      <c r="B15" s="13"/>
      <c r="AN15" s="240"/>
      <c r="AQ15" s="14"/>
      <c r="BS15" s="9" t="s">
        <v>5</v>
      </c>
    </row>
    <row r="16" spans="2:71" s="1" customFormat="1" ht="15" customHeight="1">
      <c r="B16" s="13"/>
      <c r="D16" s="18" t="s">
        <v>29</v>
      </c>
      <c r="J16" s="1" t="s">
        <v>667</v>
      </c>
      <c r="AK16" s="18" t="s">
        <v>26</v>
      </c>
      <c r="AN16" s="239" t="s">
        <v>672</v>
      </c>
      <c r="AQ16" s="14"/>
      <c r="BS16" s="9" t="s">
        <v>5</v>
      </c>
    </row>
    <row r="17" spans="2:71" s="1" customFormat="1" ht="19.5" customHeight="1">
      <c r="B17" s="13"/>
      <c r="E17" s="19" t="s">
        <v>21</v>
      </c>
      <c r="AK17" s="18" t="s">
        <v>27</v>
      </c>
      <c r="AN17" s="239" t="s">
        <v>673</v>
      </c>
      <c r="AQ17" s="14"/>
      <c r="BS17" s="9" t="s">
        <v>30</v>
      </c>
    </row>
    <row r="18" spans="2:71" s="1" customFormat="1" ht="7.5" customHeight="1">
      <c r="B18" s="13"/>
      <c r="AQ18" s="14"/>
      <c r="BS18" s="9" t="s">
        <v>8</v>
      </c>
    </row>
    <row r="19" spans="2:71" s="1" customFormat="1" ht="15" customHeight="1">
      <c r="B19" s="13"/>
      <c r="D19" s="18" t="s">
        <v>31</v>
      </c>
      <c r="AK19" s="18" t="s">
        <v>26</v>
      </c>
      <c r="AN19" s="19"/>
      <c r="AQ19" s="14"/>
      <c r="BS19" s="9" t="s">
        <v>8</v>
      </c>
    </row>
    <row r="20" spans="2:43" s="1" customFormat="1" ht="15.75" customHeight="1">
      <c r="B20" s="13"/>
      <c r="E20" s="19" t="s">
        <v>21</v>
      </c>
      <c r="AK20" s="18" t="s">
        <v>27</v>
      </c>
      <c r="AN20" s="19"/>
      <c r="AQ20" s="14"/>
    </row>
    <row r="21" spans="2:43" s="1" customFormat="1" ht="7.5" customHeight="1">
      <c r="B21" s="13"/>
      <c r="AQ21" s="14"/>
    </row>
    <row r="22" spans="2:43" s="1" customFormat="1" ht="15.75" customHeight="1">
      <c r="B22" s="13"/>
      <c r="D22" s="18" t="s">
        <v>32</v>
      </c>
      <c r="AQ22" s="14"/>
    </row>
    <row r="23" spans="2:43" s="1" customFormat="1" ht="15.75" customHeight="1">
      <c r="B23" s="13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Q23" s="14"/>
    </row>
    <row r="24" spans="2:43" s="1" customFormat="1" ht="7.5" customHeight="1">
      <c r="B24" s="13"/>
      <c r="AQ24" s="14"/>
    </row>
    <row r="25" spans="2:43" s="1" customFormat="1" ht="7.5" customHeight="1">
      <c r="B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4"/>
    </row>
    <row r="26" spans="2:43" s="1" customFormat="1" ht="15" customHeight="1">
      <c r="B26" s="13"/>
      <c r="D26" s="21" t="s">
        <v>33</v>
      </c>
      <c r="AK26" s="260">
        <f>ROUND($AG$87,2)</f>
        <v>0</v>
      </c>
      <c r="AL26" s="260"/>
      <c r="AM26" s="260"/>
      <c r="AN26" s="260"/>
      <c r="AO26" s="260"/>
      <c r="AQ26" s="14"/>
    </row>
    <row r="27" spans="2:43" s="1" customFormat="1" ht="15" customHeight="1">
      <c r="B27" s="13"/>
      <c r="D27" s="21" t="s">
        <v>34</v>
      </c>
      <c r="AK27" s="260">
        <f>ROUND($AG$91,2)</f>
        <v>0</v>
      </c>
      <c r="AL27" s="260"/>
      <c r="AM27" s="260"/>
      <c r="AN27" s="260"/>
      <c r="AO27" s="260"/>
      <c r="AQ27" s="14"/>
    </row>
    <row r="28" spans="2:43" s="9" customFormat="1" ht="7.5" customHeight="1">
      <c r="B28" s="22"/>
      <c r="AQ28" s="23"/>
    </row>
    <row r="29" spans="2:43" s="9" customFormat="1" ht="27" customHeight="1">
      <c r="B29" s="22"/>
      <c r="D29" s="24" t="s">
        <v>35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1">
        <f>ROUND($AK$26+$AK$27,2)</f>
        <v>0</v>
      </c>
      <c r="AL29" s="261"/>
      <c r="AM29" s="261"/>
      <c r="AN29" s="261"/>
      <c r="AO29" s="261"/>
      <c r="AQ29" s="23"/>
    </row>
    <row r="30" spans="2:43" s="9" customFormat="1" ht="7.5" customHeight="1">
      <c r="B30" s="22"/>
      <c r="AQ30" s="23"/>
    </row>
    <row r="31" spans="2:43" s="9" customFormat="1" ht="15" customHeight="1">
      <c r="B31" s="26"/>
      <c r="D31" s="27" t="s">
        <v>36</v>
      </c>
      <c r="F31" s="27" t="s">
        <v>37</v>
      </c>
      <c r="L31" s="258">
        <v>0.21</v>
      </c>
      <c r="M31" s="258"/>
      <c r="N31" s="258"/>
      <c r="O31" s="258"/>
      <c r="T31" s="28" t="s">
        <v>38</v>
      </c>
      <c r="W31" s="259">
        <f>AK29</f>
        <v>0</v>
      </c>
      <c r="X31" s="259"/>
      <c r="Y31" s="259"/>
      <c r="Z31" s="259"/>
      <c r="AA31" s="259"/>
      <c r="AB31" s="259"/>
      <c r="AC31" s="259"/>
      <c r="AD31" s="259"/>
      <c r="AE31" s="259"/>
      <c r="AK31" s="259">
        <f>L31*W31</f>
        <v>0</v>
      </c>
      <c r="AL31" s="259"/>
      <c r="AM31" s="259"/>
      <c r="AN31" s="259"/>
      <c r="AO31" s="259"/>
      <c r="AQ31" s="29"/>
    </row>
    <row r="32" spans="2:43" s="9" customFormat="1" ht="15" customHeight="1">
      <c r="B32" s="26"/>
      <c r="F32" s="27" t="s">
        <v>39</v>
      </c>
      <c r="L32" s="258">
        <v>0.15</v>
      </c>
      <c r="M32" s="258"/>
      <c r="N32" s="258"/>
      <c r="O32" s="258"/>
      <c r="T32" s="28" t="s">
        <v>38</v>
      </c>
      <c r="W32" s="259">
        <v>0</v>
      </c>
      <c r="X32" s="259"/>
      <c r="Y32" s="259"/>
      <c r="Z32" s="259"/>
      <c r="AA32" s="259"/>
      <c r="AB32" s="259"/>
      <c r="AC32" s="259"/>
      <c r="AD32" s="259"/>
      <c r="AE32" s="259"/>
      <c r="AK32" s="259">
        <v>0</v>
      </c>
      <c r="AL32" s="259"/>
      <c r="AM32" s="259"/>
      <c r="AN32" s="259"/>
      <c r="AO32" s="259"/>
      <c r="AQ32" s="29"/>
    </row>
    <row r="33" spans="2:43" s="9" customFormat="1" ht="15" customHeight="1" hidden="1">
      <c r="B33" s="26"/>
      <c r="F33" s="27" t="s">
        <v>40</v>
      </c>
      <c r="L33" s="258">
        <v>0.21</v>
      </c>
      <c r="M33" s="258"/>
      <c r="N33" s="258"/>
      <c r="O33" s="258"/>
      <c r="T33" s="28" t="s">
        <v>38</v>
      </c>
      <c r="W33" s="259" t="e">
        <f>ROUND($BB$87+SUM($CF$92:$CF$92),2)</f>
        <v>#REF!</v>
      </c>
      <c r="X33" s="259"/>
      <c r="Y33" s="259"/>
      <c r="Z33" s="259"/>
      <c r="AA33" s="259"/>
      <c r="AB33" s="259"/>
      <c r="AC33" s="259"/>
      <c r="AD33" s="259"/>
      <c r="AE33" s="259"/>
      <c r="AK33" s="259">
        <v>0</v>
      </c>
      <c r="AL33" s="259"/>
      <c r="AM33" s="259"/>
      <c r="AN33" s="259"/>
      <c r="AO33" s="259"/>
      <c r="AQ33" s="29"/>
    </row>
    <row r="34" spans="2:43" s="9" customFormat="1" ht="15" customHeight="1" hidden="1">
      <c r="B34" s="26"/>
      <c r="F34" s="27" t="s">
        <v>41</v>
      </c>
      <c r="L34" s="258">
        <v>0.15</v>
      </c>
      <c r="M34" s="258"/>
      <c r="N34" s="258"/>
      <c r="O34" s="258"/>
      <c r="T34" s="28" t="s">
        <v>38</v>
      </c>
      <c r="W34" s="259" t="e">
        <f>ROUND($BC$87+SUM($CG$92:$CG$92),2)</f>
        <v>#REF!</v>
      </c>
      <c r="X34" s="259"/>
      <c r="Y34" s="259"/>
      <c r="Z34" s="259"/>
      <c r="AA34" s="259"/>
      <c r="AB34" s="259"/>
      <c r="AC34" s="259"/>
      <c r="AD34" s="259"/>
      <c r="AE34" s="259"/>
      <c r="AK34" s="259">
        <v>0</v>
      </c>
      <c r="AL34" s="259"/>
      <c r="AM34" s="259"/>
      <c r="AN34" s="259"/>
      <c r="AO34" s="259"/>
      <c r="AQ34" s="29"/>
    </row>
    <row r="35" spans="2:43" s="9" customFormat="1" ht="15" customHeight="1" hidden="1">
      <c r="B35" s="26"/>
      <c r="F35" s="27" t="s">
        <v>42</v>
      </c>
      <c r="L35" s="258">
        <v>0</v>
      </c>
      <c r="M35" s="258"/>
      <c r="N35" s="258"/>
      <c r="O35" s="258"/>
      <c r="T35" s="28" t="s">
        <v>38</v>
      </c>
      <c r="W35" s="259" t="e">
        <f>ROUND($BD$87+SUM($CH$92:$CH$92),2)</f>
        <v>#REF!</v>
      </c>
      <c r="X35" s="259"/>
      <c r="Y35" s="259"/>
      <c r="Z35" s="259"/>
      <c r="AA35" s="259"/>
      <c r="AB35" s="259"/>
      <c r="AC35" s="259"/>
      <c r="AD35" s="259"/>
      <c r="AE35" s="259"/>
      <c r="AK35" s="259">
        <v>0</v>
      </c>
      <c r="AL35" s="259"/>
      <c r="AM35" s="259"/>
      <c r="AN35" s="259"/>
      <c r="AO35" s="259"/>
      <c r="AQ35" s="29"/>
    </row>
    <row r="36" spans="2:43" s="9" customFormat="1" ht="7.5" customHeight="1">
      <c r="B36" s="22"/>
      <c r="AQ36" s="23"/>
    </row>
    <row r="37" spans="2:43" s="9" customFormat="1" ht="27" customHeight="1">
      <c r="B37" s="22"/>
      <c r="C37" s="30"/>
      <c r="D37" s="31" t="s">
        <v>43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 t="s">
        <v>44</v>
      </c>
      <c r="U37" s="32"/>
      <c r="V37" s="32"/>
      <c r="W37" s="32"/>
      <c r="X37" s="253" t="s">
        <v>45</v>
      </c>
      <c r="Y37" s="253"/>
      <c r="Z37" s="253"/>
      <c r="AA37" s="253"/>
      <c r="AB37" s="253"/>
      <c r="AC37" s="32"/>
      <c r="AD37" s="32"/>
      <c r="AE37" s="32"/>
      <c r="AF37" s="32"/>
      <c r="AG37" s="32"/>
      <c r="AH37" s="32"/>
      <c r="AI37" s="32"/>
      <c r="AJ37" s="32"/>
      <c r="AK37" s="254">
        <f>SUM($AK$29:$AK$35)</f>
        <v>0</v>
      </c>
      <c r="AL37" s="254"/>
      <c r="AM37" s="254"/>
      <c r="AN37" s="254"/>
      <c r="AO37" s="254"/>
      <c r="AP37" s="30"/>
      <c r="AQ37" s="23"/>
    </row>
    <row r="38" spans="2:43" s="9" customFormat="1" ht="15" customHeight="1">
      <c r="B38" s="22"/>
      <c r="AQ38" s="23"/>
    </row>
    <row r="39" spans="2:43" s="1" customFormat="1" ht="14.25" customHeight="1">
      <c r="B39" s="13"/>
      <c r="AQ39" s="14"/>
    </row>
    <row r="40" spans="2:43" s="1" customFormat="1" ht="14.25" customHeight="1">
      <c r="B40" s="13"/>
      <c r="AQ40" s="14"/>
    </row>
    <row r="41" spans="2:43" s="1" customFormat="1" ht="14.25" customHeight="1">
      <c r="B41" s="13"/>
      <c r="AQ41" s="14"/>
    </row>
    <row r="42" spans="2:43" s="1" customFormat="1" ht="14.25" customHeight="1">
      <c r="B42" s="13"/>
      <c r="AQ42" s="14"/>
    </row>
    <row r="43" spans="2:43" s="1" customFormat="1" ht="14.25" customHeight="1">
      <c r="B43" s="13"/>
      <c r="AQ43" s="14"/>
    </row>
    <row r="44" spans="2:43" s="1" customFormat="1" ht="14.25" customHeight="1">
      <c r="B44" s="13"/>
      <c r="AQ44" s="14"/>
    </row>
    <row r="45" spans="2:43" s="1" customFormat="1" ht="14.25" customHeight="1">
      <c r="B45" s="13"/>
      <c r="AQ45" s="14"/>
    </row>
    <row r="46" spans="2:43" s="1" customFormat="1" ht="14.25" customHeight="1">
      <c r="B46" s="13"/>
      <c r="AQ46" s="14"/>
    </row>
    <row r="47" spans="2:43" s="1" customFormat="1" ht="14.25" customHeight="1">
      <c r="B47" s="13"/>
      <c r="AQ47" s="14"/>
    </row>
    <row r="48" spans="2:43" s="1" customFormat="1" ht="14.25" customHeight="1">
      <c r="B48" s="13"/>
      <c r="AQ48" s="14"/>
    </row>
    <row r="49" spans="2:43" s="9" customFormat="1" ht="15.75" customHeight="1">
      <c r="B49" s="22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47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3"/>
    </row>
    <row r="50" spans="2:43" s="1" customFormat="1" ht="14.25" customHeight="1">
      <c r="B50" s="13"/>
      <c r="D50" s="37"/>
      <c r="Z50" s="38"/>
      <c r="AC50" s="37"/>
      <c r="AO50" s="38"/>
      <c r="AQ50" s="14"/>
    </row>
    <row r="51" spans="2:43" s="1" customFormat="1" ht="14.25" customHeight="1">
      <c r="B51" s="13"/>
      <c r="D51" s="37"/>
      <c r="Z51" s="38"/>
      <c r="AC51" s="37"/>
      <c r="AO51" s="38"/>
      <c r="AQ51" s="14"/>
    </row>
    <row r="52" spans="2:43" s="1" customFormat="1" ht="14.25" customHeight="1">
      <c r="B52" s="13"/>
      <c r="D52" s="37"/>
      <c r="Z52" s="38"/>
      <c r="AC52" s="37"/>
      <c r="AO52" s="38"/>
      <c r="AQ52" s="14"/>
    </row>
    <row r="53" spans="2:43" s="1" customFormat="1" ht="14.25" customHeight="1">
      <c r="B53" s="13"/>
      <c r="D53" s="37"/>
      <c r="Z53" s="38"/>
      <c r="AC53" s="37"/>
      <c r="AO53" s="38"/>
      <c r="AQ53" s="14"/>
    </row>
    <row r="54" spans="2:43" s="1" customFormat="1" ht="14.25" customHeight="1">
      <c r="B54" s="13"/>
      <c r="D54" s="37"/>
      <c r="Z54" s="38"/>
      <c r="AC54" s="37"/>
      <c r="AO54" s="38"/>
      <c r="AQ54" s="14"/>
    </row>
    <row r="55" spans="2:43" s="1" customFormat="1" ht="14.25" customHeight="1">
      <c r="B55" s="13"/>
      <c r="D55" s="37"/>
      <c r="Z55" s="38"/>
      <c r="AC55" s="37"/>
      <c r="AO55" s="38"/>
      <c r="AQ55" s="14"/>
    </row>
    <row r="56" spans="2:43" s="1" customFormat="1" ht="14.25" customHeight="1">
      <c r="B56" s="13"/>
      <c r="D56" s="37"/>
      <c r="Z56" s="38"/>
      <c r="AC56" s="37"/>
      <c r="AO56" s="38"/>
      <c r="AQ56" s="14"/>
    </row>
    <row r="57" spans="2:43" s="1" customFormat="1" ht="14.25" customHeight="1">
      <c r="B57" s="13"/>
      <c r="D57" s="37"/>
      <c r="Z57" s="38"/>
      <c r="AC57" s="37"/>
      <c r="AO57" s="38"/>
      <c r="AQ57" s="14"/>
    </row>
    <row r="58" spans="2:43" s="9" customFormat="1" ht="15.75" customHeight="1">
      <c r="B58" s="22"/>
      <c r="D58" s="39" t="s">
        <v>48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49</v>
      </c>
      <c r="S58" s="40"/>
      <c r="T58" s="40"/>
      <c r="U58" s="40"/>
      <c r="V58" s="40"/>
      <c r="W58" s="40"/>
      <c r="X58" s="40"/>
      <c r="Y58" s="40"/>
      <c r="Z58" s="42"/>
      <c r="AC58" s="39" t="s">
        <v>48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49</v>
      </c>
      <c r="AN58" s="40"/>
      <c r="AO58" s="42"/>
      <c r="AQ58" s="23"/>
    </row>
    <row r="59" spans="2:43" s="1" customFormat="1" ht="14.25" customHeight="1">
      <c r="B59" s="13"/>
      <c r="AQ59" s="14"/>
    </row>
    <row r="60" spans="2:43" s="9" customFormat="1" ht="15.75" customHeight="1">
      <c r="B60" s="22"/>
      <c r="D60" s="34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51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3"/>
    </row>
    <row r="61" spans="2:43" s="1" customFormat="1" ht="14.25" customHeight="1">
      <c r="B61" s="13"/>
      <c r="D61" s="37"/>
      <c r="Z61" s="38"/>
      <c r="AC61" s="37"/>
      <c r="AO61" s="38"/>
      <c r="AQ61" s="14"/>
    </row>
    <row r="62" spans="2:43" s="1" customFormat="1" ht="14.25" customHeight="1">
      <c r="B62" s="13"/>
      <c r="D62" s="37"/>
      <c r="Z62" s="38"/>
      <c r="AC62" s="37"/>
      <c r="AO62" s="38"/>
      <c r="AQ62" s="14"/>
    </row>
    <row r="63" spans="2:43" s="1" customFormat="1" ht="14.25" customHeight="1">
      <c r="B63" s="13"/>
      <c r="D63" s="37"/>
      <c r="Z63" s="38"/>
      <c r="AC63" s="37"/>
      <c r="AO63" s="38"/>
      <c r="AQ63" s="14"/>
    </row>
    <row r="64" spans="2:43" s="1" customFormat="1" ht="14.25" customHeight="1">
      <c r="B64" s="13"/>
      <c r="D64" s="37"/>
      <c r="Z64" s="38"/>
      <c r="AC64" s="37"/>
      <c r="AO64" s="38"/>
      <c r="AQ64" s="14"/>
    </row>
    <row r="65" spans="2:43" s="1" customFormat="1" ht="14.25" customHeight="1">
      <c r="B65" s="13"/>
      <c r="D65" s="37"/>
      <c r="Z65" s="38"/>
      <c r="AC65" s="37"/>
      <c r="AO65" s="38"/>
      <c r="AQ65" s="14"/>
    </row>
    <row r="66" spans="2:43" s="1" customFormat="1" ht="14.25" customHeight="1">
      <c r="B66" s="13"/>
      <c r="D66" s="37"/>
      <c r="Z66" s="38"/>
      <c r="AC66" s="37"/>
      <c r="AO66" s="38"/>
      <c r="AQ66" s="14"/>
    </row>
    <row r="67" spans="2:43" s="1" customFormat="1" ht="14.25" customHeight="1">
      <c r="B67" s="13"/>
      <c r="D67" s="37"/>
      <c r="Z67" s="38"/>
      <c r="AC67" s="37"/>
      <c r="AO67" s="38"/>
      <c r="AQ67" s="14"/>
    </row>
    <row r="68" spans="2:43" s="1" customFormat="1" ht="14.25" customHeight="1">
      <c r="B68" s="13"/>
      <c r="D68" s="37"/>
      <c r="Z68" s="38"/>
      <c r="AC68" s="37"/>
      <c r="AO68" s="38"/>
      <c r="AQ68" s="14"/>
    </row>
    <row r="69" spans="2:43" s="9" customFormat="1" ht="15.75" customHeight="1">
      <c r="B69" s="22"/>
      <c r="D69" s="39" t="s">
        <v>48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49</v>
      </c>
      <c r="S69" s="40"/>
      <c r="T69" s="40"/>
      <c r="U69" s="40"/>
      <c r="V69" s="40"/>
      <c r="W69" s="40"/>
      <c r="X69" s="40"/>
      <c r="Y69" s="40"/>
      <c r="Z69" s="42"/>
      <c r="AC69" s="39" t="s">
        <v>48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49</v>
      </c>
      <c r="AN69" s="40"/>
      <c r="AO69" s="42"/>
      <c r="AQ69" s="23"/>
    </row>
    <row r="70" spans="2:43" s="9" customFormat="1" ht="7.5" customHeight="1">
      <c r="B70" s="22"/>
      <c r="AQ70" s="23"/>
    </row>
    <row r="71" spans="2:43" s="9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9" customFormat="1" ht="37.5" customHeight="1">
      <c r="B76" s="22"/>
      <c r="C76" s="255" t="s">
        <v>52</v>
      </c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3"/>
    </row>
    <row r="77" spans="2:43" s="19" customFormat="1" ht="15" customHeight="1">
      <c r="B77" s="49"/>
      <c r="C77" s="18" t="s">
        <v>14</v>
      </c>
      <c r="L77" s="19">
        <f>$K$5</f>
        <v>0</v>
      </c>
      <c r="AQ77" s="50"/>
    </row>
    <row r="78" spans="2:43" s="51" customFormat="1" ht="37.5" customHeight="1">
      <c r="B78" s="52"/>
      <c r="C78" s="51" t="s">
        <v>15</v>
      </c>
      <c r="L78" s="256" t="str">
        <f>$K$6</f>
        <v>„Snížení energetické náročnosti MŠ Renoirova“ </v>
      </c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Q78" s="53"/>
    </row>
    <row r="79" spans="2:43" s="9" customFormat="1" ht="7.5" customHeight="1">
      <c r="B79" s="22"/>
      <c r="AQ79" s="23"/>
    </row>
    <row r="80" spans="2:43" s="9" customFormat="1" ht="15.75" customHeight="1">
      <c r="B80" s="22"/>
      <c r="C80" s="18" t="s">
        <v>20</v>
      </c>
      <c r="L80" s="54" t="str">
        <f>IF($K$8="","",$K$8)</f>
        <v> </v>
      </c>
      <c r="AI80" s="18" t="s">
        <v>22</v>
      </c>
      <c r="AM80" s="257"/>
      <c r="AN80" s="257"/>
      <c r="AQ80" s="23"/>
    </row>
    <row r="81" spans="2:43" s="9" customFormat="1" ht="7.5" customHeight="1">
      <c r="B81" s="22"/>
      <c r="AQ81" s="23"/>
    </row>
    <row r="82" spans="2:56" s="9" customFormat="1" ht="18.75" customHeight="1">
      <c r="B82" s="22"/>
      <c r="C82" s="18" t="s">
        <v>25</v>
      </c>
      <c r="L82" s="19" t="s">
        <v>668</v>
      </c>
      <c r="AI82" s="18" t="s">
        <v>29</v>
      </c>
      <c r="AM82" s="249" t="s">
        <v>667</v>
      </c>
      <c r="AN82" s="249"/>
      <c r="AO82" s="249"/>
      <c r="AP82" s="249"/>
      <c r="AQ82" s="23"/>
      <c r="AS82" s="248" t="s">
        <v>53</v>
      </c>
      <c r="AT82" s="248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9" customFormat="1" ht="15.75" customHeight="1">
      <c r="B83" s="22"/>
      <c r="C83" s="18" t="s">
        <v>28</v>
      </c>
      <c r="L83" s="236" t="str">
        <f>IF($E$14="","",$E$14)</f>
        <v> </v>
      </c>
      <c r="M83" s="237"/>
      <c r="N83" s="237"/>
      <c r="O83" s="237"/>
      <c r="P83" s="237"/>
      <c r="Q83" s="237"/>
      <c r="R83" s="237"/>
      <c r="S83" s="237"/>
      <c r="AI83" s="18" t="s">
        <v>31</v>
      </c>
      <c r="AM83" s="249" t="str">
        <f>IF($E$20="","",$E$20)</f>
        <v> </v>
      </c>
      <c r="AN83" s="249"/>
      <c r="AO83" s="249"/>
      <c r="AP83" s="249"/>
      <c r="AQ83" s="23"/>
      <c r="AS83" s="248"/>
      <c r="AT83" s="248"/>
      <c r="BD83" s="55"/>
    </row>
    <row r="84" spans="2:56" s="9" customFormat="1" ht="12" customHeight="1">
      <c r="B84" s="22"/>
      <c r="AQ84" s="23"/>
      <c r="AS84" s="248"/>
      <c r="AT84" s="248"/>
      <c r="BD84" s="55"/>
    </row>
    <row r="85" spans="2:57" s="9" customFormat="1" ht="30" customHeight="1">
      <c r="B85" s="22"/>
      <c r="C85" s="250" t="s">
        <v>54</v>
      </c>
      <c r="D85" s="250"/>
      <c r="E85" s="250"/>
      <c r="F85" s="250"/>
      <c r="G85" s="250"/>
      <c r="H85" s="32"/>
      <c r="I85" s="251" t="s">
        <v>55</v>
      </c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 t="s">
        <v>56</v>
      </c>
      <c r="AH85" s="251"/>
      <c r="AI85" s="251"/>
      <c r="AJ85" s="251"/>
      <c r="AK85" s="251"/>
      <c r="AL85" s="251"/>
      <c r="AM85" s="251"/>
      <c r="AN85" s="252" t="s">
        <v>57</v>
      </c>
      <c r="AO85" s="252"/>
      <c r="AP85" s="252"/>
      <c r="AQ85" s="23"/>
      <c r="AS85" s="56" t="s">
        <v>58</v>
      </c>
      <c r="AT85" s="57" t="s">
        <v>59</v>
      </c>
      <c r="AU85" s="57" t="s">
        <v>60</v>
      </c>
      <c r="AV85" s="57" t="s">
        <v>61</v>
      </c>
      <c r="AW85" s="57" t="s">
        <v>62</v>
      </c>
      <c r="AX85" s="57" t="s">
        <v>63</v>
      </c>
      <c r="AY85" s="57" t="s">
        <v>64</v>
      </c>
      <c r="AZ85" s="57" t="s">
        <v>65</v>
      </c>
      <c r="BA85" s="57" t="s">
        <v>66</v>
      </c>
      <c r="BB85" s="57" t="s">
        <v>67</v>
      </c>
      <c r="BC85" s="57" t="s">
        <v>68</v>
      </c>
      <c r="BD85" s="58" t="s">
        <v>69</v>
      </c>
      <c r="BE85" s="59"/>
    </row>
    <row r="86" spans="2:56" s="9" customFormat="1" ht="12" customHeight="1">
      <c r="B86" s="22"/>
      <c r="AQ86" s="23"/>
      <c r="AS86" s="60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51" customFormat="1" ht="33" customHeight="1">
      <c r="B87" s="52"/>
      <c r="C87" s="61" t="s">
        <v>70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247">
        <f>AG88+AG89+AG91</f>
        <v>0</v>
      </c>
      <c r="AH87" s="247"/>
      <c r="AI87" s="247"/>
      <c r="AJ87" s="247"/>
      <c r="AK87" s="247"/>
      <c r="AL87" s="247"/>
      <c r="AM87" s="247"/>
      <c r="AN87" s="247">
        <f>AN88+AN89+AN91</f>
        <v>0</v>
      </c>
      <c r="AO87" s="247"/>
      <c r="AP87" s="247"/>
      <c r="AQ87" s="53"/>
      <c r="AS87" s="62" t="e">
        <f>ROUND($AS$88+SUM($AS$89:$AS$89)+#REF!,2)</f>
        <v>#REF!</v>
      </c>
      <c r="AT87" s="63" t="e">
        <f>ROUND(SUM($AV$87:$AW$87),2)</f>
        <v>#REF!</v>
      </c>
      <c r="AU87" s="64" t="e">
        <f>ROUND($AU$88+SUM($AU$89:$AU$89)+#REF!,5)</f>
        <v>#REF!</v>
      </c>
      <c r="AV87" s="63" t="e">
        <f>ROUND($AZ$87*$L$31,2)</f>
        <v>#REF!</v>
      </c>
      <c r="AW87" s="63" t="e">
        <f>ROUND($BA$87*$L$32,2)</f>
        <v>#REF!</v>
      </c>
      <c r="AX87" s="63" t="e">
        <f>ROUND($BB$87*$L$31,2)</f>
        <v>#REF!</v>
      </c>
      <c r="AY87" s="63" t="e">
        <f>ROUND($BC$87*$L$32,2)</f>
        <v>#REF!</v>
      </c>
      <c r="AZ87" s="63" t="e">
        <f>ROUND($AZ$88+SUM($AZ$89:$AZ$89)+#REF!,2)</f>
        <v>#REF!</v>
      </c>
      <c r="BA87" s="63" t="e">
        <f>ROUND($BA$88+SUM($BA$89:$BA$89)+#REF!,2)</f>
        <v>#REF!</v>
      </c>
      <c r="BB87" s="63" t="e">
        <f>ROUND($BB$88+SUM($BB$89:$BB$89)+#REF!,2)</f>
        <v>#REF!</v>
      </c>
      <c r="BC87" s="63" t="e">
        <f>ROUND($BC$88+SUM($BC$89:$BC$89)+#REF!,2)</f>
        <v>#REF!</v>
      </c>
      <c r="BD87" s="65" t="e">
        <f>ROUND($BD$88+SUM($BD$89:$BD$89)+#REF!,2)</f>
        <v>#REF!</v>
      </c>
      <c r="BS87" s="51" t="s">
        <v>71</v>
      </c>
      <c r="BT87" s="51" t="s">
        <v>72</v>
      </c>
      <c r="BU87" s="66" t="s">
        <v>73</v>
      </c>
      <c r="BV87" s="51" t="s">
        <v>74</v>
      </c>
      <c r="BW87" s="51" t="s">
        <v>75</v>
      </c>
      <c r="BX87" s="51" t="s">
        <v>76</v>
      </c>
    </row>
    <row r="88" spans="1:76" s="71" customFormat="1" ht="28.5" customHeight="1">
      <c r="A88" s="67" t="s">
        <v>77</v>
      </c>
      <c r="B88" s="68"/>
      <c r="C88" s="69"/>
      <c r="D88" s="245" t="s">
        <v>78</v>
      </c>
      <c r="E88" s="245"/>
      <c r="F88" s="245"/>
      <c r="G88" s="245"/>
      <c r="H88" s="245"/>
      <c r="I88" s="69"/>
      <c r="J88" s="245" t="s">
        <v>79</v>
      </c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6">
        <f>'00 - VON'!$M$30</f>
        <v>0</v>
      </c>
      <c r="AH88" s="246"/>
      <c r="AI88" s="246"/>
      <c r="AJ88" s="246"/>
      <c r="AK88" s="246"/>
      <c r="AL88" s="246"/>
      <c r="AM88" s="246"/>
      <c r="AN88" s="246">
        <f>SUM($AG$88,$AT$88)</f>
        <v>0</v>
      </c>
      <c r="AO88" s="246"/>
      <c r="AP88" s="246"/>
      <c r="AQ88" s="70"/>
      <c r="AS88" s="72">
        <f>'00 - VON'!$M$28</f>
        <v>0</v>
      </c>
      <c r="AT88" s="73">
        <f>ROUND(SUM($AV$88:$AW$88),2)</f>
        <v>0</v>
      </c>
      <c r="AU88" s="74" t="e">
        <f>'00 - VON'!$W$113</f>
        <v>#REF!</v>
      </c>
      <c r="AV88" s="73">
        <f>'00 - VON'!$M$32</f>
        <v>0</v>
      </c>
      <c r="AW88" s="73">
        <f>'00 - VON'!$M$33</f>
        <v>0</v>
      </c>
      <c r="AX88" s="73">
        <f>'00 - VON'!$M$34</f>
        <v>0</v>
      </c>
      <c r="AY88" s="73">
        <f>'00 - VON'!$M$35</f>
        <v>0</v>
      </c>
      <c r="AZ88" s="73">
        <f>'00 - VON'!$H$32</f>
        <v>0</v>
      </c>
      <c r="BA88" s="73">
        <f>'00 - VON'!$H$33</f>
        <v>0</v>
      </c>
      <c r="BB88" s="73">
        <f>'00 - VON'!$H$34</f>
        <v>0</v>
      </c>
      <c r="BC88" s="73">
        <f>'00 - VON'!$H$35</f>
        <v>0</v>
      </c>
      <c r="BD88" s="75">
        <f>'00 - VON'!$H$36</f>
        <v>0</v>
      </c>
      <c r="BT88" s="71" t="s">
        <v>19</v>
      </c>
      <c r="BV88" s="71" t="s">
        <v>74</v>
      </c>
      <c r="BW88" s="71" t="s">
        <v>80</v>
      </c>
      <c r="BX88" s="71" t="s">
        <v>75</v>
      </c>
    </row>
    <row r="89" spans="1:76" s="71" customFormat="1" ht="28.5" customHeight="1">
      <c r="A89" s="67" t="s">
        <v>77</v>
      </c>
      <c r="B89" s="68"/>
      <c r="C89" s="69"/>
      <c r="D89" s="245" t="s">
        <v>81</v>
      </c>
      <c r="E89" s="245"/>
      <c r="F89" s="245"/>
      <c r="G89" s="245"/>
      <c r="H89" s="245"/>
      <c r="I89" s="69"/>
      <c r="J89" s="245" t="s">
        <v>82</v>
      </c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6">
        <f>'Architektonické a st...'!$M$30</f>
        <v>0</v>
      </c>
      <c r="AH89" s="246"/>
      <c r="AI89" s="246"/>
      <c r="AJ89" s="246"/>
      <c r="AK89" s="246"/>
      <c r="AL89" s="246"/>
      <c r="AM89" s="246"/>
      <c r="AN89" s="246">
        <f>SUM($AG$89,$AT$89)</f>
        <v>0</v>
      </c>
      <c r="AO89" s="246"/>
      <c r="AP89" s="246"/>
      <c r="AQ89" s="70"/>
      <c r="AS89" s="72">
        <f>'Architektonické a st...'!$M$28</f>
        <v>0</v>
      </c>
      <c r="AT89" s="73">
        <f>ROUND(SUM($AV$89:$AW$89),2)</f>
        <v>0</v>
      </c>
      <c r="AU89" s="74" t="e">
        <f>'Architektonické a st...'!$W$128</f>
        <v>#REF!</v>
      </c>
      <c r="AV89" s="73">
        <f>'Architektonické a st...'!$M$32</f>
        <v>0</v>
      </c>
      <c r="AW89" s="73">
        <f>'Architektonické a st...'!$M$33</f>
        <v>0</v>
      </c>
      <c r="AX89" s="73">
        <f>'Architektonické a st...'!$M$34</f>
        <v>0</v>
      </c>
      <c r="AY89" s="73">
        <f>'Architektonické a st...'!$M$35</f>
        <v>0</v>
      </c>
      <c r="AZ89" s="73">
        <f>'Architektonické a st...'!$H$32</f>
        <v>0</v>
      </c>
      <c r="BA89" s="73">
        <f>'Architektonické a st...'!$H$33</f>
        <v>0</v>
      </c>
      <c r="BB89" s="73" t="e">
        <f>'Architektonické a st...'!$H$34</f>
        <v>#REF!</v>
      </c>
      <c r="BC89" s="73" t="e">
        <f>'Architektonické a st...'!$H$35</f>
        <v>#REF!</v>
      </c>
      <c r="BD89" s="75" t="e">
        <f>'Architektonické a st...'!$H$36</f>
        <v>#REF!</v>
      </c>
      <c r="BT89" s="71" t="s">
        <v>19</v>
      </c>
      <c r="BV89" s="71" t="s">
        <v>74</v>
      </c>
      <c r="BW89" s="71" t="s">
        <v>83</v>
      </c>
      <c r="BX89" s="71" t="s">
        <v>75</v>
      </c>
    </row>
    <row r="90" spans="2:43" s="1" customFormat="1" ht="14.25" customHeight="1">
      <c r="B90" s="13"/>
      <c r="AQ90" s="14"/>
    </row>
    <row r="91" spans="2:49" s="9" customFormat="1" ht="30.75" customHeight="1">
      <c r="B91" s="22"/>
      <c r="C91" s="61" t="s">
        <v>84</v>
      </c>
      <c r="AG91" s="247">
        <v>0</v>
      </c>
      <c r="AH91" s="247"/>
      <c r="AI91" s="247"/>
      <c r="AJ91" s="247"/>
      <c r="AK91" s="247"/>
      <c r="AL91" s="247"/>
      <c r="AM91" s="247"/>
      <c r="AN91" s="247">
        <v>0</v>
      </c>
      <c r="AO91" s="247"/>
      <c r="AP91" s="247"/>
      <c r="AQ91" s="23"/>
      <c r="AS91" s="56" t="s">
        <v>85</v>
      </c>
      <c r="AT91" s="57" t="s">
        <v>86</v>
      </c>
      <c r="AU91" s="57" t="s">
        <v>36</v>
      </c>
      <c r="AV91" s="58" t="s">
        <v>59</v>
      </c>
      <c r="AW91" s="59"/>
    </row>
    <row r="92" spans="2:48" s="9" customFormat="1" ht="12" customHeight="1">
      <c r="B92" s="22"/>
      <c r="AQ92" s="23"/>
      <c r="AS92" s="35"/>
      <c r="AT92" s="35"/>
      <c r="AU92" s="35"/>
      <c r="AV92" s="35"/>
    </row>
    <row r="93" spans="2:43" s="9" customFormat="1" ht="30.75" customHeight="1">
      <c r="B93" s="22"/>
      <c r="C93" s="76" t="s">
        <v>87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244">
        <f>ROUND($AG$87+$AG$91,2)</f>
        <v>0</v>
      </c>
      <c r="AH93" s="244"/>
      <c r="AI93" s="244"/>
      <c r="AJ93" s="244"/>
      <c r="AK93" s="244"/>
      <c r="AL93" s="244"/>
      <c r="AM93" s="244"/>
      <c r="AN93" s="244">
        <f>$AN$87+$AN$91</f>
        <v>0</v>
      </c>
      <c r="AO93" s="244"/>
      <c r="AP93" s="244"/>
      <c r="AQ93" s="23"/>
    </row>
    <row r="94" spans="2:43" s="9" customFormat="1" ht="7.5" customHeight="1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5"/>
    </row>
  </sheetData>
  <sheetProtection selectLockedCells="1" selectUnlockedCells="1"/>
  <mergeCells count="50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0:AN80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3:AM93"/>
    <mergeCell ref="AN93:AP93"/>
    <mergeCell ref="D89:H89"/>
    <mergeCell ref="J89:AF89"/>
    <mergeCell ref="AG89:AM89"/>
    <mergeCell ref="AN89:AP89"/>
    <mergeCell ref="AG91:AM91"/>
    <mergeCell ref="AN91:AP91"/>
  </mergeCells>
  <hyperlinks>
    <hyperlink ref="K1" location="C2" display="1) Souhrnný list stavby"/>
    <hyperlink ref="W1" location="C87" display="2) Rekapitulace objektů"/>
    <hyperlink ref="A88" location="00 - VON!C2" display="/"/>
    <hyperlink ref="A89" location="01 - Architektonické a st!...C2" display="/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5"/>
  <sheetViews>
    <sheetView showGridLines="0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H128" sqref="H128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77"/>
      <c r="B1" s="4"/>
      <c r="C1" s="4"/>
      <c r="D1" s="5" t="s">
        <v>1</v>
      </c>
      <c r="E1" s="4"/>
      <c r="F1" s="6" t="s">
        <v>88</v>
      </c>
      <c r="G1" s="6"/>
      <c r="H1" s="277" t="s">
        <v>89</v>
      </c>
      <c r="I1" s="277"/>
      <c r="J1" s="277"/>
      <c r="K1" s="277"/>
      <c r="L1" s="6" t="s">
        <v>90</v>
      </c>
      <c r="M1" s="4"/>
      <c r="N1" s="4"/>
      <c r="O1" s="5" t="s">
        <v>91</v>
      </c>
      <c r="P1" s="4"/>
      <c r="Q1" s="4"/>
      <c r="R1" s="4"/>
      <c r="S1" s="6" t="s">
        <v>92</v>
      </c>
      <c r="T1" s="6"/>
      <c r="U1" s="77"/>
      <c r="V1" s="77"/>
    </row>
    <row r="2" spans="3:46" s="1" customFormat="1" ht="37.5" customHeight="1">
      <c r="C2" s="262" t="s">
        <v>6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S2" s="263" t="s">
        <v>7</v>
      </c>
      <c r="T2" s="263"/>
      <c r="U2" s="263"/>
      <c r="V2" s="263"/>
      <c r="W2" s="263"/>
      <c r="X2" s="263"/>
      <c r="Y2" s="263"/>
      <c r="Z2" s="263"/>
      <c r="AA2" s="263"/>
      <c r="AB2" s="263"/>
      <c r="AC2" s="263"/>
      <c r="AT2" s="1" t="s">
        <v>80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93</v>
      </c>
    </row>
    <row r="4" spans="2:46" s="1" customFormat="1" ht="37.5" customHeight="1">
      <c r="B4" s="13"/>
      <c r="C4" s="255" t="s">
        <v>94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72" t="str">
        <f>'Rekapitulace stavby'!$K$6</f>
        <v>„Snížení energetické náročnosti MŠ Renoirova“ 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R6" s="14"/>
    </row>
    <row r="7" spans="2:18" s="9" customFormat="1" ht="33.75" customHeight="1">
      <c r="B7" s="22"/>
      <c r="D7" s="17" t="s">
        <v>95</v>
      </c>
      <c r="F7" s="264" t="s">
        <v>96</v>
      </c>
      <c r="G7" s="264"/>
      <c r="H7" s="264"/>
      <c r="I7" s="264"/>
      <c r="J7" s="264"/>
      <c r="K7" s="264"/>
      <c r="L7" s="264"/>
      <c r="M7" s="264"/>
      <c r="N7" s="264"/>
      <c r="O7" s="264"/>
      <c r="P7" s="264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20</v>
      </c>
      <c r="F9" s="19" t="s">
        <v>21</v>
      </c>
      <c r="M9" s="18" t="s">
        <v>22</v>
      </c>
      <c r="O9" s="257"/>
      <c r="P9" s="257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25</v>
      </c>
      <c r="F11" s="1" t="s">
        <v>668</v>
      </c>
      <c r="M11" s="18" t="s">
        <v>26</v>
      </c>
      <c r="O11" s="249" t="str">
        <f>IF('Rekapitulace stavby'!$AN$10="","",'Rekapitulace stavby'!$AN$10)</f>
        <v>00063631</v>
      </c>
      <c r="P11" s="249"/>
      <c r="R11" s="23"/>
    </row>
    <row r="12" spans="2:18" s="9" customFormat="1" ht="18.75" customHeight="1">
      <c r="B12" s="22"/>
      <c r="E12" s="19" t="str">
        <f>IF('Rekapitulace stavby'!$E$11="","",'Rekapitulace stavby'!$E$11)</f>
        <v> </v>
      </c>
      <c r="F12" s="1"/>
      <c r="M12" s="18" t="s">
        <v>27</v>
      </c>
      <c r="O12" s="249" t="str">
        <f>IF('Rekapitulace stavby'!$AN$11="","",'Rekapitulace stavby'!$AN$11)</f>
        <v>CZ00063631</v>
      </c>
      <c r="P12" s="249"/>
      <c r="R12" s="23"/>
    </row>
    <row r="13" spans="2:18" s="9" customFormat="1" ht="7.5" customHeight="1">
      <c r="B13" s="22"/>
      <c r="F13" s="1"/>
      <c r="R13" s="23"/>
    </row>
    <row r="14" spans="2:18" s="9" customFormat="1" ht="15" customHeight="1">
      <c r="B14" s="22"/>
      <c r="D14" s="18" t="s">
        <v>28</v>
      </c>
      <c r="F14" s="242"/>
      <c r="M14" s="18" t="s">
        <v>26</v>
      </c>
      <c r="O14" s="249">
        <f>IF('Rekapitulace stavby'!$AN$13="","",'Rekapitulace stavby'!$AN$13)</f>
      </c>
      <c r="P14" s="249"/>
      <c r="R14" s="23"/>
    </row>
    <row r="15" spans="2:18" s="9" customFormat="1" ht="18.75" customHeight="1">
      <c r="B15" s="22"/>
      <c r="E15" s="19" t="str">
        <f>IF('Rekapitulace stavby'!$E$14="","",'Rekapitulace stavby'!$E$14)</f>
        <v> </v>
      </c>
      <c r="F15" s="1"/>
      <c r="M15" s="18" t="s">
        <v>27</v>
      </c>
      <c r="O15" s="249">
        <f>IF('Rekapitulace stavby'!$AN$14="","",'Rekapitulace stavby'!$AN$14)</f>
      </c>
      <c r="P15" s="249"/>
      <c r="R15" s="23"/>
    </row>
    <row r="16" spans="2:18" s="9" customFormat="1" ht="7.5" customHeight="1">
      <c r="B16" s="22"/>
      <c r="F16" s="1"/>
      <c r="R16" s="23"/>
    </row>
    <row r="17" spans="2:18" s="9" customFormat="1" ht="15" customHeight="1">
      <c r="B17" s="22"/>
      <c r="D17" s="18" t="s">
        <v>29</v>
      </c>
      <c r="F17" s="1" t="s">
        <v>667</v>
      </c>
      <c r="M17" s="18" t="s">
        <v>26</v>
      </c>
      <c r="O17" s="249" t="str">
        <f>IF('Rekapitulace stavby'!$AN$16="","",'Rekapitulace stavby'!$AN$16)</f>
        <v>02696622</v>
      </c>
      <c r="P17" s="249"/>
      <c r="R17" s="23"/>
    </row>
    <row r="18" spans="2:18" s="9" customFormat="1" ht="18.75" customHeight="1">
      <c r="B18" s="22"/>
      <c r="E18" s="19" t="str">
        <f>IF('Rekapitulace stavby'!$E$17="","",'Rekapitulace stavby'!$E$17)</f>
        <v> </v>
      </c>
      <c r="M18" s="18" t="s">
        <v>27</v>
      </c>
      <c r="O18" s="249" t="str">
        <f>IF('Rekapitulace stavby'!$AN$17="","",'Rekapitulace stavby'!$AN$17)</f>
        <v>CZ02696622</v>
      </c>
      <c r="P18" s="249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31</v>
      </c>
      <c r="M20" s="18" t="s">
        <v>26</v>
      </c>
      <c r="O20" s="249">
        <f>IF('Rekapitulace stavby'!$AN$19="","",'Rekapitulace stavby'!$AN$19)</f>
      </c>
      <c r="P20" s="249"/>
      <c r="R20" s="23"/>
    </row>
    <row r="21" spans="2:18" s="9" customFormat="1" ht="18.75" customHeight="1">
      <c r="B21" s="22"/>
      <c r="E21" s="19" t="str">
        <f>IF('Rekapitulace stavby'!$E$20="","",'Rekapitulace stavby'!$E$20)</f>
        <v> </v>
      </c>
      <c r="M21" s="18" t="s">
        <v>27</v>
      </c>
      <c r="O21" s="249">
        <f>IF('Rekapitulace stavby'!$AN$20="","",'Rekapitulace stavby'!$AN$20)</f>
      </c>
      <c r="P21" s="249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32</v>
      </c>
      <c r="R23" s="23"/>
    </row>
    <row r="24" spans="2:18" s="78" customFormat="1" ht="15.75" customHeight="1">
      <c r="B24" s="79"/>
      <c r="E24" s="265"/>
      <c r="F24" s="265"/>
      <c r="G24" s="265"/>
      <c r="H24" s="265"/>
      <c r="I24" s="265"/>
      <c r="J24" s="265"/>
      <c r="K24" s="265"/>
      <c r="L24" s="265"/>
      <c r="R24" s="80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1" t="s">
        <v>97</v>
      </c>
      <c r="M27" s="260">
        <f>$N$88</f>
        <v>0</v>
      </c>
      <c r="N27" s="260"/>
      <c r="O27" s="260"/>
      <c r="P27" s="260"/>
      <c r="R27" s="23"/>
    </row>
    <row r="28" spans="2:18" s="9" customFormat="1" ht="15" customHeight="1">
      <c r="B28" s="22"/>
      <c r="D28" s="21" t="s">
        <v>98</v>
      </c>
      <c r="M28" s="260">
        <f>$N$94</f>
        <v>0</v>
      </c>
      <c r="N28" s="260"/>
      <c r="O28" s="260"/>
      <c r="P28" s="260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2" t="s">
        <v>35</v>
      </c>
      <c r="M30" s="276">
        <f>ROUND($M$27+$M$28,2)</f>
        <v>0</v>
      </c>
      <c r="N30" s="276"/>
      <c r="O30" s="276"/>
      <c r="P30" s="276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36</v>
      </c>
      <c r="E32" s="27" t="s">
        <v>37</v>
      </c>
      <c r="F32" s="83">
        <v>0.21</v>
      </c>
      <c r="G32" s="84" t="s">
        <v>38</v>
      </c>
      <c r="H32" s="275">
        <f>ROUND((SUM($BE$94:$BE$95)+SUM($BE$113:$BE$124)),2)</f>
        <v>0</v>
      </c>
      <c r="I32" s="275"/>
      <c r="J32" s="275"/>
      <c r="M32" s="275">
        <f>ROUND(ROUND((SUM($BE$94:$BE$95)+SUM($BE$113:$BE$124)),2)*$F$32,2)</f>
        <v>0</v>
      </c>
      <c r="N32" s="275"/>
      <c r="O32" s="275"/>
      <c r="P32" s="275"/>
      <c r="R32" s="23"/>
    </row>
    <row r="33" spans="2:18" s="9" customFormat="1" ht="15" customHeight="1">
      <c r="B33" s="22"/>
      <c r="E33" s="27" t="s">
        <v>39</v>
      </c>
      <c r="F33" s="83">
        <v>0.15</v>
      </c>
      <c r="G33" s="84" t="s">
        <v>38</v>
      </c>
      <c r="H33" s="275">
        <f>ROUND((SUM($BF$94:$BF$95)+SUM($BF$113:$BF$124)),2)</f>
        <v>0</v>
      </c>
      <c r="I33" s="275"/>
      <c r="J33" s="275"/>
      <c r="M33" s="275">
        <f>ROUND(ROUND((SUM($BF$94:$BF$95)+SUM($BF$113:$BF$124)),2)*$F$33,2)</f>
        <v>0</v>
      </c>
      <c r="N33" s="275"/>
      <c r="O33" s="275"/>
      <c r="P33" s="275"/>
      <c r="R33" s="23"/>
    </row>
    <row r="34" spans="2:18" s="9" customFormat="1" ht="15" customHeight="1" hidden="1">
      <c r="B34" s="22"/>
      <c r="E34" s="27" t="s">
        <v>40</v>
      </c>
      <c r="F34" s="83">
        <v>0.21</v>
      </c>
      <c r="G34" s="84" t="s">
        <v>38</v>
      </c>
      <c r="H34" s="275">
        <f>ROUND((SUM($BG$94:$BG$95)+SUM($BG$113:$BG$124)),2)</f>
        <v>0</v>
      </c>
      <c r="I34" s="275"/>
      <c r="J34" s="275"/>
      <c r="M34" s="275">
        <v>0</v>
      </c>
      <c r="N34" s="275"/>
      <c r="O34" s="275"/>
      <c r="P34" s="275"/>
      <c r="R34" s="23"/>
    </row>
    <row r="35" spans="2:18" s="9" customFormat="1" ht="15" customHeight="1" hidden="1">
      <c r="B35" s="22"/>
      <c r="E35" s="27" t="s">
        <v>41</v>
      </c>
      <c r="F35" s="83">
        <v>0.15</v>
      </c>
      <c r="G35" s="84" t="s">
        <v>38</v>
      </c>
      <c r="H35" s="275">
        <f>ROUND((SUM($BH$94:$BH$95)+SUM($BH$113:$BH$124)),2)</f>
        <v>0</v>
      </c>
      <c r="I35" s="275"/>
      <c r="J35" s="275"/>
      <c r="M35" s="275">
        <v>0</v>
      </c>
      <c r="N35" s="275"/>
      <c r="O35" s="275"/>
      <c r="P35" s="275"/>
      <c r="R35" s="23"/>
    </row>
    <row r="36" spans="2:18" s="9" customFormat="1" ht="15" customHeight="1" hidden="1">
      <c r="B36" s="22"/>
      <c r="E36" s="27" t="s">
        <v>42</v>
      </c>
      <c r="F36" s="83">
        <v>0</v>
      </c>
      <c r="G36" s="84" t="s">
        <v>38</v>
      </c>
      <c r="H36" s="275">
        <f>ROUND((SUM($BI$94:$BI$95)+SUM($BI$113:$BI$124)),2)</f>
        <v>0</v>
      </c>
      <c r="I36" s="275"/>
      <c r="J36" s="275"/>
      <c r="M36" s="275">
        <v>0</v>
      </c>
      <c r="N36" s="275"/>
      <c r="O36" s="275"/>
      <c r="P36" s="275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43</v>
      </c>
      <c r="E38" s="32"/>
      <c r="F38" s="32"/>
      <c r="G38" s="85" t="s">
        <v>44</v>
      </c>
      <c r="H38" s="33" t="s">
        <v>45</v>
      </c>
      <c r="I38" s="32"/>
      <c r="J38" s="32"/>
      <c r="K38" s="32"/>
      <c r="L38" s="254">
        <f>SUM($M$30:$M$36)</f>
        <v>0</v>
      </c>
      <c r="M38" s="254"/>
      <c r="N38" s="254"/>
      <c r="O38" s="254"/>
      <c r="P38" s="254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46</v>
      </c>
      <c r="E50" s="35"/>
      <c r="F50" s="35"/>
      <c r="G50" s="35"/>
      <c r="H50" s="36"/>
      <c r="J50" s="34" t="s">
        <v>47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48</v>
      </c>
      <c r="E59" s="40"/>
      <c r="F59" s="40"/>
      <c r="G59" s="41" t="s">
        <v>49</v>
      </c>
      <c r="H59" s="42"/>
      <c r="J59" s="39" t="s">
        <v>48</v>
      </c>
      <c r="K59" s="40"/>
      <c r="L59" s="40"/>
      <c r="M59" s="40"/>
      <c r="N59" s="41" t="s">
        <v>49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50</v>
      </c>
      <c r="E61" s="35"/>
      <c r="F61" s="35"/>
      <c r="G61" s="35"/>
      <c r="H61" s="36"/>
      <c r="J61" s="34" t="s">
        <v>51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48</v>
      </c>
      <c r="E70" s="40"/>
      <c r="F70" s="40"/>
      <c r="G70" s="41" t="s">
        <v>49</v>
      </c>
      <c r="H70" s="42"/>
      <c r="J70" s="39" t="s">
        <v>48</v>
      </c>
      <c r="K70" s="40"/>
      <c r="L70" s="40"/>
      <c r="M70" s="40"/>
      <c r="N70" s="41" t="s">
        <v>49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255" t="s">
        <v>99</v>
      </c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272" t="str">
        <f>$F$6</f>
        <v>„Snížení energetické náročnosti MŠ Renoirova“ 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R78" s="23"/>
    </row>
    <row r="79" spans="2:18" s="9" customFormat="1" ht="37.5" customHeight="1">
      <c r="B79" s="22"/>
      <c r="C79" s="51" t="s">
        <v>95</v>
      </c>
      <c r="F79" s="256" t="str">
        <f>$F$7</f>
        <v>00 - VON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20</v>
      </c>
      <c r="F81" s="19" t="str">
        <f>$F$9</f>
        <v> </v>
      </c>
      <c r="K81" s="18" t="s">
        <v>22</v>
      </c>
      <c r="M81" s="257">
        <f>IF($O$9="","",$O$9)</f>
      </c>
      <c r="N81" s="257"/>
      <c r="O81" s="257"/>
      <c r="P81" s="257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25</v>
      </c>
      <c r="F83" s="1" t="s">
        <v>668</v>
      </c>
      <c r="K83" s="18" t="s">
        <v>29</v>
      </c>
      <c r="M83" s="249" t="s">
        <v>667</v>
      </c>
      <c r="N83" s="249"/>
      <c r="O83" s="249"/>
      <c r="P83" s="249"/>
      <c r="Q83" s="249"/>
      <c r="R83" s="23"/>
    </row>
    <row r="84" spans="2:18" s="9" customFormat="1" ht="15" customHeight="1">
      <c r="B84" s="22"/>
      <c r="C84" s="18" t="s">
        <v>28</v>
      </c>
      <c r="F84" s="236" t="str">
        <f>IF($E$15="","",$E$15)</f>
        <v> </v>
      </c>
      <c r="K84" s="18" t="s">
        <v>31</v>
      </c>
      <c r="M84" s="249" t="str">
        <f>$E$21</f>
        <v> </v>
      </c>
      <c r="N84" s="249"/>
      <c r="O84" s="249"/>
      <c r="P84" s="249"/>
      <c r="Q84" s="249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274" t="s">
        <v>100</v>
      </c>
      <c r="D86" s="274"/>
      <c r="E86" s="274"/>
      <c r="F86" s="274"/>
      <c r="G86" s="274"/>
      <c r="H86" s="30"/>
      <c r="I86" s="30"/>
      <c r="J86" s="30"/>
      <c r="K86" s="30"/>
      <c r="L86" s="30"/>
      <c r="M86" s="30"/>
      <c r="N86" s="274" t="s">
        <v>101</v>
      </c>
      <c r="O86" s="274"/>
      <c r="P86" s="274"/>
      <c r="Q86" s="274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1" t="s">
        <v>102</v>
      </c>
      <c r="N88" s="247">
        <f>$N$113</f>
        <v>0</v>
      </c>
      <c r="O88" s="247"/>
      <c r="P88" s="247"/>
      <c r="Q88" s="247"/>
      <c r="R88" s="23"/>
      <c r="AU88" s="9" t="s">
        <v>93</v>
      </c>
    </row>
    <row r="89" spans="2:18" s="66" customFormat="1" ht="25.5" customHeight="1">
      <c r="B89" s="86"/>
      <c r="D89" s="87" t="s">
        <v>103</v>
      </c>
      <c r="N89" s="273">
        <f>$N$114</f>
        <v>0</v>
      </c>
      <c r="O89" s="273"/>
      <c r="P89" s="273"/>
      <c r="Q89" s="273"/>
      <c r="R89" s="88"/>
    </row>
    <row r="90" spans="2:18" s="66" customFormat="1" ht="25.5" customHeight="1">
      <c r="B90" s="86"/>
      <c r="D90" s="87" t="s">
        <v>104</v>
      </c>
      <c r="N90" s="273">
        <f>$N$116</f>
        <v>0</v>
      </c>
      <c r="O90" s="273"/>
      <c r="P90" s="273"/>
      <c r="Q90" s="273"/>
      <c r="R90" s="88"/>
    </row>
    <row r="91" spans="2:18" s="66" customFormat="1" ht="25.5" customHeight="1">
      <c r="B91" s="86"/>
      <c r="D91" s="87" t="s">
        <v>105</v>
      </c>
      <c r="N91" s="273">
        <f>$N$118</f>
        <v>0</v>
      </c>
      <c r="O91" s="273"/>
      <c r="P91" s="273"/>
      <c r="Q91" s="273"/>
      <c r="R91" s="88"/>
    </row>
    <row r="92" spans="2:18" s="66" customFormat="1" ht="25.5" customHeight="1">
      <c r="B92" s="86"/>
      <c r="D92" s="87" t="s">
        <v>106</v>
      </c>
      <c r="N92" s="273">
        <f>$N$120</f>
        <v>0</v>
      </c>
      <c r="O92" s="273"/>
      <c r="P92" s="273"/>
      <c r="Q92" s="273"/>
      <c r="R92" s="88"/>
    </row>
    <row r="93" spans="2:18" s="9" customFormat="1" ht="22.5" customHeight="1">
      <c r="B93" s="22"/>
      <c r="R93" s="23"/>
    </row>
    <row r="94" spans="2:21" s="9" customFormat="1" ht="30" customHeight="1">
      <c r="B94" s="22"/>
      <c r="C94" s="61" t="s">
        <v>107</v>
      </c>
      <c r="N94" s="247">
        <v>0</v>
      </c>
      <c r="O94" s="247"/>
      <c r="P94" s="247"/>
      <c r="Q94" s="247"/>
      <c r="R94" s="23"/>
      <c r="T94" s="89"/>
      <c r="U94" s="90" t="s">
        <v>36</v>
      </c>
    </row>
    <row r="95" spans="2:18" s="9" customFormat="1" ht="18.75" customHeight="1">
      <c r="B95" s="22"/>
      <c r="R95" s="23"/>
    </row>
    <row r="96" spans="2:18" s="9" customFormat="1" ht="30" customHeight="1">
      <c r="B96" s="22"/>
      <c r="C96" s="76" t="s">
        <v>87</v>
      </c>
      <c r="D96" s="30"/>
      <c r="E96" s="30"/>
      <c r="F96" s="30"/>
      <c r="G96" s="30"/>
      <c r="H96" s="30"/>
      <c r="I96" s="30"/>
      <c r="J96" s="30"/>
      <c r="K96" s="30"/>
      <c r="L96" s="244">
        <f>ROUND(SUM($N$88+$N$94),2)</f>
        <v>0</v>
      </c>
      <c r="M96" s="244"/>
      <c r="N96" s="244"/>
      <c r="O96" s="244"/>
      <c r="P96" s="244"/>
      <c r="Q96" s="244"/>
      <c r="R96" s="23"/>
    </row>
    <row r="97" spans="2:18" s="9" customFormat="1" ht="7.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5"/>
    </row>
    <row r="101" spans="2:18" s="9" customFormat="1" ht="7.5" customHeigh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8"/>
    </row>
    <row r="102" spans="2:18" s="9" customFormat="1" ht="37.5" customHeight="1">
      <c r="B102" s="22"/>
      <c r="C102" s="255" t="s">
        <v>108</v>
      </c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3"/>
    </row>
    <row r="103" spans="2:18" s="9" customFormat="1" ht="7.5" customHeight="1">
      <c r="B103" s="22"/>
      <c r="R103" s="23"/>
    </row>
    <row r="104" spans="2:18" s="9" customFormat="1" ht="30.75" customHeight="1">
      <c r="B104" s="22"/>
      <c r="C104" s="18" t="s">
        <v>15</v>
      </c>
      <c r="F104" s="272" t="str">
        <f>$F$6</f>
        <v>„Snížení energetické náročnosti MŠ Renoirova“ </v>
      </c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R104" s="23"/>
    </row>
    <row r="105" spans="2:18" s="9" customFormat="1" ht="37.5" customHeight="1">
      <c r="B105" s="22"/>
      <c r="C105" s="51" t="s">
        <v>95</v>
      </c>
      <c r="F105" s="256" t="str">
        <f>$F$7</f>
        <v>00 - VON</v>
      </c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R105" s="23"/>
    </row>
    <row r="106" spans="2:18" s="9" customFormat="1" ht="7.5" customHeight="1">
      <c r="B106" s="22"/>
      <c r="R106" s="23"/>
    </row>
    <row r="107" spans="2:18" s="9" customFormat="1" ht="18.75" customHeight="1">
      <c r="B107" s="22"/>
      <c r="C107" s="18" t="s">
        <v>20</v>
      </c>
      <c r="F107" s="19" t="str">
        <f>$F$9</f>
        <v> </v>
      </c>
      <c r="K107" s="18" t="s">
        <v>22</v>
      </c>
      <c r="M107" s="257">
        <f>IF($O$9="","",$O$9)</f>
      </c>
      <c r="N107" s="257"/>
      <c r="O107" s="257"/>
      <c r="P107" s="257"/>
      <c r="R107" s="23"/>
    </row>
    <row r="108" spans="2:18" s="9" customFormat="1" ht="7.5" customHeight="1">
      <c r="B108" s="22"/>
      <c r="R108" s="23"/>
    </row>
    <row r="109" spans="2:18" s="9" customFormat="1" ht="15.75" customHeight="1">
      <c r="B109" s="22"/>
      <c r="C109" s="18" t="s">
        <v>25</v>
      </c>
      <c r="F109" s="1" t="s">
        <v>668</v>
      </c>
      <c r="K109" s="18" t="s">
        <v>29</v>
      </c>
      <c r="M109" s="249" t="s">
        <v>667</v>
      </c>
      <c r="N109" s="249"/>
      <c r="O109" s="249"/>
      <c r="P109" s="249"/>
      <c r="Q109" s="249"/>
      <c r="R109" s="23"/>
    </row>
    <row r="110" spans="2:18" s="9" customFormat="1" ht="15" customHeight="1">
      <c r="B110" s="22"/>
      <c r="C110" s="18" t="s">
        <v>28</v>
      </c>
      <c r="F110" s="236" t="str">
        <f>IF($E$15="","",$E$15)</f>
        <v> </v>
      </c>
      <c r="K110" s="18" t="s">
        <v>31</v>
      </c>
      <c r="M110" s="249" t="str">
        <f>$E$21</f>
        <v> </v>
      </c>
      <c r="N110" s="249"/>
      <c r="O110" s="249"/>
      <c r="P110" s="249"/>
      <c r="Q110" s="249"/>
      <c r="R110" s="23"/>
    </row>
    <row r="111" spans="2:18" s="9" customFormat="1" ht="11.25" customHeight="1">
      <c r="B111" s="22"/>
      <c r="R111" s="23"/>
    </row>
    <row r="112" spans="2:27" s="91" customFormat="1" ht="30" customHeight="1">
      <c r="B112" s="92"/>
      <c r="C112" s="93" t="s">
        <v>109</v>
      </c>
      <c r="D112" s="94" t="s">
        <v>110</v>
      </c>
      <c r="E112" s="94" t="s">
        <v>54</v>
      </c>
      <c r="F112" s="269" t="s">
        <v>111</v>
      </c>
      <c r="G112" s="269"/>
      <c r="H112" s="269"/>
      <c r="I112" s="269"/>
      <c r="J112" s="94" t="s">
        <v>112</v>
      </c>
      <c r="K112" s="94" t="s">
        <v>113</v>
      </c>
      <c r="L112" s="269" t="s">
        <v>114</v>
      </c>
      <c r="M112" s="269"/>
      <c r="N112" s="270" t="s">
        <v>115</v>
      </c>
      <c r="O112" s="270"/>
      <c r="P112" s="270"/>
      <c r="Q112" s="270"/>
      <c r="R112" s="95"/>
      <c r="T112" s="56" t="s">
        <v>116</v>
      </c>
      <c r="U112" s="57" t="s">
        <v>36</v>
      </c>
      <c r="V112" s="57" t="s">
        <v>117</v>
      </c>
      <c r="W112" s="57" t="s">
        <v>118</v>
      </c>
      <c r="X112" s="57" t="s">
        <v>119</v>
      </c>
      <c r="Y112" s="57" t="s">
        <v>120</v>
      </c>
      <c r="Z112" s="57" t="s">
        <v>121</v>
      </c>
      <c r="AA112" s="58" t="s">
        <v>122</v>
      </c>
    </row>
    <row r="113" spans="2:63" s="9" customFormat="1" ht="30" customHeight="1">
      <c r="B113" s="22"/>
      <c r="C113" s="61" t="s">
        <v>97</v>
      </c>
      <c r="N113" s="271">
        <f>N114+N116+N118+N120</f>
        <v>0</v>
      </c>
      <c r="O113" s="271"/>
      <c r="P113" s="271"/>
      <c r="Q113" s="271"/>
      <c r="R113" s="23"/>
      <c r="T113" s="60"/>
      <c r="U113" s="35"/>
      <c r="V113" s="35"/>
      <c r="W113" s="96" t="e">
        <f>#REF!+#REF!+$W$114+$W$116+$W$118+$W$120</f>
        <v>#REF!</v>
      </c>
      <c r="X113" s="35"/>
      <c r="Y113" s="96" t="e">
        <f>#REF!+#REF!+$Y$114+$Y$116+$Y$118+$Y$120</f>
        <v>#REF!</v>
      </c>
      <c r="Z113" s="35"/>
      <c r="AA113" s="97" t="e">
        <f>#REF!+#REF!+$AA$114+$AA$116+$AA$118+$AA$120</f>
        <v>#REF!</v>
      </c>
      <c r="AT113" s="9" t="s">
        <v>71</v>
      </c>
      <c r="AU113" s="9" t="s">
        <v>93</v>
      </c>
      <c r="BK113" s="98" t="e">
        <f>#REF!+#REF!+$BK$114+$BK$116+$BK$118+$BK$120</f>
        <v>#REF!</v>
      </c>
    </row>
    <row r="114" spans="2:63" s="99" customFormat="1" ht="37.5" customHeight="1">
      <c r="B114" s="100"/>
      <c r="C114" s="99"/>
      <c r="D114" s="101" t="s">
        <v>103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268">
        <f>$BK$114</f>
        <v>0</v>
      </c>
      <c r="O114" s="268"/>
      <c r="P114" s="268"/>
      <c r="Q114" s="268"/>
      <c r="R114" s="102"/>
      <c r="T114" s="103"/>
      <c r="W114" s="104">
        <f>$W$115</f>
        <v>0</v>
      </c>
      <c r="Y114" s="104">
        <f>$Y$115</f>
        <v>0</v>
      </c>
      <c r="AA114" s="105">
        <f>$AA$115</f>
        <v>0</v>
      </c>
      <c r="AR114" s="106" t="s">
        <v>19</v>
      </c>
      <c r="AT114" s="106" t="s">
        <v>71</v>
      </c>
      <c r="AU114" s="106" t="s">
        <v>72</v>
      </c>
      <c r="AY114" s="106" t="s">
        <v>123</v>
      </c>
      <c r="BK114" s="107">
        <f>$BK$115</f>
        <v>0</v>
      </c>
    </row>
    <row r="115" spans="2:65" s="9" customFormat="1" ht="15.75" customHeight="1">
      <c r="B115" s="22"/>
      <c r="C115" s="108" t="s">
        <v>23</v>
      </c>
      <c r="D115" s="108" t="s">
        <v>124</v>
      </c>
      <c r="E115" s="109" t="s">
        <v>125</v>
      </c>
      <c r="F115" s="266" t="s">
        <v>126</v>
      </c>
      <c r="G115" s="266"/>
      <c r="H115" s="266"/>
      <c r="I115" s="266"/>
      <c r="J115" s="110" t="s">
        <v>127</v>
      </c>
      <c r="K115" s="111">
        <v>1</v>
      </c>
      <c r="L115" s="267"/>
      <c r="M115" s="267"/>
      <c r="N115" s="267">
        <f>ROUND($L$115*$K$115,2)</f>
        <v>0</v>
      </c>
      <c r="O115" s="267"/>
      <c r="P115" s="267"/>
      <c r="Q115" s="267"/>
      <c r="R115" s="23"/>
      <c r="T115" s="112"/>
      <c r="U115" s="28" t="s">
        <v>37</v>
      </c>
      <c r="V115" s="113">
        <v>0</v>
      </c>
      <c r="W115" s="113">
        <f>$V$115*$K$115</f>
        <v>0</v>
      </c>
      <c r="X115" s="113">
        <v>0</v>
      </c>
      <c r="Y115" s="113">
        <f>$X$115*$K$115</f>
        <v>0</v>
      </c>
      <c r="Z115" s="113">
        <v>0</v>
      </c>
      <c r="AA115" s="114">
        <f>$Z$115*$K$115</f>
        <v>0</v>
      </c>
      <c r="AR115" s="9" t="s">
        <v>128</v>
      </c>
      <c r="AT115" s="9" t="s">
        <v>124</v>
      </c>
      <c r="AU115" s="9" t="s">
        <v>19</v>
      </c>
      <c r="AY115" s="9" t="s">
        <v>123</v>
      </c>
      <c r="BE115" s="115">
        <f>IF($U$115="základní",$N$115,0)</f>
        <v>0</v>
      </c>
      <c r="BF115" s="115">
        <f>IF($U$115="snížená",$N$115,0)</f>
        <v>0</v>
      </c>
      <c r="BG115" s="115">
        <f>IF($U$115="zákl. přenesená",$N$115,0)</f>
        <v>0</v>
      </c>
      <c r="BH115" s="115">
        <f>IF($U$115="sníž. přenesená",$N$115,0)</f>
        <v>0</v>
      </c>
      <c r="BI115" s="115">
        <f>IF($U$115="nulová",$N$115,0)</f>
        <v>0</v>
      </c>
      <c r="BJ115" s="9" t="s">
        <v>19</v>
      </c>
      <c r="BK115" s="115">
        <f>ROUND($L$115*$K$115,2)</f>
        <v>0</v>
      </c>
      <c r="BL115" s="9" t="s">
        <v>128</v>
      </c>
      <c r="BM115" s="9" t="s">
        <v>128</v>
      </c>
    </row>
    <row r="116" spans="2:63" s="99" customFormat="1" ht="37.5" customHeight="1">
      <c r="B116" s="100"/>
      <c r="D116" s="101" t="s">
        <v>104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268">
        <f>$BK$116</f>
        <v>0</v>
      </c>
      <c r="O116" s="268"/>
      <c r="P116" s="268"/>
      <c r="Q116" s="268"/>
      <c r="R116" s="102"/>
      <c r="T116" s="103"/>
      <c r="W116" s="104">
        <f>SUM($W$117:$W$117)</f>
        <v>0</v>
      </c>
      <c r="Y116" s="104">
        <f>SUM($Y$117:$Y$117)</f>
        <v>0</v>
      </c>
      <c r="AA116" s="105">
        <f>SUM($AA$117:$AA$117)</f>
        <v>0</v>
      </c>
      <c r="AR116" s="106" t="s">
        <v>19</v>
      </c>
      <c r="AT116" s="106" t="s">
        <v>71</v>
      </c>
      <c r="AU116" s="106" t="s">
        <v>72</v>
      </c>
      <c r="AY116" s="106" t="s">
        <v>123</v>
      </c>
      <c r="BK116" s="107">
        <f>SUM($BK$117:$BK$117)</f>
        <v>0</v>
      </c>
    </row>
    <row r="117" spans="2:65" s="9" customFormat="1" ht="15.75" customHeight="1">
      <c r="B117" s="22"/>
      <c r="C117" s="108" t="s">
        <v>129</v>
      </c>
      <c r="D117" s="108" t="s">
        <v>124</v>
      </c>
      <c r="E117" s="109" t="s">
        <v>130</v>
      </c>
      <c r="F117" s="266" t="s">
        <v>131</v>
      </c>
      <c r="G117" s="266"/>
      <c r="H117" s="266"/>
      <c r="I117" s="266"/>
      <c r="J117" s="110" t="s">
        <v>127</v>
      </c>
      <c r="K117" s="111">
        <v>1</v>
      </c>
      <c r="L117" s="267"/>
      <c r="M117" s="267"/>
      <c r="N117" s="267">
        <f>ROUND($L$117*$K$117,2)</f>
        <v>0</v>
      </c>
      <c r="O117" s="267"/>
      <c r="P117" s="267"/>
      <c r="Q117" s="267"/>
      <c r="R117" s="23"/>
      <c r="T117" s="112"/>
      <c r="U117" s="28" t="s">
        <v>37</v>
      </c>
      <c r="V117" s="113">
        <v>0</v>
      </c>
      <c r="W117" s="113">
        <f>$V$117*$K$117</f>
        <v>0</v>
      </c>
      <c r="X117" s="113">
        <v>0</v>
      </c>
      <c r="Y117" s="113">
        <f>$X$117*$K$117</f>
        <v>0</v>
      </c>
      <c r="Z117" s="113">
        <v>0</v>
      </c>
      <c r="AA117" s="114">
        <f>$Z$117*$K$117</f>
        <v>0</v>
      </c>
      <c r="AR117" s="9" t="s">
        <v>128</v>
      </c>
      <c r="AT117" s="9" t="s">
        <v>124</v>
      </c>
      <c r="AU117" s="9" t="s">
        <v>19</v>
      </c>
      <c r="AY117" s="9" t="s">
        <v>123</v>
      </c>
      <c r="BE117" s="115">
        <f>IF($U$117="základní",$N$117,0)</f>
        <v>0</v>
      </c>
      <c r="BF117" s="115">
        <f>IF($U$117="snížená",$N$117,0)</f>
        <v>0</v>
      </c>
      <c r="BG117" s="115">
        <f>IF($U$117="zákl. přenesená",$N$117,0)</f>
        <v>0</v>
      </c>
      <c r="BH117" s="115">
        <f>IF($U$117="sníž. přenesená",$N$117,0)</f>
        <v>0</v>
      </c>
      <c r="BI117" s="115">
        <f>IF($U$117="nulová",$N$117,0)</f>
        <v>0</v>
      </c>
      <c r="BJ117" s="9" t="s">
        <v>19</v>
      </c>
      <c r="BK117" s="115">
        <f>ROUND($L$117*$K$117,2)</f>
        <v>0</v>
      </c>
      <c r="BL117" s="9" t="s">
        <v>128</v>
      </c>
      <c r="BM117" s="9" t="s">
        <v>132</v>
      </c>
    </row>
    <row r="118" spans="2:63" s="99" customFormat="1" ht="37.5" customHeight="1">
      <c r="B118" s="100"/>
      <c r="D118" s="101" t="s">
        <v>105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268">
        <f>$BK$118</f>
        <v>0</v>
      </c>
      <c r="O118" s="268"/>
      <c r="P118" s="268"/>
      <c r="Q118" s="268"/>
      <c r="R118" s="102"/>
      <c r="T118" s="103"/>
      <c r="W118" s="104">
        <f>$W$119</f>
        <v>0</v>
      </c>
      <c r="Y118" s="104">
        <f>$Y$119</f>
        <v>0</v>
      </c>
      <c r="AA118" s="105">
        <f>$AA$119</f>
        <v>0</v>
      </c>
      <c r="AR118" s="106" t="s">
        <v>19</v>
      </c>
      <c r="AT118" s="106" t="s">
        <v>71</v>
      </c>
      <c r="AU118" s="106" t="s">
        <v>72</v>
      </c>
      <c r="AY118" s="106" t="s">
        <v>123</v>
      </c>
      <c r="BK118" s="107">
        <f>$BK$119</f>
        <v>0</v>
      </c>
    </row>
    <row r="119" spans="2:65" s="9" customFormat="1" ht="15.75" customHeight="1">
      <c r="B119" s="22"/>
      <c r="C119" s="108" t="s">
        <v>133</v>
      </c>
      <c r="D119" s="108" t="s">
        <v>124</v>
      </c>
      <c r="E119" s="109" t="s">
        <v>134</v>
      </c>
      <c r="F119" s="266" t="s">
        <v>135</v>
      </c>
      <c r="G119" s="266"/>
      <c r="H119" s="266"/>
      <c r="I119" s="266"/>
      <c r="J119" s="110" t="s">
        <v>127</v>
      </c>
      <c r="K119" s="111">
        <v>1</v>
      </c>
      <c r="L119" s="267"/>
      <c r="M119" s="267"/>
      <c r="N119" s="267">
        <f>ROUND($L$119*$K$119,2)</f>
        <v>0</v>
      </c>
      <c r="O119" s="267"/>
      <c r="P119" s="267"/>
      <c r="Q119" s="267"/>
      <c r="R119" s="23"/>
      <c r="T119" s="112"/>
      <c r="U119" s="28" t="s">
        <v>37</v>
      </c>
      <c r="V119" s="113">
        <v>0</v>
      </c>
      <c r="W119" s="113">
        <f>$V$119*$K$119</f>
        <v>0</v>
      </c>
      <c r="X119" s="113">
        <v>0</v>
      </c>
      <c r="Y119" s="113">
        <f>$X$119*$K$119</f>
        <v>0</v>
      </c>
      <c r="Z119" s="113">
        <v>0</v>
      </c>
      <c r="AA119" s="114">
        <f>$Z$119*$K$119</f>
        <v>0</v>
      </c>
      <c r="AR119" s="9" t="s">
        <v>128</v>
      </c>
      <c r="AT119" s="9" t="s">
        <v>124</v>
      </c>
      <c r="AU119" s="9" t="s">
        <v>19</v>
      </c>
      <c r="AY119" s="9" t="s">
        <v>123</v>
      </c>
      <c r="BE119" s="115">
        <f>IF($U$119="základní",$N$119,0)</f>
        <v>0</v>
      </c>
      <c r="BF119" s="115">
        <f>IF($U$119="snížená",$N$119,0)</f>
        <v>0</v>
      </c>
      <c r="BG119" s="115">
        <f>IF($U$119="zákl. přenesená",$N$119,0)</f>
        <v>0</v>
      </c>
      <c r="BH119" s="115">
        <f>IF($U$119="sníž. přenesená",$N$119,0)</f>
        <v>0</v>
      </c>
      <c r="BI119" s="115">
        <f>IF($U$119="nulová",$N$119,0)</f>
        <v>0</v>
      </c>
      <c r="BJ119" s="9" t="s">
        <v>19</v>
      </c>
      <c r="BK119" s="115">
        <f>ROUND($L$119*$K$119,2)</f>
        <v>0</v>
      </c>
      <c r="BL119" s="9" t="s">
        <v>128</v>
      </c>
      <c r="BM119" s="9" t="s">
        <v>129</v>
      </c>
    </row>
    <row r="120" spans="2:63" s="99" customFormat="1" ht="37.5" customHeight="1">
      <c r="B120" s="100"/>
      <c r="D120" s="101" t="s">
        <v>106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268">
        <f>$BK$120</f>
        <v>0</v>
      </c>
      <c r="O120" s="268"/>
      <c r="P120" s="268"/>
      <c r="Q120" s="268"/>
      <c r="R120" s="102"/>
      <c r="T120" s="103"/>
      <c r="W120" s="104">
        <f>SUM($W$121:$W$124)</f>
        <v>0</v>
      </c>
      <c r="Y120" s="104">
        <f>SUM($Y$121:$Y$124)</f>
        <v>0</v>
      </c>
      <c r="AA120" s="105">
        <f>SUM($AA$121:$AA$124)</f>
        <v>0</v>
      </c>
      <c r="AR120" s="106" t="s">
        <v>19</v>
      </c>
      <c r="AT120" s="106" t="s">
        <v>71</v>
      </c>
      <c r="AU120" s="106" t="s">
        <v>72</v>
      </c>
      <c r="AY120" s="106" t="s">
        <v>123</v>
      </c>
      <c r="BK120" s="107">
        <f>SUM($BK$121:$BK$124)</f>
        <v>0</v>
      </c>
    </row>
    <row r="121" spans="2:65" s="9" customFormat="1" ht="15.75" customHeight="1">
      <c r="B121" s="22"/>
      <c r="C121" s="108" t="s">
        <v>19</v>
      </c>
      <c r="D121" s="108" t="s">
        <v>124</v>
      </c>
      <c r="E121" s="109" t="s">
        <v>136</v>
      </c>
      <c r="F121" s="266" t="s">
        <v>137</v>
      </c>
      <c r="G121" s="266"/>
      <c r="H121" s="266"/>
      <c r="I121" s="266"/>
      <c r="J121" s="110" t="s">
        <v>127</v>
      </c>
      <c r="K121" s="111">
        <v>1</v>
      </c>
      <c r="L121" s="267"/>
      <c r="M121" s="267"/>
      <c r="N121" s="267">
        <f>ROUND($L$121*$K$121,2)</f>
        <v>0</v>
      </c>
      <c r="O121" s="267"/>
      <c r="P121" s="267"/>
      <c r="Q121" s="267"/>
      <c r="R121" s="23"/>
      <c r="T121" s="112"/>
      <c r="U121" s="28" t="s">
        <v>37</v>
      </c>
      <c r="V121" s="113">
        <v>0</v>
      </c>
      <c r="W121" s="113">
        <f>$V$121*$K$121</f>
        <v>0</v>
      </c>
      <c r="X121" s="113">
        <v>0</v>
      </c>
      <c r="Y121" s="113">
        <f>$X$121*$K$121</f>
        <v>0</v>
      </c>
      <c r="Z121" s="113">
        <v>0</v>
      </c>
      <c r="AA121" s="114">
        <f>$Z$121*$K$121</f>
        <v>0</v>
      </c>
      <c r="AR121" s="9" t="s">
        <v>128</v>
      </c>
      <c r="AT121" s="9" t="s">
        <v>124</v>
      </c>
      <c r="AU121" s="9" t="s">
        <v>19</v>
      </c>
      <c r="AY121" s="9" t="s">
        <v>123</v>
      </c>
      <c r="BE121" s="115">
        <f>IF($U$121="základní",$N$121,0)</f>
        <v>0</v>
      </c>
      <c r="BF121" s="115">
        <f>IF($U$121="snížená",$N$121,0)</f>
        <v>0</v>
      </c>
      <c r="BG121" s="115">
        <f>IF($U$121="zákl. přenesená",$N$121,0)</f>
        <v>0</v>
      </c>
      <c r="BH121" s="115">
        <f>IF($U$121="sníž. přenesená",$N$121,0)</f>
        <v>0</v>
      </c>
      <c r="BI121" s="115">
        <f>IF($U$121="nulová",$N$121,0)</f>
        <v>0</v>
      </c>
      <c r="BJ121" s="9" t="s">
        <v>19</v>
      </c>
      <c r="BK121" s="115">
        <f>ROUND($L$121*$K$121,2)</f>
        <v>0</v>
      </c>
      <c r="BL121" s="9" t="s">
        <v>128</v>
      </c>
      <c r="BM121" s="9" t="s">
        <v>23</v>
      </c>
    </row>
    <row r="122" spans="2:65" s="9" customFormat="1" ht="15.75" customHeight="1">
      <c r="B122" s="22"/>
      <c r="C122" s="108" t="s">
        <v>138</v>
      </c>
      <c r="D122" s="108" t="s">
        <v>124</v>
      </c>
      <c r="E122" s="109" t="s">
        <v>139</v>
      </c>
      <c r="F122" s="266" t="s">
        <v>140</v>
      </c>
      <c r="G122" s="266"/>
      <c r="H122" s="266"/>
      <c r="I122" s="266"/>
      <c r="J122" s="110" t="s">
        <v>127</v>
      </c>
      <c r="K122" s="111">
        <v>1</v>
      </c>
      <c r="L122" s="267"/>
      <c r="M122" s="267"/>
      <c r="N122" s="267">
        <f>ROUND($L$122*$K$122,2)</f>
        <v>0</v>
      </c>
      <c r="O122" s="267"/>
      <c r="P122" s="267"/>
      <c r="Q122" s="267"/>
      <c r="R122" s="23"/>
      <c r="T122" s="112"/>
      <c r="U122" s="28" t="s">
        <v>37</v>
      </c>
      <c r="V122" s="113">
        <v>0</v>
      </c>
      <c r="W122" s="113">
        <f>$V$122*$K$122</f>
        <v>0</v>
      </c>
      <c r="X122" s="113">
        <v>0</v>
      </c>
      <c r="Y122" s="113">
        <f>$X$122*$K$122</f>
        <v>0</v>
      </c>
      <c r="Z122" s="113">
        <v>0</v>
      </c>
      <c r="AA122" s="114">
        <f>$Z$122*$K$122</f>
        <v>0</v>
      </c>
      <c r="AR122" s="9" t="s">
        <v>128</v>
      </c>
      <c r="AT122" s="9" t="s">
        <v>124</v>
      </c>
      <c r="AU122" s="9" t="s">
        <v>19</v>
      </c>
      <c r="AY122" s="9" t="s">
        <v>123</v>
      </c>
      <c r="BE122" s="115">
        <f>IF($U$122="základní",$N$122,0)</f>
        <v>0</v>
      </c>
      <c r="BF122" s="115">
        <f>IF($U$122="snížená",$N$122,0)</f>
        <v>0</v>
      </c>
      <c r="BG122" s="115">
        <f>IF($U$122="zákl. přenesená",$N$122,0)</f>
        <v>0</v>
      </c>
      <c r="BH122" s="115">
        <f>IF($U$122="sníž. přenesená",$N$122,0)</f>
        <v>0</v>
      </c>
      <c r="BI122" s="115">
        <f>IF($U$122="nulová",$N$122,0)</f>
        <v>0</v>
      </c>
      <c r="BJ122" s="9" t="s">
        <v>19</v>
      </c>
      <c r="BK122" s="115">
        <f>ROUND($L$122*$K$122,2)</f>
        <v>0</v>
      </c>
      <c r="BL122" s="9" t="s">
        <v>128</v>
      </c>
      <c r="BM122" s="9" t="s">
        <v>141</v>
      </c>
    </row>
    <row r="123" spans="2:65" s="9" customFormat="1" ht="15.75" customHeight="1">
      <c r="B123" s="22"/>
      <c r="C123" s="108" t="s">
        <v>142</v>
      </c>
      <c r="D123" s="108" t="s">
        <v>124</v>
      </c>
      <c r="E123" s="109" t="s">
        <v>143</v>
      </c>
      <c r="F123" s="266" t="s">
        <v>144</v>
      </c>
      <c r="G123" s="266"/>
      <c r="H123" s="266"/>
      <c r="I123" s="266"/>
      <c r="J123" s="110" t="s">
        <v>127</v>
      </c>
      <c r="K123" s="111">
        <v>1</v>
      </c>
      <c r="L123" s="267"/>
      <c r="M123" s="267"/>
      <c r="N123" s="267">
        <f>ROUND($L$123*$K$123,2)</f>
        <v>0</v>
      </c>
      <c r="O123" s="267"/>
      <c r="P123" s="267"/>
      <c r="Q123" s="267"/>
      <c r="R123" s="23"/>
      <c r="T123" s="112"/>
      <c r="U123" s="28" t="s">
        <v>37</v>
      </c>
      <c r="V123" s="113">
        <v>0</v>
      </c>
      <c r="W123" s="113">
        <f>$V$123*$K$123</f>
        <v>0</v>
      </c>
      <c r="X123" s="113">
        <v>0</v>
      </c>
      <c r="Y123" s="113">
        <f>$X$123*$K$123</f>
        <v>0</v>
      </c>
      <c r="Z123" s="113">
        <v>0</v>
      </c>
      <c r="AA123" s="114">
        <f>$Z$123*$K$123</f>
        <v>0</v>
      </c>
      <c r="AR123" s="9" t="s">
        <v>128</v>
      </c>
      <c r="AT123" s="9" t="s">
        <v>124</v>
      </c>
      <c r="AU123" s="9" t="s">
        <v>19</v>
      </c>
      <c r="AY123" s="9" t="s">
        <v>123</v>
      </c>
      <c r="BE123" s="115">
        <f>IF($U$123="základní",$N$123,0)</f>
        <v>0</v>
      </c>
      <c r="BF123" s="115">
        <f>IF($U$123="snížená",$N$123,0)</f>
        <v>0</v>
      </c>
      <c r="BG123" s="115">
        <f>IF($U$123="zákl. přenesená",$N$123,0)</f>
        <v>0</v>
      </c>
      <c r="BH123" s="115">
        <f>IF($U$123="sníž. přenesená",$N$123,0)</f>
        <v>0</v>
      </c>
      <c r="BI123" s="115">
        <f>IF($U$123="nulová",$N$123,0)</f>
        <v>0</v>
      </c>
      <c r="BJ123" s="9" t="s">
        <v>19</v>
      </c>
      <c r="BK123" s="115">
        <f>ROUND($L$123*$K$123,2)</f>
        <v>0</v>
      </c>
      <c r="BL123" s="9" t="s">
        <v>128</v>
      </c>
      <c r="BM123" s="9" t="s">
        <v>145</v>
      </c>
    </row>
    <row r="124" spans="2:65" s="9" customFormat="1" ht="24" customHeight="1">
      <c r="B124" s="22"/>
      <c r="C124" s="108" t="s">
        <v>128</v>
      </c>
      <c r="D124" s="108" t="s">
        <v>124</v>
      </c>
      <c r="E124" s="109" t="s">
        <v>146</v>
      </c>
      <c r="F124" s="266" t="s">
        <v>674</v>
      </c>
      <c r="G124" s="266"/>
      <c r="H124" s="266"/>
      <c r="I124" s="266"/>
      <c r="J124" s="110" t="s">
        <v>127</v>
      </c>
      <c r="K124" s="111">
        <v>1</v>
      </c>
      <c r="L124" s="267"/>
      <c r="M124" s="267"/>
      <c r="N124" s="267">
        <f>ROUND($L$124*$K$124,2)</f>
        <v>0</v>
      </c>
      <c r="O124" s="267"/>
      <c r="P124" s="267"/>
      <c r="Q124" s="267"/>
      <c r="R124" s="23"/>
      <c r="T124" s="112"/>
      <c r="U124" s="116" t="s">
        <v>37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9" t="s">
        <v>128</v>
      </c>
      <c r="AT124" s="9" t="s">
        <v>124</v>
      </c>
      <c r="AU124" s="9" t="s">
        <v>19</v>
      </c>
      <c r="AY124" s="9" t="s">
        <v>123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9" t="s">
        <v>19</v>
      </c>
      <c r="BK124" s="115">
        <f>ROUND($L$124*$K$124,2)</f>
        <v>0</v>
      </c>
      <c r="BL124" s="9" t="s">
        <v>128</v>
      </c>
      <c r="BM124" s="9" t="s">
        <v>147</v>
      </c>
    </row>
    <row r="125" spans="2:18" s="9" customFormat="1" ht="7.5" customHeight="1"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5"/>
    </row>
  </sheetData>
  <sheetProtection selectLockedCells="1" selectUnlockedCells="1"/>
  <mergeCells count="80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113:Q113"/>
    <mergeCell ref="N114:Q114"/>
    <mergeCell ref="F115:I115"/>
    <mergeCell ref="L115:M115"/>
    <mergeCell ref="N115:Q115"/>
    <mergeCell ref="N116:Q116"/>
    <mergeCell ref="F117:I117"/>
    <mergeCell ref="L117:M117"/>
    <mergeCell ref="N117:Q117"/>
    <mergeCell ref="N118:Q118"/>
    <mergeCell ref="F119:I119"/>
    <mergeCell ref="L119:M119"/>
    <mergeCell ref="N119:Q119"/>
    <mergeCell ref="N120:Q120"/>
    <mergeCell ref="F121:I121"/>
    <mergeCell ref="L121:M121"/>
    <mergeCell ref="N121:Q121"/>
    <mergeCell ref="F124:I124"/>
    <mergeCell ref="L124:M124"/>
    <mergeCell ref="N124:Q124"/>
    <mergeCell ref="F122:I122"/>
    <mergeCell ref="L122:M122"/>
    <mergeCell ref="N122:Q122"/>
    <mergeCell ref="F123:I123"/>
    <mergeCell ref="L123:M123"/>
    <mergeCell ref="N123:Q123"/>
  </mergeCells>
  <hyperlinks>
    <hyperlink ref="F1" location="C2" display="1) Krycí list rozpočtu"/>
    <hyperlink ref="H1" location="C86" display="2) Rekapitulace rozpočtu"/>
    <hyperlink ref="L1" location="C114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8"/>
  <sheetViews>
    <sheetView showGridLines="0" zoomScale="90" zoomScaleNormal="90" zoomScalePageLayoutView="0" workbookViewId="0" topLeftCell="A1">
      <pane ySplit="1" topLeftCell="A280" activePane="bottomLeft" state="frozen"/>
      <selection pane="topLeft" activeCell="A1" sqref="A1"/>
      <selection pane="bottomLeft" activeCell="N289" sqref="N289:Q289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9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77"/>
      <c r="B1" s="4"/>
      <c r="C1" s="4"/>
      <c r="D1" s="5" t="s">
        <v>1</v>
      </c>
      <c r="E1" s="4"/>
      <c r="F1" s="6" t="s">
        <v>88</v>
      </c>
      <c r="G1" s="6"/>
      <c r="H1" s="277" t="s">
        <v>89</v>
      </c>
      <c r="I1" s="277"/>
      <c r="J1" s="277"/>
      <c r="K1" s="277"/>
      <c r="L1" s="6" t="s">
        <v>90</v>
      </c>
      <c r="M1" s="4"/>
      <c r="N1" s="4"/>
      <c r="O1" s="5" t="s">
        <v>91</v>
      </c>
      <c r="P1" s="4"/>
      <c r="Q1" s="4"/>
      <c r="R1" s="4"/>
      <c r="S1" s="6" t="s">
        <v>92</v>
      </c>
      <c r="T1" s="6"/>
      <c r="U1" s="77"/>
      <c r="V1" s="77"/>
    </row>
    <row r="2" spans="3:46" s="1" customFormat="1" ht="37.5" customHeight="1">
      <c r="C2" s="262" t="s">
        <v>6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S2" s="263" t="s">
        <v>7</v>
      </c>
      <c r="T2" s="263"/>
      <c r="U2" s="263"/>
      <c r="V2" s="263"/>
      <c r="W2" s="263"/>
      <c r="X2" s="263"/>
      <c r="Y2" s="263"/>
      <c r="Z2" s="263"/>
      <c r="AA2" s="263"/>
      <c r="AB2" s="263"/>
      <c r="AC2" s="263"/>
      <c r="AT2" s="1" t="s">
        <v>83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93</v>
      </c>
    </row>
    <row r="4" spans="2:46" s="1" customFormat="1" ht="37.5" customHeight="1">
      <c r="B4" s="13"/>
      <c r="C4" s="255" t="s">
        <v>94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72" t="str">
        <f>'Rekapitulace stavby'!$K$6</f>
        <v>„Snížení energetické náročnosti MŠ Renoirova“ 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R6" s="14"/>
    </row>
    <row r="7" spans="2:18" s="9" customFormat="1" ht="33.75" customHeight="1">
      <c r="B7" s="22"/>
      <c r="D7" s="17" t="s">
        <v>95</v>
      </c>
      <c r="F7" s="264" t="s">
        <v>148</v>
      </c>
      <c r="G7" s="264"/>
      <c r="H7" s="264"/>
      <c r="I7" s="264"/>
      <c r="J7" s="264"/>
      <c r="K7" s="264"/>
      <c r="L7" s="264"/>
      <c r="M7" s="264"/>
      <c r="N7" s="264"/>
      <c r="O7" s="264"/>
      <c r="P7" s="264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20</v>
      </c>
      <c r="F9" s="19" t="s">
        <v>21</v>
      </c>
      <c r="M9" s="18" t="s">
        <v>22</v>
      </c>
      <c r="O9" s="257"/>
      <c r="P9" s="257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25</v>
      </c>
      <c r="F11" s="1" t="s">
        <v>668</v>
      </c>
      <c r="M11" s="18" t="s">
        <v>26</v>
      </c>
      <c r="O11" s="249" t="str">
        <f>IF('Rekapitulace stavby'!$AN$10="","",'Rekapitulace stavby'!$AN$10)</f>
        <v>00063631</v>
      </c>
      <c r="P11" s="249"/>
      <c r="R11" s="23"/>
    </row>
    <row r="12" spans="2:18" s="9" customFormat="1" ht="18.75" customHeight="1">
      <c r="B12" s="22"/>
      <c r="E12" s="19" t="str">
        <f>IF('Rekapitulace stavby'!$E$11="","",'Rekapitulace stavby'!$E$11)</f>
        <v> </v>
      </c>
      <c r="F12" s="1"/>
      <c r="M12" s="18" t="s">
        <v>27</v>
      </c>
      <c r="O12" s="249" t="str">
        <f>IF('Rekapitulace stavby'!$AN$11="","",'Rekapitulace stavby'!$AN$11)</f>
        <v>CZ00063631</v>
      </c>
      <c r="P12" s="249"/>
      <c r="R12" s="23"/>
    </row>
    <row r="13" spans="2:18" s="9" customFormat="1" ht="7.5" customHeight="1">
      <c r="B13" s="22"/>
      <c r="F13" s="1"/>
      <c r="R13" s="23"/>
    </row>
    <row r="14" spans="2:18" s="9" customFormat="1" ht="15" customHeight="1">
      <c r="B14" s="22"/>
      <c r="D14" s="18" t="s">
        <v>28</v>
      </c>
      <c r="F14" s="242"/>
      <c r="M14" s="18" t="s">
        <v>26</v>
      </c>
      <c r="O14" s="249">
        <f>IF('Rekapitulace stavby'!$AN$13="","",'Rekapitulace stavby'!$AN$13)</f>
      </c>
      <c r="P14" s="249"/>
      <c r="R14" s="23"/>
    </row>
    <row r="15" spans="2:18" s="9" customFormat="1" ht="18.75" customHeight="1">
      <c r="B15" s="22"/>
      <c r="E15" s="19" t="str">
        <f>IF('Rekapitulace stavby'!$E$14="","",'Rekapitulace stavby'!$E$14)</f>
        <v> </v>
      </c>
      <c r="F15" s="1"/>
      <c r="M15" s="18" t="s">
        <v>27</v>
      </c>
      <c r="O15" s="249">
        <f>IF('Rekapitulace stavby'!$AN$14="","",'Rekapitulace stavby'!$AN$14)</f>
      </c>
      <c r="P15" s="249"/>
      <c r="R15" s="23"/>
    </row>
    <row r="16" spans="2:18" s="9" customFormat="1" ht="7.5" customHeight="1">
      <c r="B16" s="22"/>
      <c r="F16" s="1"/>
      <c r="R16" s="23"/>
    </row>
    <row r="17" spans="2:18" s="9" customFormat="1" ht="15" customHeight="1">
      <c r="B17" s="22"/>
      <c r="D17" s="18" t="s">
        <v>29</v>
      </c>
      <c r="F17" s="1" t="s">
        <v>667</v>
      </c>
      <c r="M17" s="18" t="s">
        <v>26</v>
      </c>
      <c r="O17" s="249" t="str">
        <f>IF('Rekapitulace stavby'!$AN$16="","",'Rekapitulace stavby'!$AN$16)</f>
        <v>02696622</v>
      </c>
      <c r="P17" s="249"/>
      <c r="R17" s="23"/>
    </row>
    <row r="18" spans="2:18" s="9" customFormat="1" ht="18.75" customHeight="1">
      <c r="B18" s="22"/>
      <c r="E18" s="19" t="str">
        <f>IF('Rekapitulace stavby'!$E$17="","",'Rekapitulace stavby'!$E$17)</f>
        <v> </v>
      </c>
      <c r="M18" s="18" t="s">
        <v>27</v>
      </c>
      <c r="O18" s="249" t="str">
        <f>IF('Rekapitulace stavby'!$AN$17="","",'Rekapitulace stavby'!$AN$17)</f>
        <v>CZ02696622</v>
      </c>
      <c r="P18" s="249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31</v>
      </c>
      <c r="M20" s="18" t="s">
        <v>26</v>
      </c>
      <c r="O20" s="249">
        <f>IF('Rekapitulace stavby'!$AN$19="","",'Rekapitulace stavby'!$AN$19)</f>
      </c>
      <c r="P20" s="249"/>
      <c r="R20" s="23"/>
    </row>
    <row r="21" spans="2:18" s="9" customFormat="1" ht="18.75" customHeight="1">
      <c r="B21" s="22"/>
      <c r="E21" s="19" t="str">
        <f>IF('Rekapitulace stavby'!$E$20="","",'Rekapitulace stavby'!$E$20)</f>
        <v> </v>
      </c>
      <c r="M21" s="18" t="s">
        <v>27</v>
      </c>
      <c r="O21" s="249">
        <f>IF('Rekapitulace stavby'!$AN$20="","",'Rekapitulace stavby'!$AN$20)</f>
      </c>
      <c r="P21" s="249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32</v>
      </c>
      <c r="R23" s="23"/>
    </row>
    <row r="24" spans="2:18" s="78" customFormat="1" ht="15.75" customHeight="1">
      <c r="B24" s="79"/>
      <c r="E24" s="265"/>
      <c r="F24" s="265"/>
      <c r="G24" s="265"/>
      <c r="H24" s="265"/>
      <c r="I24" s="265"/>
      <c r="J24" s="265"/>
      <c r="K24" s="265"/>
      <c r="L24" s="265"/>
      <c r="R24" s="80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1" t="s">
        <v>97</v>
      </c>
      <c r="M27" s="260">
        <f>$N$88</f>
        <v>0</v>
      </c>
      <c r="N27" s="260"/>
      <c r="O27" s="260"/>
      <c r="P27" s="260"/>
      <c r="R27" s="23"/>
    </row>
    <row r="28" spans="2:18" s="9" customFormat="1" ht="15" customHeight="1">
      <c r="B28" s="22"/>
      <c r="D28" s="21" t="s">
        <v>98</v>
      </c>
      <c r="M28" s="260">
        <f>$N$109</f>
        <v>0</v>
      </c>
      <c r="N28" s="260"/>
      <c r="O28" s="260"/>
      <c r="P28" s="260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2" t="s">
        <v>35</v>
      </c>
      <c r="M30" s="276">
        <f>ROUND($M$27+$M$28,2)</f>
        <v>0</v>
      </c>
      <c r="N30" s="276"/>
      <c r="O30" s="276"/>
      <c r="P30" s="276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36</v>
      </c>
      <c r="E32" s="27" t="s">
        <v>37</v>
      </c>
      <c r="F32" s="83">
        <v>0.21</v>
      </c>
      <c r="G32" s="84" t="s">
        <v>38</v>
      </c>
      <c r="H32" s="275">
        <f>M30</f>
        <v>0</v>
      </c>
      <c r="I32" s="275"/>
      <c r="J32" s="275"/>
      <c r="M32" s="275">
        <f>F32*H32</f>
        <v>0</v>
      </c>
      <c r="N32" s="275"/>
      <c r="O32" s="275"/>
      <c r="P32" s="275"/>
      <c r="R32" s="23"/>
    </row>
    <row r="33" spans="2:18" s="9" customFormat="1" ht="15" customHeight="1">
      <c r="B33" s="22"/>
      <c r="E33" s="27" t="s">
        <v>39</v>
      </c>
      <c r="F33" s="83">
        <v>0.15</v>
      </c>
      <c r="G33" s="84" t="s">
        <v>38</v>
      </c>
      <c r="H33" s="275">
        <v>0</v>
      </c>
      <c r="I33" s="275"/>
      <c r="J33" s="275"/>
      <c r="M33" s="275">
        <v>0</v>
      </c>
      <c r="N33" s="275"/>
      <c r="O33" s="275"/>
      <c r="P33" s="275"/>
      <c r="R33" s="23"/>
    </row>
    <row r="34" spans="2:18" s="9" customFormat="1" ht="15" customHeight="1" hidden="1">
      <c r="B34" s="22"/>
      <c r="E34" s="27" t="s">
        <v>40</v>
      </c>
      <c r="F34" s="83">
        <v>0.21</v>
      </c>
      <c r="G34" s="84" t="s">
        <v>38</v>
      </c>
      <c r="H34" s="275" t="e">
        <f>ROUND((SUM($BG$109:$BG$110)+SUM($BG$128:$BG$300)),2)</f>
        <v>#REF!</v>
      </c>
      <c r="I34" s="275"/>
      <c r="J34" s="275"/>
      <c r="M34" s="275">
        <v>0</v>
      </c>
      <c r="N34" s="275"/>
      <c r="O34" s="275"/>
      <c r="P34" s="275"/>
      <c r="R34" s="23"/>
    </row>
    <row r="35" spans="2:18" s="9" customFormat="1" ht="15" customHeight="1" hidden="1">
      <c r="B35" s="22"/>
      <c r="E35" s="27" t="s">
        <v>41</v>
      </c>
      <c r="F35" s="83">
        <v>0.15</v>
      </c>
      <c r="G35" s="84" t="s">
        <v>38</v>
      </c>
      <c r="H35" s="275" t="e">
        <f>ROUND((SUM($BH$109:$BH$110)+SUM($BH$128:$BH$300)),2)</f>
        <v>#REF!</v>
      </c>
      <c r="I35" s="275"/>
      <c r="J35" s="275"/>
      <c r="M35" s="275">
        <v>0</v>
      </c>
      <c r="N35" s="275"/>
      <c r="O35" s="275"/>
      <c r="P35" s="275"/>
      <c r="R35" s="23"/>
    </row>
    <row r="36" spans="2:18" s="9" customFormat="1" ht="15" customHeight="1" hidden="1">
      <c r="B36" s="22"/>
      <c r="E36" s="27" t="s">
        <v>42</v>
      </c>
      <c r="F36" s="83">
        <v>0</v>
      </c>
      <c r="G36" s="84" t="s">
        <v>38</v>
      </c>
      <c r="H36" s="275" t="e">
        <f>ROUND((SUM($BI$109:$BI$110)+SUM($BI$128:$BI$300)),2)</f>
        <v>#REF!</v>
      </c>
      <c r="I36" s="275"/>
      <c r="J36" s="275"/>
      <c r="M36" s="275">
        <v>0</v>
      </c>
      <c r="N36" s="275"/>
      <c r="O36" s="275"/>
      <c r="P36" s="275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43</v>
      </c>
      <c r="E38" s="32"/>
      <c r="F38" s="32"/>
      <c r="G38" s="85" t="s">
        <v>44</v>
      </c>
      <c r="H38" s="33" t="s">
        <v>45</v>
      </c>
      <c r="I38" s="32"/>
      <c r="J38" s="32"/>
      <c r="K38" s="32"/>
      <c r="L38" s="254">
        <f>SUM($M$30:$M$36)</f>
        <v>0</v>
      </c>
      <c r="M38" s="254"/>
      <c r="N38" s="254"/>
      <c r="O38" s="254"/>
      <c r="P38" s="254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46</v>
      </c>
      <c r="E50" s="35"/>
      <c r="F50" s="35"/>
      <c r="G50" s="35"/>
      <c r="H50" s="36"/>
      <c r="J50" s="34" t="s">
        <v>47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48</v>
      </c>
      <c r="E59" s="40"/>
      <c r="F59" s="40"/>
      <c r="G59" s="41" t="s">
        <v>49</v>
      </c>
      <c r="H59" s="42"/>
      <c r="J59" s="39" t="s">
        <v>48</v>
      </c>
      <c r="K59" s="40"/>
      <c r="L59" s="40"/>
      <c r="M59" s="40"/>
      <c r="N59" s="41" t="s">
        <v>49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50</v>
      </c>
      <c r="E61" s="35"/>
      <c r="F61" s="35"/>
      <c r="G61" s="35"/>
      <c r="H61" s="36"/>
      <c r="J61" s="34" t="s">
        <v>51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48</v>
      </c>
      <c r="E70" s="40"/>
      <c r="F70" s="40"/>
      <c r="G70" s="41" t="s">
        <v>49</v>
      </c>
      <c r="H70" s="42"/>
      <c r="J70" s="39" t="s">
        <v>48</v>
      </c>
      <c r="K70" s="40"/>
      <c r="L70" s="40"/>
      <c r="M70" s="40"/>
      <c r="N70" s="41" t="s">
        <v>49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255" t="s">
        <v>99</v>
      </c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272" t="str">
        <f>$F$6</f>
        <v>„Snížení energetické náročnosti MŠ Renoirova“ 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R78" s="23"/>
    </row>
    <row r="79" spans="2:18" s="9" customFormat="1" ht="37.5" customHeight="1">
      <c r="B79" s="22"/>
      <c r="C79" s="51" t="s">
        <v>95</v>
      </c>
      <c r="F79" s="256" t="str">
        <f>$F$7</f>
        <v>01 - Architektonické a stavební řešení</v>
      </c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20</v>
      </c>
      <c r="F81" s="19" t="str">
        <f>$F$9</f>
        <v> </v>
      </c>
      <c r="K81" s="18" t="s">
        <v>22</v>
      </c>
      <c r="M81" s="257"/>
      <c r="N81" s="257"/>
      <c r="O81" s="257"/>
      <c r="P81" s="257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25</v>
      </c>
      <c r="F83" s="1" t="s">
        <v>668</v>
      </c>
      <c r="K83" s="18" t="s">
        <v>29</v>
      </c>
      <c r="M83" s="249" t="s">
        <v>667</v>
      </c>
      <c r="N83" s="249"/>
      <c r="O83" s="249"/>
      <c r="P83" s="249"/>
      <c r="Q83" s="249"/>
      <c r="R83" s="23"/>
    </row>
    <row r="84" spans="2:18" s="9" customFormat="1" ht="15" customHeight="1">
      <c r="B84" s="22"/>
      <c r="C84" s="18" t="s">
        <v>28</v>
      </c>
      <c r="F84" s="236" t="str">
        <f>IF($E$15="","",$E$15)</f>
        <v> </v>
      </c>
      <c r="K84" s="18" t="s">
        <v>31</v>
      </c>
      <c r="M84" s="249" t="str">
        <f>$E$21</f>
        <v> </v>
      </c>
      <c r="N84" s="249"/>
      <c r="O84" s="249"/>
      <c r="P84" s="249"/>
      <c r="Q84" s="249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274" t="s">
        <v>100</v>
      </c>
      <c r="D86" s="274"/>
      <c r="E86" s="274"/>
      <c r="F86" s="274"/>
      <c r="G86" s="274"/>
      <c r="H86" s="30"/>
      <c r="I86" s="30"/>
      <c r="J86" s="30"/>
      <c r="K86" s="30"/>
      <c r="L86" s="30"/>
      <c r="M86" s="30"/>
      <c r="N86" s="274" t="s">
        <v>101</v>
      </c>
      <c r="O86" s="274"/>
      <c r="P86" s="274"/>
      <c r="Q86" s="274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1" t="s">
        <v>102</v>
      </c>
      <c r="N88" s="247">
        <f>$N$128</f>
        <v>0</v>
      </c>
      <c r="O88" s="247"/>
      <c r="P88" s="247"/>
      <c r="Q88" s="247"/>
      <c r="R88" s="23"/>
      <c r="AU88" s="9" t="s">
        <v>93</v>
      </c>
    </row>
    <row r="89" spans="2:18" s="66" customFormat="1" ht="25.5" customHeight="1">
      <c r="B89" s="86"/>
      <c r="D89" s="87" t="s">
        <v>149</v>
      </c>
      <c r="N89" s="273">
        <f>$N$129</f>
        <v>0</v>
      </c>
      <c r="O89" s="273"/>
      <c r="P89" s="273"/>
      <c r="Q89" s="273"/>
      <c r="R89" s="88"/>
    </row>
    <row r="90" spans="2:18" s="66" customFormat="1" ht="25.5" customHeight="1">
      <c r="B90" s="86"/>
      <c r="D90" s="87" t="s">
        <v>150</v>
      </c>
      <c r="N90" s="273">
        <f>$N$143</f>
        <v>0</v>
      </c>
      <c r="O90" s="273"/>
      <c r="P90" s="273"/>
      <c r="Q90" s="273"/>
      <c r="R90" s="88"/>
    </row>
    <row r="91" spans="2:18" s="66" customFormat="1" ht="25.5" customHeight="1">
      <c r="B91" s="86"/>
      <c r="D91" s="87" t="s">
        <v>151</v>
      </c>
      <c r="N91" s="273">
        <f>$N$148</f>
        <v>0</v>
      </c>
      <c r="O91" s="273"/>
      <c r="P91" s="273"/>
      <c r="Q91" s="273"/>
      <c r="R91" s="88"/>
    </row>
    <row r="92" spans="2:18" s="66" customFormat="1" ht="25.5" customHeight="1">
      <c r="B92" s="86"/>
      <c r="D92" s="87" t="s">
        <v>152</v>
      </c>
      <c r="N92" s="273">
        <f>$N$154</f>
        <v>0</v>
      </c>
      <c r="O92" s="273"/>
      <c r="P92" s="273"/>
      <c r="Q92" s="273"/>
      <c r="R92" s="88"/>
    </row>
    <row r="93" spans="2:18" s="66" customFormat="1" ht="25.5" customHeight="1">
      <c r="B93" s="86"/>
      <c r="D93" s="87" t="s">
        <v>153</v>
      </c>
      <c r="N93" s="273">
        <f>$N$157</f>
        <v>0</v>
      </c>
      <c r="O93" s="273"/>
      <c r="P93" s="273"/>
      <c r="Q93" s="273"/>
      <c r="R93" s="88"/>
    </row>
    <row r="94" spans="2:18" s="66" customFormat="1" ht="25.5" customHeight="1">
      <c r="B94" s="86"/>
      <c r="D94" s="87" t="s">
        <v>154</v>
      </c>
      <c r="N94" s="273">
        <f>$N$199</f>
        <v>0</v>
      </c>
      <c r="O94" s="273"/>
      <c r="P94" s="273"/>
      <c r="Q94" s="273"/>
      <c r="R94" s="88"/>
    </row>
    <row r="95" spans="2:18" s="66" customFormat="1" ht="25.5" customHeight="1">
      <c r="B95" s="86"/>
      <c r="D95" s="87" t="s">
        <v>155</v>
      </c>
      <c r="N95" s="273">
        <f>$N$201</f>
        <v>0</v>
      </c>
      <c r="O95" s="273"/>
      <c r="P95" s="273"/>
      <c r="Q95" s="273"/>
      <c r="R95" s="88"/>
    </row>
    <row r="96" spans="2:18" s="66" customFormat="1" ht="25.5" customHeight="1">
      <c r="B96" s="86"/>
      <c r="D96" s="87" t="s">
        <v>156</v>
      </c>
      <c r="N96" s="273">
        <f>$N$210</f>
        <v>0</v>
      </c>
      <c r="O96" s="273"/>
      <c r="P96" s="273"/>
      <c r="Q96" s="273"/>
      <c r="R96" s="88"/>
    </row>
    <row r="97" spans="2:18" s="66" customFormat="1" ht="25.5" customHeight="1">
      <c r="B97" s="86"/>
      <c r="D97" s="87" t="s">
        <v>157</v>
      </c>
      <c r="N97" s="273">
        <f>$N$230</f>
        <v>0</v>
      </c>
      <c r="O97" s="273"/>
      <c r="P97" s="273"/>
      <c r="Q97" s="273"/>
      <c r="R97" s="88"/>
    </row>
    <row r="98" spans="2:18" s="66" customFormat="1" ht="25.5" customHeight="1">
      <c r="B98" s="86"/>
      <c r="D98" s="87" t="s">
        <v>158</v>
      </c>
      <c r="N98" s="273">
        <f>N232</f>
        <v>0</v>
      </c>
      <c r="O98" s="273"/>
      <c r="P98" s="273"/>
      <c r="Q98" s="273"/>
      <c r="R98" s="88"/>
    </row>
    <row r="99" spans="2:18" s="66" customFormat="1" ht="25.5" customHeight="1">
      <c r="B99" s="86"/>
      <c r="D99" s="87" t="s">
        <v>159</v>
      </c>
      <c r="N99" s="273">
        <f>N238</f>
        <v>0</v>
      </c>
      <c r="O99" s="273"/>
      <c r="P99" s="273"/>
      <c r="Q99" s="273"/>
      <c r="R99" s="88"/>
    </row>
    <row r="100" spans="2:18" s="66" customFormat="1" ht="25.5" customHeight="1">
      <c r="B100" s="86"/>
      <c r="D100" s="87" t="s">
        <v>160</v>
      </c>
      <c r="N100" s="273">
        <f>N250</f>
        <v>0</v>
      </c>
      <c r="O100" s="273"/>
      <c r="P100" s="273"/>
      <c r="Q100" s="273"/>
      <c r="R100" s="88"/>
    </row>
    <row r="101" spans="2:18" s="66" customFormat="1" ht="25.5" customHeight="1">
      <c r="B101" s="86"/>
      <c r="D101" s="87" t="s">
        <v>161</v>
      </c>
      <c r="N101" s="273">
        <f>N255</f>
        <v>0</v>
      </c>
      <c r="O101" s="273"/>
      <c r="P101" s="273"/>
      <c r="Q101" s="273"/>
      <c r="R101" s="88"/>
    </row>
    <row r="102" spans="2:18" s="66" customFormat="1" ht="25.5" customHeight="1">
      <c r="B102" s="86"/>
      <c r="D102" s="87" t="s">
        <v>162</v>
      </c>
      <c r="N102" s="273">
        <f>N258</f>
        <v>0</v>
      </c>
      <c r="O102" s="273"/>
      <c r="P102" s="273"/>
      <c r="Q102" s="273"/>
      <c r="R102" s="88"/>
    </row>
    <row r="103" spans="2:18" s="66" customFormat="1" ht="25.5" customHeight="1">
      <c r="B103" s="86"/>
      <c r="D103" s="87" t="s">
        <v>163</v>
      </c>
      <c r="N103" s="273">
        <f>N260</f>
        <v>0</v>
      </c>
      <c r="O103" s="273"/>
      <c r="P103" s="273"/>
      <c r="Q103" s="273"/>
      <c r="R103" s="88"/>
    </row>
    <row r="104" spans="2:18" s="66" customFormat="1" ht="25.5" customHeight="1">
      <c r="B104" s="86"/>
      <c r="D104" s="87" t="s">
        <v>164</v>
      </c>
      <c r="N104" s="273">
        <f>$N$262</f>
        <v>0</v>
      </c>
      <c r="O104" s="273"/>
      <c r="P104" s="273"/>
      <c r="Q104" s="273"/>
      <c r="R104" s="88"/>
    </row>
    <row r="105" spans="2:18" s="66" customFormat="1" ht="25.5" customHeight="1">
      <c r="B105" s="86"/>
      <c r="D105" s="87" t="s">
        <v>165</v>
      </c>
      <c r="N105" s="273">
        <f>$N$274</f>
        <v>0</v>
      </c>
      <c r="O105" s="273"/>
      <c r="P105" s="273"/>
      <c r="Q105" s="273"/>
      <c r="R105" s="88"/>
    </row>
    <row r="106" spans="2:18" s="66" customFormat="1" ht="25.5" customHeight="1">
      <c r="B106" s="86"/>
      <c r="D106" s="87" t="s">
        <v>166</v>
      </c>
      <c r="N106" s="273">
        <f>$N$287</f>
        <v>0</v>
      </c>
      <c r="O106" s="273"/>
      <c r="P106" s="273"/>
      <c r="Q106" s="273"/>
      <c r="R106" s="88"/>
    </row>
    <row r="107" spans="2:18" s="66" customFormat="1" ht="25.5" customHeight="1">
      <c r="B107" s="86"/>
      <c r="D107" s="87" t="s">
        <v>167</v>
      </c>
      <c r="N107" s="273">
        <f>$N$298</f>
        <v>0</v>
      </c>
      <c r="O107" s="273"/>
      <c r="P107" s="273"/>
      <c r="Q107" s="273"/>
      <c r="R107" s="88"/>
    </row>
    <row r="108" spans="2:18" s="9" customFormat="1" ht="22.5" customHeight="1">
      <c r="B108" s="22"/>
      <c r="D108" s="87" t="s">
        <v>168</v>
      </c>
      <c r="N108" s="273">
        <f>N301</f>
        <v>0</v>
      </c>
      <c r="O108" s="273"/>
      <c r="P108" s="273"/>
      <c r="Q108" s="273"/>
      <c r="R108" s="23"/>
    </row>
    <row r="109" spans="2:21" s="9" customFormat="1" ht="30" customHeight="1">
      <c r="B109" s="22"/>
      <c r="C109" s="61" t="s">
        <v>107</v>
      </c>
      <c r="N109" s="247">
        <v>0</v>
      </c>
      <c r="O109" s="247"/>
      <c r="P109" s="247"/>
      <c r="Q109" s="247"/>
      <c r="R109" s="23"/>
      <c r="T109" s="89"/>
      <c r="U109" s="90" t="s">
        <v>36</v>
      </c>
    </row>
    <row r="110" spans="2:18" s="9" customFormat="1" ht="18.75" customHeight="1">
      <c r="B110" s="22"/>
      <c r="R110" s="23"/>
    </row>
    <row r="111" spans="2:18" s="9" customFormat="1" ht="30" customHeight="1">
      <c r="B111" s="22"/>
      <c r="C111" s="76" t="s">
        <v>87</v>
      </c>
      <c r="D111" s="30"/>
      <c r="E111" s="30"/>
      <c r="F111" s="30"/>
      <c r="G111" s="30"/>
      <c r="H111" s="30"/>
      <c r="I111" s="30"/>
      <c r="J111" s="30"/>
      <c r="K111" s="30"/>
      <c r="L111" s="244">
        <f>ROUND(SUM($N$88+$N$109),2)</f>
        <v>0</v>
      </c>
      <c r="M111" s="244"/>
      <c r="N111" s="244"/>
      <c r="O111" s="244"/>
      <c r="P111" s="244"/>
      <c r="Q111" s="244"/>
      <c r="R111" s="23"/>
    </row>
    <row r="112" spans="2:18" s="9" customFormat="1" ht="7.5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5"/>
    </row>
    <row r="116" spans="2:18" s="9" customFormat="1" ht="7.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2:18" s="9" customFormat="1" ht="37.5" customHeight="1">
      <c r="B117" s="22"/>
      <c r="C117" s="255" t="s">
        <v>108</v>
      </c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3"/>
    </row>
    <row r="118" spans="2:18" s="9" customFormat="1" ht="7.5" customHeight="1">
      <c r="B118" s="22"/>
      <c r="R118" s="23"/>
    </row>
    <row r="119" spans="2:18" s="9" customFormat="1" ht="30.75" customHeight="1">
      <c r="B119" s="22"/>
      <c r="C119" s="18" t="s">
        <v>15</v>
      </c>
      <c r="F119" s="272" t="str">
        <f>$F$6</f>
        <v>„Snížení energetické náročnosti MŠ Renoirova“ </v>
      </c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R119" s="23"/>
    </row>
    <row r="120" spans="2:18" s="9" customFormat="1" ht="37.5" customHeight="1">
      <c r="B120" s="22"/>
      <c r="C120" s="51" t="s">
        <v>95</v>
      </c>
      <c r="F120" s="256" t="str">
        <f>$F$7</f>
        <v>01 - Architektonické a stavební řešení</v>
      </c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R120" s="23"/>
    </row>
    <row r="121" spans="2:18" s="9" customFormat="1" ht="7.5" customHeight="1">
      <c r="B121" s="22"/>
      <c r="R121" s="23"/>
    </row>
    <row r="122" spans="2:18" s="9" customFormat="1" ht="18.75" customHeight="1">
      <c r="B122" s="22"/>
      <c r="C122" s="18" t="s">
        <v>20</v>
      </c>
      <c r="F122" s="19" t="str">
        <f>$F$9</f>
        <v> </v>
      </c>
      <c r="K122" s="18" t="s">
        <v>22</v>
      </c>
      <c r="M122" s="257"/>
      <c r="N122" s="257"/>
      <c r="O122" s="257"/>
      <c r="P122" s="257"/>
      <c r="R122" s="23"/>
    </row>
    <row r="123" spans="2:18" s="9" customFormat="1" ht="7.5" customHeight="1">
      <c r="B123" s="22"/>
      <c r="R123" s="23"/>
    </row>
    <row r="124" spans="2:18" s="9" customFormat="1" ht="15.75" customHeight="1">
      <c r="B124" s="22"/>
      <c r="C124" s="18" t="s">
        <v>25</v>
      </c>
      <c r="F124" s="1" t="s">
        <v>668</v>
      </c>
      <c r="K124" s="18" t="s">
        <v>29</v>
      </c>
      <c r="M124" s="249" t="s">
        <v>667</v>
      </c>
      <c r="N124" s="249"/>
      <c r="O124" s="249"/>
      <c r="P124" s="249"/>
      <c r="Q124" s="249"/>
      <c r="R124" s="23"/>
    </row>
    <row r="125" spans="2:18" s="9" customFormat="1" ht="15" customHeight="1">
      <c r="B125" s="22"/>
      <c r="C125" s="18" t="s">
        <v>28</v>
      </c>
      <c r="F125" s="236" t="str">
        <f>IF($E$15="","",$E$15)</f>
        <v> </v>
      </c>
      <c r="K125" s="18" t="s">
        <v>31</v>
      </c>
      <c r="M125" s="249" t="str">
        <f>$E$21</f>
        <v> </v>
      </c>
      <c r="N125" s="249"/>
      <c r="O125" s="249"/>
      <c r="P125" s="249"/>
      <c r="Q125" s="249"/>
      <c r="R125" s="23"/>
    </row>
    <row r="126" spans="2:18" s="9" customFormat="1" ht="11.25" customHeight="1">
      <c r="B126" s="22"/>
      <c r="R126" s="23"/>
    </row>
    <row r="127" spans="2:27" s="91" customFormat="1" ht="30" customHeight="1">
      <c r="B127" s="92"/>
      <c r="C127" s="93" t="s">
        <v>109</v>
      </c>
      <c r="D127" s="94" t="s">
        <v>110</v>
      </c>
      <c r="E127" s="94" t="s">
        <v>54</v>
      </c>
      <c r="F127" s="269" t="s">
        <v>111</v>
      </c>
      <c r="G127" s="269"/>
      <c r="H127" s="269"/>
      <c r="I127" s="269"/>
      <c r="J127" s="94" t="s">
        <v>112</v>
      </c>
      <c r="K127" s="94" t="s">
        <v>113</v>
      </c>
      <c r="L127" s="269" t="s">
        <v>114</v>
      </c>
      <c r="M127" s="269"/>
      <c r="N127" s="270" t="s">
        <v>115</v>
      </c>
      <c r="O127" s="270"/>
      <c r="P127" s="270"/>
      <c r="Q127" s="270"/>
      <c r="R127" s="95"/>
      <c r="T127" s="56" t="s">
        <v>116</v>
      </c>
      <c r="U127" s="57" t="s">
        <v>36</v>
      </c>
      <c r="V127" s="57" t="s">
        <v>117</v>
      </c>
      <c r="W127" s="57" t="s">
        <v>118</v>
      </c>
      <c r="X127" s="57" t="s">
        <v>119</v>
      </c>
      <c r="Y127" s="57" t="s">
        <v>120</v>
      </c>
      <c r="Z127" s="57" t="s">
        <v>121</v>
      </c>
      <c r="AA127" s="58" t="s">
        <v>122</v>
      </c>
    </row>
    <row r="128" spans="2:63" s="9" customFormat="1" ht="30" customHeight="1">
      <c r="B128" s="22"/>
      <c r="C128" s="61" t="s">
        <v>97</v>
      </c>
      <c r="N128" s="271">
        <f>N129+N143+N148+N154+N157+N199+N201+N210+N230+N232+N238+N250+N255+N260+N262+N287+N274+N298+N301+N258</f>
        <v>0</v>
      </c>
      <c r="O128" s="271"/>
      <c r="P128" s="271"/>
      <c r="Q128" s="271"/>
      <c r="R128" s="23"/>
      <c r="T128" s="60"/>
      <c r="U128" s="35"/>
      <c r="V128" s="35"/>
      <c r="W128" s="96" t="e">
        <f>#REF!+$W$129+$W$143+#REF!+$W$148+#REF!+#REF!+#REF!+$W$154+$W$157+#REF!+#REF!+$W$199+$W$201+$W$210+$W$274+$W$287+#REF!+#REF!+#REF!+#REF!+#REF!+$W$298+#REF!+#REF!+$W$262+#REF!+#REF!+#REF!+$W$230+#REF!</f>
        <v>#REF!</v>
      </c>
      <c r="X128" s="35"/>
      <c r="Y128" s="96" t="e">
        <f>#REF!+$Y$129+$Y$143+#REF!+$Y$148+#REF!+#REF!+#REF!+$Y$154+$Y$157+#REF!+#REF!+$Y$199+$Y$201+$Y$210+$Y$274+$Y$287+#REF!+#REF!+#REF!+#REF!+#REF!+$Y$298+#REF!+#REF!+$Y$262+#REF!+#REF!+#REF!+$Y$230+#REF!</f>
        <v>#REF!</v>
      </c>
      <c r="Z128" s="35"/>
      <c r="AA128" s="97" t="e">
        <f>#REF!+$AA$129+$AA$143+#REF!+$AA$148+#REF!+#REF!+#REF!+$AA$154+$AA$157+#REF!+#REF!+$AA$199+$AA$201+$AA$210+$AA$274+$AA$287+#REF!+#REF!+#REF!+#REF!+#REF!+$AA$298+#REF!+#REF!+$AA$262+#REF!+#REF!+#REF!+$AA$230+#REF!</f>
        <v>#REF!</v>
      </c>
      <c r="AT128" s="9" t="s">
        <v>71</v>
      </c>
      <c r="AU128" s="9" t="s">
        <v>93</v>
      </c>
      <c r="BK128" s="98" t="e">
        <f>#REF!+$BK$129+$BK$143+#REF!+$BK$148+#REF!+#REF!+#REF!+$BK$154+$BK$157+#REF!+#REF!+$BK$199+$BK$201+$BK$210+$BK$274+$BK$287+#REF!+#REF!+#REF!+#REF!+#REF!+$BK$298+#REF!+#REF!+$BK$262+#REF!+#REF!+#REF!+$BK$230+#REF!</f>
        <v>#REF!</v>
      </c>
    </row>
    <row r="129" spans="2:63" s="99" customFormat="1" ht="37.5" customHeight="1">
      <c r="B129" s="100"/>
      <c r="D129" s="101" t="s">
        <v>149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268">
        <f>SUM(N130:Q142)</f>
        <v>0</v>
      </c>
      <c r="O129" s="268"/>
      <c r="P129" s="268"/>
      <c r="Q129" s="268"/>
      <c r="R129" s="102"/>
      <c r="T129" s="103"/>
      <c r="W129" s="104">
        <f>SUM($W$140:$W$142)</f>
        <v>0</v>
      </c>
      <c r="Y129" s="104">
        <f>SUM($Y$140:$Y$142)</f>
        <v>0</v>
      </c>
      <c r="AA129" s="105">
        <f>SUM($AA$140:$AA$142)</f>
        <v>0</v>
      </c>
      <c r="AR129" s="106" t="s">
        <v>19</v>
      </c>
      <c r="AT129" s="106" t="s">
        <v>71</v>
      </c>
      <c r="AU129" s="106" t="s">
        <v>72</v>
      </c>
      <c r="AY129" s="106" t="s">
        <v>123</v>
      </c>
      <c r="BK129" s="107">
        <f>SUM($BK$140:$BK$142)</f>
        <v>0</v>
      </c>
    </row>
    <row r="130" spans="2:63" s="99" customFormat="1" ht="27" customHeight="1">
      <c r="B130" s="100"/>
      <c r="C130" s="108">
        <v>1</v>
      </c>
      <c r="D130" s="108" t="s">
        <v>124</v>
      </c>
      <c r="E130" s="109" t="s">
        <v>169</v>
      </c>
      <c r="F130" s="266" t="s">
        <v>170</v>
      </c>
      <c r="G130" s="266"/>
      <c r="H130" s="266"/>
      <c r="I130" s="266"/>
      <c r="J130" s="110" t="s">
        <v>171</v>
      </c>
      <c r="K130" s="111">
        <v>20</v>
      </c>
      <c r="L130" s="267"/>
      <c r="M130" s="267"/>
      <c r="N130" s="267">
        <f aca="true" t="shared" si="0" ref="N130:N142">K130*L130</f>
        <v>0</v>
      </c>
      <c r="O130" s="267"/>
      <c r="P130" s="267"/>
      <c r="Q130" s="267"/>
      <c r="R130" s="102"/>
      <c r="T130" s="103"/>
      <c r="W130" s="104"/>
      <c r="Y130" s="104"/>
      <c r="AA130" s="105"/>
      <c r="AR130" s="106"/>
      <c r="AT130" s="106"/>
      <c r="AU130" s="106"/>
      <c r="AY130" s="106"/>
      <c r="BK130" s="107"/>
    </row>
    <row r="131" spans="2:63" s="99" customFormat="1" ht="27" customHeight="1">
      <c r="B131" s="100"/>
      <c r="C131" s="108" t="s">
        <v>138</v>
      </c>
      <c r="D131" s="108" t="s">
        <v>124</v>
      </c>
      <c r="E131" s="109" t="s">
        <v>172</v>
      </c>
      <c r="F131" s="266" t="s">
        <v>173</v>
      </c>
      <c r="G131" s="266"/>
      <c r="H131" s="266"/>
      <c r="I131" s="266"/>
      <c r="J131" s="110" t="s">
        <v>171</v>
      </c>
      <c r="K131" s="111">
        <v>20</v>
      </c>
      <c r="L131" s="267"/>
      <c r="M131" s="267"/>
      <c r="N131" s="267">
        <f t="shared" si="0"/>
        <v>0</v>
      </c>
      <c r="O131" s="267"/>
      <c r="P131" s="267"/>
      <c r="Q131" s="267"/>
      <c r="R131" s="102"/>
      <c r="T131" s="103"/>
      <c r="W131" s="104"/>
      <c r="Y131" s="104"/>
      <c r="AA131" s="105"/>
      <c r="AR131" s="106"/>
      <c r="AT131" s="106"/>
      <c r="AU131" s="106"/>
      <c r="AY131" s="106"/>
      <c r="BK131" s="107"/>
    </row>
    <row r="132" spans="2:63" s="99" customFormat="1" ht="27" customHeight="1">
      <c r="B132" s="100"/>
      <c r="C132" s="108">
        <v>3</v>
      </c>
      <c r="D132" s="108" t="s">
        <v>124</v>
      </c>
      <c r="E132" s="109" t="s">
        <v>174</v>
      </c>
      <c r="F132" s="266" t="s">
        <v>175</v>
      </c>
      <c r="G132" s="266"/>
      <c r="H132" s="266"/>
      <c r="I132" s="266"/>
      <c r="J132" s="110" t="s">
        <v>176</v>
      </c>
      <c r="K132" s="111">
        <v>3</v>
      </c>
      <c r="L132" s="267"/>
      <c r="M132" s="267"/>
      <c r="N132" s="267">
        <f t="shared" si="0"/>
        <v>0</v>
      </c>
      <c r="O132" s="267"/>
      <c r="P132" s="267"/>
      <c r="Q132" s="267"/>
      <c r="R132" s="102"/>
      <c r="T132" s="103"/>
      <c r="W132" s="104"/>
      <c r="Y132" s="104"/>
      <c r="AA132" s="105"/>
      <c r="AR132" s="106"/>
      <c r="AT132" s="106"/>
      <c r="AU132" s="106"/>
      <c r="AY132" s="106"/>
      <c r="BK132" s="107"/>
    </row>
    <row r="133" spans="2:63" s="99" customFormat="1" ht="27" customHeight="1">
      <c r="B133" s="100"/>
      <c r="C133" s="108" t="s">
        <v>128</v>
      </c>
      <c r="D133" s="108" t="s">
        <v>124</v>
      </c>
      <c r="E133" s="109" t="s">
        <v>177</v>
      </c>
      <c r="F133" s="266" t="s">
        <v>178</v>
      </c>
      <c r="G133" s="266"/>
      <c r="H133" s="266"/>
      <c r="I133" s="266"/>
      <c r="J133" s="110" t="s">
        <v>176</v>
      </c>
      <c r="K133" s="111">
        <v>3</v>
      </c>
      <c r="L133" s="267"/>
      <c r="M133" s="267"/>
      <c r="N133" s="267">
        <f t="shared" si="0"/>
        <v>0</v>
      </c>
      <c r="O133" s="267"/>
      <c r="P133" s="267"/>
      <c r="Q133" s="267"/>
      <c r="R133" s="102"/>
      <c r="T133" s="103"/>
      <c r="W133" s="104"/>
      <c r="Y133" s="104"/>
      <c r="AA133" s="105"/>
      <c r="AR133" s="106"/>
      <c r="AT133" s="106"/>
      <c r="AU133" s="106"/>
      <c r="AY133" s="106"/>
      <c r="BK133" s="107"/>
    </row>
    <row r="134" spans="2:63" s="99" customFormat="1" ht="16.5" customHeight="1">
      <c r="B134" s="100"/>
      <c r="C134" s="108">
        <v>5</v>
      </c>
      <c r="D134" s="108" t="s">
        <v>124</v>
      </c>
      <c r="E134" s="109" t="s">
        <v>179</v>
      </c>
      <c r="F134" s="266" t="s">
        <v>180</v>
      </c>
      <c r="G134" s="266"/>
      <c r="H134" s="266"/>
      <c r="I134" s="266"/>
      <c r="J134" s="110" t="s">
        <v>171</v>
      </c>
      <c r="K134" s="111">
        <v>47.25</v>
      </c>
      <c r="L134" s="267"/>
      <c r="M134" s="267"/>
      <c r="N134" s="267">
        <f t="shared" si="0"/>
        <v>0</v>
      </c>
      <c r="O134" s="267"/>
      <c r="P134" s="267"/>
      <c r="Q134" s="267"/>
      <c r="R134" s="102"/>
      <c r="T134" s="103"/>
      <c r="W134" s="104"/>
      <c r="Y134" s="104"/>
      <c r="AA134" s="105"/>
      <c r="AR134" s="106"/>
      <c r="AT134" s="106"/>
      <c r="AU134" s="106"/>
      <c r="AY134" s="106"/>
      <c r="BK134" s="107"/>
    </row>
    <row r="135" spans="2:63" s="99" customFormat="1" ht="27" customHeight="1">
      <c r="B135" s="100"/>
      <c r="C135" s="108">
        <v>6</v>
      </c>
      <c r="D135" s="108" t="s">
        <v>124</v>
      </c>
      <c r="E135" s="109" t="s">
        <v>181</v>
      </c>
      <c r="F135" s="266" t="s">
        <v>182</v>
      </c>
      <c r="G135" s="266"/>
      <c r="H135" s="266"/>
      <c r="I135" s="266"/>
      <c r="J135" s="110" t="s">
        <v>171</v>
      </c>
      <c r="K135" s="111">
        <v>43.5</v>
      </c>
      <c r="L135" s="267"/>
      <c r="M135" s="267"/>
      <c r="N135" s="267">
        <f t="shared" si="0"/>
        <v>0</v>
      </c>
      <c r="O135" s="267"/>
      <c r="P135" s="267"/>
      <c r="Q135" s="267"/>
      <c r="R135" s="102"/>
      <c r="T135" s="103"/>
      <c r="W135" s="104"/>
      <c r="Y135" s="104"/>
      <c r="AA135" s="105"/>
      <c r="AR135" s="106"/>
      <c r="AT135" s="106"/>
      <c r="AU135" s="106"/>
      <c r="AY135" s="106"/>
      <c r="BK135" s="107"/>
    </row>
    <row r="136" spans="2:63" s="99" customFormat="1" ht="27" customHeight="1">
      <c r="B136" s="100"/>
      <c r="C136" s="108">
        <v>7</v>
      </c>
      <c r="D136" s="108" t="s">
        <v>124</v>
      </c>
      <c r="E136" s="109" t="s">
        <v>183</v>
      </c>
      <c r="F136" s="266" t="s">
        <v>184</v>
      </c>
      <c r="G136" s="266"/>
      <c r="H136" s="266"/>
      <c r="I136" s="266"/>
      <c r="J136" s="110" t="s">
        <v>185</v>
      </c>
      <c r="K136" s="111">
        <v>35.363</v>
      </c>
      <c r="L136" s="267"/>
      <c r="M136" s="267"/>
      <c r="N136" s="267">
        <f t="shared" si="0"/>
        <v>0</v>
      </c>
      <c r="O136" s="267"/>
      <c r="P136" s="267"/>
      <c r="Q136" s="267"/>
      <c r="R136" s="102"/>
      <c r="T136" s="103"/>
      <c r="W136" s="104"/>
      <c r="Y136" s="104"/>
      <c r="AA136" s="105"/>
      <c r="AR136" s="106"/>
      <c r="AT136" s="106"/>
      <c r="AU136" s="106"/>
      <c r="AY136" s="106"/>
      <c r="BK136" s="107"/>
    </row>
    <row r="137" spans="2:63" s="99" customFormat="1" ht="16.5" customHeight="1">
      <c r="B137" s="100"/>
      <c r="C137" s="108">
        <v>8</v>
      </c>
      <c r="D137" s="108" t="s">
        <v>124</v>
      </c>
      <c r="E137" s="109" t="s">
        <v>186</v>
      </c>
      <c r="F137" s="266" t="s">
        <v>187</v>
      </c>
      <c r="G137" s="266"/>
      <c r="H137" s="266"/>
      <c r="I137" s="266"/>
      <c r="J137" s="110" t="s">
        <v>188</v>
      </c>
      <c r="K137" s="111">
        <v>0.994</v>
      </c>
      <c r="L137" s="267"/>
      <c r="M137" s="267"/>
      <c r="N137" s="267">
        <f t="shared" si="0"/>
        <v>0</v>
      </c>
      <c r="O137" s="267"/>
      <c r="P137" s="267"/>
      <c r="Q137" s="267"/>
      <c r="R137" s="102"/>
      <c r="T137" s="103"/>
      <c r="W137" s="104"/>
      <c r="Y137" s="104"/>
      <c r="AA137" s="105"/>
      <c r="AR137" s="106"/>
      <c r="AT137" s="106"/>
      <c r="AU137" s="106"/>
      <c r="AY137" s="106"/>
      <c r="BK137" s="107"/>
    </row>
    <row r="138" spans="2:63" s="99" customFormat="1" ht="16.5" customHeight="1">
      <c r="B138" s="100"/>
      <c r="C138" s="108">
        <v>9</v>
      </c>
      <c r="D138" s="108" t="s">
        <v>124</v>
      </c>
      <c r="E138" s="109" t="s">
        <v>189</v>
      </c>
      <c r="F138" s="266" t="s">
        <v>190</v>
      </c>
      <c r="G138" s="266"/>
      <c r="H138" s="266"/>
      <c r="I138" s="266"/>
      <c r="J138" s="110" t="s">
        <v>188</v>
      </c>
      <c r="K138" s="111">
        <v>0.994</v>
      </c>
      <c r="L138" s="267"/>
      <c r="M138" s="267"/>
      <c r="N138" s="267">
        <f t="shared" si="0"/>
        <v>0</v>
      </c>
      <c r="O138" s="267"/>
      <c r="P138" s="267"/>
      <c r="Q138" s="267"/>
      <c r="R138" s="102"/>
      <c r="T138" s="103"/>
      <c r="W138" s="104"/>
      <c r="Y138" s="104"/>
      <c r="AA138" s="105"/>
      <c r="AR138" s="106"/>
      <c r="AT138" s="106"/>
      <c r="AU138" s="106"/>
      <c r="AY138" s="106"/>
      <c r="BK138" s="107"/>
    </row>
    <row r="139" spans="2:63" s="99" customFormat="1" ht="27" customHeight="1">
      <c r="B139" s="100"/>
      <c r="C139" s="108">
        <v>10</v>
      </c>
      <c r="D139" s="108" t="s">
        <v>124</v>
      </c>
      <c r="E139" s="109" t="s">
        <v>191</v>
      </c>
      <c r="F139" s="266" t="s">
        <v>192</v>
      </c>
      <c r="G139" s="266"/>
      <c r="H139" s="266"/>
      <c r="I139" s="266"/>
      <c r="J139" s="110" t="s">
        <v>188</v>
      </c>
      <c r="K139" s="111">
        <v>36.357</v>
      </c>
      <c r="L139" s="267"/>
      <c r="M139" s="267"/>
      <c r="N139" s="267">
        <f t="shared" si="0"/>
        <v>0</v>
      </c>
      <c r="O139" s="267"/>
      <c r="P139" s="267"/>
      <c r="Q139" s="267"/>
      <c r="R139" s="102"/>
      <c r="T139" s="103"/>
      <c r="W139" s="104"/>
      <c r="Y139" s="104"/>
      <c r="AA139" s="105"/>
      <c r="AR139" s="106"/>
      <c r="AT139" s="106"/>
      <c r="AU139" s="106"/>
      <c r="AY139" s="106"/>
      <c r="BK139" s="107"/>
    </row>
    <row r="140" spans="2:65" s="9" customFormat="1" ht="27" customHeight="1">
      <c r="B140" s="22"/>
      <c r="C140" s="108">
        <v>11</v>
      </c>
      <c r="D140" s="108" t="s">
        <v>124</v>
      </c>
      <c r="E140" s="109" t="s">
        <v>193</v>
      </c>
      <c r="F140" s="266" t="s">
        <v>194</v>
      </c>
      <c r="G140" s="266"/>
      <c r="H140" s="266"/>
      <c r="I140" s="266"/>
      <c r="J140" s="110" t="s">
        <v>188</v>
      </c>
      <c r="K140" s="111">
        <v>36.357</v>
      </c>
      <c r="L140" s="267"/>
      <c r="M140" s="267"/>
      <c r="N140" s="267">
        <f t="shared" si="0"/>
        <v>0</v>
      </c>
      <c r="O140" s="267"/>
      <c r="P140" s="267"/>
      <c r="Q140" s="267"/>
      <c r="R140" s="23"/>
      <c r="T140" s="112"/>
      <c r="U140" s="28" t="s">
        <v>37</v>
      </c>
      <c r="V140" s="113">
        <v>0</v>
      </c>
      <c r="W140" s="113">
        <f>$V$140*$K$140</f>
        <v>0</v>
      </c>
      <c r="X140" s="113">
        <v>0</v>
      </c>
      <c r="Y140" s="113">
        <f>$X$140*$K$140</f>
        <v>0</v>
      </c>
      <c r="Z140" s="113">
        <v>0</v>
      </c>
      <c r="AA140" s="114">
        <f>$Z$140*$K$140</f>
        <v>0</v>
      </c>
      <c r="AR140" s="9" t="s">
        <v>128</v>
      </c>
      <c r="AT140" s="9" t="s">
        <v>124</v>
      </c>
      <c r="AU140" s="9" t="s">
        <v>19</v>
      </c>
      <c r="AY140" s="9" t="s">
        <v>123</v>
      </c>
      <c r="BE140" s="115">
        <f>IF($U$140="základní",$N$140,0)</f>
        <v>0</v>
      </c>
      <c r="BF140" s="115">
        <f>IF($U$140="snížená",$N$140,0)</f>
        <v>0</v>
      </c>
      <c r="BG140" s="115">
        <f>IF($U$140="zákl. přenesená",$N$140,0)</f>
        <v>0</v>
      </c>
      <c r="BH140" s="115">
        <f>IF($U$140="sníž. přenesená",$N$140,0)</f>
        <v>0</v>
      </c>
      <c r="BI140" s="115">
        <f>IF($U$140="nulová",$N$140,0)</f>
        <v>0</v>
      </c>
      <c r="BJ140" s="9" t="s">
        <v>19</v>
      </c>
      <c r="BK140" s="115">
        <f>ROUND($L$140*$K$140,2)</f>
        <v>0</v>
      </c>
      <c r="BL140" s="9" t="s">
        <v>128</v>
      </c>
      <c r="BM140" s="9" t="s">
        <v>195</v>
      </c>
    </row>
    <row r="141" spans="2:65" s="9" customFormat="1" ht="27" customHeight="1">
      <c r="B141" s="22"/>
      <c r="C141" s="108">
        <v>12</v>
      </c>
      <c r="D141" s="108" t="s">
        <v>124</v>
      </c>
      <c r="E141" s="109" t="s">
        <v>196</v>
      </c>
      <c r="F141" s="266" t="s">
        <v>197</v>
      </c>
      <c r="G141" s="266"/>
      <c r="H141" s="266"/>
      <c r="I141" s="266"/>
      <c r="J141" s="110" t="s">
        <v>188</v>
      </c>
      <c r="K141" s="111">
        <v>36.357</v>
      </c>
      <c r="L141" s="267"/>
      <c r="M141" s="267"/>
      <c r="N141" s="267">
        <f t="shared" si="0"/>
        <v>0</v>
      </c>
      <c r="O141" s="267"/>
      <c r="P141" s="267"/>
      <c r="Q141" s="267"/>
      <c r="R141" s="23"/>
      <c r="T141" s="112"/>
      <c r="U141" s="28" t="s">
        <v>37</v>
      </c>
      <c r="V141" s="113">
        <v>0</v>
      </c>
      <c r="W141" s="113">
        <f>$V$141*$K$141</f>
        <v>0</v>
      </c>
      <c r="X141" s="113">
        <v>0</v>
      </c>
      <c r="Y141" s="113">
        <f>$X$141*$K$141</f>
        <v>0</v>
      </c>
      <c r="Z141" s="113">
        <v>0</v>
      </c>
      <c r="AA141" s="114">
        <f>$Z$141*$K$141</f>
        <v>0</v>
      </c>
      <c r="AR141" s="9" t="s">
        <v>128</v>
      </c>
      <c r="AT141" s="9" t="s">
        <v>124</v>
      </c>
      <c r="AU141" s="9" t="s">
        <v>19</v>
      </c>
      <c r="AY141" s="9" t="s">
        <v>123</v>
      </c>
      <c r="BE141" s="115">
        <f>IF($U$141="základní",$N$141,0)</f>
        <v>0</v>
      </c>
      <c r="BF141" s="115">
        <f>IF($U$141="snížená",$N$141,0)</f>
        <v>0</v>
      </c>
      <c r="BG141" s="115">
        <f>IF($U$141="zákl. přenesená",$N$141,0)</f>
        <v>0</v>
      </c>
      <c r="BH141" s="115">
        <f>IF($U$141="sníž. přenesená",$N$141,0)</f>
        <v>0</v>
      </c>
      <c r="BI141" s="115">
        <f>IF($U$141="nulová",$N$141,0)</f>
        <v>0</v>
      </c>
      <c r="BJ141" s="9" t="s">
        <v>19</v>
      </c>
      <c r="BK141" s="115">
        <f>ROUND($L$141*$K$141,2)</f>
        <v>0</v>
      </c>
      <c r="BL141" s="9" t="s">
        <v>128</v>
      </c>
      <c r="BM141" s="9" t="s">
        <v>198</v>
      </c>
    </row>
    <row r="142" spans="2:63" s="9" customFormat="1" ht="27" customHeight="1">
      <c r="B142" s="22"/>
      <c r="C142" s="108">
        <v>13</v>
      </c>
      <c r="D142" s="108"/>
      <c r="E142" s="109" t="s">
        <v>199</v>
      </c>
      <c r="F142" s="266" t="s">
        <v>200</v>
      </c>
      <c r="G142" s="266"/>
      <c r="H142" s="266"/>
      <c r="I142" s="266"/>
      <c r="J142" s="110" t="s">
        <v>201</v>
      </c>
      <c r="K142" s="111">
        <v>67.26</v>
      </c>
      <c r="L142" s="267"/>
      <c r="M142" s="267"/>
      <c r="N142" s="267">
        <f t="shared" si="0"/>
        <v>0</v>
      </c>
      <c r="O142" s="267"/>
      <c r="P142" s="267"/>
      <c r="Q142" s="267"/>
      <c r="R142" s="23"/>
      <c r="T142" s="112"/>
      <c r="U142" s="28"/>
      <c r="V142" s="113"/>
      <c r="W142" s="113"/>
      <c r="X142" s="113"/>
      <c r="Y142" s="113"/>
      <c r="Z142" s="113"/>
      <c r="AA142" s="114"/>
      <c r="BE142" s="115"/>
      <c r="BF142" s="115"/>
      <c r="BG142" s="115"/>
      <c r="BH142" s="115"/>
      <c r="BI142" s="115"/>
      <c r="BK142" s="115"/>
    </row>
    <row r="143" spans="2:63" s="99" customFormat="1" ht="37.5" customHeight="1">
      <c r="B143" s="100"/>
      <c r="D143" s="101" t="s">
        <v>202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268">
        <f>SUM(N144:Q147)</f>
        <v>0</v>
      </c>
      <c r="O143" s="268"/>
      <c r="P143" s="268"/>
      <c r="Q143" s="268"/>
      <c r="R143" s="102"/>
      <c r="T143" s="103"/>
      <c r="W143" s="104">
        <f>SUM($W$144:$W$147)</f>
        <v>0</v>
      </c>
      <c r="Y143" s="104">
        <f>SUM($Y$144:$Y$147)</f>
        <v>0</v>
      </c>
      <c r="AA143" s="105">
        <f>SUM($AA$144:$AA$147)</f>
        <v>0</v>
      </c>
      <c r="AR143" s="106" t="s">
        <v>19</v>
      </c>
      <c r="AT143" s="106" t="s">
        <v>71</v>
      </c>
      <c r="AU143" s="106" t="s">
        <v>72</v>
      </c>
      <c r="AY143" s="106" t="s">
        <v>123</v>
      </c>
      <c r="BK143" s="107">
        <f>SUM($BK$144:$BK$147)</f>
        <v>0</v>
      </c>
    </row>
    <row r="144" spans="2:63" s="9" customFormat="1" ht="15.75" customHeight="1">
      <c r="B144" s="22"/>
      <c r="C144" s="108">
        <v>14</v>
      </c>
      <c r="D144" s="108"/>
      <c r="E144" s="109" t="s">
        <v>203</v>
      </c>
      <c r="F144" s="266" t="s">
        <v>204</v>
      </c>
      <c r="G144" s="266"/>
      <c r="H144" s="266"/>
      <c r="I144" s="266"/>
      <c r="J144" s="110" t="s">
        <v>188</v>
      </c>
      <c r="K144" s="111">
        <v>0.994</v>
      </c>
      <c r="L144" s="267"/>
      <c r="M144" s="267"/>
      <c r="N144" s="267">
        <f>K144*L144</f>
        <v>0</v>
      </c>
      <c r="O144" s="267"/>
      <c r="P144" s="267"/>
      <c r="Q144" s="267"/>
      <c r="R144" s="23"/>
      <c r="T144" s="112"/>
      <c r="U144" s="28"/>
      <c r="V144" s="113"/>
      <c r="W144" s="113"/>
      <c r="X144" s="113"/>
      <c r="Y144" s="113"/>
      <c r="Z144" s="113"/>
      <c r="AA144" s="114"/>
      <c r="BE144" s="115"/>
      <c r="BF144" s="115"/>
      <c r="BG144" s="115"/>
      <c r="BH144" s="115"/>
      <c r="BI144" s="115"/>
      <c r="BK144" s="115"/>
    </row>
    <row r="145" spans="2:63" s="9" customFormat="1" ht="22.5" customHeight="1">
      <c r="B145" s="22"/>
      <c r="C145" s="108">
        <v>15</v>
      </c>
      <c r="D145" s="108"/>
      <c r="E145" s="109" t="s">
        <v>205</v>
      </c>
      <c r="F145" s="266" t="s">
        <v>206</v>
      </c>
      <c r="G145" s="266"/>
      <c r="H145" s="266"/>
      <c r="I145" s="266"/>
      <c r="J145" s="110" t="s">
        <v>201</v>
      </c>
      <c r="K145" s="111">
        <v>0.065</v>
      </c>
      <c r="L145" s="267"/>
      <c r="M145" s="267"/>
      <c r="N145" s="267">
        <f>K145*L145</f>
        <v>0</v>
      </c>
      <c r="O145" s="267"/>
      <c r="P145" s="267"/>
      <c r="Q145" s="267"/>
      <c r="R145" s="23"/>
      <c r="T145" s="112"/>
      <c r="U145" s="28"/>
      <c r="V145" s="113"/>
      <c r="W145" s="113"/>
      <c r="X145" s="113"/>
      <c r="Y145" s="113"/>
      <c r="Z145" s="113"/>
      <c r="AA145" s="114"/>
      <c r="BE145" s="115"/>
      <c r="BF145" s="115"/>
      <c r="BG145" s="115"/>
      <c r="BH145" s="115"/>
      <c r="BI145" s="115"/>
      <c r="BK145" s="115"/>
    </row>
    <row r="146" spans="2:63" s="9" customFormat="1" ht="27.75" customHeight="1">
      <c r="B146" s="22"/>
      <c r="C146" s="108">
        <v>16</v>
      </c>
      <c r="D146" s="108"/>
      <c r="E146" s="109" t="s">
        <v>207</v>
      </c>
      <c r="F146" s="266" t="s">
        <v>208</v>
      </c>
      <c r="G146" s="266"/>
      <c r="H146" s="266"/>
      <c r="I146" s="266"/>
      <c r="J146" s="110" t="s">
        <v>171</v>
      </c>
      <c r="K146" s="111">
        <v>31.2</v>
      </c>
      <c r="L146" s="267"/>
      <c r="M146" s="267"/>
      <c r="N146" s="267">
        <f>K146*L146</f>
        <v>0</v>
      </c>
      <c r="O146" s="267"/>
      <c r="P146" s="267"/>
      <c r="Q146" s="267"/>
      <c r="R146" s="23"/>
      <c r="T146" s="112"/>
      <c r="U146" s="28"/>
      <c r="V146" s="113"/>
      <c r="W146" s="113"/>
      <c r="X146" s="113"/>
      <c r="Y146" s="113"/>
      <c r="Z146" s="113"/>
      <c r="AA146" s="114"/>
      <c r="BE146" s="115"/>
      <c r="BF146" s="115"/>
      <c r="BG146" s="115"/>
      <c r="BH146" s="115"/>
      <c r="BI146" s="115"/>
      <c r="BK146" s="115"/>
    </row>
    <row r="147" spans="2:63" s="9" customFormat="1" ht="24" customHeight="1">
      <c r="B147" s="22"/>
      <c r="C147" s="108">
        <v>17</v>
      </c>
      <c r="D147" s="108"/>
      <c r="E147" s="109" t="s">
        <v>209</v>
      </c>
      <c r="F147" s="266" t="s">
        <v>210</v>
      </c>
      <c r="G147" s="266"/>
      <c r="H147" s="266"/>
      <c r="I147" s="266"/>
      <c r="J147" s="110" t="s">
        <v>211</v>
      </c>
      <c r="K147" s="111">
        <v>12</v>
      </c>
      <c r="L147" s="267"/>
      <c r="M147" s="267"/>
      <c r="N147" s="267">
        <f>K147*L147</f>
        <v>0</v>
      </c>
      <c r="O147" s="267"/>
      <c r="P147" s="267"/>
      <c r="Q147" s="267"/>
      <c r="R147" s="23"/>
      <c r="T147" s="112"/>
      <c r="U147" s="28"/>
      <c r="V147" s="113"/>
      <c r="W147" s="113"/>
      <c r="X147" s="113"/>
      <c r="Y147" s="113"/>
      <c r="Z147" s="113"/>
      <c r="AA147" s="114"/>
      <c r="BE147" s="115"/>
      <c r="BF147" s="115"/>
      <c r="BG147" s="115"/>
      <c r="BH147" s="115"/>
      <c r="BI147" s="115"/>
      <c r="BK147" s="115"/>
    </row>
    <row r="148" spans="2:63" s="99" customFormat="1" ht="37.5" customHeight="1">
      <c r="B148" s="100"/>
      <c r="D148" s="101" t="s">
        <v>151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268">
        <f>SUM(N149:Q153)</f>
        <v>0</v>
      </c>
      <c r="O148" s="268"/>
      <c r="P148" s="268"/>
      <c r="Q148" s="268"/>
      <c r="R148" s="102"/>
      <c r="T148" s="103"/>
      <c r="W148" s="104">
        <f>SUM($W$149:$W$153)</f>
        <v>0</v>
      </c>
      <c r="Y148" s="104">
        <f>SUM($Y$149:$Y$153)</f>
        <v>0</v>
      </c>
      <c r="AA148" s="105">
        <f>SUM($AA$149:$AA$153)</f>
        <v>0</v>
      </c>
      <c r="AR148" s="106" t="s">
        <v>19</v>
      </c>
      <c r="AT148" s="106" t="s">
        <v>71</v>
      </c>
      <c r="AU148" s="106" t="s">
        <v>72</v>
      </c>
      <c r="AY148" s="106" t="s">
        <v>123</v>
      </c>
      <c r="BK148" s="107">
        <f>SUM($BK$149:$BK$153)</f>
        <v>0</v>
      </c>
    </row>
    <row r="149" spans="2:65" s="9" customFormat="1" ht="22.5" customHeight="1">
      <c r="B149" s="22"/>
      <c r="C149" s="119">
        <v>18</v>
      </c>
      <c r="D149" s="108" t="s">
        <v>124</v>
      </c>
      <c r="E149" s="109" t="s">
        <v>212</v>
      </c>
      <c r="F149" s="266" t="s">
        <v>213</v>
      </c>
      <c r="G149" s="266"/>
      <c r="H149" s="266"/>
      <c r="I149" s="266"/>
      <c r="J149" s="110" t="s">
        <v>171</v>
      </c>
      <c r="K149" s="111">
        <v>56.26</v>
      </c>
      <c r="L149" s="267"/>
      <c r="M149" s="267"/>
      <c r="N149" s="267">
        <f>K149*L149</f>
        <v>0</v>
      </c>
      <c r="O149" s="267"/>
      <c r="P149" s="267"/>
      <c r="Q149" s="267"/>
      <c r="R149" s="23"/>
      <c r="T149" s="112"/>
      <c r="U149" s="28" t="s">
        <v>37</v>
      </c>
      <c r="V149" s="113">
        <v>0</v>
      </c>
      <c r="W149" s="113">
        <f>$V$149*$K$149</f>
        <v>0</v>
      </c>
      <c r="X149" s="113">
        <v>0</v>
      </c>
      <c r="Y149" s="113">
        <f>$X$149*$K$149</f>
        <v>0</v>
      </c>
      <c r="Z149" s="113">
        <v>0</v>
      </c>
      <c r="AA149" s="114">
        <f>$Z$149*$K$149</f>
        <v>0</v>
      </c>
      <c r="AR149" s="9" t="s">
        <v>128</v>
      </c>
      <c r="AT149" s="9" t="s">
        <v>124</v>
      </c>
      <c r="AU149" s="9" t="s">
        <v>19</v>
      </c>
      <c r="AY149" s="9" t="s">
        <v>123</v>
      </c>
      <c r="BE149" s="115">
        <f>IF($U$149="základní",$N$149,0)</f>
        <v>0</v>
      </c>
      <c r="BF149" s="115">
        <f>IF($U$149="snížená",$N$149,0)</f>
        <v>0</v>
      </c>
      <c r="BG149" s="115">
        <f>IF($U$149="zákl. přenesená",$N$149,0)</f>
        <v>0</v>
      </c>
      <c r="BH149" s="115">
        <f>IF($U$149="sníž. přenesená",$N$149,0)</f>
        <v>0</v>
      </c>
      <c r="BI149" s="115">
        <f>IF($U$149="nulová",$N$149,0)</f>
        <v>0</v>
      </c>
      <c r="BJ149" s="9" t="s">
        <v>19</v>
      </c>
      <c r="BK149" s="115">
        <f>ROUND($L$149*$K$149,2)</f>
        <v>0</v>
      </c>
      <c r="BL149" s="9" t="s">
        <v>128</v>
      </c>
      <c r="BM149" s="9" t="s">
        <v>214</v>
      </c>
    </row>
    <row r="150" spans="2:63" s="120" customFormat="1" ht="22.5" customHeight="1">
      <c r="B150" s="121"/>
      <c r="C150" s="122"/>
      <c r="D150" s="122"/>
      <c r="E150" s="123"/>
      <c r="F150" s="280" t="s">
        <v>215</v>
      </c>
      <c r="G150" s="280"/>
      <c r="H150" s="280"/>
      <c r="I150" s="280"/>
      <c r="J150" s="124"/>
      <c r="K150" s="125">
        <v>56.26</v>
      </c>
      <c r="L150" s="281"/>
      <c r="M150" s="281"/>
      <c r="N150" s="281"/>
      <c r="O150" s="281"/>
      <c r="P150" s="281"/>
      <c r="Q150" s="281"/>
      <c r="R150" s="126"/>
      <c r="T150" s="127"/>
      <c r="U150" s="128"/>
      <c r="V150" s="129"/>
      <c r="W150" s="129"/>
      <c r="X150" s="129"/>
      <c r="Y150" s="129"/>
      <c r="Z150" s="129"/>
      <c r="AA150" s="130"/>
      <c r="BE150" s="131"/>
      <c r="BF150" s="131"/>
      <c r="BG150" s="131"/>
      <c r="BH150" s="131"/>
      <c r="BI150" s="131"/>
      <c r="BK150" s="131"/>
    </row>
    <row r="151" spans="2:63" s="9" customFormat="1" ht="22.5" customHeight="1">
      <c r="B151" s="22"/>
      <c r="C151" s="108">
        <v>19</v>
      </c>
      <c r="D151" s="108" t="s">
        <v>124</v>
      </c>
      <c r="E151" s="109" t="s">
        <v>216</v>
      </c>
      <c r="F151" s="266" t="s">
        <v>217</v>
      </c>
      <c r="G151" s="266"/>
      <c r="H151" s="266"/>
      <c r="I151" s="266"/>
      <c r="J151" s="110" t="s">
        <v>171</v>
      </c>
      <c r="K151" s="111">
        <v>9.58</v>
      </c>
      <c r="L151" s="267"/>
      <c r="M151" s="267"/>
      <c r="N151" s="267">
        <f>K151*L151</f>
        <v>0</v>
      </c>
      <c r="O151" s="267"/>
      <c r="P151" s="267"/>
      <c r="Q151" s="267"/>
      <c r="R151" s="23"/>
      <c r="T151" s="112"/>
      <c r="U151" s="28"/>
      <c r="V151" s="113"/>
      <c r="W151" s="113"/>
      <c r="X151" s="113"/>
      <c r="Y151" s="113"/>
      <c r="Z151" s="113"/>
      <c r="AA151" s="114"/>
      <c r="BE151" s="115"/>
      <c r="BF151" s="115"/>
      <c r="BG151" s="115"/>
      <c r="BH151" s="115"/>
      <c r="BI151" s="115"/>
      <c r="BK151" s="115"/>
    </row>
    <row r="152" spans="2:65" s="9" customFormat="1" ht="22.5" customHeight="1">
      <c r="B152" s="22"/>
      <c r="C152" s="108">
        <v>20</v>
      </c>
      <c r="D152" s="108" t="s">
        <v>124</v>
      </c>
      <c r="E152" s="109" t="s">
        <v>218</v>
      </c>
      <c r="F152" s="266" t="s">
        <v>219</v>
      </c>
      <c r="G152" s="266"/>
      <c r="H152" s="266"/>
      <c r="I152" s="266"/>
      <c r="J152" s="110" t="s">
        <v>171</v>
      </c>
      <c r="K152" s="111">
        <v>51.87</v>
      </c>
      <c r="L152" s="267"/>
      <c r="M152" s="267"/>
      <c r="N152" s="267">
        <f>K152*L152</f>
        <v>0</v>
      </c>
      <c r="O152" s="267"/>
      <c r="P152" s="267"/>
      <c r="Q152" s="267"/>
      <c r="R152" s="23"/>
      <c r="T152" s="112"/>
      <c r="U152" s="28" t="s">
        <v>37</v>
      </c>
      <c r="V152" s="113">
        <v>0</v>
      </c>
      <c r="W152" s="113">
        <f>$V$152*$K$152</f>
        <v>0</v>
      </c>
      <c r="X152" s="113">
        <v>0</v>
      </c>
      <c r="Y152" s="113">
        <f>$X$152*$K$152</f>
        <v>0</v>
      </c>
      <c r="Z152" s="113">
        <v>0</v>
      </c>
      <c r="AA152" s="114">
        <f>$Z$152*$K$152</f>
        <v>0</v>
      </c>
      <c r="AR152" s="9" t="s">
        <v>128</v>
      </c>
      <c r="AT152" s="9" t="s">
        <v>124</v>
      </c>
      <c r="AU152" s="9" t="s">
        <v>19</v>
      </c>
      <c r="AY152" s="9" t="s">
        <v>123</v>
      </c>
      <c r="BE152" s="115">
        <f>IF($U$152="základní",$N$152,0)</f>
        <v>0</v>
      </c>
      <c r="BF152" s="115">
        <f>IF($U$152="snížená",$N$152,0)</f>
        <v>0</v>
      </c>
      <c r="BG152" s="115">
        <f>IF($U$152="zákl. přenesená",$N$152,0)</f>
        <v>0</v>
      </c>
      <c r="BH152" s="115">
        <f>IF($U$152="sníž. přenesená",$N$152,0)</f>
        <v>0</v>
      </c>
      <c r="BI152" s="115">
        <f>IF($U$152="nulová",$N$152,0)</f>
        <v>0</v>
      </c>
      <c r="BJ152" s="9" t="s">
        <v>19</v>
      </c>
      <c r="BK152" s="115">
        <f>ROUND($L$152*$K$152,2)</f>
        <v>0</v>
      </c>
      <c r="BL152" s="9" t="s">
        <v>128</v>
      </c>
      <c r="BM152" s="9" t="s">
        <v>220</v>
      </c>
    </row>
    <row r="153" spans="2:65" s="9" customFormat="1" ht="23.25" customHeight="1">
      <c r="B153" s="22"/>
      <c r="C153" s="108">
        <v>21</v>
      </c>
      <c r="D153" s="108" t="s">
        <v>124</v>
      </c>
      <c r="E153" s="109" t="s">
        <v>221</v>
      </c>
      <c r="F153" s="266" t="s">
        <v>222</v>
      </c>
      <c r="G153" s="266"/>
      <c r="H153" s="266"/>
      <c r="I153" s="266"/>
      <c r="J153" s="110" t="s">
        <v>211</v>
      </c>
      <c r="K153" s="111">
        <v>208</v>
      </c>
      <c r="L153" s="267"/>
      <c r="M153" s="267"/>
      <c r="N153" s="267">
        <f>K153*L153</f>
        <v>0</v>
      </c>
      <c r="O153" s="267"/>
      <c r="P153" s="267"/>
      <c r="Q153" s="267"/>
      <c r="R153" s="23"/>
      <c r="T153" s="112"/>
      <c r="U153" s="28" t="s">
        <v>37</v>
      </c>
      <c r="V153" s="113">
        <v>0</v>
      </c>
      <c r="W153" s="113">
        <f>$V$153*$K$153</f>
        <v>0</v>
      </c>
      <c r="X153" s="113">
        <v>0</v>
      </c>
      <c r="Y153" s="113">
        <f>$X$153*$K$153</f>
        <v>0</v>
      </c>
      <c r="Z153" s="113">
        <v>0</v>
      </c>
      <c r="AA153" s="114">
        <f>$Z$153*$K$153</f>
        <v>0</v>
      </c>
      <c r="AR153" s="9" t="s">
        <v>128</v>
      </c>
      <c r="AT153" s="9" t="s">
        <v>124</v>
      </c>
      <c r="AU153" s="9" t="s">
        <v>19</v>
      </c>
      <c r="AY153" s="9" t="s">
        <v>123</v>
      </c>
      <c r="BE153" s="115">
        <f>IF($U$153="základní",$N$153,0)</f>
        <v>0</v>
      </c>
      <c r="BF153" s="115">
        <f>IF($U$153="snížená",$N$153,0)</f>
        <v>0</v>
      </c>
      <c r="BG153" s="115">
        <f>IF($U$153="zákl. přenesená",$N$153,0)</f>
        <v>0</v>
      </c>
      <c r="BH153" s="115">
        <f>IF($U$153="sníž. přenesená",$N$153,0)</f>
        <v>0</v>
      </c>
      <c r="BI153" s="115">
        <f>IF($U$153="nulová",$N$153,0)</f>
        <v>0</v>
      </c>
      <c r="BJ153" s="9" t="s">
        <v>19</v>
      </c>
      <c r="BK153" s="115">
        <f>ROUND($L$153*$K$153,2)</f>
        <v>0</v>
      </c>
      <c r="BL153" s="9" t="s">
        <v>128</v>
      </c>
      <c r="BM153" s="9" t="s">
        <v>223</v>
      </c>
    </row>
    <row r="154" spans="2:63" s="99" customFormat="1" ht="37.5" customHeight="1">
      <c r="B154" s="100"/>
      <c r="D154" s="101" t="s">
        <v>152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268">
        <f>N155+N156</f>
        <v>0</v>
      </c>
      <c r="O154" s="268"/>
      <c r="P154" s="268"/>
      <c r="Q154" s="268"/>
      <c r="R154" s="102"/>
      <c r="T154" s="103"/>
      <c r="W154" s="104">
        <f>SUM($W$155:$W$156)</f>
        <v>0</v>
      </c>
      <c r="Y154" s="104">
        <f>SUM($Y$155:$Y$156)</f>
        <v>0</v>
      </c>
      <c r="AA154" s="105">
        <f>SUM($AA$155:$AA$156)</f>
        <v>0</v>
      </c>
      <c r="AR154" s="106" t="s">
        <v>19</v>
      </c>
      <c r="AT154" s="106" t="s">
        <v>71</v>
      </c>
      <c r="AU154" s="106" t="s">
        <v>72</v>
      </c>
      <c r="AY154" s="106" t="s">
        <v>123</v>
      </c>
      <c r="BK154" s="107">
        <f>SUM($BK$155:$BK$156)</f>
        <v>0</v>
      </c>
    </row>
    <row r="155" spans="2:65" s="9" customFormat="1" ht="27" customHeight="1">
      <c r="B155" s="22"/>
      <c r="C155" s="119">
        <v>22</v>
      </c>
      <c r="D155" s="108" t="s">
        <v>124</v>
      </c>
      <c r="E155" s="109" t="s">
        <v>224</v>
      </c>
      <c r="F155" s="266" t="s">
        <v>225</v>
      </c>
      <c r="G155" s="266"/>
      <c r="H155" s="266"/>
      <c r="I155" s="266"/>
      <c r="J155" s="110" t="s">
        <v>171</v>
      </c>
      <c r="K155" s="111">
        <f>K149</f>
        <v>56.26</v>
      </c>
      <c r="L155" s="267"/>
      <c r="M155" s="267"/>
      <c r="N155" s="267">
        <f>K155*L155</f>
        <v>0</v>
      </c>
      <c r="O155" s="267"/>
      <c r="P155" s="267"/>
      <c r="Q155" s="267"/>
      <c r="R155" s="23"/>
      <c r="T155" s="112"/>
      <c r="U155" s="28" t="s">
        <v>37</v>
      </c>
      <c r="V155" s="113">
        <v>0</v>
      </c>
      <c r="W155" s="113">
        <f>$V$155*$K$155</f>
        <v>0</v>
      </c>
      <c r="X155" s="113">
        <v>0</v>
      </c>
      <c r="Y155" s="113">
        <f>$X$155*$K$155</f>
        <v>0</v>
      </c>
      <c r="Z155" s="113">
        <v>0</v>
      </c>
      <c r="AA155" s="114">
        <f>$Z$155*$K$155</f>
        <v>0</v>
      </c>
      <c r="AR155" s="9" t="s">
        <v>128</v>
      </c>
      <c r="AT155" s="9" t="s">
        <v>124</v>
      </c>
      <c r="AU155" s="9" t="s">
        <v>19</v>
      </c>
      <c r="AY155" s="9" t="s">
        <v>123</v>
      </c>
      <c r="BE155" s="115">
        <f>IF($U$155="základní",$N$155,0)</f>
        <v>0</v>
      </c>
      <c r="BF155" s="115">
        <f>IF($U$155="snížená",$N$155,0)</f>
        <v>0</v>
      </c>
      <c r="BG155" s="115">
        <f>IF($U$155="zákl. přenesená",$N$155,0)</f>
        <v>0</v>
      </c>
      <c r="BH155" s="115">
        <f>IF($U$155="sníž. přenesená",$N$155,0)</f>
        <v>0</v>
      </c>
      <c r="BI155" s="115">
        <f>IF($U$155="nulová",$N$155,0)</f>
        <v>0</v>
      </c>
      <c r="BJ155" s="9" t="s">
        <v>19</v>
      </c>
      <c r="BK155" s="115">
        <f>ROUND($L$155*$K$155,2)</f>
        <v>0</v>
      </c>
      <c r="BL155" s="9" t="s">
        <v>128</v>
      </c>
      <c r="BM155" s="9" t="s">
        <v>226</v>
      </c>
    </row>
    <row r="156" spans="2:65" s="9" customFormat="1" ht="27" customHeight="1">
      <c r="B156" s="22"/>
      <c r="C156" s="119">
        <v>23</v>
      </c>
      <c r="D156" s="108" t="s">
        <v>124</v>
      </c>
      <c r="E156" s="109" t="s">
        <v>227</v>
      </c>
      <c r="F156" s="266" t="s">
        <v>662</v>
      </c>
      <c r="G156" s="266"/>
      <c r="H156" s="266"/>
      <c r="I156" s="266"/>
      <c r="J156" s="110" t="s">
        <v>171</v>
      </c>
      <c r="K156" s="111">
        <f>K155</f>
        <v>56.26</v>
      </c>
      <c r="L156" s="267"/>
      <c r="M156" s="267"/>
      <c r="N156" s="267">
        <f>K156*L156</f>
        <v>0</v>
      </c>
      <c r="O156" s="267"/>
      <c r="P156" s="267"/>
      <c r="Q156" s="267"/>
      <c r="R156" s="23"/>
      <c r="T156" s="112"/>
      <c r="U156" s="28" t="s">
        <v>37</v>
      </c>
      <c r="V156" s="113">
        <v>0</v>
      </c>
      <c r="W156" s="113">
        <f>$V$156*$K$156</f>
        <v>0</v>
      </c>
      <c r="X156" s="113">
        <v>0</v>
      </c>
      <c r="Y156" s="113">
        <f>$X$156*$K$156</f>
        <v>0</v>
      </c>
      <c r="Z156" s="113">
        <v>0</v>
      </c>
      <c r="AA156" s="114">
        <f>$Z$156*$K$156</f>
        <v>0</v>
      </c>
      <c r="AR156" s="9" t="s">
        <v>128</v>
      </c>
      <c r="AT156" s="9" t="s">
        <v>124</v>
      </c>
      <c r="AU156" s="9" t="s">
        <v>19</v>
      </c>
      <c r="AY156" s="9" t="s">
        <v>123</v>
      </c>
      <c r="BE156" s="115">
        <f>IF($U$156="základní",$N$156,0)</f>
        <v>0</v>
      </c>
      <c r="BF156" s="115">
        <f>IF($U$156="snížená",$N$156,0)</f>
        <v>0</v>
      </c>
      <c r="BG156" s="115">
        <f>IF($U$156="zákl. přenesená",$N$156,0)</f>
        <v>0</v>
      </c>
      <c r="BH156" s="115">
        <f>IF($U$156="sníž. přenesená",$N$156,0)</f>
        <v>0</v>
      </c>
      <c r="BI156" s="115">
        <f>IF($U$156="nulová",$N$156,0)</f>
        <v>0</v>
      </c>
      <c r="BJ156" s="9" t="s">
        <v>19</v>
      </c>
      <c r="BK156" s="115">
        <f>ROUND($L$156*$K$156,2)</f>
        <v>0</v>
      </c>
      <c r="BL156" s="9" t="s">
        <v>128</v>
      </c>
      <c r="BM156" s="9" t="s">
        <v>228</v>
      </c>
    </row>
    <row r="157" spans="2:63" s="99" customFormat="1" ht="37.5" customHeight="1">
      <c r="B157" s="100"/>
      <c r="D157" s="101" t="s">
        <v>153</v>
      </c>
      <c r="E157" s="101"/>
      <c r="F157" s="101"/>
      <c r="G157" s="101"/>
      <c r="H157" s="101"/>
      <c r="I157" s="101"/>
      <c r="J157" s="101"/>
      <c r="K157" s="101"/>
      <c r="L157" s="101"/>
      <c r="M157" s="101"/>
      <c r="N157" s="268">
        <f>SUM(N158:Q198)</f>
        <v>0</v>
      </c>
      <c r="O157" s="268"/>
      <c r="P157" s="268"/>
      <c r="Q157" s="268"/>
      <c r="R157" s="102"/>
      <c r="T157" s="103"/>
      <c r="W157" s="104">
        <f>SUM($W$160:$W$194)</f>
        <v>0</v>
      </c>
      <c r="Y157" s="104">
        <f>SUM($Y$160:$Y$194)</f>
        <v>0</v>
      </c>
      <c r="AA157" s="105">
        <f>SUM($AA$160:$AA$194)</f>
        <v>0</v>
      </c>
      <c r="AR157" s="106" t="s">
        <v>19</v>
      </c>
      <c r="AT157" s="106" t="s">
        <v>71</v>
      </c>
      <c r="AU157" s="106" t="s">
        <v>72</v>
      </c>
      <c r="AY157" s="106" t="s">
        <v>123</v>
      </c>
      <c r="BK157" s="107">
        <f>SUM($BK$160:$BK$194)</f>
        <v>0</v>
      </c>
    </row>
    <row r="158" spans="2:65" s="9" customFormat="1" ht="27" customHeight="1">
      <c r="B158" s="22"/>
      <c r="C158" s="119">
        <v>24</v>
      </c>
      <c r="D158" s="108" t="s">
        <v>124</v>
      </c>
      <c r="E158" s="109" t="s">
        <v>229</v>
      </c>
      <c r="F158" s="266" t="s">
        <v>230</v>
      </c>
      <c r="G158" s="266"/>
      <c r="H158" s="266"/>
      <c r="I158" s="266"/>
      <c r="J158" s="110" t="s">
        <v>171</v>
      </c>
      <c r="K158" s="111">
        <f>K162+K172+K181-K167-K164-K165</f>
        <v>1200.7740000000001</v>
      </c>
      <c r="L158" s="267"/>
      <c r="M158" s="267"/>
      <c r="N158" s="267">
        <f>K158*L158</f>
        <v>0</v>
      </c>
      <c r="O158" s="267"/>
      <c r="P158" s="267"/>
      <c r="Q158" s="267"/>
      <c r="R158" s="23"/>
      <c r="T158" s="112"/>
      <c r="U158" s="28" t="s">
        <v>37</v>
      </c>
      <c r="V158" s="113">
        <v>0</v>
      </c>
      <c r="W158" s="113">
        <f>$V$160*$K$160</f>
        <v>0</v>
      </c>
      <c r="X158" s="113">
        <v>0</v>
      </c>
      <c r="Y158" s="113">
        <f>$X$160*$K$160</f>
        <v>0</v>
      </c>
      <c r="Z158" s="113">
        <v>0</v>
      </c>
      <c r="AA158" s="114">
        <f>$Z$160*$K$160</f>
        <v>0</v>
      </c>
      <c r="AR158" s="9" t="s">
        <v>128</v>
      </c>
      <c r="AT158" s="9" t="s">
        <v>124</v>
      </c>
      <c r="AU158" s="9" t="s">
        <v>19</v>
      </c>
      <c r="AY158" s="9" t="s">
        <v>123</v>
      </c>
      <c r="BE158" s="115">
        <f>IF($U$160="základní",$N$160,0)</f>
        <v>0</v>
      </c>
      <c r="BF158" s="115">
        <f>IF($U$160="snížená",$N$160,0)</f>
        <v>0</v>
      </c>
      <c r="BG158" s="115">
        <f>IF($U$160="zákl. přenesená",$N$160,0)</f>
        <v>0</v>
      </c>
      <c r="BH158" s="115">
        <f>IF($U$160="sníž. přenesená",$N$160,0)</f>
        <v>0</v>
      </c>
      <c r="BI158" s="115">
        <f>IF($U$160="nulová",$N$160,0)</f>
        <v>0</v>
      </c>
      <c r="BJ158" s="9" t="s">
        <v>19</v>
      </c>
      <c r="BK158" s="115">
        <f>ROUND($L$160*$K$160,2)</f>
        <v>0</v>
      </c>
      <c r="BL158" s="9" t="s">
        <v>128</v>
      </c>
      <c r="BM158" s="9" t="s">
        <v>231</v>
      </c>
    </row>
    <row r="159" spans="2:65" s="9" customFormat="1" ht="41.25" customHeight="1">
      <c r="B159" s="22"/>
      <c r="C159" s="119">
        <v>25</v>
      </c>
      <c r="D159" s="108" t="s">
        <v>124</v>
      </c>
      <c r="E159" s="109" t="s">
        <v>232</v>
      </c>
      <c r="F159" s="266" t="s">
        <v>233</v>
      </c>
      <c r="G159" s="266"/>
      <c r="H159" s="266"/>
      <c r="I159" s="266"/>
      <c r="J159" s="110" t="s">
        <v>171</v>
      </c>
      <c r="K159" s="111">
        <f>K158</f>
        <v>1200.7740000000001</v>
      </c>
      <c r="L159" s="267"/>
      <c r="M159" s="267"/>
      <c r="N159" s="267">
        <f>K159*L159</f>
        <v>0</v>
      </c>
      <c r="O159" s="267"/>
      <c r="P159" s="267"/>
      <c r="Q159" s="267"/>
      <c r="R159" s="23"/>
      <c r="T159" s="112"/>
      <c r="U159" s="28" t="s">
        <v>37</v>
      </c>
      <c r="V159" s="113">
        <v>0</v>
      </c>
      <c r="W159" s="113">
        <f>$V$160*$K$160</f>
        <v>0</v>
      </c>
      <c r="X159" s="113">
        <v>0</v>
      </c>
      <c r="Y159" s="113">
        <f>$X$160*$K$160</f>
        <v>0</v>
      </c>
      <c r="Z159" s="113">
        <v>0</v>
      </c>
      <c r="AA159" s="114">
        <f>$Z$160*$K$160</f>
        <v>0</v>
      </c>
      <c r="AR159" s="9" t="s">
        <v>128</v>
      </c>
      <c r="AT159" s="9" t="s">
        <v>124</v>
      </c>
      <c r="AU159" s="9" t="s">
        <v>19</v>
      </c>
      <c r="AY159" s="9" t="s">
        <v>123</v>
      </c>
      <c r="BE159" s="115">
        <f>IF($U$160="základní",$N$160,0)</f>
        <v>0</v>
      </c>
      <c r="BF159" s="115">
        <f>IF($U$160="snížená",$N$160,0)</f>
        <v>0</v>
      </c>
      <c r="BG159" s="115">
        <f>IF($U$160="zákl. přenesená",$N$160,0)</f>
        <v>0</v>
      </c>
      <c r="BH159" s="115">
        <f>IF($U$160="sníž. přenesená",$N$160,0)</f>
        <v>0</v>
      </c>
      <c r="BI159" s="115">
        <f>IF($U$160="nulová",$N$160,0)</f>
        <v>0</v>
      </c>
      <c r="BJ159" s="9" t="s">
        <v>19</v>
      </c>
      <c r="BK159" s="115">
        <f>ROUND($L$160*$K$160,2)</f>
        <v>0</v>
      </c>
      <c r="BL159" s="9" t="s">
        <v>128</v>
      </c>
      <c r="BM159" s="9" t="s">
        <v>231</v>
      </c>
    </row>
    <row r="160" spans="2:65" s="9" customFormat="1" ht="27" customHeight="1">
      <c r="B160" s="22"/>
      <c r="C160" s="108">
        <v>26</v>
      </c>
      <c r="D160" s="108" t="s">
        <v>124</v>
      </c>
      <c r="E160" s="109" t="s">
        <v>234</v>
      </c>
      <c r="F160" s="266" t="s">
        <v>235</v>
      </c>
      <c r="G160" s="266"/>
      <c r="H160" s="266"/>
      <c r="I160" s="266"/>
      <c r="J160" s="110" t="s">
        <v>171</v>
      </c>
      <c r="K160" s="111">
        <v>5.8</v>
      </c>
      <c r="L160" s="267"/>
      <c r="M160" s="267"/>
      <c r="N160" s="267">
        <f>K160*L160</f>
        <v>0</v>
      </c>
      <c r="O160" s="267"/>
      <c r="P160" s="267"/>
      <c r="Q160" s="267"/>
      <c r="R160" s="23"/>
      <c r="T160" s="112"/>
      <c r="U160" s="28" t="s">
        <v>37</v>
      </c>
      <c r="V160" s="113">
        <v>0</v>
      </c>
      <c r="W160" s="113">
        <f>$V$160*$K$160</f>
        <v>0</v>
      </c>
      <c r="X160" s="113">
        <v>0</v>
      </c>
      <c r="Y160" s="113">
        <f>$X$160*$K$160</f>
        <v>0</v>
      </c>
      <c r="Z160" s="113">
        <v>0</v>
      </c>
      <c r="AA160" s="114">
        <f>$Z$160*$K$160</f>
        <v>0</v>
      </c>
      <c r="AR160" s="9" t="s">
        <v>128</v>
      </c>
      <c r="AT160" s="9" t="s">
        <v>124</v>
      </c>
      <c r="AU160" s="9" t="s">
        <v>19</v>
      </c>
      <c r="AY160" s="9" t="s">
        <v>123</v>
      </c>
      <c r="BE160" s="115">
        <f>IF($U$160="základní",$N$160,0)</f>
        <v>0</v>
      </c>
      <c r="BF160" s="115">
        <f>IF($U$160="snížená",$N$160,0)</f>
        <v>0</v>
      </c>
      <c r="BG160" s="115">
        <f>IF($U$160="zákl. přenesená",$N$160,0)</f>
        <v>0</v>
      </c>
      <c r="BH160" s="115">
        <f>IF($U$160="sníž. přenesená",$N$160,0)</f>
        <v>0</v>
      </c>
      <c r="BI160" s="115">
        <f>IF($U$160="nulová",$N$160,0)</f>
        <v>0</v>
      </c>
      <c r="BJ160" s="9" t="s">
        <v>19</v>
      </c>
      <c r="BK160" s="115">
        <f>ROUND($L$160*$K$160,2)</f>
        <v>0</v>
      </c>
      <c r="BL160" s="9" t="s">
        <v>128</v>
      </c>
      <c r="BM160" s="9" t="s">
        <v>231</v>
      </c>
    </row>
    <row r="161" spans="2:65" s="9" customFormat="1" ht="36.75" customHeight="1">
      <c r="B161" s="22"/>
      <c r="C161" s="108">
        <v>27</v>
      </c>
      <c r="D161" s="108" t="s">
        <v>124</v>
      </c>
      <c r="E161" s="109" t="s">
        <v>236</v>
      </c>
      <c r="F161" s="266" t="s">
        <v>237</v>
      </c>
      <c r="G161" s="266"/>
      <c r="H161" s="266"/>
      <c r="I161" s="266"/>
      <c r="J161" s="110" t="s">
        <v>171</v>
      </c>
      <c r="K161" s="111">
        <v>63.53</v>
      </c>
      <c r="L161" s="267"/>
      <c r="M161" s="267"/>
      <c r="N161" s="267">
        <f>K161*L161</f>
        <v>0</v>
      </c>
      <c r="O161" s="267"/>
      <c r="P161" s="267"/>
      <c r="Q161" s="267"/>
      <c r="R161" s="23"/>
      <c r="T161" s="112"/>
      <c r="U161" s="28" t="s">
        <v>37</v>
      </c>
      <c r="V161" s="113">
        <v>0</v>
      </c>
      <c r="W161" s="113">
        <f>$V$161*$K$161</f>
        <v>0</v>
      </c>
      <c r="X161" s="113">
        <v>0</v>
      </c>
      <c r="Y161" s="113">
        <f>$X$161*$K$161</f>
        <v>0</v>
      </c>
      <c r="Z161" s="113">
        <v>0</v>
      </c>
      <c r="AA161" s="114">
        <f>$Z$161*$K$161</f>
        <v>0</v>
      </c>
      <c r="AR161" s="9" t="s">
        <v>128</v>
      </c>
      <c r="AT161" s="9" t="s">
        <v>124</v>
      </c>
      <c r="AU161" s="9" t="s">
        <v>19</v>
      </c>
      <c r="AY161" s="9" t="s">
        <v>123</v>
      </c>
      <c r="BE161" s="115">
        <f>IF($U$161="základní",$N$161,0)</f>
        <v>0</v>
      </c>
      <c r="BF161" s="115">
        <f>IF($U$161="snížená",$N$161,0)</f>
        <v>0</v>
      </c>
      <c r="BG161" s="115">
        <f>IF($U$161="zákl. přenesená",$N$161,0)</f>
        <v>0</v>
      </c>
      <c r="BH161" s="115">
        <f>IF($U$161="sníž. přenesená",$N$161,0)</f>
        <v>0</v>
      </c>
      <c r="BI161" s="115">
        <f>IF($U$161="nulová",$N$161,0)</f>
        <v>0</v>
      </c>
      <c r="BJ161" s="9" t="s">
        <v>19</v>
      </c>
      <c r="BK161" s="115">
        <f>ROUND($L$161*$K$161,2)</f>
        <v>0</v>
      </c>
      <c r="BL161" s="9" t="s">
        <v>128</v>
      </c>
      <c r="BM161" s="9" t="s">
        <v>238</v>
      </c>
    </row>
    <row r="162" spans="2:63" s="9" customFormat="1" ht="27" customHeight="1">
      <c r="B162" s="22"/>
      <c r="C162" s="119">
        <v>28</v>
      </c>
      <c r="D162" s="108"/>
      <c r="E162" s="109" t="s">
        <v>239</v>
      </c>
      <c r="F162" s="266" t="s">
        <v>240</v>
      </c>
      <c r="G162" s="266"/>
      <c r="H162" s="266"/>
      <c r="I162" s="266"/>
      <c r="J162" s="110" t="s">
        <v>171</v>
      </c>
      <c r="K162" s="111">
        <f>K163+K166+K167+K164+K165</f>
        <v>347.64200000000005</v>
      </c>
      <c r="L162" s="267"/>
      <c r="M162" s="267"/>
      <c r="N162" s="267">
        <f>K162*L162</f>
        <v>0</v>
      </c>
      <c r="O162" s="267"/>
      <c r="P162" s="267"/>
      <c r="Q162" s="267"/>
      <c r="R162" s="23"/>
      <c r="T162" s="112"/>
      <c r="U162" s="28"/>
      <c r="V162" s="113"/>
      <c r="W162" s="113"/>
      <c r="X162" s="113"/>
      <c r="Y162" s="113"/>
      <c r="Z162" s="113"/>
      <c r="AA162" s="114"/>
      <c r="BE162" s="115"/>
      <c r="BF162" s="115"/>
      <c r="BG162" s="115"/>
      <c r="BH162" s="115"/>
      <c r="BI162" s="115"/>
      <c r="BK162" s="115"/>
    </row>
    <row r="163" spans="2:63" s="120" customFormat="1" ht="31.5" customHeight="1">
      <c r="B163" s="121"/>
      <c r="C163" s="122"/>
      <c r="D163" s="122"/>
      <c r="E163" s="123" t="s">
        <v>241</v>
      </c>
      <c r="F163" s="280" t="s">
        <v>242</v>
      </c>
      <c r="G163" s="280"/>
      <c r="H163" s="280"/>
      <c r="I163" s="280"/>
      <c r="J163" s="124"/>
      <c r="K163" s="125">
        <v>178.927</v>
      </c>
      <c r="L163" s="281"/>
      <c r="M163" s="281"/>
      <c r="N163" s="281"/>
      <c r="O163" s="281"/>
      <c r="P163" s="281"/>
      <c r="Q163" s="281"/>
      <c r="R163" s="126"/>
      <c r="T163" s="127"/>
      <c r="U163" s="128"/>
      <c r="V163" s="129"/>
      <c r="W163" s="129"/>
      <c r="X163" s="129"/>
      <c r="Y163" s="129"/>
      <c r="Z163" s="129"/>
      <c r="AA163" s="130"/>
      <c r="BE163" s="131"/>
      <c r="BF163" s="131"/>
      <c r="BG163" s="131"/>
      <c r="BH163" s="131"/>
      <c r="BI163" s="131"/>
      <c r="BK163" s="131"/>
    </row>
    <row r="164" spans="2:63" s="120" customFormat="1" ht="25.5" customHeight="1">
      <c r="B164" s="121"/>
      <c r="C164" s="122"/>
      <c r="D164" s="122"/>
      <c r="E164" s="123" t="s">
        <v>243</v>
      </c>
      <c r="F164" s="280" t="s">
        <v>244</v>
      </c>
      <c r="G164" s="280"/>
      <c r="H164" s="280"/>
      <c r="I164" s="280"/>
      <c r="J164" s="124"/>
      <c r="K164" s="125">
        <v>19.8</v>
      </c>
      <c r="L164" s="281"/>
      <c r="M164" s="281"/>
      <c r="N164" s="281"/>
      <c r="O164" s="281"/>
      <c r="P164" s="281"/>
      <c r="Q164" s="281"/>
      <c r="R164" s="126"/>
      <c r="T164" s="127"/>
      <c r="U164" s="128"/>
      <c r="V164" s="129"/>
      <c r="W164" s="129"/>
      <c r="X164" s="129"/>
      <c r="Y164" s="129"/>
      <c r="Z164" s="129"/>
      <c r="AA164" s="130"/>
      <c r="BE164" s="131"/>
      <c r="BF164" s="131"/>
      <c r="BG164" s="131"/>
      <c r="BH164" s="131"/>
      <c r="BI164" s="131"/>
      <c r="BK164" s="131"/>
    </row>
    <row r="165" spans="2:63" s="120" customFormat="1" ht="26.25" customHeight="1">
      <c r="B165" s="121"/>
      <c r="C165" s="122"/>
      <c r="D165" s="122"/>
      <c r="E165" s="123" t="s">
        <v>245</v>
      </c>
      <c r="F165" s="280" t="s">
        <v>246</v>
      </c>
      <c r="G165" s="280"/>
      <c r="H165" s="280"/>
      <c r="I165" s="280"/>
      <c r="J165" s="124"/>
      <c r="K165" s="125">
        <v>19.8</v>
      </c>
      <c r="L165" s="281"/>
      <c r="M165" s="281"/>
      <c r="N165" s="281"/>
      <c r="O165" s="281"/>
      <c r="P165" s="281"/>
      <c r="Q165" s="281"/>
      <c r="R165" s="126"/>
      <c r="T165" s="127"/>
      <c r="U165" s="128"/>
      <c r="V165" s="129"/>
      <c r="W165" s="129"/>
      <c r="X165" s="129"/>
      <c r="Y165" s="129"/>
      <c r="Z165" s="129"/>
      <c r="AA165" s="130"/>
      <c r="BE165" s="131"/>
      <c r="BF165" s="131"/>
      <c r="BG165" s="131"/>
      <c r="BH165" s="131"/>
      <c r="BI165" s="131"/>
      <c r="BK165" s="131"/>
    </row>
    <row r="166" spans="2:63" s="120" customFormat="1" ht="25.5" customHeight="1">
      <c r="B166" s="121"/>
      <c r="C166" s="122"/>
      <c r="D166" s="122"/>
      <c r="E166" s="123" t="s">
        <v>247</v>
      </c>
      <c r="F166" s="280" t="s">
        <v>248</v>
      </c>
      <c r="G166" s="280"/>
      <c r="H166" s="280"/>
      <c r="I166" s="280"/>
      <c r="J166" s="124"/>
      <c r="K166" s="125">
        <v>76.099</v>
      </c>
      <c r="L166" s="281"/>
      <c r="M166" s="281"/>
      <c r="N166" s="281"/>
      <c r="O166" s="281"/>
      <c r="P166" s="281"/>
      <c r="Q166" s="281"/>
      <c r="R166" s="126"/>
      <c r="T166" s="127"/>
      <c r="U166" s="128"/>
      <c r="V166" s="129"/>
      <c r="W166" s="129"/>
      <c r="X166" s="129"/>
      <c r="Y166" s="129"/>
      <c r="Z166" s="129"/>
      <c r="AA166" s="130"/>
      <c r="BE166" s="131"/>
      <c r="BF166" s="131"/>
      <c r="BG166" s="131"/>
      <c r="BH166" s="131"/>
      <c r="BI166" s="131"/>
      <c r="BK166" s="131"/>
    </row>
    <row r="167" spans="2:63" s="120" customFormat="1" ht="15.75" customHeight="1">
      <c r="B167" s="121"/>
      <c r="C167" s="122"/>
      <c r="D167" s="122"/>
      <c r="E167" s="123" t="s">
        <v>249</v>
      </c>
      <c r="F167" s="280" t="s">
        <v>250</v>
      </c>
      <c r="G167" s="280"/>
      <c r="H167" s="280"/>
      <c r="I167" s="280"/>
      <c r="J167" s="124"/>
      <c r="K167" s="125">
        <v>53.016</v>
      </c>
      <c r="L167" s="281"/>
      <c r="M167" s="281"/>
      <c r="N167" s="281"/>
      <c r="O167" s="281"/>
      <c r="P167" s="281"/>
      <c r="Q167" s="281"/>
      <c r="R167" s="126"/>
      <c r="T167" s="127"/>
      <c r="U167" s="128"/>
      <c r="V167" s="129"/>
      <c r="W167" s="129"/>
      <c r="X167" s="129"/>
      <c r="Y167" s="129"/>
      <c r="Z167" s="129"/>
      <c r="AA167" s="130"/>
      <c r="BE167" s="131"/>
      <c r="BF167" s="131"/>
      <c r="BG167" s="131"/>
      <c r="BH167" s="131"/>
      <c r="BI167" s="131"/>
      <c r="BK167" s="131"/>
    </row>
    <row r="168" spans="2:63" s="132" customFormat="1" ht="14.25" customHeight="1">
      <c r="B168" s="133"/>
      <c r="C168" s="119" t="s">
        <v>251</v>
      </c>
      <c r="D168" s="134" t="s">
        <v>252</v>
      </c>
      <c r="E168" s="135" t="s">
        <v>253</v>
      </c>
      <c r="F168" s="278" t="s">
        <v>254</v>
      </c>
      <c r="G168" s="278"/>
      <c r="H168" s="278"/>
      <c r="I168" s="278"/>
      <c r="J168" s="136" t="s">
        <v>171</v>
      </c>
      <c r="K168" s="137">
        <v>55.667</v>
      </c>
      <c r="L168" s="279"/>
      <c r="M168" s="279"/>
      <c r="N168" s="279">
        <f>K168*L168</f>
        <v>0</v>
      </c>
      <c r="O168" s="279"/>
      <c r="P168" s="279"/>
      <c r="Q168" s="279"/>
      <c r="R168" s="138"/>
      <c r="T168" s="139"/>
      <c r="U168" s="140"/>
      <c r="V168" s="141"/>
      <c r="W168" s="141"/>
      <c r="X168" s="141"/>
      <c r="Y168" s="141"/>
      <c r="Z168" s="141"/>
      <c r="AA168" s="142"/>
      <c r="BE168" s="143"/>
      <c r="BF168" s="143"/>
      <c r="BG168" s="143"/>
      <c r="BH168" s="143"/>
      <c r="BI168" s="143"/>
      <c r="BK168" s="143"/>
    </row>
    <row r="169" spans="2:63" s="132" customFormat="1" ht="27" customHeight="1">
      <c r="B169" s="133"/>
      <c r="C169" s="119">
        <v>41</v>
      </c>
      <c r="D169" s="134" t="s">
        <v>252</v>
      </c>
      <c r="E169" s="135" t="s">
        <v>255</v>
      </c>
      <c r="F169" s="278" t="s">
        <v>256</v>
      </c>
      <c r="G169" s="278"/>
      <c r="H169" s="278"/>
      <c r="I169" s="278"/>
      <c r="J169" s="136" t="s">
        <v>171</v>
      </c>
      <c r="K169" s="137">
        <f>K165*1.05</f>
        <v>20.790000000000003</v>
      </c>
      <c r="L169" s="279"/>
      <c r="M169" s="279"/>
      <c r="N169" s="279">
        <f>K169*L169</f>
        <v>0</v>
      </c>
      <c r="O169" s="279"/>
      <c r="P169" s="279"/>
      <c r="Q169" s="279"/>
      <c r="R169" s="138"/>
      <c r="T169" s="139"/>
      <c r="U169" s="140"/>
      <c r="V169" s="141"/>
      <c r="W169" s="141"/>
      <c r="X169" s="141"/>
      <c r="Y169" s="141"/>
      <c r="Z169" s="141"/>
      <c r="AA169" s="142"/>
      <c r="BE169" s="143"/>
      <c r="BF169" s="143"/>
      <c r="BG169" s="143"/>
      <c r="BH169" s="143"/>
      <c r="BI169" s="143"/>
      <c r="BK169" s="143"/>
    </row>
    <row r="170" spans="2:63" s="132" customFormat="1" ht="14.25" customHeight="1">
      <c r="B170" s="133"/>
      <c r="C170" s="119">
        <v>29</v>
      </c>
      <c r="D170" s="134" t="s">
        <v>252</v>
      </c>
      <c r="E170" s="135" t="s">
        <v>257</v>
      </c>
      <c r="F170" s="278" t="s">
        <v>258</v>
      </c>
      <c r="G170" s="278"/>
      <c r="H170" s="278"/>
      <c r="I170" s="278"/>
      <c r="J170" s="136" t="s">
        <v>171</v>
      </c>
      <c r="K170" s="137">
        <v>79.904</v>
      </c>
      <c r="L170" s="279"/>
      <c r="M170" s="279"/>
      <c r="N170" s="279">
        <f>K170*L170</f>
        <v>0</v>
      </c>
      <c r="O170" s="279"/>
      <c r="P170" s="279"/>
      <c r="Q170" s="279"/>
      <c r="R170" s="138"/>
      <c r="T170" s="139"/>
      <c r="U170" s="140"/>
      <c r="V170" s="141"/>
      <c r="W170" s="141"/>
      <c r="X170" s="141"/>
      <c r="Y170" s="141"/>
      <c r="Z170" s="141"/>
      <c r="AA170" s="142"/>
      <c r="BE170" s="143"/>
      <c r="BF170" s="143"/>
      <c r="BG170" s="143"/>
      <c r="BH170" s="143"/>
      <c r="BI170" s="143"/>
      <c r="BK170" s="143"/>
    </row>
    <row r="171" spans="2:63" s="132" customFormat="1" ht="29.25" customHeight="1">
      <c r="B171" s="133"/>
      <c r="C171" s="119">
        <v>30</v>
      </c>
      <c r="D171" s="134" t="s">
        <v>252</v>
      </c>
      <c r="E171" s="135" t="s">
        <v>259</v>
      </c>
      <c r="F171" s="278" t="s">
        <v>260</v>
      </c>
      <c r="G171" s="278"/>
      <c r="H171" s="278"/>
      <c r="I171" s="278"/>
      <c r="J171" s="136" t="s">
        <v>171</v>
      </c>
      <c r="K171" s="137">
        <f>(K163+K164)*1.05</f>
        <v>208.66335</v>
      </c>
      <c r="L171" s="279"/>
      <c r="M171" s="279"/>
      <c r="N171" s="279">
        <f>K171*L171</f>
        <v>0</v>
      </c>
      <c r="O171" s="279"/>
      <c r="P171" s="279"/>
      <c r="Q171" s="279"/>
      <c r="R171" s="138"/>
      <c r="T171" s="139"/>
      <c r="U171" s="140"/>
      <c r="V171" s="141"/>
      <c r="W171" s="141"/>
      <c r="X171" s="141"/>
      <c r="Y171" s="141"/>
      <c r="Z171" s="141"/>
      <c r="AA171" s="142"/>
      <c r="BE171" s="143"/>
      <c r="BF171" s="143"/>
      <c r="BG171" s="143"/>
      <c r="BH171" s="143"/>
      <c r="BI171" s="143"/>
      <c r="BK171" s="143"/>
    </row>
    <row r="172" spans="2:65" s="9" customFormat="1" ht="27" customHeight="1">
      <c r="B172" s="22"/>
      <c r="C172" s="119">
        <v>34</v>
      </c>
      <c r="D172" s="108" t="s">
        <v>124</v>
      </c>
      <c r="E172" s="109" t="s">
        <v>261</v>
      </c>
      <c r="F172" s="266" t="s">
        <v>262</v>
      </c>
      <c r="G172" s="266"/>
      <c r="H172" s="266"/>
      <c r="I172" s="266"/>
      <c r="J172" s="110" t="s">
        <v>171</v>
      </c>
      <c r="K172" s="111">
        <v>770.68</v>
      </c>
      <c r="L172" s="267"/>
      <c r="M172" s="267"/>
      <c r="N172" s="267">
        <f>K172*L172</f>
        <v>0</v>
      </c>
      <c r="O172" s="267"/>
      <c r="P172" s="267"/>
      <c r="Q172" s="267"/>
      <c r="R172" s="23"/>
      <c r="T172" s="112"/>
      <c r="U172" s="28" t="s">
        <v>37</v>
      </c>
      <c r="V172" s="113">
        <v>0</v>
      </c>
      <c r="W172" s="113">
        <f>$V$172*$K$172</f>
        <v>0</v>
      </c>
      <c r="X172" s="113">
        <v>0</v>
      </c>
      <c r="Y172" s="113">
        <f>$X$172*$K$172</f>
        <v>0</v>
      </c>
      <c r="Z172" s="113">
        <v>0</v>
      </c>
      <c r="AA172" s="114">
        <f>$Z$172*$K$172</f>
        <v>0</v>
      </c>
      <c r="AR172" s="9" t="s">
        <v>128</v>
      </c>
      <c r="AT172" s="9" t="s">
        <v>124</v>
      </c>
      <c r="AU172" s="9" t="s">
        <v>19</v>
      </c>
      <c r="AY172" s="9" t="s">
        <v>123</v>
      </c>
      <c r="BE172" s="115">
        <f>IF($U$172="základní",$N$172,0)</f>
        <v>0</v>
      </c>
      <c r="BF172" s="115">
        <f>IF($U$172="snížená",$N$172,0)</f>
        <v>0</v>
      </c>
      <c r="BG172" s="115">
        <f>IF($U$172="zákl. přenesená",$N$172,0)</f>
        <v>0</v>
      </c>
      <c r="BH172" s="115">
        <f>IF($U$172="sníž. přenesená",$N$172,0)</f>
        <v>0</v>
      </c>
      <c r="BI172" s="115">
        <f>IF($U$172="nulová",$N$172,0)</f>
        <v>0</v>
      </c>
      <c r="BJ172" s="9" t="s">
        <v>19</v>
      </c>
      <c r="BK172" s="115">
        <f>ROUND($L$172*$K$172,2)</f>
        <v>0</v>
      </c>
      <c r="BL172" s="9" t="s">
        <v>128</v>
      </c>
      <c r="BM172" s="9" t="s">
        <v>263</v>
      </c>
    </row>
    <row r="173" spans="2:63" s="120" customFormat="1" ht="25.5" customHeight="1">
      <c r="B173" s="121"/>
      <c r="C173" s="122"/>
      <c r="D173" s="122"/>
      <c r="E173" s="123" t="s">
        <v>264</v>
      </c>
      <c r="F173" s="282" t="s">
        <v>265</v>
      </c>
      <c r="G173" s="282"/>
      <c r="H173" s="282"/>
      <c r="I173" s="282"/>
      <c r="J173" s="124"/>
      <c r="K173" s="125"/>
      <c r="L173" s="281"/>
      <c r="M173" s="281"/>
      <c r="N173" s="281"/>
      <c r="O173" s="281"/>
      <c r="P173" s="281"/>
      <c r="Q173" s="281"/>
      <c r="R173" s="126"/>
      <c r="T173" s="127"/>
      <c r="U173" s="128"/>
      <c r="V173" s="129"/>
      <c r="W173" s="129"/>
      <c r="X173" s="129"/>
      <c r="Y173" s="129"/>
      <c r="Z173" s="129"/>
      <c r="AA173" s="130"/>
      <c r="BE173" s="131"/>
      <c r="BF173" s="131"/>
      <c r="BG173" s="131"/>
      <c r="BH173" s="131"/>
      <c r="BI173" s="131"/>
      <c r="BK173" s="131"/>
    </row>
    <row r="174" spans="2:65" s="132" customFormat="1" ht="27" customHeight="1">
      <c r="B174" s="133"/>
      <c r="C174" s="119">
        <v>35</v>
      </c>
      <c r="D174" s="134" t="s">
        <v>252</v>
      </c>
      <c r="E174" s="135" t="s">
        <v>266</v>
      </c>
      <c r="F174" s="278" t="s">
        <v>267</v>
      </c>
      <c r="G174" s="278"/>
      <c r="H174" s="278"/>
      <c r="I174" s="278"/>
      <c r="J174" s="136" t="s">
        <v>171</v>
      </c>
      <c r="K174" s="137">
        <f>714.08*1.05</f>
        <v>749.7840000000001</v>
      </c>
      <c r="L174" s="279"/>
      <c r="M174" s="279"/>
      <c r="N174" s="279">
        <f>K174*L174</f>
        <v>0</v>
      </c>
      <c r="O174" s="279"/>
      <c r="P174" s="279"/>
      <c r="Q174" s="279"/>
      <c r="R174" s="138"/>
      <c r="T174" s="139"/>
      <c r="U174" s="140" t="s">
        <v>37</v>
      </c>
      <c r="V174" s="141">
        <v>0</v>
      </c>
      <c r="W174" s="141">
        <f>$V$174*$K$174</f>
        <v>0</v>
      </c>
      <c r="X174" s="141">
        <v>0</v>
      </c>
      <c r="Y174" s="141">
        <f>$X$174*$K$174</f>
        <v>0</v>
      </c>
      <c r="Z174" s="141">
        <v>0</v>
      </c>
      <c r="AA174" s="142">
        <f>$Z$174*$K$174</f>
        <v>0</v>
      </c>
      <c r="AR174" s="132" t="s">
        <v>128</v>
      </c>
      <c r="AT174" s="132" t="s">
        <v>124</v>
      </c>
      <c r="AU174" s="132" t="s">
        <v>19</v>
      </c>
      <c r="AY174" s="132" t="s">
        <v>123</v>
      </c>
      <c r="BE174" s="143">
        <f>IF($U$174="základní",$N$174,0)</f>
        <v>0</v>
      </c>
      <c r="BF174" s="143">
        <f>IF($U$174="snížená",$N$174,0)</f>
        <v>0</v>
      </c>
      <c r="BG174" s="143">
        <f>IF($U$174="zákl. přenesená",$N$174,0)</f>
        <v>0</v>
      </c>
      <c r="BH174" s="143">
        <f>IF($U$174="sníž. přenesená",$N$174,0)</f>
        <v>0</v>
      </c>
      <c r="BI174" s="143">
        <f>IF($U$174="nulová",$N$174,0)</f>
        <v>0</v>
      </c>
      <c r="BJ174" s="132" t="s">
        <v>19</v>
      </c>
      <c r="BK174" s="143">
        <f>ROUND($L$174*$K$174,2)</f>
        <v>0</v>
      </c>
      <c r="BL174" s="132" t="s">
        <v>128</v>
      </c>
      <c r="BM174" s="132" t="s">
        <v>268</v>
      </c>
    </row>
    <row r="175" spans="2:63" s="132" customFormat="1" ht="27" customHeight="1">
      <c r="B175" s="133"/>
      <c r="C175" s="119">
        <v>36</v>
      </c>
      <c r="D175" s="134" t="s">
        <v>252</v>
      </c>
      <c r="E175" s="135" t="s">
        <v>269</v>
      </c>
      <c r="F175" s="278" t="s">
        <v>270</v>
      </c>
      <c r="G175" s="278"/>
      <c r="H175" s="278"/>
      <c r="I175" s="278"/>
      <c r="J175" s="136" t="s">
        <v>171</v>
      </c>
      <c r="K175" s="137">
        <f>56.6*1.05</f>
        <v>59.43000000000001</v>
      </c>
      <c r="L175" s="279"/>
      <c r="M175" s="279"/>
      <c r="N175" s="279">
        <f>K175*L175</f>
        <v>0</v>
      </c>
      <c r="O175" s="279"/>
      <c r="P175" s="279"/>
      <c r="Q175" s="279"/>
      <c r="R175" s="138"/>
      <c r="T175" s="139"/>
      <c r="U175" s="140"/>
      <c r="V175" s="141"/>
      <c r="W175" s="141"/>
      <c r="X175" s="141"/>
      <c r="Y175" s="141"/>
      <c r="Z175" s="141"/>
      <c r="AA175" s="142"/>
      <c r="BE175" s="143"/>
      <c r="BF175" s="143"/>
      <c r="BG175" s="143"/>
      <c r="BH175" s="143"/>
      <c r="BI175" s="143"/>
      <c r="BK175" s="143"/>
    </row>
    <row r="176" spans="2:63" s="9" customFormat="1" ht="27" customHeight="1">
      <c r="B176" s="22"/>
      <c r="C176" s="119" t="s">
        <v>251</v>
      </c>
      <c r="D176" s="108" t="s">
        <v>124</v>
      </c>
      <c r="E176" s="109" t="s">
        <v>271</v>
      </c>
      <c r="F176" s="266" t="s">
        <v>272</v>
      </c>
      <c r="G176" s="266"/>
      <c r="H176" s="266"/>
      <c r="I176" s="266"/>
      <c r="J176" s="110" t="s">
        <v>171</v>
      </c>
      <c r="K176" s="111">
        <f>K267</f>
        <v>197.43</v>
      </c>
      <c r="L176" s="267"/>
      <c r="M176" s="267"/>
      <c r="N176" s="267">
        <f>K176*L176</f>
        <v>0</v>
      </c>
      <c r="O176" s="267"/>
      <c r="P176" s="267"/>
      <c r="Q176" s="267"/>
      <c r="R176" s="23"/>
      <c r="T176" s="112"/>
      <c r="U176" s="28"/>
      <c r="V176" s="113"/>
      <c r="W176" s="113"/>
      <c r="X176" s="113"/>
      <c r="Y176" s="113"/>
      <c r="Z176" s="113"/>
      <c r="AA176" s="114"/>
      <c r="BE176" s="115"/>
      <c r="BF176" s="115"/>
      <c r="BG176" s="115"/>
      <c r="BH176" s="115"/>
      <c r="BI176" s="115"/>
      <c r="BK176" s="115"/>
    </row>
    <row r="177" spans="2:63" s="9" customFormat="1" ht="48" customHeight="1">
      <c r="B177" s="144"/>
      <c r="C177" s="119">
        <v>37</v>
      </c>
      <c r="D177" s="108" t="s">
        <v>124</v>
      </c>
      <c r="E177" s="109" t="s">
        <v>273</v>
      </c>
      <c r="F177" s="266" t="s">
        <v>664</v>
      </c>
      <c r="G177" s="266"/>
      <c r="H177" s="266"/>
      <c r="I177" s="266"/>
      <c r="J177" s="110" t="s">
        <v>171</v>
      </c>
      <c r="K177" s="111">
        <v>55.81</v>
      </c>
      <c r="L177" s="267"/>
      <c r="M177" s="267"/>
      <c r="N177" s="267">
        <f>K177*L177</f>
        <v>0</v>
      </c>
      <c r="O177" s="267"/>
      <c r="P177" s="267"/>
      <c r="Q177" s="267"/>
      <c r="R177" s="145"/>
      <c r="T177" s="112"/>
      <c r="U177" s="28"/>
      <c r="V177" s="113"/>
      <c r="W177" s="113"/>
      <c r="X177" s="113"/>
      <c r="Y177" s="113"/>
      <c r="Z177" s="113"/>
      <c r="AA177" s="114"/>
      <c r="BE177" s="115"/>
      <c r="BF177" s="115"/>
      <c r="BG177" s="115"/>
      <c r="BH177" s="115"/>
      <c r="BI177" s="115"/>
      <c r="BK177" s="115"/>
    </row>
    <row r="178" spans="2:63" s="120" customFormat="1" ht="16.5" customHeight="1">
      <c r="B178" s="121"/>
      <c r="C178" s="122"/>
      <c r="D178" s="122"/>
      <c r="E178" s="123" t="s">
        <v>274</v>
      </c>
      <c r="F178" s="282" t="s">
        <v>663</v>
      </c>
      <c r="G178" s="282"/>
      <c r="H178" s="282"/>
      <c r="I178" s="282"/>
      <c r="J178" s="124"/>
      <c r="K178" s="125"/>
      <c r="L178" s="281"/>
      <c r="M178" s="281"/>
      <c r="N178" s="281"/>
      <c r="O178" s="281"/>
      <c r="P178" s="281"/>
      <c r="Q178" s="281"/>
      <c r="R178" s="126"/>
      <c r="T178" s="127"/>
      <c r="U178" s="128"/>
      <c r="V178" s="129"/>
      <c r="W178" s="129"/>
      <c r="X178" s="129"/>
      <c r="Y178" s="129"/>
      <c r="Z178" s="129"/>
      <c r="AA178" s="130"/>
      <c r="BE178" s="131"/>
      <c r="BF178" s="131"/>
      <c r="BG178" s="131"/>
      <c r="BH178" s="131"/>
      <c r="BI178" s="131"/>
      <c r="BK178" s="131"/>
    </row>
    <row r="179" spans="2:63" s="132" customFormat="1" ht="18" customHeight="1">
      <c r="B179" s="133"/>
      <c r="C179" s="119">
        <v>38</v>
      </c>
      <c r="D179" s="134" t="s">
        <v>252</v>
      </c>
      <c r="E179" s="135" t="s">
        <v>275</v>
      </c>
      <c r="F179" s="278" t="s">
        <v>276</v>
      </c>
      <c r="G179" s="278"/>
      <c r="H179" s="278"/>
      <c r="I179" s="278"/>
      <c r="J179" s="136" t="s">
        <v>171</v>
      </c>
      <c r="K179" s="137">
        <v>52.521</v>
      </c>
      <c r="L179" s="279"/>
      <c r="M179" s="279"/>
      <c r="N179" s="279">
        <f aca="true" t="shared" si="1" ref="N179:N196">K179*L179</f>
        <v>0</v>
      </c>
      <c r="O179" s="279"/>
      <c r="P179" s="279"/>
      <c r="Q179" s="279"/>
      <c r="R179" s="138"/>
      <c r="T179" s="139"/>
      <c r="U179" s="140"/>
      <c r="V179" s="141"/>
      <c r="W179" s="141"/>
      <c r="X179" s="141"/>
      <c r="Y179" s="141"/>
      <c r="Z179" s="141"/>
      <c r="AA179" s="142"/>
      <c r="BE179" s="143"/>
      <c r="BF179" s="143"/>
      <c r="BG179" s="143"/>
      <c r="BH179" s="143"/>
      <c r="BI179" s="143"/>
      <c r="BK179" s="143"/>
    </row>
    <row r="180" spans="2:63" s="132" customFormat="1" ht="24" customHeight="1">
      <c r="B180" s="133"/>
      <c r="C180" s="119" t="s">
        <v>251</v>
      </c>
      <c r="D180" s="134" t="s">
        <v>252</v>
      </c>
      <c r="E180" s="135" t="s">
        <v>277</v>
      </c>
      <c r="F180" s="278" t="s">
        <v>278</v>
      </c>
      <c r="G180" s="278"/>
      <c r="H180" s="278"/>
      <c r="I180" s="278"/>
      <c r="J180" s="136" t="s">
        <v>171</v>
      </c>
      <c r="K180" s="137">
        <v>6.08</v>
      </c>
      <c r="L180" s="279"/>
      <c r="M180" s="279"/>
      <c r="N180" s="279">
        <f t="shared" si="1"/>
        <v>0</v>
      </c>
      <c r="O180" s="279"/>
      <c r="P180" s="279"/>
      <c r="Q180" s="279"/>
      <c r="R180" s="138"/>
      <c r="T180" s="139"/>
      <c r="U180" s="140"/>
      <c r="V180" s="141"/>
      <c r="W180" s="141"/>
      <c r="X180" s="141"/>
      <c r="Y180" s="141"/>
      <c r="Z180" s="141"/>
      <c r="AA180" s="142"/>
      <c r="BE180" s="143"/>
      <c r="BF180" s="143"/>
      <c r="BG180" s="143"/>
      <c r="BH180" s="143"/>
      <c r="BI180" s="143"/>
      <c r="BK180" s="143"/>
    </row>
    <row r="181" spans="2:63" s="9" customFormat="1" ht="27" customHeight="1">
      <c r="B181" s="22"/>
      <c r="C181" s="119">
        <v>39</v>
      </c>
      <c r="D181" s="108" t="s">
        <v>124</v>
      </c>
      <c r="E181" s="109" t="s">
        <v>279</v>
      </c>
      <c r="F181" s="266" t="s">
        <v>280</v>
      </c>
      <c r="G181" s="266"/>
      <c r="H181" s="266"/>
      <c r="I181" s="266"/>
      <c r="J181" s="110" t="s">
        <v>171</v>
      </c>
      <c r="K181" s="111">
        <v>175.068</v>
      </c>
      <c r="L181" s="267"/>
      <c r="M181" s="267"/>
      <c r="N181" s="267">
        <f t="shared" si="1"/>
        <v>0</v>
      </c>
      <c r="O181" s="267"/>
      <c r="P181" s="267"/>
      <c r="Q181" s="267"/>
      <c r="R181" s="23"/>
      <c r="T181" s="112"/>
      <c r="U181" s="28"/>
      <c r="V181" s="113"/>
      <c r="W181" s="113"/>
      <c r="X181" s="113"/>
      <c r="Y181" s="113"/>
      <c r="Z181" s="113"/>
      <c r="AA181" s="114"/>
      <c r="BE181" s="115"/>
      <c r="BF181" s="115"/>
      <c r="BG181" s="115"/>
      <c r="BH181" s="115"/>
      <c r="BI181" s="115"/>
      <c r="BK181" s="115"/>
    </row>
    <row r="182" spans="2:63" s="132" customFormat="1" ht="27" customHeight="1">
      <c r="B182" s="133"/>
      <c r="C182" s="119">
        <v>40</v>
      </c>
      <c r="D182" s="134" t="s">
        <v>252</v>
      </c>
      <c r="E182" s="135" t="s">
        <v>281</v>
      </c>
      <c r="F182" s="278" t="s">
        <v>282</v>
      </c>
      <c r="G182" s="278"/>
      <c r="H182" s="278"/>
      <c r="I182" s="278"/>
      <c r="J182" s="136" t="s">
        <v>171</v>
      </c>
      <c r="K182" s="137">
        <f>K181*1.05</f>
        <v>183.8214</v>
      </c>
      <c r="L182" s="279"/>
      <c r="M182" s="279"/>
      <c r="N182" s="279">
        <f t="shared" si="1"/>
        <v>0</v>
      </c>
      <c r="O182" s="279"/>
      <c r="P182" s="279"/>
      <c r="Q182" s="279"/>
      <c r="R182" s="138"/>
      <c r="T182" s="139"/>
      <c r="U182" s="140"/>
      <c r="V182" s="141"/>
      <c r="W182" s="141"/>
      <c r="X182" s="141"/>
      <c r="Y182" s="141"/>
      <c r="Z182" s="141"/>
      <c r="AA182" s="142"/>
      <c r="BE182" s="143"/>
      <c r="BF182" s="143"/>
      <c r="BG182" s="143"/>
      <c r="BH182" s="143"/>
      <c r="BI182" s="143"/>
      <c r="BK182" s="143"/>
    </row>
    <row r="183" spans="2:65" s="9" customFormat="1" ht="27" customHeight="1">
      <c r="B183" s="22"/>
      <c r="C183" s="119">
        <v>42</v>
      </c>
      <c r="D183" s="108" t="s">
        <v>124</v>
      </c>
      <c r="E183" s="109" t="s">
        <v>283</v>
      </c>
      <c r="F183" s="266" t="s">
        <v>284</v>
      </c>
      <c r="G183" s="266"/>
      <c r="H183" s="266"/>
      <c r="I183" s="266"/>
      <c r="J183" s="110" t="s">
        <v>171</v>
      </c>
      <c r="K183" s="111">
        <v>56.6</v>
      </c>
      <c r="L183" s="267"/>
      <c r="M183" s="267"/>
      <c r="N183" s="267">
        <f t="shared" si="1"/>
        <v>0</v>
      </c>
      <c r="O183" s="267"/>
      <c r="P183" s="267"/>
      <c r="Q183" s="267"/>
      <c r="R183" s="23"/>
      <c r="T183" s="112"/>
      <c r="U183" s="28" t="s">
        <v>37</v>
      </c>
      <c r="V183" s="113">
        <v>0</v>
      </c>
      <c r="W183" s="113">
        <f>$V$183*$K$183</f>
        <v>0</v>
      </c>
      <c r="X183" s="113">
        <v>0</v>
      </c>
      <c r="Y183" s="113">
        <f>$X$183*$K$183</f>
        <v>0</v>
      </c>
      <c r="Z183" s="113">
        <v>0</v>
      </c>
      <c r="AA183" s="114">
        <f>$Z$183*$K$183</f>
        <v>0</v>
      </c>
      <c r="AR183" s="9" t="s">
        <v>128</v>
      </c>
      <c r="AT183" s="9" t="s">
        <v>124</v>
      </c>
      <c r="AU183" s="9" t="s">
        <v>19</v>
      </c>
      <c r="AY183" s="9" t="s">
        <v>123</v>
      </c>
      <c r="BE183" s="115">
        <f>IF($U$183="základní",$N$183,0)</f>
        <v>0</v>
      </c>
      <c r="BF183" s="115">
        <f>IF($U$183="snížená",$N$183,0)</f>
        <v>0</v>
      </c>
      <c r="BG183" s="115">
        <f>IF($U$183="zákl. přenesená",$N$183,0)</f>
        <v>0</v>
      </c>
      <c r="BH183" s="115">
        <f>IF($U$183="sníž. přenesená",$N$183,0)</f>
        <v>0</v>
      </c>
      <c r="BI183" s="115">
        <f>IF($U$183="nulová",$N$183,0)</f>
        <v>0</v>
      </c>
      <c r="BJ183" s="9" t="s">
        <v>19</v>
      </c>
      <c r="BK183" s="115">
        <f>ROUND($L$183*$K$183,2)</f>
        <v>0</v>
      </c>
      <c r="BL183" s="9" t="s">
        <v>128</v>
      </c>
      <c r="BM183" s="9" t="s">
        <v>285</v>
      </c>
    </row>
    <row r="184" spans="2:65" s="9" customFormat="1" ht="30" customHeight="1">
      <c r="B184" s="22"/>
      <c r="C184" s="119">
        <v>43</v>
      </c>
      <c r="D184" s="108" t="s">
        <v>124</v>
      </c>
      <c r="E184" s="109" t="s">
        <v>286</v>
      </c>
      <c r="F184" s="266" t="s">
        <v>287</v>
      </c>
      <c r="G184" s="266"/>
      <c r="H184" s="266"/>
      <c r="I184" s="266"/>
      <c r="J184" s="110" t="s">
        <v>171</v>
      </c>
      <c r="K184" s="111">
        <f>K158-K183</f>
        <v>1144.1740000000002</v>
      </c>
      <c r="L184" s="267"/>
      <c r="M184" s="267"/>
      <c r="N184" s="267">
        <f t="shared" si="1"/>
        <v>0</v>
      </c>
      <c r="O184" s="267"/>
      <c r="P184" s="267"/>
      <c r="Q184" s="267"/>
      <c r="R184" s="23"/>
      <c r="T184" s="112"/>
      <c r="U184" s="28" t="s">
        <v>37</v>
      </c>
      <c r="V184" s="113">
        <v>0</v>
      </c>
      <c r="W184" s="113">
        <f>$V$184*$K$184</f>
        <v>0</v>
      </c>
      <c r="X184" s="113">
        <v>0</v>
      </c>
      <c r="Y184" s="113">
        <f>$X$184*$K$184</f>
        <v>0</v>
      </c>
      <c r="Z184" s="113">
        <v>0</v>
      </c>
      <c r="AA184" s="114">
        <f>$Z$184*$K$184</f>
        <v>0</v>
      </c>
      <c r="AR184" s="9" t="s">
        <v>128</v>
      </c>
      <c r="AT184" s="9" t="s">
        <v>124</v>
      </c>
      <c r="AU184" s="9" t="s">
        <v>19</v>
      </c>
      <c r="AY184" s="9" t="s">
        <v>123</v>
      </c>
      <c r="BE184" s="115">
        <f>IF($U$184="základní",$N$184,0)</f>
        <v>0</v>
      </c>
      <c r="BF184" s="115">
        <f>IF($U$184="snížená",$N$184,0)</f>
        <v>0</v>
      </c>
      <c r="BG184" s="115">
        <f>IF($U$184="zákl. přenesená",$N$184,0)</f>
        <v>0</v>
      </c>
      <c r="BH184" s="115">
        <f>IF($U$184="sníž. přenesená",$N$184,0)</f>
        <v>0</v>
      </c>
      <c r="BI184" s="115">
        <f>IF($U$184="nulová",$N$184,0)</f>
        <v>0</v>
      </c>
      <c r="BJ184" s="9" t="s">
        <v>19</v>
      </c>
      <c r="BK184" s="115">
        <f>ROUND($L$184*$K$184,2)</f>
        <v>0</v>
      </c>
      <c r="BL184" s="9" t="s">
        <v>128</v>
      </c>
      <c r="BM184" s="9" t="s">
        <v>288</v>
      </c>
    </row>
    <row r="185" spans="2:63" s="9" customFormat="1" ht="30" customHeight="1">
      <c r="B185" s="22"/>
      <c r="C185" s="119" t="s">
        <v>289</v>
      </c>
      <c r="D185" s="108"/>
      <c r="E185" s="109" t="s">
        <v>290</v>
      </c>
      <c r="F185" s="266" t="s">
        <v>661</v>
      </c>
      <c r="G185" s="266"/>
      <c r="H185" s="266"/>
      <c r="I185" s="266"/>
      <c r="J185" s="110" t="s">
        <v>171</v>
      </c>
      <c r="K185" s="111">
        <f>K184</f>
        <v>1144.1740000000002</v>
      </c>
      <c r="L185" s="267"/>
      <c r="M185" s="267"/>
      <c r="N185" s="267">
        <f t="shared" si="1"/>
        <v>0</v>
      </c>
      <c r="O185" s="267"/>
      <c r="P185" s="267"/>
      <c r="Q185" s="267"/>
      <c r="R185" s="23"/>
      <c r="T185" s="112"/>
      <c r="U185" s="28"/>
      <c r="V185" s="113"/>
      <c r="W185" s="113"/>
      <c r="X185" s="113"/>
      <c r="Y185" s="113"/>
      <c r="Z185" s="113"/>
      <c r="AA185" s="114"/>
      <c r="BE185" s="115"/>
      <c r="BF185" s="115"/>
      <c r="BG185" s="115"/>
      <c r="BH185" s="115"/>
      <c r="BI185" s="115"/>
      <c r="BK185" s="115"/>
    </row>
    <row r="186" spans="2:65" s="9" customFormat="1" ht="27" customHeight="1">
      <c r="B186" s="22"/>
      <c r="C186" s="119">
        <v>44</v>
      </c>
      <c r="D186" s="108" t="s">
        <v>124</v>
      </c>
      <c r="E186" s="109" t="s">
        <v>291</v>
      </c>
      <c r="F186" s="266" t="s">
        <v>292</v>
      </c>
      <c r="G186" s="266"/>
      <c r="H186" s="266"/>
      <c r="I186" s="266"/>
      <c r="J186" s="110" t="s">
        <v>293</v>
      </c>
      <c r="K186" s="111">
        <v>596.422</v>
      </c>
      <c r="L186" s="267"/>
      <c r="M186" s="267"/>
      <c r="N186" s="267">
        <f t="shared" si="1"/>
        <v>0</v>
      </c>
      <c r="O186" s="267"/>
      <c r="P186" s="267"/>
      <c r="Q186" s="267"/>
      <c r="R186" s="23"/>
      <c r="T186" s="112"/>
      <c r="U186" s="28" t="s">
        <v>37</v>
      </c>
      <c r="V186" s="113">
        <v>0</v>
      </c>
      <c r="W186" s="113">
        <f>$V$186*$K$186</f>
        <v>0</v>
      </c>
      <c r="X186" s="113">
        <v>0</v>
      </c>
      <c r="Y186" s="113">
        <f>$X$186*$K$186</f>
        <v>0</v>
      </c>
      <c r="Z186" s="113">
        <v>0</v>
      </c>
      <c r="AA186" s="114">
        <f>$Z$186*$K$186</f>
        <v>0</v>
      </c>
      <c r="AR186" s="9" t="s">
        <v>128</v>
      </c>
      <c r="AT186" s="9" t="s">
        <v>124</v>
      </c>
      <c r="AU186" s="9" t="s">
        <v>19</v>
      </c>
      <c r="AY186" s="9" t="s">
        <v>123</v>
      </c>
      <c r="BE186" s="115">
        <f>IF($U$186="základní",$N$186,0)</f>
        <v>0</v>
      </c>
      <c r="BF186" s="115">
        <f>IF($U$186="snížená",$N$186,0)</f>
        <v>0</v>
      </c>
      <c r="BG186" s="115">
        <f>IF($U$186="zákl. přenesená",$N$186,0)</f>
        <v>0</v>
      </c>
      <c r="BH186" s="115">
        <f>IF($U$186="sníž. přenesená",$N$186,0)</f>
        <v>0</v>
      </c>
      <c r="BI186" s="115">
        <f>IF($U$186="nulová",$N$186,0)</f>
        <v>0</v>
      </c>
      <c r="BJ186" s="9" t="s">
        <v>19</v>
      </c>
      <c r="BK186" s="115">
        <f>ROUND($L$186*$K$186,2)</f>
        <v>0</v>
      </c>
      <c r="BL186" s="9" t="s">
        <v>128</v>
      </c>
      <c r="BM186" s="9" t="s">
        <v>294</v>
      </c>
    </row>
    <row r="187" spans="2:63" s="132" customFormat="1" ht="19.5" customHeight="1">
      <c r="B187" s="133"/>
      <c r="C187" s="119">
        <v>45</v>
      </c>
      <c r="D187" s="134" t="s">
        <v>252</v>
      </c>
      <c r="E187" s="135" t="s">
        <v>295</v>
      </c>
      <c r="F187" s="278" t="s">
        <v>296</v>
      </c>
      <c r="G187" s="278"/>
      <c r="H187" s="278"/>
      <c r="I187" s="278"/>
      <c r="J187" s="136" t="s">
        <v>293</v>
      </c>
      <c r="K187" s="137">
        <f>K186*1.02</f>
        <v>608.35044</v>
      </c>
      <c r="L187" s="279"/>
      <c r="M187" s="279"/>
      <c r="N187" s="279">
        <f t="shared" si="1"/>
        <v>0</v>
      </c>
      <c r="O187" s="279"/>
      <c r="P187" s="279"/>
      <c r="Q187" s="279"/>
      <c r="R187" s="138"/>
      <c r="T187" s="139"/>
      <c r="U187" s="140"/>
      <c r="V187" s="141"/>
      <c r="W187" s="141"/>
      <c r="X187" s="141"/>
      <c r="Y187" s="141"/>
      <c r="Z187" s="141"/>
      <c r="AA187" s="142"/>
      <c r="BE187" s="143"/>
      <c r="BF187" s="143"/>
      <c r="BG187" s="143"/>
      <c r="BH187" s="143"/>
      <c r="BI187" s="143"/>
      <c r="BK187" s="143"/>
    </row>
    <row r="188" spans="2:63" s="9" customFormat="1" ht="19.5" customHeight="1">
      <c r="B188" s="22"/>
      <c r="C188" s="108">
        <v>46</v>
      </c>
      <c r="D188" s="108" t="s">
        <v>124</v>
      </c>
      <c r="E188" s="109" t="s">
        <v>297</v>
      </c>
      <c r="F188" s="266" t="s">
        <v>298</v>
      </c>
      <c r="G188" s="266"/>
      <c r="H188" s="266"/>
      <c r="I188" s="266"/>
      <c r="J188" s="110" t="s">
        <v>293</v>
      </c>
      <c r="K188" s="111">
        <v>776.64</v>
      </c>
      <c r="L188" s="267"/>
      <c r="M188" s="267"/>
      <c r="N188" s="267">
        <f t="shared" si="1"/>
        <v>0</v>
      </c>
      <c r="O188" s="267"/>
      <c r="P188" s="267"/>
      <c r="Q188" s="267"/>
      <c r="R188" s="23"/>
      <c r="T188" s="112"/>
      <c r="U188" s="28"/>
      <c r="V188" s="113"/>
      <c r="W188" s="113"/>
      <c r="X188" s="113"/>
      <c r="Y188" s="113"/>
      <c r="Z188" s="113"/>
      <c r="AA188" s="114"/>
      <c r="BE188" s="115"/>
      <c r="BF188" s="115"/>
      <c r="BG188" s="115"/>
      <c r="BH188" s="115"/>
      <c r="BI188" s="115"/>
      <c r="BK188" s="115"/>
    </row>
    <row r="189" spans="2:63" s="132" customFormat="1" ht="19.5" customHeight="1">
      <c r="B189" s="133"/>
      <c r="C189" s="108">
        <v>47</v>
      </c>
      <c r="D189" s="134" t="s">
        <v>252</v>
      </c>
      <c r="E189" s="135" t="s">
        <v>299</v>
      </c>
      <c r="F189" s="278" t="s">
        <v>300</v>
      </c>
      <c r="G189" s="278"/>
      <c r="H189" s="278"/>
      <c r="I189" s="278"/>
      <c r="J189" s="136" t="s">
        <v>293</v>
      </c>
      <c r="K189" s="137">
        <v>854.304</v>
      </c>
      <c r="L189" s="279"/>
      <c r="M189" s="279"/>
      <c r="N189" s="279">
        <f t="shared" si="1"/>
        <v>0</v>
      </c>
      <c r="O189" s="279"/>
      <c r="P189" s="279"/>
      <c r="Q189" s="279"/>
      <c r="R189" s="138"/>
      <c r="T189" s="139"/>
      <c r="U189" s="140"/>
      <c r="V189" s="141"/>
      <c r="W189" s="141"/>
      <c r="X189" s="141"/>
      <c r="Y189" s="141"/>
      <c r="Z189" s="141"/>
      <c r="AA189" s="142"/>
      <c r="BE189" s="143"/>
      <c r="BF189" s="143"/>
      <c r="BG189" s="143"/>
      <c r="BH189" s="143"/>
      <c r="BI189" s="143"/>
      <c r="BK189" s="143"/>
    </row>
    <row r="190" spans="2:63" s="9" customFormat="1" ht="27" customHeight="1">
      <c r="B190" s="22"/>
      <c r="C190" s="108">
        <v>48</v>
      </c>
      <c r="D190" s="108" t="s">
        <v>124</v>
      </c>
      <c r="E190" s="109" t="s">
        <v>301</v>
      </c>
      <c r="F190" s="266" t="s">
        <v>302</v>
      </c>
      <c r="G190" s="266"/>
      <c r="H190" s="266"/>
      <c r="I190" s="266"/>
      <c r="J190" s="110" t="s">
        <v>293</v>
      </c>
      <c r="K190" s="111">
        <v>90</v>
      </c>
      <c r="L190" s="267"/>
      <c r="M190" s="267"/>
      <c r="N190" s="267">
        <f t="shared" si="1"/>
        <v>0</v>
      </c>
      <c r="O190" s="267"/>
      <c r="P190" s="267"/>
      <c r="Q190" s="267"/>
      <c r="R190" s="23"/>
      <c r="T190" s="112"/>
      <c r="U190" s="28"/>
      <c r="V190" s="113"/>
      <c r="W190" s="113"/>
      <c r="X190" s="113"/>
      <c r="Y190" s="113"/>
      <c r="Z190" s="113"/>
      <c r="AA190" s="114"/>
      <c r="BE190" s="115"/>
      <c r="BF190" s="115"/>
      <c r="BG190" s="115"/>
      <c r="BH190" s="115"/>
      <c r="BI190" s="115"/>
      <c r="BK190" s="115"/>
    </row>
    <row r="191" spans="2:63" s="132" customFormat="1" ht="18.75" customHeight="1">
      <c r="B191" s="133"/>
      <c r="C191" s="108">
        <v>49</v>
      </c>
      <c r="D191" s="134" t="s">
        <v>252</v>
      </c>
      <c r="E191" s="135" t="s">
        <v>303</v>
      </c>
      <c r="F191" s="278" t="s">
        <v>304</v>
      </c>
      <c r="G191" s="278"/>
      <c r="H191" s="278"/>
      <c r="I191" s="278"/>
      <c r="J191" s="136" t="s">
        <v>293</v>
      </c>
      <c r="K191" s="137">
        <v>31.2</v>
      </c>
      <c r="L191" s="279"/>
      <c r="M191" s="279"/>
      <c r="N191" s="279">
        <f t="shared" si="1"/>
        <v>0</v>
      </c>
      <c r="O191" s="279"/>
      <c r="P191" s="279"/>
      <c r="Q191" s="279"/>
      <c r="R191" s="138"/>
      <c r="T191" s="139"/>
      <c r="U191" s="140"/>
      <c r="V191" s="141"/>
      <c r="W191" s="141"/>
      <c r="X191" s="141"/>
      <c r="Y191" s="141"/>
      <c r="Z191" s="141"/>
      <c r="AA191" s="142"/>
      <c r="BE191" s="143"/>
      <c r="BF191" s="143"/>
      <c r="BG191" s="143"/>
      <c r="BH191" s="143"/>
      <c r="BI191" s="143"/>
      <c r="BK191" s="143"/>
    </row>
    <row r="192" spans="2:63" s="9" customFormat="1" ht="18.75" customHeight="1">
      <c r="B192" s="22"/>
      <c r="C192" s="108">
        <v>50</v>
      </c>
      <c r="D192" s="108" t="s">
        <v>124</v>
      </c>
      <c r="E192" s="109" t="s">
        <v>305</v>
      </c>
      <c r="F192" s="266" t="s">
        <v>306</v>
      </c>
      <c r="G192" s="266"/>
      <c r="H192" s="266"/>
      <c r="I192" s="266"/>
      <c r="J192" s="110" t="s">
        <v>293</v>
      </c>
      <c r="K192" s="146">
        <v>153.7</v>
      </c>
      <c r="L192" s="267"/>
      <c r="M192" s="267"/>
      <c r="N192" s="267">
        <f t="shared" si="1"/>
        <v>0</v>
      </c>
      <c r="O192" s="267"/>
      <c r="P192" s="267"/>
      <c r="Q192" s="267"/>
      <c r="R192" s="23"/>
      <c r="T192" s="112"/>
      <c r="U192" s="28"/>
      <c r="V192" s="113"/>
      <c r="W192" s="113"/>
      <c r="X192" s="113"/>
      <c r="Y192" s="113"/>
      <c r="Z192" s="113"/>
      <c r="AA192" s="114"/>
      <c r="BE192" s="115"/>
      <c r="BF192" s="115"/>
      <c r="BG192" s="115"/>
      <c r="BH192" s="115"/>
      <c r="BI192" s="115"/>
      <c r="BK192" s="115"/>
    </row>
    <row r="193" spans="2:63" s="132" customFormat="1" ht="18.75" customHeight="1">
      <c r="B193" s="133"/>
      <c r="C193" s="108">
        <v>51</v>
      </c>
      <c r="D193" s="134" t="s">
        <v>252</v>
      </c>
      <c r="E193" s="135" t="s">
        <v>307</v>
      </c>
      <c r="F193" s="278" t="s">
        <v>308</v>
      </c>
      <c r="G193" s="278"/>
      <c r="H193" s="278"/>
      <c r="I193" s="278"/>
      <c r="J193" s="136" t="s">
        <v>293</v>
      </c>
      <c r="K193" s="147">
        <v>172.5</v>
      </c>
      <c r="L193" s="279"/>
      <c r="M193" s="279"/>
      <c r="N193" s="279">
        <f t="shared" si="1"/>
        <v>0</v>
      </c>
      <c r="O193" s="279"/>
      <c r="P193" s="279"/>
      <c r="Q193" s="279"/>
      <c r="R193" s="138"/>
      <c r="T193" s="139"/>
      <c r="U193" s="140"/>
      <c r="V193" s="141"/>
      <c r="W193" s="141"/>
      <c r="X193" s="141"/>
      <c r="Y193" s="141"/>
      <c r="Z193" s="141"/>
      <c r="AA193" s="142"/>
      <c r="BE193" s="143"/>
      <c r="BF193" s="143"/>
      <c r="BG193" s="143"/>
      <c r="BH193" s="143"/>
      <c r="BI193" s="143"/>
      <c r="BK193" s="143"/>
    </row>
    <row r="194" spans="2:63" s="9" customFormat="1" ht="20.25" customHeight="1">
      <c r="B194" s="22"/>
      <c r="C194" s="148">
        <v>57</v>
      </c>
      <c r="D194" s="108" t="s">
        <v>124</v>
      </c>
      <c r="E194" s="109" t="s">
        <v>309</v>
      </c>
      <c r="F194" s="266" t="s">
        <v>310</v>
      </c>
      <c r="G194" s="266"/>
      <c r="H194" s="266"/>
      <c r="I194" s="266"/>
      <c r="J194" s="110" t="s">
        <v>171</v>
      </c>
      <c r="K194" s="111">
        <f>K158</f>
        <v>1200.7740000000001</v>
      </c>
      <c r="L194" s="267"/>
      <c r="M194" s="267"/>
      <c r="N194" s="267">
        <f t="shared" si="1"/>
        <v>0</v>
      </c>
      <c r="O194" s="267"/>
      <c r="P194" s="267"/>
      <c r="Q194" s="267"/>
      <c r="R194" s="23"/>
      <c r="T194" s="112"/>
      <c r="U194" s="28"/>
      <c r="V194" s="113"/>
      <c r="W194" s="113"/>
      <c r="X194" s="113"/>
      <c r="Y194" s="113"/>
      <c r="Z194" s="113"/>
      <c r="AA194" s="114"/>
      <c r="BE194" s="115"/>
      <c r="BF194" s="115"/>
      <c r="BG194" s="115"/>
      <c r="BH194" s="115"/>
      <c r="BI194" s="115"/>
      <c r="BK194" s="115"/>
    </row>
    <row r="195" spans="2:65" s="9" customFormat="1" ht="27.75" customHeight="1">
      <c r="B195" s="22"/>
      <c r="C195" s="119" t="s">
        <v>251</v>
      </c>
      <c r="D195" s="108" t="s">
        <v>124</v>
      </c>
      <c r="E195" s="109" t="s">
        <v>311</v>
      </c>
      <c r="F195" s="266" t="s">
        <v>312</v>
      </c>
      <c r="G195" s="266"/>
      <c r="H195" s="266"/>
      <c r="I195" s="266"/>
      <c r="J195" s="110" t="s">
        <v>293</v>
      </c>
      <c r="K195" s="111">
        <v>596.422</v>
      </c>
      <c r="L195" s="267"/>
      <c r="M195" s="267"/>
      <c r="N195" s="267">
        <f t="shared" si="1"/>
        <v>0</v>
      </c>
      <c r="O195" s="267"/>
      <c r="P195" s="267"/>
      <c r="Q195" s="267"/>
      <c r="R195" s="23"/>
      <c r="T195" s="112"/>
      <c r="U195" s="28" t="s">
        <v>37</v>
      </c>
      <c r="V195" s="113">
        <v>0</v>
      </c>
      <c r="W195" s="113">
        <f>$V$206*$K$206</f>
        <v>0</v>
      </c>
      <c r="X195" s="113">
        <v>0</v>
      </c>
      <c r="Y195" s="113">
        <f>$X$206*$K$206</f>
        <v>0</v>
      </c>
      <c r="Z195" s="113">
        <v>0</v>
      </c>
      <c r="AA195" s="114">
        <f>$Z$206*$K$206</f>
        <v>0</v>
      </c>
      <c r="AR195" s="9" t="s">
        <v>128</v>
      </c>
      <c r="AT195" s="9" t="s">
        <v>124</v>
      </c>
      <c r="AU195" s="9" t="s">
        <v>19</v>
      </c>
      <c r="AY195" s="9" t="s">
        <v>123</v>
      </c>
      <c r="BE195" s="115">
        <f>IF($U$206="základní",$N$206,0)</f>
        <v>0</v>
      </c>
      <c r="BF195" s="115">
        <f>IF($U$206="snížená",$N$206,0)</f>
        <v>0</v>
      </c>
      <c r="BG195" s="115">
        <f>IF($U$206="zákl. přenesená",$N$206,0)</f>
        <v>0</v>
      </c>
      <c r="BH195" s="115">
        <f>IF($U$206="sníž. přenesená",$N$206,0)</f>
        <v>0</v>
      </c>
      <c r="BI195" s="115">
        <f>IF($U$206="nulová",$N$206,0)</f>
        <v>0</v>
      </c>
      <c r="BJ195" s="9" t="s">
        <v>19</v>
      </c>
      <c r="BK195" s="115">
        <f>ROUND($L$206*$K$206,2)</f>
        <v>0</v>
      </c>
      <c r="BL195" s="9" t="s">
        <v>128</v>
      </c>
      <c r="BM195" s="9" t="s">
        <v>313</v>
      </c>
    </row>
    <row r="196" spans="2:65" s="9" customFormat="1" ht="21" customHeight="1">
      <c r="B196" s="22"/>
      <c r="C196" s="119" t="s">
        <v>251</v>
      </c>
      <c r="D196" s="108" t="s">
        <v>124</v>
      </c>
      <c r="E196" s="109" t="s">
        <v>314</v>
      </c>
      <c r="F196" s="266" t="s">
        <v>315</v>
      </c>
      <c r="G196" s="266"/>
      <c r="H196" s="266"/>
      <c r="I196" s="266"/>
      <c r="J196" s="110" t="s">
        <v>171</v>
      </c>
      <c r="K196" s="111">
        <f>K197</f>
        <v>55.81</v>
      </c>
      <c r="L196" s="267"/>
      <c r="M196" s="267"/>
      <c r="N196" s="267">
        <f t="shared" si="1"/>
        <v>0</v>
      </c>
      <c r="O196" s="267"/>
      <c r="P196" s="267"/>
      <c r="Q196" s="267"/>
      <c r="R196" s="23"/>
      <c r="T196" s="112"/>
      <c r="U196" s="28" t="s">
        <v>37</v>
      </c>
      <c r="V196" s="113">
        <v>0</v>
      </c>
      <c r="W196" s="113">
        <f>$V$204*$K$204</f>
        <v>0</v>
      </c>
      <c r="X196" s="113">
        <v>0</v>
      </c>
      <c r="Y196" s="113">
        <f>$X$204*$K$204</f>
        <v>0</v>
      </c>
      <c r="Z196" s="113">
        <v>0</v>
      </c>
      <c r="AA196" s="114">
        <f>$Z$204*$K$204</f>
        <v>0</v>
      </c>
      <c r="AR196" s="9" t="s">
        <v>128</v>
      </c>
      <c r="AT196" s="9" t="s">
        <v>124</v>
      </c>
      <c r="AU196" s="9" t="s">
        <v>19</v>
      </c>
      <c r="AY196" s="9" t="s">
        <v>123</v>
      </c>
      <c r="BE196" s="115">
        <f>IF($U$204="základní",$N$204,0)</f>
        <v>0</v>
      </c>
      <c r="BF196" s="115">
        <f>IF($U$204="snížená",$N$204,0)</f>
        <v>0</v>
      </c>
      <c r="BG196" s="115">
        <f>IF($U$204="zákl. přenesená",$N$204,0)</f>
        <v>0</v>
      </c>
      <c r="BH196" s="115">
        <f>IF($U$204="sníž. přenesená",$N$204,0)</f>
        <v>0</v>
      </c>
      <c r="BI196" s="115">
        <f>IF($U$204="nulová",$N$204,0)</f>
        <v>0</v>
      </c>
      <c r="BJ196" s="9" t="s">
        <v>19</v>
      </c>
      <c r="BK196" s="115">
        <f>ROUND($L$204*$K$204,2)</f>
        <v>0</v>
      </c>
      <c r="BL196" s="9" t="s">
        <v>128</v>
      </c>
      <c r="BM196" s="9" t="s">
        <v>313</v>
      </c>
    </row>
    <row r="197" spans="2:63" s="120" customFormat="1" ht="14.25" customHeight="1">
      <c r="B197" s="121"/>
      <c r="C197" s="122"/>
      <c r="D197" s="122"/>
      <c r="E197" s="123" t="s">
        <v>660</v>
      </c>
      <c r="F197" s="280" t="s">
        <v>316</v>
      </c>
      <c r="G197" s="280"/>
      <c r="H197" s="280"/>
      <c r="I197" s="280"/>
      <c r="J197" s="124"/>
      <c r="K197" s="125">
        <v>55.81</v>
      </c>
      <c r="L197" s="281"/>
      <c r="M197" s="281"/>
      <c r="N197" s="281"/>
      <c r="O197" s="281"/>
      <c r="P197" s="281"/>
      <c r="Q197" s="281"/>
      <c r="R197" s="126"/>
      <c r="T197" s="127"/>
      <c r="U197" s="128"/>
      <c r="V197" s="129"/>
      <c r="W197" s="129"/>
      <c r="X197" s="129"/>
      <c r="Y197" s="129"/>
      <c r="Z197" s="129"/>
      <c r="AA197" s="130"/>
      <c r="BE197" s="131"/>
      <c r="BF197" s="131"/>
      <c r="BG197" s="131"/>
      <c r="BH197" s="131"/>
      <c r="BI197" s="131"/>
      <c r="BK197" s="131"/>
    </row>
    <row r="198" spans="2:65" s="9" customFormat="1" ht="30.75" customHeight="1">
      <c r="B198" s="22"/>
      <c r="C198" s="108">
        <v>53</v>
      </c>
      <c r="D198" s="108" t="s">
        <v>124</v>
      </c>
      <c r="E198" s="109" t="s">
        <v>317</v>
      </c>
      <c r="F198" s="266" t="s">
        <v>318</v>
      </c>
      <c r="G198" s="266"/>
      <c r="H198" s="266"/>
      <c r="I198" s="266"/>
      <c r="J198" s="110" t="s">
        <v>171</v>
      </c>
      <c r="K198" s="111">
        <v>358.37</v>
      </c>
      <c r="L198" s="267"/>
      <c r="M198" s="267"/>
      <c r="N198" s="267">
        <f>K198*L198</f>
        <v>0</v>
      </c>
      <c r="O198" s="267"/>
      <c r="P198" s="267"/>
      <c r="Q198" s="267"/>
      <c r="R198" s="23"/>
      <c r="T198" s="112"/>
      <c r="U198" s="28" t="s">
        <v>37</v>
      </c>
      <c r="V198" s="113">
        <v>0</v>
      </c>
      <c r="W198" s="113">
        <f>$V$194*$K$194</f>
        <v>0</v>
      </c>
      <c r="X198" s="113">
        <v>0</v>
      </c>
      <c r="Y198" s="113">
        <f>$X$194*$K$194</f>
        <v>0</v>
      </c>
      <c r="Z198" s="113">
        <v>0</v>
      </c>
      <c r="AA198" s="114">
        <f>$Z$194*$K$194</f>
        <v>0</v>
      </c>
      <c r="AR198" s="9" t="s">
        <v>128</v>
      </c>
      <c r="AT198" s="9" t="s">
        <v>124</v>
      </c>
      <c r="AU198" s="9" t="s">
        <v>19</v>
      </c>
      <c r="AY198" s="9" t="s">
        <v>123</v>
      </c>
      <c r="BE198" s="115">
        <f>IF($U$194="základní",$N$194,0)</f>
        <v>0</v>
      </c>
      <c r="BF198" s="115">
        <f>IF($U$194="snížená",$N$194,0)</f>
        <v>0</v>
      </c>
      <c r="BG198" s="115">
        <f>IF($U$194="zákl. přenesená",$N$194,0)</f>
        <v>0</v>
      </c>
      <c r="BH198" s="115">
        <f>IF($U$194="sníž. přenesená",$N$194,0)</f>
        <v>0</v>
      </c>
      <c r="BI198" s="115">
        <f>IF($U$194="nulová",$N$194,0)</f>
        <v>0</v>
      </c>
      <c r="BJ198" s="9" t="s">
        <v>19</v>
      </c>
      <c r="BK198" s="115">
        <f>ROUND($L$194*$K$194,2)</f>
        <v>0</v>
      </c>
      <c r="BL198" s="9" t="s">
        <v>128</v>
      </c>
      <c r="BM198" s="9" t="s">
        <v>313</v>
      </c>
    </row>
    <row r="199" spans="2:63" s="99" customFormat="1" ht="37.5" customHeight="1">
      <c r="B199" s="100"/>
      <c r="D199" s="101" t="s">
        <v>154</v>
      </c>
      <c r="E199" s="101"/>
      <c r="F199" s="101"/>
      <c r="G199" s="101"/>
      <c r="H199" s="101"/>
      <c r="I199" s="101"/>
      <c r="J199" s="101"/>
      <c r="K199" s="101"/>
      <c r="L199" s="101"/>
      <c r="M199" s="101"/>
      <c r="N199" s="268">
        <f>N200</f>
        <v>0</v>
      </c>
      <c r="O199" s="268"/>
      <c r="P199" s="268"/>
      <c r="Q199" s="268"/>
      <c r="R199" s="102"/>
      <c r="T199" s="103"/>
      <c r="W199" s="104">
        <f>SUM($W$200:$W$200)</f>
        <v>0</v>
      </c>
      <c r="Y199" s="104">
        <f>SUM($Y$200:$Y$200)</f>
        <v>0</v>
      </c>
      <c r="AA199" s="105">
        <f>SUM($AA$200:$AA$200)</f>
        <v>0</v>
      </c>
      <c r="AR199" s="106" t="s">
        <v>19</v>
      </c>
      <c r="AT199" s="106" t="s">
        <v>71</v>
      </c>
      <c r="AU199" s="106" t="s">
        <v>72</v>
      </c>
      <c r="AY199" s="106" t="s">
        <v>123</v>
      </c>
      <c r="BK199" s="107">
        <f>SUM($BK$200:$BK$200)</f>
        <v>0</v>
      </c>
    </row>
    <row r="200" spans="2:65" s="9" customFormat="1" ht="30" customHeight="1">
      <c r="B200" s="22"/>
      <c r="C200" s="108">
        <v>54</v>
      </c>
      <c r="D200" s="108" t="s">
        <v>124</v>
      </c>
      <c r="E200" s="109" t="s">
        <v>319</v>
      </c>
      <c r="F200" s="266" t="s">
        <v>320</v>
      </c>
      <c r="G200" s="266"/>
      <c r="H200" s="266"/>
      <c r="I200" s="266"/>
      <c r="J200" s="110" t="s">
        <v>211</v>
      </c>
      <c r="K200" s="111">
        <v>3</v>
      </c>
      <c r="L200" s="267"/>
      <c r="M200" s="267"/>
      <c r="N200" s="267">
        <f>ROUND($L$200*$K$200,2)</f>
        <v>0</v>
      </c>
      <c r="O200" s="267"/>
      <c r="P200" s="267"/>
      <c r="Q200" s="267"/>
      <c r="R200" s="23"/>
      <c r="T200" s="112"/>
      <c r="U200" s="28" t="s">
        <v>37</v>
      </c>
      <c r="V200" s="113">
        <v>0</v>
      </c>
      <c r="W200" s="113">
        <f>$V$200*$K$200</f>
        <v>0</v>
      </c>
      <c r="X200" s="113">
        <v>0</v>
      </c>
      <c r="Y200" s="113">
        <f>$X$200*$K$200</f>
        <v>0</v>
      </c>
      <c r="Z200" s="113">
        <v>0</v>
      </c>
      <c r="AA200" s="114">
        <f>$Z$200*$K$200</f>
        <v>0</v>
      </c>
      <c r="AR200" s="9" t="s">
        <v>128</v>
      </c>
      <c r="AT200" s="9" t="s">
        <v>124</v>
      </c>
      <c r="AU200" s="9" t="s">
        <v>19</v>
      </c>
      <c r="AY200" s="9" t="s">
        <v>123</v>
      </c>
      <c r="BE200" s="115">
        <f>IF($U$200="základní",$N$200,0)</f>
        <v>0</v>
      </c>
      <c r="BF200" s="115">
        <f>IF($U$200="snížená",$N$200,0)</f>
        <v>0</v>
      </c>
      <c r="BG200" s="115">
        <f>IF($U$200="zákl. přenesená",$N$200,0)</f>
        <v>0</v>
      </c>
      <c r="BH200" s="115">
        <f>IF($U$200="sníž. přenesená",$N$200,0)</f>
        <v>0</v>
      </c>
      <c r="BI200" s="115">
        <f>IF($U$200="nulová",$N$200,0)</f>
        <v>0</v>
      </c>
      <c r="BJ200" s="9" t="s">
        <v>19</v>
      </c>
      <c r="BK200" s="115">
        <f>ROUND($L$200*$K$200,2)</f>
        <v>0</v>
      </c>
      <c r="BL200" s="9" t="s">
        <v>128</v>
      </c>
      <c r="BM200" s="9" t="s">
        <v>321</v>
      </c>
    </row>
    <row r="201" spans="2:63" s="99" customFormat="1" ht="37.5" customHeight="1">
      <c r="B201" s="100"/>
      <c r="D201" s="101" t="s">
        <v>155</v>
      </c>
      <c r="E201" s="101"/>
      <c r="F201" s="101"/>
      <c r="G201" s="101"/>
      <c r="H201" s="101"/>
      <c r="I201" s="101"/>
      <c r="J201" s="101"/>
      <c r="K201" s="101"/>
      <c r="L201" s="101"/>
      <c r="M201" s="101"/>
      <c r="N201" s="268">
        <f>SUM(N202:Q209)</f>
        <v>0</v>
      </c>
      <c r="O201" s="268"/>
      <c r="P201" s="268"/>
      <c r="Q201" s="268"/>
      <c r="R201" s="102"/>
      <c r="T201" s="103"/>
      <c r="W201" s="104">
        <f>SUM($W$202:$W$206)</f>
        <v>0</v>
      </c>
      <c r="Y201" s="104">
        <f>SUM($Y$202:$Y$206)</f>
        <v>0</v>
      </c>
      <c r="AA201" s="105">
        <f>SUM($AA$202:$AA$206)</f>
        <v>0</v>
      </c>
      <c r="AR201" s="106" t="s">
        <v>19</v>
      </c>
      <c r="AT201" s="106" t="s">
        <v>71</v>
      </c>
      <c r="AU201" s="106" t="s">
        <v>72</v>
      </c>
      <c r="AY201" s="106" t="s">
        <v>123</v>
      </c>
      <c r="BK201" s="107">
        <f>SUM($BK$202:$BK$206)</f>
        <v>0</v>
      </c>
    </row>
    <row r="202" spans="2:65" s="9" customFormat="1" ht="39" customHeight="1">
      <c r="B202" s="22"/>
      <c r="C202" s="108">
        <v>55</v>
      </c>
      <c r="D202" s="108" t="s">
        <v>124</v>
      </c>
      <c r="E202" s="109" t="s">
        <v>322</v>
      </c>
      <c r="F202" s="266" t="s">
        <v>323</v>
      </c>
      <c r="G202" s="266"/>
      <c r="H202" s="266"/>
      <c r="I202" s="266"/>
      <c r="J202" s="110" t="s">
        <v>324</v>
      </c>
      <c r="K202" s="111">
        <v>77.76</v>
      </c>
      <c r="L202" s="267"/>
      <c r="M202" s="267"/>
      <c r="N202" s="267">
        <f aca="true" t="shared" si="2" ref="N202:N209">K202*L202</f>
        <v>0</v>
      </c>
      <c r="O202" s="267"/>
      <c r="P202" s="267"/>
      <c r="Q202" s="267"/>
      <c r="R202" s="23"/>
      <c r="T202" s="112"/>
      <c r="U202" s="28" t="s">
        <v>37</v>
      </c>
      <c r="V202" s="113">
        <v>0</v>
      </c>
      <c r="W202" s="113">
        <f>$V$202*$K$202</f>
        <v>0</v>
      </c>
      <c r="X202" s="113">
        <v>0</v>
      </c>
      <c r="Y202" s="113">
        <f>$X$202*$K$202</f>
        <v>0</v>
      </c>
      <c r="Z202" s="113">
        <v>0</v>
      </c>
      <c r="AA202" s="114">
        <f>$Z$202*$K$202</f>
        <v>0</v>
      </c>
      <c r="AR202" s="9" t="s">
        <v>128</v>
      </c>
      <c r="AT202" s="9" t="s">
        <v>124</v>
      </c>
      <c r="AU202" s="9" t="s">
        <v>19</v>
      </c>
      <c r="AY202" s="9" t="s">
        <v>123</v>
      </c>
      <c r="BE202" s="115">
        <f>IF($U$202="základní",$N$202,0)</f>
        <v>0</v>
      </c>
      <c r="BF202" s="115">
        <f>IF($U$202="snížená",$N$202,0)</f>
        <v>0</v>
      </c>
      <c r="BG202" s="115">
        <f>IF($U$202="zákl. přenesená",$N$202,0)</f>
        <v>0</v>
      </c>
      <c r="BH202" s="115">
        <f>IF($U$202="sníž. přenesená",$N$202,0)</f>
        <v>0</v>
      </c>
      <c r="BI202" s="115">
        <f>IF($U$202="nulová",$N$202,0)</f>
        <v>0</v>
      </c>
      <c r="BJ202" s="9" t="s">
        <v>19</v>
      </c>
      <c r="BK202" s="115">
        <f>ROUND($L$202*$K$202,2)</f>
        <v>0</v>
      </c>
      <c r="BL202" s="9" t="s">
        <v>128</v>
      </c>
      <c r="BM202" s="9" t="s">
        <v>325</v>
      </c>
    </row>
    <row r="203" spans="2:65" s="9" customFormat="1" ht="27" customHeight="1">
      <c r="B203" s="22"/>
      <c r="C203" s="108">
        <v>56</v>
      </c>
      <c r="D203" s="108" t="s">
        <v>124</v>
      </c>
      <c r="E203" s="109" t="s">
        <v>326</v>
      </c>
      <c r="F203" s="266" t="s">
        <v>327</v>
      </c>
      <c r="G203" s="266"/>
      <c r="H203" s="266"/>
      <c r="I203" s="266"/>
      <c r="J203" s="110" t="s">
        <v>324</v>
      </c>
      <c r="K203" s="111">
        <v>77.76</v>
      </c>
      <c r="L203" s="267"/>
      <c r="M203" s="267"/>
      <c r="N203" s="267">
        <f t="shared" si="2"/>
        <v>0</v>
      </c>
      <c r="O203" s="267"/>
      <c r="P203" s="267"/>
      <c r="Q203" s="267"/>
      <c r="R203" s="23"/>
      <c r="T203" s="112"/>
      <c r="U203" s="28" t="s">
        <v>37</v>
      </c>
      <c r="V203" s="113">
        <v>0</v>
      </c>
      <c r="W203" s="113">
        <f>$V$203*$K$203</f>
        <v>0</v>
      </c>
      <c r="X203" s="113">
        <v>0</v>
      </c>
      <c r="Y203" s="113">
        <f>$X$203*$K$203</f>
        <v>0</v>
      </c>
      <c r="Z203" s="113">
        <v>0</v>
      </c>
      <c r="AA203" s="114">
        <f>$Z$203*$K$203</f>
        <v>0</v>
      </c>
      <c r="AR203" s="9" t="s">
        <v>128</v>
      </c>
      <c r="AT203" s="9" t="s">
        <v>124</v>
      </c>
      <c r="AU203" s="9" t="s">
        <v>19</v>
      </c>
      <c r="AY203" s="9" t="s">
        <v>123</v>
      </c>
      <c r="BE203" s="115">
        <f>IF($U$203="základní",$N$203,0)</f>
        <v>0</v>
      </c>
      <c r="BF203" s="115">
        <f>IF($U$203="snížená",$N$203,0)</f>
        <v>0</v>
      </c>
      <c r="BG203" s="115">
        <f>IF($U$203="zákl. přenesená",$N$203,0)</f>
        <v>0</v>
      </c>
      <c r="BH203" s="115">
        <f>IF($U$203="sníž. přenesená",$N$203,0)</f>
        <v>0</v>
      </c>
      <c r="BI203" s="115">
        <f>IF($U$203="nulová",$N$203,0)</f>
        <v>0</v>
      </c>
      <c r="BJ203" s="9" t="s">
        <v>19</v>
      </c>
      <c r="BK203" s="115">
        <f>ROUND($L$203*$K$203,2)</f>
        <v>0</v>
      </c>
      <c r="BL203" s="9" t="s">
        <v>128</v>
      </c>
      <c r="BM203" s="9" t="s">
        <v>328</v>
      </c>
    </row>
    <row r="204" spans="2:65" s="9" customFormat="1" ht="27" customHeight="1">
      <c r="B204" s="22"/>
      <c r="C204" s="108">
        <v>57</v>
      </c>
      <c r="D204" s="108" t="s">
        <v>124</v>
      </c>
      <c r="E204" s="109" t="s">
        <v>329</v>
      </c>
      <c r="F204" s="266" t="s">
        <v>330</v>
      </c>
      <c r="G204" s="266"/>
      <c r="H204" s="266"/>
      <c r="I204" s="266"/>
      <c r="J204" s="110" t="s">
        <v>324</v>
      </c>
      <c r="K204" s="111">
        <v>1189.656</v>
      </c>
      <c r="L204" s="267"/>
      <c r="M204" s="267"/>
      <c r="N204" s="267">
        <f t="shared" si="2"/>
        <v>0</v>
      </c>
      <c r="O204" s="267"/>
      <c r="P204" s="267"/>
      <c r="Q204" s="267"/>
      <c r="R204" s="23"/>
      <c r="T204" s="112"/>
      <c r="U204" s="28" t="s">
        <v>37</v>
      </c>
      <c r="V204" s="113">
        <v>0</v>
      </c>
      <c r="W204" s="113">
        <f>$V$204*$K$204</f>
        <v>0</v>
      </c>
      <c r="X204" s="113">
        <v>0</v>
      </c>
      <c r="Y204" s="113">
        <f>$X$204*$K$204</f>
        <v>0</v>
      </c>
      <c r="Z204" s="113">
        <v>0</v>
      </c>
      <c r="AA204" s="114">
        <f>$Z$204*$K$204</f>
        <v>0</v>
      </c>
      <c r="AR204" s="9" t="s">
        <v>128</v>
      </c>
      <c r="AT204" s="9" t="s">
        <v>124</v>
      </c>
      <c r="AU204" s="9" t="s">
        <v>19</v>
      </c>
      <c r="AY204" s="9" t="s">
        <v>123</v>
      </c>
      <c r="BE204" s="115">
        <f>IF($U$204="základní",$N$204,0)</f>
        <v>0</v>
      </c>
      <c r="BF204" s="115">
        <f>IF($U$204="snížená",$N$204,0)</f>
        <v>0</v>
      </c>
      <c r="BG204" s="115">
        <f>IF($U$204="zákl. přenesená",$N$204,0)</f>
        <v>0</v>
      </c>
      <c r="BH204" s="115">
        <f>IF($U$204="sníž. přenesená",$N$204,0)</f>
        <v>0</v>
      </c>
      <c r="BI204" s="115">
        <f>IF($U$204="nulová",$N$204,0)</f>
        <v>0</v>
      </c>
      <c r="BJ204" s="9" t="s">
        <v>19</v>
      </c>
      <c r="BK204" s="115">
        <f>ROUND($L$204*$K$204,2)</f>
        <v>0</v>
      </c>
      <c r="BL204" s="9" t="s">
        <v>128</v>
      </c>
      <c r="BM204" s="9" t="s">
        <v>331</v>
      </c>
    </row>
    <row r="205" spans="2:65" s="9" customFormat="1" ht="27" customHeight="1">
      <c r="B205" s="22"/>
      <c r="C205" s="108">
        <v>58</v>
      </c>
      <c r="D205" s="108" t="s">
        <v>124</v>
      </c>
      <c r="E205" s="109" t="s">
        <v>332</v>
      </c>
      <c r="F205" s="266" t="s">
        <v>333</v>
      </c>
      <c r="G205" s="266"/>
      <c r="H205" s="266"/>
      <c r="I205" s="266"/>
      <c r="J205" s="110" t="s">
        <v>324</v>
      </c>
      <c r="K205" s="111">
        <v>107069.04</v>
      </c>
      <c r="L205" s="267"/>
      <c r="M205" s="267"/>
      <c r="N205" s="267">
        <f t="shared" si="2"/>
        <v>0</v>
      </c>
      <c r="O205" s="267"/>
      <c r="P205" s="267"/>
      <c r="Q205" s="267"/>
      <c r="R205" s="23"/>
      <c r="T205" s="112"/>
      <c r="U205" s="28" t="s">
        <v>37</v>
      </c>
      <c r="V205" s="113">
        <v>0</v>
      </c>
      <c r="W205" s="113">
        <f>$V$205*$K$205</f>
        <v>0</v>
      </c>
      <c r="X205" s="113">
        <v>0</v>
      </c>
      <c r="Y205" s="113">
        <f>$X$205*$K$205</f>
        <v>0</v>
      </c>
      <c r="Z205" s="113">
        <v>0</v>
      </c>
      <c r="AA205" s="114">
        <f>$Z$205*$K$205</f>
        <v>0</v>
      </c>
      <c r="AR205" s="9" t="s">
        <v>128</v>
      </c>
      <c r="AT205" s="9" t="s">
        <v>124</v>
      </c>
      <c r="AU205" s="9" t="s">
        <v>19</v>
      </c>
      <c r="AY205" s="9" t="s">
        <v>123</v>
      </c>
      <c r="BE205" s="115">
        <f>IF($U$205="základní",$N$205,0)</f>
        <v>0</v>
      </c>
      <c r="BF205" s="115">
        <f>IF($U$205="snížená",$N$205,0)</f>
        <v>0</v>
      </c>
      <c r="BG205" s="115">
        <f>IF($U$205="zákl. přenesená",$N$205,0)</f>
        <v>0</v>
      </c>
      <c r="BH205" s="115">
        <f>IF($U$205="sníž. přenesená",$N$205,0)</f>
        <v>0</v>
      </c>
      <c r="BI205" s="115">
        <f>IF($U$205="nulová",$N$205,0)</f>
        <v>0</v>
      </c>
      <c r="BJ205" s="9" t="s">
        <v>19</v>
      </c>
      <c r="BK205" s="115">
        <f>ROUND($L$205*$K$205,2)</f>
        <v>0</v>
      </c>
      <c r="BL205" s="9" t="s">
        <v>128</v>
      </c>
      <c r="BM205" s="9" t="s">
        <v>334</v>
      </c>
    </row>
    <row r="206" spans="2:65" s="9" customFormat="1" ht="27" customHeight="1">
      <c r="B206" s="22"/>
      <c r="C206" s="108">
        <v>59</v>
      </c>
      <c r="D206" s="108" t="s">
        <v>124</v>
      </c>
      <c r="E206" s="109" t="s">
        <v>335</v>
      </c>
      <c r="F206" s="266" t="s">
        <v>336</v>
      </c>
      <c r="G206" s="266"/>
      <c r="H206" s="266"/>
      <c r="I206" s="266"/>
      <c r="J206" s="110" t="s">
        <v>324</v>
      </c>
      <c r="K206" s="111">
        <v>1189.656</v>
      </c>
      <c r="L206" s="267"/>
      <c r="M206" s="267"/>
      <c r="N206" s="267">
        <f t="shared" si="2"/>
        <v>0</v>
      </c>
      <c r="O206" s="267"/>
      <c r="P206" s="267"/>
      <c r="Q206" s="267"/>
      <c r="R206" s="23"/>
      <c r="T206" s="112"/>
      <c r="U206" s="28" t="s">
        <v>37</v>
      </c>
      <c r="V206" s="113">
        <v>0</v>
      </c>
      <c r="W206" s="113">
        <f>$V$206*$K$206</f>
        <v>0</v>
      </c>
      <c r="X206" s="113">
        <v>0</v>
      </c>
      <c r="Y206" s="113">
        <f>$X$206*$K$206</f>
        <v>0</v>
      </c>
      <c r="Z206" s="113">
        <v>0</v>
      </c>
      <c r="AA206" s="114">
        <f>$Z$206*$K$206</f>
        <v>0</v>
      </c>
      <c r="AR206" s="9" t="s">
        <v>128</v>
      </c>
      <c r="AT206" s="9" t="s">
        <v>124</v>
      </c>
      <c r="AU206" s="9" t="s">
        <v>19</v>
      </c>
      <c r="AY206" s="9" t="s">
        <v>123</v>
      </c>
      <c r="BE206" s="115">
        <f>IF($U$206="základní",$N$206,0)</f>
        <v>0</v>
      </c>
      <c r="BF206" s="115">
        <f>IF($U$206="snížená",$N$206,0)</f>
        <v>0</v>
      </c>
      <c r="BG206" s="115">
        <f>IF($U$206="zákl. přenesená",$N$206,0)</f>
        <v>0</v>
      </c>
      <c r="BH206" s="115">
        <f>IF($U$206="sníž. přenesená",$N$206,0)</f>
        <v>0</v>
      </c>
      <c r="BI206" s="115">
        <f>IF($U$206="nulová",$N$206,0)</f>
        <v>0</v>
      </c>
      <c r="BJ206" s="9" t="s">
        <v>19</v>
      </c>
      <c r="BK206" s="115">
        <f>ROUND($L$206*$K$206,2)</f>
        <v>0</v>
      </c>
      <c r="BL206" s="9" t="s">
        <v>128</v>
      </c>
      <c r="BM206" s="9" t="s">
        <v>337</v>
      </c>
    </row>
    <row r="207" spans="2:65" s="9" customFormat="1" ht="17.25" customHeight="1">
      <c r="B207" s="22"/>
      <c r="C207" s="108">
        <v>60</v>
      </c>
      <c r="D207" s="108" t="s">
        <v>124</v>
      </c>
      <c r="E207" s="109" t="s">
        <v>338</v>
      </c>
      <c r="F207" s="266" t="s">
        <v>339</v>
      </c>
      <c r="G207" s="266"/>
      <c r="H207" s="266"/>
      <c r="I207" s="266"/>
      <c r="J207" s="110" t="s">
        <v>324</v>
      </c>
      <c r="K207" s="111">
        <v>1189.656</v>
      </c>
      <c r="L207" s="267"/>
      <c r="M207" s="267"/>
      <c r="N207" s="267">
        <f t="shared" si="2"/>
        <v>0</v>
      </c>
      <c r="O207" s="267"/>
      <c r="P207" s="267"/>
      <c r="Q207" s="267"/>
      <c r="R207" s="23"/>
      <c r="T207" s="112"/>
      <c r="U207" s="28" t="s">
        <v>37</v>
      </c>
      <c r="V207" s="113">
        <v>0</v>
      </c>
      <c r="W207" s="113">
        <f>$V$204*$K$204</f>
        <v>0</v>
      </c>
      <c r="X207" s="113">
        <v>0</v>
      </c>
      <c r="Y207" s="113">
        <f>$X$204*$K$204</f>
        <v>0</v>
      </c>
      <c r="Z207" s="113">
        <v>0</v>
      </c>
      <c r="AA207" s="114">
        <f>$Z$204*$K$204</f>
        <v>0</v>
      </c>
      <c r="AR207" s="9" t="s">
        <v>128</v>
      </c>
      <c r="AT207" s="9" t="s">
        <v>124</v>
      </c>
      <c r="AU207" s="9" t="s">
        <v>19</v>
      </c>
      <c r="AY207" s="9" t="s">
        <v>123</v>
      </c>
      <c r="BE207" s="115">
        <f>IF($U$204="základní",$N$204,0)</f>
        <v>0</v>
      </c>
      <c r="BF207" s="115">
        <f>IF($U$204="snížená",$N$204,0)</f>
        <v>0</v>
      </c>
      <c r="BG207" s="115">
        <f>IF($U$204="zákl. přenesená",$N$204,0)</f>
        <v>0</v>
      </c>
      <c r="BH207" s="115">
        <f>IF($U$204="sníž. přenesená",$N$204,0)</f>
        <v>0</v>
      </c>
      <c r="BI207" s="115">
        <f>IF($U$204="nulová",$N$204,0)</f>
        <v>0</v>
      </c>
      <c r="BJ207" s="9" t="s">
        <v>19</v>
      </c>
      <c r="BK207" s="115">
        <f>ROUND($L$204*$K$204,2)</f>
        <v>0</v>
      </c>
      <c r="BL207" s="9" t="s">
        <v>128</v>
      </c>
      <c r="BM207" s="9" t="s">
        <v>331</v>
      </c>
    </row>
    <row r="208" spans="2:65" s="9" customFormat="1" ht="17.25" customHeight="1">
      <c r="B208" s="22"/>
      <c r="C208" s="108">
        <v>61</v>
      </c>
      <c r="D208" s="108" t="s">
        <v>124</v>
      </c>
      <c r="E208" s="109" t="s">
        <v>332</v>
      </c>
      <c r="F208" s="266" t="s">
        <v>340</v>
      </c>
      <c r="G208" s="266"/>
      <c r="H208" s="266"/>
      <c r="I208" s="266"/>
      <c r="J208" s="110" t="s">
        <v>324</v>
      </c>
      <c r="K208" s="111">
        <v>107069.04</v>
      </c>
      <c r="L208" s="267"/>
      <c r="M208" s="267"/>
      <c r="N208" s="267">
        <f t="shared" si="2"/>
        <v>0</v>
      </c>
      <c r="O208" s="267"/>
      <c r="P208" s="267"/>
      <c r="Q208" s="267"/>
      <c r="R208" s="23"/>
      <c r="T208" s="112"/>
      <c r="U208" s="28" t="s">
        <v>37</v>
      </c>
      <c r="V208" s="113">
        <v>0</v>
      </c>
      <c r="W208" s="113">
        <f>$V$205*$K$205</f>
        <v>0</v>
      </c>
      <c r="X208" s="113">
        <v>0</v>
      </c>
      <c r="Y208" s="113">
        <f>$X$205*$K$205</f>
        <v>0</v>
      </c>
      <c r="Z208" s="113">
        <v>0</v>
      </c>
      <c r="AA208" s="114">
        <f>$Z$205*$K$205</f>
        <v>0</v>
      </c>
      <c r="AR208" s="9" t="s">
        <v>128</v>
      </c>
      <c r="AT208" s="9" t="s">
        <v>124</v>
      </c>
      <c r="AU208" s="9" t="s">
        <v>19</v>
      </c>
      <c r="AY208" s="9" t="s">
        <v>123</v>
      </c>
      <c r="BE208" s="115">
        <f>IF($U$205="základní",$N$205,0)</f>
        <v>0</v>
      </c>
      <c r="BF208" s="115">
        <f>IF($U$205="snížená",$N$205,0)</f>
        <v>0</v>
      </c>
      <c r="BG208" s="115">
        <f>IF($U$205="zákl. přenesená",$N$205,0)</f>
        <v>0</v>
      </c>
      <c r="BH208" s="115">
        <f>IF($U$205="sníž. přenesená",$N$205,0)</f>
        <v>0</v>
      </c>
      <c r="BI208" s="115">
        <f>IF($U$205="nulová",$N$205,0)</f>
        <v>0</v>
      </c>
      <c r="BJ208" s="9" t="s">
        <v>19</v>
      </c>
      <c r="BK208" s="115">
        <f>ROUND($L$205*$K$205,2)</f>
        <v>0</v>
      </c>
      <c r="BL208" s="9" t="s">
        <v>128</v>
      </c>
      <c r="BM208" s="9" t="s">
        <v>334</v>
      </c>
    </row>
    <row r="209" spans="2:65" s="9" customFormat="1" ht="17.25" customHeight="1">
      <c r="B209" s="22"/>
      <c r="C209" s="108">
        <v>62</v>
      </c>
      <c r="D209" s="108" t="s">
        <v>124</v>
      </c>
      <c r="E209" s="109" t="s">
        <v>335</v>
      </c>
      <c r="F209" s="266" t="s">
        <v>341</v>
      </c>
      <c r="G209" s="266"/>
      <c r="H209" s="266"/>
      <c r="I209" s="266"/>
      <c r="J209" s="110" t="s">
        <v>324</v>
      </c>
      <c r="K209" s="111">
        <v>1189.656</v>
      </c>
      <c r="L209" s="267"/>
      <c r="M209" s="267"/>
      <c r="N209" s="267">
        <f t="shared" si="2"/>
        <v>0</v>
      </c>
      <c r="O209" s="267"/>
      <c r="P209" s="267"/>
      <c r="Q209" s="267"/>
      <c r="R209" s="23"/>
      <c r="T209" s="112"/>
      <c r="U209" s="28" t="s">
        <v>37</v>
      </c>
      <c r="V209" s="113">
        <v>0</v>
      </c>
      <c r="W209" s="113">
        <f>$V$206*$K$206</f>
        <v>0</v>
      </c>
      <c r="X209" s="113">
        <v>0</v>
      </c>
      <c r="Y209" s="113">
        <f>$X$206*$K$206</f>
        <v>0</v>
      </c>
      <c r="Z209" s="113">
        <v>0</v>
      </c>
      <c r="AA209" s="114">
        <f>$Z$206*$K$206</f>
        <v>0</v>
      </c>
      <c r="AR209" s="9" t="s">
        <v>128</v>
      </c>
      <c r="AT209" s="9" t="s">
        <v>124</v>
      </c>
      <c r="AU209" s="9" t="s">
        <v>19</v>
      </c>
      <c r="AY209" s="9" t="s">
        <v>123</v>
      </c>
      <c r="BE209" s="115">
        <f>IF($U$206="základní",$N$206,0)</f>
        <v>0</v>
      </c>
      <c r="BF209" s="115">
        <f>IF($U$206="snížená",$N$206,0)</f>
        <v>0</v>
      </c>
      <c r="BG209" s="115">
        <f>IF($U$206="zákl. přenesená",$N$206,0)</f>
        <v>0</v>
      </c>
      <c r="BH209" s="115">
        <f>IF($U$206="sníž. přenesená",$N$206,0)</f>
        <v>0</v>
      </c>
      <c r="BI209" s="115">
        <f>IF($U$206="nulová",$N$206,0)</f>
        <v>0</v>
      </c>
      <c r="BJ209" s="9" t="s">
        <v>19</v>
      </c>
      <c r="BK209" s="115">
        <f>ROUND($L$206*$K$206,2)</f>
        <v>0</v>
      </c>
      <c r="BL209" s="9" t="s">
        <v>128</v>
      </c>
      <c r="BM209" s="9" t="s">
        <v>337</v>
      </c>
    </row>
    <row r="210" spans="2:63" s="99" customFormat="1" ht="37.5" customHeight="1">
      <c r="B210" s="100"/>
      <c r="D210" s="101" t="s">
        <v>156</v>
      </c>
      <c r="E210" s="101"/>
      <c r="F210" s="101"/>
      <c r="G210" s="101"/>
      <c r="H210" s="101"/>
      <c r="I210" s="101"/>
      <c r="J210" s="101"/>
      <c r="K210" s="101"/>
      <c r="L210" s="101"/>
      <c r="M210" s="101"/>
      <c r="N210" s="268">
        <f>SUM(N211:Q229)</f>
        <v>0</v>
      </c>
      <c r="O210" s="268"/>
      <c r="P210" s="268"/>
      <c r="Q210" s="268"/>
      <c r="R210" s="102"/>
      <c r="T210" s="103"/>
      <c r="W210" s="104">
        <f>SUM($W$211:$W$228)</f>
        <v>0</v>
      </c>
      <c r="Y210" s="104">
        <f>SUM($Y$211:$Y$228)</f>
        <v>0</v>
      </c>
      <c r="AA210" s="105">
        <f>SUM($AA$211:$AA$228)</f>
        <v>0</v>
      </c>
      <c r="AR210" s="106" t="s">
        <v>19</v>
      </c>
      <c r="AT210" s="106" t="s">
        <v>71</v>
      </c>
      <c r="AU210" s="106" t="s">
        <v>72</v>
      </c>
      <c r="AY210" s="106" t="s">
        <v>123</v>
      </c>
      <c r="BK210" s="107">
        <f>SUM($BK$211:$BK$228)</f>
        <v>0</v>
      </c>
    </row>
    <row r="211" spans="2:65" s="9" customFormat="1" ht="27" customHeight="1">
      <c r="B211" s="22"/>
      <c r="C211" s="108">
        <v>63</v>
      </c>
      <c r="D211" s="108" t="s">
        <v>124</v>
      </c>
      <c r="E211" s="109" t="s">
        <v>342</v>
      </c>
      <c r="F211" s="266" t="s">
        <v>343</v>
      </c>
      <c r="G211" s="266"/>
      <c r="H211" s="266"/>
      <c r="I211" s="266"/>
      <c r="J211" s="110" t="s">
        <v>293</v>
      </c>
      <c r="K211" s="111">
        <v>14.4</v>
      </c>
      <c r="L211" s="267"/>
      <c r="M211" s="267"/>
      <c r="N211" s="267">
        <f aca="true" t="shared" si="3" ref="N211:N218">K211*L211</f>
        <v>0</v>
      </c>
      <c r="O211" s="267"/>
      <c r="P211" s="267"/>
      <c r="Q211" s="267"/>
      <c r="R211" s="23"/>
      <c r="T211" s="112"/>
      <c r="U211" s="28" t="s">
        <v>37</v>
      </c>
      <c r="V211" s="113">
        <v>0</v>
      </c>
      <c r="W211" s="113">
        <f>$V$211*$K$211</f>
        <v>0</v>
      </c>
      <c r="X211" s="113">
        <v>0</v>
      </c>
      <c r="Y211" s="113">
        <f>$X$211*$K$211</f>
        <v>0</v>
      </c>
      <c r="Z211" s="113">
        <v>0</v>
      </c>
      <c r="AA211" s="114">
        <f>$Z$211*$K$211</f>
        <v>0</v>
      </c>
      <c r="AR211" s="9" t="s">
        <v>128</v>
      </c>
      <c r="AT211" s="9" t="s">
        <v>124</v>
      </c>
      <c r="AU211" s="9" t="s">
        <v>19</v>
      </c>
      <c r="AY211" s="9" t="s">
        <v>123</v>
      </c>
      <c r="BE211" s="115">
        <f>IF($U$211="základní",$N$211,0)</f>
        <v>0</v>
      </c>
      <c r="BF211" s="115">
        <f>IF($U$211="snížená",$N$211,0)</f>
        <v>0</v>
      </c>
      <c r="BG211" s="115">
        <f>IF($U$211="zákl. přenesená",$N$211,0)</f>
        <v>0</v>
      </c>
      <c r="BH211" s="115">
        <f>IF($U$211="sníž. přenesená",$N$211,0)</f>
        <v>0</v>
      </c>
      <c r="BI211" s="115">
        <f>IF($U$211="nulová",$N$211,0)</f>
        <v>0</v>
      </c>
      <c r="BJ211" s="9" t="s">
        <v>19</v>
      </c>
      <c r="BK211" s="115">
        <f>ROUND($L$211*$K$211,2)</f>
        <v>0</v>
      </c>
      <c r="BL211" s="9" t="s">
        <v>128</v>
      </c>
      <c r="BM211" s="9" t="s">
        <v>344</v>
      </c>
    </row>
    <row r="212" spans="2:65" s="9" customFormat="1" ht="27" customHeight="1">
      <c r="B212" s="22"/>
      <c r="C212" s="108">
        <v>64</v>
      </c>
      <c r="D212" s="108" t="s">
        <v>124</v>
      </c>
      <c r="E212" s="109" t="s">
        <v>345</v>
      </c>
      <c r="F212" s="266" t="s">
        <v>346</v>
      </c>
      <c r="G212" s="266"/>
      <c r="H212" s="266"/>
      <c r="I212" s="266"/>
      <c r="J212" s="110" t="s">
        <v>293</v>
      </c>
      <c r="K212" s="111">
        <v>14.4</v>
      </c>
      <c r="L212" s="267"/>
      <c r="M212" s="267"/>
      <c r="N212" s="267">
        <f t="shared" si="3"/>
        <v>0</v>
      </c>
      <c r="O212" s="267"/>
      <c r="P212" s="267"/>
      <c r="Q212" s="267"/>
      <c r="R212" s="23"/>
      <c r="T212" s="112"/>
      <c r="U212" s="28" t="s">
        <v>37</v>
      </c>
      <c r="V212" s="113">
        <v>0</v>
      </c>
      <c r="W212" s="113">
        <f>$V$212*$K$212</f>
        <v>0</v>
      </c>
      <c r="X212" s="113">
        <v>0</v>
      </c>
      <c r="Y212" s="113">
        <f>$X$212*$K$212</f>
        <v>0</v>
      </c>
      <c r="Z212" s="113">
        <v>0</v>
      </c>
      <c r="AA212" s="114">
        <f>$Z$212*$K$212</f>
        <v>0</v>
      </c>
      <c r="AR212" s="9" t="s">
        <v>128</v>
      </c>
      <c r="AT212" s="9" t="s">
        <v>124</v>
      </c>
      <c r="AU212" s="9" t="s">
        <v>19</v>
      </c>
      <c r="AY212" s="9" t="s">
        <v>123</v>
      </c>
      <c r="BE212" s="115">
        <f>IF($U$212="základní",$N$212,0)</f>
        <v>0</v>
      </c>
      <c r="BF212" s="115">
        <f>IF($U$212="snížená",$N$212,0)</f>
        <v>0</v>
      </c>
      <c r="BG212" s="115">
        <f>IF($U$212="zákl. přenesená",$N$212,0)</f>
        <v>0</v>
      </c>
      <c r="BH212" s="115">
        <f>IF($U$212="sníž. přenesená",$N$212,0)</f>
        <v>0</v>
      </c>
      <c r="BI212" s="115">
        <f>IF($U$212="nulová",$N$212,0)</f>
        <v>0</v>
      </c>
      <c r="BJ212" s="9" t="s">
        <v>19</v>
      </c>
      <c r="BK212" s="115">
        <f>ROUND($L$212*$K$212,2)</f>
        <v>0</v>
      </c>
      <c r="BL212" s="9" t="s">
        <v>128</v>
      </c>
      <c r="BM212" s="9" t="s">
        <v>347</v>
      </c>
    </row>
    <row r="213" spans="2:65" s="9" customFormat="1" ht="16.5" customHeight="1">
      <c r="B213" s="22"/>
      <c r="C213" s="108">
        <v>65</v>
      </c>
      <c r="D213" s="108" t="s">
        <v>124</v>
      </c>
      <c r="E213" s="109" t="s">
        <v>348</v>
      </c>
      <c r="F213" s="266" t="s">
        <v>349</v>
      </c>
      <c r="G213" s="266"/>
      <c r="H213" s="266"/>
      <c r="I213" s="266"/>
      <c r="J213" s="110" t="s">
        <v>171</v>
      </c>
      <c r="K213" s="111">
        <v>6.12</v>
      </c>
      <c r="L213" s="267"/>
      <c r="M213" s="267"/>
      <c r="N213" s="267">
        <f t="shared" si="3"/>
        <v>0</v>
      </c>
      <c r="O213" s="267"/>
      <c r="P213" s="267"/>
      <c r="Q213" s="267"/>
      <c r="R213" s="23"/>
      <c r="T213" s="112"/>
      <c r="U213" s="28" t="s">
        <v>37</v>
      </c>
      <c r="V213" s="113">
        <v>0</v>
      </c>
      <c r="W213" s="113">
        <f>$V$213*$K$213</f>
        <v>0</v>
      </c>
      <c r="X213" s="113">
        <v>0</v>
      </c>
      <c r="Y213" s="113">
        <f>$X$213*$K$213</f>
        <v>0</v>
      </c>
      <c r="Z213" s="113">
        <v>0</v>
      </c>
      <c r="AA213" s="114">
        <f>$Z$213*$K$213</f>
        <v>0</v>
      </c>
      <c r="AR213" s="9" t="s">
        <v>128</v>
      </c>
      <c r="AT213" s="9" t="s">
        <v>124</v>
      </c>
      <c r="AU213" s="9" t="s">
        <v>19</v>
      </c>
      <c r="AY213" s="9" t="s">
        <v>123</v>
      </c>
      <c r="BE213" s="115">
        <f>IF($U$213="základní",$N$213,0)</f>
        <v>0</v>
      </c>
      <c r="BF213" s="115">
        <f>IF($U$213="snížená",$N$213,0)</f>
        <v>0</v>
      </c>
      <c r="BG213" s="115">
        <f>IF($U$213="zákl. přenesená",$N$213,0)</f>
        <v>0</v>
      </c>
      <c r="BH213" s="115">
        <f>IF($U$213="sníž. přenesená",$N$213,0)</f>
        <v>0</v>
      </c>
      <c r="BI213" s="115">
        <f>IF($U$213="nulová",$N$213,0)</f>
        <v>0</v>
      </c>
      <c r="BJ213" s="9" t="s">
        <v>19</v>
      </c>
      <c r="BK213" s="115">
        <f>ROUND($L$213*$K$213,2)</f>
        <v>0</v>
      </c>
      <c r="BL213" s="9" t="s">
        <v>128</v>
      </c>
      <c r="BM213" s="9" t="s">
        <v>350</v>
      </c>
    </row>
    <row r="214" spans="2:63" s="9" customFormat="1" ht="37.5" customHeight="1">
      <c r="B214" s="22"/>
      <c r="C214" s="108">
        <v>66</v>
      </c>
      <c r="D214" s="108" t="s">
        <v>124</v>
      </c>
      <c r="E214" s="109" t="s">
        <v>351</v>
      </c>
      <c r="F214" s="266" t="s">
        <v>352</v>
      </c>
      <c r="G214" s="266"/>
      <c r="H214" s="266"/>
      <c r="I214" s="266"/>
      <c r="J214" s="110" t="s">
        <v>293</v>
      </c>
      <c r="K214" s="111">
        <v>181.5</v>
      </c>
      <c r="L214" s="267"/>
      <c r="M214" s="267"/>
      <c r="N214" s="267">
        <f t="shared" si="3"/>
        <v>0</v>
      </c>
      <c r="O214" s="267"/>
      <c r="P214" s="267"/>
      <c r="Q214" s="267"/>
      <c r="R214" s="23"/>
      <c r="T214" s="112"/>
      <c r="U214" s="28"/>
      <c r="V214" s="113"/>
      <c r="W214" s="113"/>
      <c r="X214" s="113"/>
      <c r="Y214" s="113"/>
      <c r="Z214" s="113"/>
      <c r="AA214" s="114"/>
      <c r="BE214" s="115"/>
      <c r="BF214" s="115"/>
      <c r="BG214" s="115"/>
      <c r="BH214" s="115"/>
      <c r="BI214" s="115"/>
      <c r="BK214" s="115"/>
    </row>
    <row r="215" spans="2:65" s="9" customFormat="1" ht="16.5" customHeight="1">
      <c r="B215" s="22"/>
      <c r="C215" s="108">
        <v>67</v>
      </c>
      <c r="D215" s="108" t="s">
        <v>124</v>
      </c>
      <c r="E215" s="109" t="s">
        <v>353</v>
      </c>
      <c r="F215" s="266" t="s">
        <v>354</v>
      </c>
      <c r="G215" s="266"/>
      <c r="H215" s="266"/>
      <c r="I215" s="266"/>
      <c r="J215" s="110" t="s">
        <v>171</v>
      </c>
      <c r="K215" s="111">
        <v>13.4</v>
      </c>
      <c r="L215" s="267"/>
      <c r="M215" s="267"/>
      <c r="N215" s="267">
        <f t="shared" si="3"/>
        <v>0</v>
      </c>
      <c r="O215" s="267"/>
      <c r="P215" s="267"/>
      <c r="Q215" s="267"/>
      <c r="R215" s="23"/>
      <c r="T215" s="112"/>
      <c r="U215" s="28" t="s">
        <v>37</v>
      </c>
      <c r="V215" s="113">
        <v>0</v>
      </c>
      <c r="W215" s="113">
        <f>$V$215*$K$215</f>
        <v>0</v>
      </c>
      <c r="X215" s="113">
        <v>0</v>
      </c>
      <c r="Y215" s="113">
        <f>$X$215*$K$215</f>
        <v>0</v>
      </c>
      <c r="Z215" s="113">
        <v>0</v>
      </c>
      <c r="AA215" s="114">
        <f>$Z$215*$K$215</f>
        <v>0</v>
      </c>
      <c r="AR215" s="9" t="s">
        <v>128</v>
      </c>
      <c r="AT215" s="9" t="s">
        <v>124</v>
      </c>
      <c r="AU215" s="9" t="s">
        <v>19</v>
      </c>
      <c r="AY215" s="9" t="s">
        <v>123</v>
      </c>
      <c r="BE215" s="115">
        <f>IF($U$215="základní",$N$215,0)</f>
        <v>0</v>
      </c>
      <c r="BF215" s="115">
        <f>IF($U$215="snížená",$N$215,0)</f>
        <v>0</v>
      </c>
      <c r="BG215" s="115">
        <f>IF($U$215="zákl. přenesená",$N$215,0)</f>
        <v>0</v>
      </c>
      <c r="BH215" s="115">
        <f>IF($U$215="sníž. přenesená",$N$215,0)</f>
        <v>0</v>
      </c>
      <c r="BI215" s="115">
        <f>IF($U$215="nulová",$N$215,0)</f>
        <v>0</v>
      </c>
      <c r="BJ215" s="9" t="s">
        <v>19</v>
      </c>
      <c r="BK215" s="115">
        <f>ROUND($L$215*$K$215,2)</f>
        <v>0</v>
      </c>
      <c r="BL215" s="9" t="s">
        <v>128</v>
      </c>
      <c r="BM215" s="9" t="s">
        <v>355</v>
      </c>
    </row>
    <row r="216" spans="2:65" s="9" customFormat="1" ht="27" customHeight="1">
      <c r="B216" s="22"/>
      <c r="C216" s="108">
        <v>68</v>
      </c>
      <c r="D216" s="108" t="s">
        <v>124</v>
      </c>
      <c r="E216" s="109" t="s">
        <v>356</v>
      </c>
      <c r="F216" s="266" t="s">
        <v>357</v>
      </c>
      <c r="G216" s="266"/>
      <c r="H216" s="266"/>
      <c r="I216" s="266"/>
      <c r="J216" s="110" t="s">
        <v>171</v>
      </c>
      <c r="K216" s="111">
        <v>63.53</v>
      </c>
      <c r="L216" s="267"/>
      <c r="M216" s="267"/>
      <c r="N216" s="267">
        <f t="shared" si="3"/>
        <v>0</v>
      </c>
      <c r="O216" s="267"/>
      <c r="P216" s="267"/>
      <c r="Q216" s="267"/>
      <c r="R216" s="23"/>
      <c r="T216" s="112"/>
      <c r="U216" s="28" t="s">
        <v>37</v>
      </c>
      <c r="V216" s="113">
        <v>0</v>
      </c>
      <c r="W216" s="113">
        <f>$V$216*$K$216</f>
        <v>0</v>
      </c>
      <c r="X216" s="113">
        <v>0</v>
      </c>
      <c r="Y216" s="113">
        <f>$X$216*$K$216</f>
        <v>0</v>
      </c>
      <c r="Z216" s="113">
        <v>0</v>
      </c>
      <c r="AA216" s="114">
        <f>$Z$216*$K$216</f>
        <v>0</v>
      </c>
      <c r="AR216" s="9" t="s">
        <v>128</v>
      </c>
      <c r="AT216" s="9" t="s">
        <v>124</v>
      </c>
      <c r="AU216" s="9" t="s">
        <v>19</v>
      </c>
      <c r="AY216" s="9" t="s">
        <v>123</v>
      </c>
      <c r="BE216" s="115">
        <f>IF($U$216="základní",$N$216,0)</f>
        <v>0</v>
      </c>
      <c r="BF216" s="115">
        <f>IF($U$216="snížená",$N$216,0)</f>
        <v>0</v>
      </c>
      <c r="BG216" s="115">
        <f>IF($U$216="zákl. přenesená",$N$216,0)</f>
        <v>0</v>
      </c>
      <c r="BH216" s="115">
        <f>IF($U$216="sníž. přenesená",$N$216,0)</f>
        <v>0</v>
      </c>
      <c r="BI216" s="115">
        <f>IF($U$216="nulová",$N$216,0)</f>
        <v>0</v>
      </c>
      <c r="BJ216" s="9" t="s">
        <v>19</v>
      </c>
      <c r="BK216" s="115">
        <f>ROUND($L$216*$K$216,2)</f>
        <v>0</v>
      </c>
      <c r="BL216" s="9" t="s">
        <v>128</v>
      </c>
      <c r="BM216" s="9" t="s">
        <v>358</v>
      </c>
    </row>
    <row r="217" spans="2:63" s="9" customFormat="1" ht="37.5" customHeight="1">
      <c r="B217" s="22"/>
      <c r="C217" s="108">
        <v>69</v>
      </c>
      <c r="D217" s="108" t="s">
        <v>124</v>
      </c>
      <c r="E217" s="109" t="s">
        <v>359</v>
      </c>
      <c r="F217" s="266" t="s">
        <v>360</v>
      </c>
      <c r="G217" s="266"/>
      <c r="H217" s="266"/>
      <c r="I217" s="266"/>
      <c r="J217" s="110" t="s">
        <v>293</v>
      </c>
      <c r="K217" s="111">
        <v>8.8</v>
      </c>
      <c r="L217" s="267"/>
      <c r="M217" s="267"/>
      <c r="N217" s="267">
        <f t="shared" si="3"/>
        <v>0</v>
      </c>
      <c r="O217" s="267"/>
      <c r="P217" s="267"/>
      <c r="Q217" s="267"/>
      <c r="R217" s="23"/>
      <c r="T217" s="112"/>
      <c r="U217" s="28"/>
      <c r="V217" s="113"/>
      <c r="W217" s="113"/>
      <c r="X217" s="113"/>
      <c r="Y217" s="113"/>
      <c r="Z217" s="113"/>
      <c r="AA217" s="114"/>
      <c r="BE217" s="115"/>
      <c r="BF217" s="115"/>
      <c r="BG217" s="115"/>
      <c r="BH217" s="115"/>
      <c r="BI217" s="115"/>
      <c r="BK217" s="115"/>
    </row>
    <row r="218" spans="2:63" s="9" customFormat="1" ht="13.5" customHeight="1">
      <c r="B218" s="22"/>
      <c r="C218" s="119">
        <v>70</v>
      </c>
      <c r="D218" s="108" t="s">
        <v>124</v>
      </c>
      <c r="E218" s="109" t="s">
        <v>361</v>
      </c>
      <c r="F218" s="266" t="s">
        <v>362</v>
      </c>
      <c r="G218" s="266"/>
      <c r="H218" s="266"/>
      <c r="I218" s="266"/>
      <c r="J218" s="110" t="s">
        <v>188</v>
      </c>
      <c r="K218" s="111">
        <f>K219</f>
        <v>2.97</v>
      </c>
      <c r="L218" s="267"/>
      <c r="M218" s="267"/>
      <c r="N218" s="267">
        <f t="shared" si="3"/>
        <v>0</v>
      </c>
      <c r="O218" s="267"/>
      <c r="P218" s="267"/>
      <c r="Q218" s="267"/>
      <c r="R218" s="23"/>
      <c r="T218" s="112"/>
      <c r="U218" s="28"/>
      <c r="V218" s="113"/>
      <c r="W218" s="113"/>
      <c r="X218" s="113"/>
      <c r="Y218" s="113"/>
      <c r="Z218" s="113"/>
      <c r="AA218" s="114"/>
      <c r="BE218" s="115"/>
      <c r="BF218" s="115"/>
      <c r="BG218" s="115"/>
      <c r="BH218" s="115"/>
      <c r="BI218" s="115"/>
      <c r="BK218" s="115"/>
    </row>
    <row r="219" spans="2:63" s="120" customFormat="1" ht="15" customHeight="1">
      <c r="B219" s="121"/>
      <c r="C219" s="122"/>
      <c r="D219" s="122"/>
      <c r="E219" s="123" t="s">
        <v>363</v>
      </c>
      <c r="F219" s="280" t="s">
        <v>364</v>
      </c>
      <c r="G219" s="280"/>
      <c r="H219" s="280"/>
      <c r="I219" s="280"/>
      <c r="J219" s="124"/>
      <c r="K219" s="125">
        <v>2.97</v>
      </c>
      <c r="L219" s="281"/>
      <c r="M219" s="281"/>
      <c r="N219" s="281"/>
      <c r="O219" s="281"/>
      <c r="P219" s="281"/>
      <c r="Q219" s="281"/>
      <c r="R219" s="126"/>
      <c r="T219" s="127"/>
      <c r="U219" s="128"/>
      <c r="V219" s="129"/>
      <c r="W219" s="129"/>
      <c r="X219" s="129"/>
      <c r="Y219" s="129"/>
      <c r="Z219" s="129"/>
      <c r="AA219" s="130"/>
      <c r="BE219" s="131"/>
      <c r="BF219" s="131"/>
      <c r="BG219" s="131"/>
      <c r="BH219" s="131"/>
      <c r="BI219" s="131"/>
      <c r="BK219" s="131"/>
    </row>
    <row r="220" spans="2:63" s="9" customFormat="1" ht="19.5" customHeight="1">
      <c r="B220" s="22"/>
      <c r="C220" s="119" t="s">
        <v>251</v>
      </c>
      <c r="D220" s="108" t="s">
        <v>124</v>
      </c>
      <c r="E220" s="109" t="s">
        <v>365</v>
      </c>
      <c r="F220" s="266" t="s">
        <v>366</v>
      </c>
      <c r="G220" s="266"/>
      <c r="H220" s="266"/>
      <c r="I220" s="266"/>
      <c r="J220" s="110" t="s">
        <v>188</v>
      </c>
      <c r="K220" s="111">
        <f>K221</f>
        <v>1.782</v>
      </c>
      <c r="L220" s="267"/>
      <c r="M220" s="267"/>
      <c r="N220" s="267">
        <f>K220*L220</f>
        <v>0</v>
      </c>
      <c r="O220" s="267"/>
      <c r="P220" s="267"/>
      <c r="Q220" s="267"/>
      <c r="R220" s="23"/>
      <c r="T220" s="112"/>
      <c r="U220" s="28"/>
      <c r="V220" s="113"/>
      <c r="W220" s="113"/>
      <c r="X220" s="113"/>
      <c r="Y220" s="113"/>
      <c r="Z220" s="113"/>
      <c r="AA220" s="114"/>
      <c r="BE220" s="115"/>
      <c r="BF220" s="115"/>
      <c r="BG220" s="115"/>
      <c r="BH220" s="115"/>
      <c r="BI220" s="115"/>
      <c r="BK220" s="115"/>
    </row>
    <row r="221" spans="2:63" s="120" customFormat="1" ht="15" customHeight="1">
      <c r="B221" s="121"/>
      <c r="C221" s="122"/>
      <c r="D221" s="122"/>
      <c r="E221" s="123"/>
      <c r="F221" s="280" t="s">
        <v>367</v>
      </c>
      <c r="G221" s="280"/>
      <c r="H221" s="280"/>
      <c r="I221" s="280"/>
      <c r="J221" s="124"/>
      <c r="K221" s="125">
        <v>1.782</v>
      </c>
      <c r="L221" s="281"/>
      <c r="M221" s="281"/>
      <c r="N221" s="281"/>
      <c r="O221" s="281"/>
      <c r="P221" s="281"/>
      <c r="Q221" s="281"/>
      <c r="R221" s="126"/>
      <c r="T221" s="127"/>
      <c r="U221" s="128"/>
      <c r="V221" s="129"/>
      <c r="W221" s="129"/>
      <c r="X221" s="129"/>
      <c r="Y221" s="129"/>
      <c r="Z221" s="129"/>
      <c r="AA221" s="130"/>
      <c r="BE221" s="131"/>
      <c r="BF221" s="131"/>
      <c r="BG221" s="131"/>
      <c r="BH221" s="131"/>
      <c r="BI221" s="131"/>
      <c r="BK221" s="131"/>
    </row>
    <row r="222" spans="2:63" s="9" customFormat="1" ht="20.25" customHeight="1">
      <c r="B222" s="22"/>
      <c r="C222" s="119" t="s">
        <v>251</v>
      </c>
      <c r="D222" s="108" t="s">
        <v>124</v>
      </c>
      <c r="E222" s="109" t="s">
        <v>368</v>
      </c>
      <c r="F222" s="266" t="s">
        <v>369</v>
      </c>
      <c r="G222" s="266"/>
      <c r="H222" s="266"/>
      <c r="I222" s="266"/>
      <c r="J222" s="110" t="s">
        <v>188</v>
      </c>
      <c r="K222" s="111">
        <f>K223</f>
        <v>2.592</v>
      </c>
      <c r="L222" s="267"/>
      <c r="M222" s="267"/>
      <c r="N222" s="267">
        <f>K222*L222</f>
        <v>0</v>
      </c>
      <c r="O222" s="267"/>
      <c r="P222" s="267"/>
      <c r="Q222" s="267"/>
      <c r="R222" s="23"/>
      <c r="T222" s="112"/>
      <c r="U222" s="28"/>
      <c r="V222" s="113"/>
      <c r="W222" s="113"/>
      <c r="X222" s="113"/>
      <c r="Y222" s="113"/>
      <c r="Z222" s="113"/>
      <c r="AA222" s="114"/>
      <c r="BE222" s="115"/>
      <c r="BF222" s="115"/>
      <c r="BG222" s="115"/>
      <c r="BH222" s="115"/>
      <c r="BI222" s="115"/>
      <c r="BK222" s="115"/>
    </row>
    <row r="223" spans="2:63" s="120" customFormat="1" ht="15" customHeight="1">
      <c r="B223" s="121"/>
      <c r="C223" s="122"/>
      <c r="D223" s="122"/>
      <c r="E223" s="123" t="s">
        <v>363</v>
      </c>
      <c r="F223" s="280" t="s">
        <v>370</v>
      </c>
      <c r="G223" s="280"/>
      <c r="H223" s="280"/>
      <c r="I223" s="280"/>
      <c r="J223" s="124"/>
      <c r="K223" s="125">
        <v>2.592</v>
      </c>
      <c r="L223" s="281"/>
      <c r="M223" s="281"/>
      <c r="N223" s="281"/>
      <c r="O223" s="281"/>
      <c r="P223" s="281"/>
      <c r="Q223" s="281"/>
      <c r="R223" s="126"/>
      <c r="T223" s="127"/>
      <c r="U223" s="128"/>
      <c r="V223" s="129"/>
      <c r="W223" s="129"/>
      <c r="X223" s="129"/>
      <c r="Y223" s="129"/>
      <c r="Z223" s="129"/>
      <c r="AA223" s="130"/>
      <c r="BE223" s="131"/>
      <c r="BF223" s="131"/>
      <c r="BG223" s="131"/>
      <c r="BH223" s="131"/>
      <c r="BI223" s="131"/>
      <c r="BK223" s="131"/>
    </row>
    <row r="224" spans="2:63" s="9" customFormat="1" ht="23.25" customHeight="1">
      <c r="B224" s="22"/>
      <c r="C224" s="108">
        <v>71</v>
      </c>
      <c r="D224" s="108" t="s">
        <v>124</v>
      </c>
      <c r="E224" s="109" t="s">
        <v>371</v>
      </c>
      <c r="F224" s="266" t="s">
        <v>372</v>
      </c>
      <c r="G224" s="266"/>
      <c r="H224" s="266"/>
      <c r="I224" s="266"/>
      <c r="J224" s="110" t="s">
        <v>293</v>
      </c>
      <c r="K224" s="111">
        <v>5.7</v>
      </c>
      <c r="L224" s="267"/>
      <c r="M224" s="267"/>
      <c r="N224" s="267">
        <f aca="true" t="shared" si="4" ref="N224:N229">K224*L224</f>
        <v>0</v>
      </c>
      <c r="O224" s="267"/>
      <c r="P224" s="267"/>
      <c r="Q224" s="267"/>
      <c r="R224" s="23"/>
      <c r="T224" s="112"/>
      <c r="U224" s="28"/>
      <c r="V224" s="113"/>
      <c r="W224" s="113"/>
      <c r="X224" s="113"/>
      <c r="Y224" s="113"/>
      <c r="Z224" s="113"/>
      <c r="AA224" s="114"/>
      <c r="BE224" s="115"/>
      <c r="BF224" s="115"/>
      <c r="BG224" s="115"/>
      <c r="BH224" s="115"/>
      <c r="BI224" s="115"/>
      <c r="BK224" s="115"/>
    </row>
    <row r="225" spans="2:65" s="9" customFormat="1" ht="30" customHeight="1">
      <c r="B225" s="22"/>
      <c r="C225" s="108">
        <v>72</v>
      </c>
      <c r="D225" s="108" t="s">
        <v>124</v>
      </c>
      <c r="E225" s="109" t="s">
        <v>373</v>
      </c>
      <c r="F225" s="266" t="s">
        <v>374</v>
      </c>
      <c r="G225" s="266"/>
      <c r="H225" s="266"/>
      <c r="I225" s="266"/>
      <c r="J225" s="110" t="s">
        <v>375</v>
      </c>
      <c r="K225" s="111">
        <v>55.895</v>
      </c>
      <c r="L225" s="267"/>
      <c r="M225" s="267"/>
      <c r="N225" s="267">
        <f t="shared" si="4"/>
        <v>0</v>
      </c>
      <c r="O225" s="267"/>
      <c r="P225" s="267"/>
      <c r="Q225" s="267"/>
      <c r="R225" s="23"/>
      <c r="T225" s="112"/>
      <c r="U225" s="28" t="s">
        <v>37</v>
      </c>
      <c r="V225" s="113">
        <v>0</v>
      </c>
      <c r="W225" s="113">
        <f>$V$225*$K$225</f>
        <v>0</v>
      </c>
      <c r="X225" s="113">
        <v>0</v>
      </c>
      <c r="Y225" s="113">
        <f>$X$225*$K$225</f>
        <v>0</v>
      </c>
      <c r="Z225" s="113">
        <v>0</v>
      </c>
      <c r="AA225" s="114">
        <f>$Z$225*$K$225</f>
        <v>0</v>
      </c>
      <c r="AR225" s="9" t="s">
        <v>128</v>
      </c>
      <c r="AT225" s="9" t="s">
        <v>124</v>
      </c>
      <c r="AU225" s="9" t="s">
        <v>19</v>
      </c>
      <c r="AY225" s="9" t="s">
        <v>123</v>
      </c>
      <c r="BE225" s="115">
        <f>IF($U$225="základní",$N$225,0)</f>
        <v>0</v>
      </c>
      <c r="BF225" s="115">
        <f>IF($U$225="snížená",$N$225,0)</f>
        <v>0</v>
      </c>
      <c r="BG225" s="115">
        <f>IF($U$225="zákl. přenesená",$N$225,0)</f>
        <v>0</v>
      </c>
      <c r="BH225" s="115">
        <f>IF($U$225="sníž. přenesená",$N$225,0)</f>
        <v>0</v>
      </c>
      <c r="BI225" s="115">
        <f>IF($U$225="nulová",$N$225,0)</f>
        <v>0</v>
      </c>
      <c r="BJ225" s="9" t="s">
        <v>19</v>
      </c>
      <c r="BK225" s="115">
        <f>ROUND($L$225*$K$225,2)</f>
        <v>0</v>
      </c>
      <c r="BL225" s="9" t="s">
        <v>128</v>
      </c>
      <c r="BM225" s="9" t="s">
        <v>376</v>
      </c>
    </row>
    <row r="226" spans="2:65" s="9" customFormat="1" ht="27" customHeight="1">
      <c r="B226" s="22"/>
      <c r="C226" s="108">
        <v>73</v>
      </c>
      <c r="D226" s="108" t="s">
        <v>124</v>
      </c>
      <c r="E226" s="109" t="s">
        <v>377</v>
      </c>
      <c r="F226" s="266" t="s">
        <v>378</v>
      </c>
      <c r="G226" s="266"/>
      <c r="H226" s="266"/>
      <c r="I226" s="266"/>
      <c r="J226" s="110" t="s">
        <v>375</v>
      </c>
      <c r="K226" s="111">
        <v>55.895</v>
      </c>
      <c r="L226" s="267"/>
      <c r="M226" s="267"/>
      <c r="N226" s="267">
        <f t="shared" si="4"/>
        <v>0</v>
      </c>
      <c r="O226" s="267"/>
      <c r="P226" s="267"/>
      <c r="Q226" s="267"/>
      <c r="R226" s="23"/>
      <c r="T226" s="112"/>
      <c r="U226" s="28" t="s">
        <v>37</v>
      </c>
      <c r="V226" s="113">
        <v>0</v>
      </c>
      <c r="W226" s="113">
        <f>$V$226*$K$226</f>
        <v>0</v>
      </c>
      <c r="X226" s="113">
        <v>0</v>
      </c>
      <c r="Y226" s="113">
        <f>$X$226*$K$226</f>
        <v>0</v>
      </c>
      <c r="Z226" s="113">
        <v>0</v>
      </c>
      <c r="AA226" s="114">
        <f>$Z$226*$K$226</f>
        <v>0</v>
      </c>
      <c r="AR226" s="9" t="s">
        <v>128</v>
      </c>
      <c r="AT226" s="9" t="s">
        <v>124</v>
      </c>
      <c r="AU226" s="9" t="s">
        <v>19</v>
      </c>
      <c r="AY226" s="9" t="s">
        <v>123</v>
      </c>
      <c r="BE226" s="115">
        <f>IF($U$226="základní",$N$226,0)</f>
        <v>0</v>
      </c>
      <c r="BF226" s="115">
        <f>IF($U$226="snížená",$N$226,0)</f>
        <v>0</v>
      </c>
      <c r="BG226" s="115">
        <f>IF($U$226="zákl. přenesená",$N$226,0)</f>
        <v>0</v>
      </c>
      <c r="BH226" s="115">
        <f>IF($U$226="sníž. přenesená",$N$226,0)</f>
        <v>0</v>
      </c>
      <c r="BI226" s="115">
        <f>IF($U$226="nulová",$N$226,0)</f>
        <v>0</v>
      </c>
      <c r="BJ226" s="9" t="s">
        <v>19</v>
      </c>
      <c r="BK226" s="115">
        <f>ROUND($L$226*$K$226,2)</f>
        <v>0</v>
      </c>
      <c r="BL226" s="9" t="s">
        <v>128</v>
      </c>
      <c r="BM226" s="9" t="s">
        <v>379</v>
      </c>
    </row>
    <row r="227" spans="2:63" s="9" customFormat="1" ht="27" customHeight="1">
      <c r="B227" s="22"/>
      <c r="C227" s="108">
        <v>74</v>
      </c>
      <c r="D227" s="108" t="s">
        <v>124</v>
      </c>
      <c r="E227" s="109" t="s">
        <v>380</v>
      </c>
      <c r="F227" s="266" t="s">
        <v>381</v>
      </c>
      <c r="G227" s="266"/>
      <c r="H227" s="266"/>
      <c r="I227" s="266"/>
      <c r="J227" s="110" t="s">
        <v>375</v>
      </c>
      <c r="K227" s="111">
        <v>1676.85</v>
      </c>
      <c r="L227" s="267"/>
      <c r="M227" s="267"/>
      <c r="N227" s="267">
        <f t="shared" si="4"/>
        <v>0</v>
      </c>
      <c r="O227" s="267"/>
      <c r="P227" s="267"/>
      <c r="Q227" s="267"/>
      <c r="R227" s="23"/>
      <c r="T227" s="112"/>
      <c r="U227" s="28"/>
      <c r="V227" s="113"/>
      <c r="W227" s="113"/>
      <c r="X227" s="113"/>
      <c r="Y227" s="113"/>
      <c r="Z227" s="113"/>
      <c r="AA227" s="114"/>
      <c r="BE227" s="115"/>
      <c r="BF227" s="115"/>
      <c r="BG227" s="115"/>
      <c r="BH227" s="115"/>
      <c r="BI227" s="115"/>
      <c r="BK227" s="115"/>
    </row>
    <row r="228" spans="2:65" s="9" customFormat="1" ht="27" customHeight="1">
      <c r="B228" s="22"/>
      <c r="C228" s="108">
        <v>75</v>
      </c>
      <c r="D228" s="108" t="s">
        <v>124</v>
      </c>
      <c r="E228" s="109" t="s">
        <v>382</v>
      </c>
      <c r="F228" s="266" t="s">
        <v>383</v>
      </c>
      <c r="G228" s="266"/>
      <c r="H228" s="266"/>
      <c r="I228" s="266"/>
      <c r="J228" s="110" t="s">
        <v>375</v>
      </c>
      <c r="K228" s="111">
        <v>48.461</v>
      </c>
      <c r="L228" s="267"/>
      <c r="M228" s="267"/>
      <c r="N228" s="267">
        <f t="shared" si="4"/>
        <v>0</v>
      </c>
      <c r="O228" s="267"/>
      <c r="P228" s="267"/>
      <c r="Q228" s="267"/>
      <c r="R228" s="23"/>
      <c r="T228" s="112"/>
      <c r="U228" s="28" t="s">
        <v>37</v>
      </c>
      <c r="V228" s="113">
        <v>0</v>
      </c>
      <c r="W228" s="113">
        <f>$V$228*$K$228</f>
        <v>0</v>
      </c>
      <c r="X228" s="113">
        <v>0</v>
      </c>
      <c r="Y228" s="113">
        <f>$X$228*$K$228</f>
        <v>0</v>
      </c>
      <c r="Z228" s="113">
        <v>0</v>
      </c>
      <c r="AA228" s="114">
        <f>$Z$228*$K$228</f>
        <v>0</v>
      </c>
      <c r="AR228" s="9" t="s">
        <v>128</v>
      </c>
      <c r="AT228" s="9" t="s">
        <v>124</v>
      </c>
      <c r="AU228" s="9" t="s">
        <v>19</v>
      </c>
      <c r="AY228" s="9" t="s">
        <v>123</v>
      </c>
      <c r="BE228" s="115">
        <f>IF($U$228="základní",$N$228,0)</f>
        <v>0</v>
      </c>
      <c r="BF228" s="115">
        <f>IF($U$228="snížená",$N$228,0)</f>
        <v>0</v>
      </c>
      <c r="BG228" s="115">
        <f>IF($U$228="zákl. přenesená",$N$228,0)</f>
        <v>0</v>
      </c>
      <c r="BH228" s="115">
        <f>IF($U$228="sníž. přenesená",$N$228,0)</f>
        <v>0</v>
      </c>
      <c r="BI228" s="115">
        <f>IF($U$228="nulová",$N$228,0)</f>
        <v>0</v>
      </c>
      <c r="BJ228" s="9" t="s">
        <v>19</v>
      </c>
      <c r="BK228" s="115">
        <f>ROUND($L$228*$K$228,2)</f>
        <v>0</v>
      </c>
      <c r="BL228" s="9" t="s">
        <v>128</v>
      </c>
      <c r="BM228" s="9" t="s">
        <v>384</v>
      </c>
    </row>
    <row r="229" spans="2:65" s="9" customFormat="1" ht="27" customHeight="1">
      <c r="B229" s="22"/>
      <c r="C229" s="108">
        <v>76</v>
      </c>
      <c r="D229" s="108" t="s">
        <v>124</v>
      </c>
      <c r="E229" s="109" t="s">
        <v>385</v>
      </c>
      <c r="F229" s="266" t="s">
        <v>386</v>
      </c>
      <c r="G229" s="266"/>
      <c r="H229" s="266"/>
      <c r="I229" s="266"/>
      <c r="J229" s="110" t="s">
        <v>375</v>
      </c>
      <c r="K229" s="111">
        <v>7.434</v>
      </c>
      <c r="L229" s="267"/>
      <c r="M229" s="267"/>
      <c r="N229" s="267">
        <f t="shared" si="4"/>
        <v>0</v>
      </c>
      <c r="O229" s="267"/>
      <c r="P229" s="267"/>
      <c r="Q229" s="267"/>
      <c r="R229" s="23"/>
      <c r="T229" s="112"/>
      <c r="U229" s="28" t="s">
        <v>37</v>
      </c>
      <c r="V229" s="113">
        <v>0</v>
      </c>
      <c r="W229" s="113">
        <f>$V$228*$K$228</f>
        <v>0</v>
      </c>
      <c r="X229" s="113">
        <v>0</v>
      </c>
      <c r="Y229" s="113">
        <f>$X$228*$K$228</f>
        <v>0</v>
      </c>
      <c r="Z229" s="113">
        <v>0</v>
      </c>
      <c r="AA229" s="114">
        <f>$Z$228*$K$228</f>
        <v>0</v>
      </c>
      <c r="AR229" s="9" t="s">
        <v>128</v>
      </c>
      <c r="AT229" s="9" t="s">
        <v>124</v>
      </c>
      <c r="AU229" s="9" t="s">
        <v>19</v>
      </c>
      <c r="AY229" s="9" t="s">
        <v>123</v>
      </c>
      <c r="BE229" s="115">
        <f>IF($U$228="základní",$N$228,0)</f>
        <v>0</v>
      </c>
      <c r="BF229" s="115">
        <f>IF($U$228="snížená",$N$228,0)</f>
        <v>0</v>
      </c>
      <c r="BG229" s="115">
        <f>IF($U$228="zákl. přenesená",$N$228,0)</f>
        <v>0</v>
      </c>
      <c r="BH229" s="115">
        <f>IF($U$228="sníž. přenesená",$N$228,0)</f>
        <v>0</v>
      </c>
      <c r="BI229" s="115">
        <f>IF($U$228="nulová",$N$228,0)</f>
        <v>0</v>
      </c>
      <c r="BJ229" s="9" t="s">
        <v>19</v>
      </c>
      <c r="BK229" s="115">
        <f>ROUND($L$228*$K$228,2)</f>
        <v>0</v>
      </c>
      <c r="BL229" s="9" t="s">
        <v>128</v>
      </c>
      <c r="BM229" s="9" t="s">
        <v>384</v>
      </c>
    </row>
    <row r="230" spans="2:63" s="99" customFormat="1" ht="37.5" customHeight="1">
      <c r="B230" s="100"/>
      <c r="D230" s="101" t="s">
        <v>157</v>
      </c>
      <c r="E230" s="101"/>
      <c r="F230" s="101"/>
      <c r="G230" s="101"/>
      <c r="H230" s="101"/>
      <c r="I230" s="101"/>
      <c r="J230" s="101"/>
      <c r="K230" s="101"/>
      <c r="L230" s="101"/>
      <c r="M230" s="101"/>
      <c r="N230" s="268">
        <f>$BK$230</f>
        <v>0</v>
      </c>
      <c r="O230" s="268"/>
      <c r="P230" s="268"/>
      <c r="Q230" s="268"/>
      <c r="R230" s="102"/>
      <c r="T230" s="103"/>
      <c r="W230" s="104">
        <f>$W$231</f>
        <v>0</v>
      </c>
      <c r="Y230" s="104">
        <f>$Y$231</f>
        <v>0</v>
      </c>
      <c r="AA230" s="105">
        <f>$AA$231</f>
        <v>0</v>
      </c>
      <c r="AR230" s="106" t="s">
        <v>19</v>
      </c>
      <c r="AT230" s="106" t="s">
        <v>71</v>
      </c>
      <c r="AU230" s="106" t="s">
        <v>72</v>
      </c>
      <c r="AY230" s="106" t="s">
        <v>123</v>
      </c>
      <c r="BK230" s="107">
        <f>$BK$231</f>
        <v>0</v>
      </c>
    </row>
    <row r="231" spans="2:65" s="9" customFormat="1" ht="27" customHeight="1">
      <c r="B231" s="22"/>
      <c r="C231" s="108">
        <v>77</v>
      </c>
      <c r="D231" s="108" t="s">
        <v>124</v>
      </c>
      <c r="E231" s="109" t="s">
        <v>387</v>
      </c>
      <c r="F231" s="266" t="s">
        <v>388</v>
      </c>
      <c r="G231" s="266"/>
      <c r="H231" s="266"/>
      <c r="I231" s="266"/>
      <c r="J231" s="110" t="s">
        <v>375</v>
      </c>
      <c r="K231" s="111">
        <v>78.991</v>
      </c>
      <c r="L231" s="267"/>
      <c r="M231" s="267"/>
      <c r="N231" s="267">
        <f>K231*L231</f>
        <v>0</v>
      </c>
      <c r="O231" s="267"/>
      <c r="P231" s="267"/>
      <c r="Q231" s="267"/>
      <c r="R231" s="23"/>
      <c r="T231" s="112"/>
      <c r="U231" s="28" t="s">
        <v>37</v>
      </c>
      <c r="V231" s="113">
        <v>0</v>
      </c>
      <c r="W231" s="113">
        <f>$V$231*$K$231</f>
        <v>0</v>
      </c>
      <c r="X231" s="113">
        <v>0</v>
      </c>
      <c r="Y231" s="113">
        <f>$X$231*$K$231</f>
        <v>0</v>
      </c>
      <c r="Z231" s="113">
        <v>0</v>
      </c>
      <c r="AA231" s="114">
        <f>$Z$231*$K$231</f>
        <v>0</v>
      </c>
      <c r="AR231" s="9" t="s">
        <v>128</v>
      </c>
      <c r="AT231" s="9" t="s">
        <v>124</v>
      </c>
      <c r="AU231" s="9" t="s">
        <v>19</v>
      </c>
      <c r="AY231" s="9" t="s">
        <v>123</v>
      </c>
      <c r="BE231" s="115">
        <f>IF($U$231="základní",$N$231,0)</f>
        <v>0</v>
      </c>
      <c r="BF231" s="115">
        <f>IF($U$231="snížená",$N$231,0)</f>
        <v>0</v>
      </c>
      <c r="BG231" s="115">
        <f>IF($U$231="zákl. přenesená",$N$231,0)</f>
        <v>0</v>
      </c>
      <c r="BH231" s="115">
        <f>IF($U$231="sníž. přenesená",$N$231,0)</f>
        <v>0</v>
      </c>
      <c r="BI231" s="115">
        <f>IF($U$231="nulová",$N$231,0)</f>
        <v>0</v>
      </c>
      <c r="BJ231" s="9" t="s">
        <v>19</v>
      </c>
      <c r="BK231" s="115">
        <f>ROUND($L$231*$K$231,2)</f>
        <v>0</v>
      </c>
      <c r="BL231" s="9" t="s">
        <v>128</v>
      </c>
      <c r="BM231" s="9" t="s">
        <v>389</v>
      </c>
    </row>
    <row r="232" spans="2:63" s="99" customFormat="1" ht="37.5" customHeight="1">
      <c r="B232" s="100"/>
      <c r="D232" s="101" t="s">
        <v>158</v>
      </c>
      <c r="E232" s="101"/>
      <c r="F232" s="101"/>
      <c r="G232" s="101"/>
      <c r="H232" s="101"/>
      <c r="I232" s="101"/>
      <c r="J232" s="101"/>
      <c r="K232" s="101"/>
      <c r="L232" s="101"/>
      <c r="M232" s="101"/>
      <c r="N232" s="268">
        <f>SUM(N233:Q237)</f>
        <v>0</v>
      </c>
      <c r="O232" s="268"/>
      <c r="P232" s="268"/>
      <c r="Q232" s="268"/>
      <c r="R232" s="102"/>
      <c r="T232" s="103"/>
      <c r="W232" s="104" t="e">
        <f>SUM(#REF!)</f>
        <v>#REF!</v>
      </c>
      <c r="Y232" s="104" t="e">
        <f>SUM(#REF!)</f>
        <v>#REF!</v>
      </c>
      <c r="AA232" s="105" t="e">
        <f>SUM(#REF!)</f>
        <v>#REF!</v>
      </c>
      <c r="AR232" s="106" t="s">
        <v>19</v>
      </c>
      <c r="AT232" s="106" t="s">
        <v>71</v>
      </c>
      <c r="AU232" s="106" t="s">
        <v>72</v>
      </c>
      <c r="AY232" s="106" t="s">
        <v>123</v>
      </c>
      <c r="BK232" s="107" t="e">
        <f>SUM(#REF!)</f>
        <v>#REF!</v>
      </c>
    </row>
    <row r="233" spans="2:65" s="9" customFormat="1" ht="27" customHeight="1">
      <c r="B233" s="22"/>
      <c r="C233" s="108">
        <v>78</v>
      </c>
      <c r="D233" s="108" t="s">
        <v>124</v>
      </c>
      <c r="E233" s="109" t="s">
        <v>390</v>
      </c>
      <c r="F233" s="266" t="s">
        <v>391</v>
      </c>
      <c r="G233" s="266"/>
      <c r="H233" s="266"/>
      <c r="I233" s="266"/>
      <c r="J233" s="110" t="s">
        <v>171</v>
      </c>
      <c r="K233" s="111">
        <v>51.87</v>
      </c>
      <c r="L233" s="267"/>
      <c r="M233" s="267"/>
      <c r="N233" s="267">
        <f>K233*L233</f>
        <v>0</v>
      </c>
      <c r="O233" s="267"/>
      <c r="P233" s="267"/>
      <c r="Q233" s="267"/>
      <c r="R233" s="23"/>
      <c r="T233" s="112"/>
      <c r="U233" s="28" t="s">
        <v>37</v>
      </c>
      <c r="V233" s="113">
        <v>0</v>
      </c>
      <c r="W233" s="113" t="e">
        <f>#REF!*#REF!</f>
        <v>#REF!</v>
      </c>
      <c r="X233" s="113">
        <v>0</v>
      </c>
      <c r="Y233" s="113" t="e">
        <f>#REF!*#REF!</f>
        <v>#REF!</v>
      </c>
      <c r="Z233" s="113">
        <v>0</v>
      </c>
      <c r="AA233" s="114" t="e">
        <f>#REF!*#REF!</f>
        <v>#REF!</v>
      </c>
      <c r="AR233" s="9" t="s">
        <v>392</v>
      </c>
      <c r="AT233" s="9" t="s">
        <v>124</v>
      </c>
      <c r="AU233" s="9" t="s">
        <v>19</v>
      </c>
      <c r="AY233" s="9" t="s">
        <v>123</v>
      </c>
      <c r="BE233" s="115" t="e">
        <f>IF(#REF!="základní",#REF!,0)</f>
        <v>#REF!</v>
      </c>
      <c r="BF233" s="115" t="e">
        <f>IF(#REF!="snížená",#REF!,0)</f>
        <v>#REF!</v>
      </c>
      <c r="BG233" s="115" t="e">
        <f>IF(#REF!="zákl. přenesená",#REF!,0)</f>
        <v>#REF!</v>
      </c>
      <c r="BH233" s="115" t="e">
        <f>IF(#REF!="sníž. přenesená",#REF!,0)</f>
        <v>#REF!</v>
      </c>
      <c r="BI233" s="115" t="e">
        <f>IF(#REF!="nulová",#REF!,0)</f>
        <v>#REF!</v>
      </c>
      <c r="BJ233" s="9" t="s">
        <v>19</v>
      </c>
      <c r="BK233" s="115" t="e">
        <f>ROUND(#REF!*#REF!,2)</f>
        <v>#REF!</v>
      </c>
      <c r="BL233" s="9" t="s">
        <v>392</v>
      </c>
      <c r="BM233" s="9" t="s">
        <v>393</v>
      </c>
    </row>
    <row r="234" spans="2:65" s="132" customFormat="1" ht="15" customHeight="1">
      <c r="B234" s="133"/>
      <c r="C234" s="119">
        <v>79</v>
      </c>
      <c r="D234" s="134" t="s">
        <v>252</v>
      </c>
      <c r="E234" s="135" t="s">
        <v>394</v>
      </c>
      <c r="F234" s="278" t="s">
        <v>395</v>
      </c>
      <c r="G234" s="278"/>
      <c r="H234" s="278"/>
      <c r="I234" s="278"/>
      <c r="J234" s="136" t="s">
        <v>375</v>
      </c>
      <c r="K234" s="137">
        <v>0.156</v>
      </c>
      <c r="L234" s="279"/>
      <c r="M234" s="279"/>
      <c r="N234" s="279">
        <f>K234*L234</f>
        <v>0</v>
      </c>
      <c r="O234" s="279"/>
      <c r="P234" s="279"/>
      <c r="Q234" s="279"/>
      <c r="R234" s="138"/>
      <c r="T234" s="139"/>
      <c r="U234" s="140" t="s">
        <v>37</v>
      </c>
      <c r="V234" s="141">
        <v>0</v>
      </c>
      <c r="W234" s="141" t="e">
        <f>#REF!*#REF!</f>
        <v>#REF!</v>
      </c>
      <c r="X234" s="141">
        <v>0</v>
      </c>
      <c r="Y234" s="141" t="e">
        <f>#REF!*#REF!</f>
        <v>#REF!</v>
      </c>
      <c r="Z234" s="141">
        <v>0</v>
      </c>
      <c r="AA234" s="142" t="e">
        <f>#REF!*#REF!</f>
        <v>#REF!</v>
      </c>
      <c r="AR234" s="132" t="s">
        <v>392</v>
      </c>
      <c r="AT234" s="132" t="s">
        <v>124</v>
      </c>
      <c r="AU234" s="132" t="s">
        <v>19</v>
      </c>
      <c r="AY234" s="132" t="s">
        <v>123</v>
      </c>
      <c r="BE234" s="143" t="e">
        <f>IF(#REF!="základní",#REF!,0)</f>
        <v>#REF!</v>
      </c>
      <c r="BF234" s="143" t="e">
        <f>IF(#REF!="snížená",#REF!,0)</f>
        <v>#REF!</v>
      </c>
      <c r="BG234" s="143" t="e">
        <f>IF(#REF!="zákl. přenesená",#REF!,0)</f>
        <v>#REF!</v>
      </c>
      <c r="BH234" s="143" t="e">
        <f>IF(#REF!="sníž. přenesená",#REF!,0)</f>
        <v>#REF!</v>
      </c>
      <c r="BI234" s="143" t="e">
        <f>IF(#REF!="nulová",#REF!,0)</f>
        <v>#REF!</v>
      </c>
      <c r="BJ234" s="132" t="s">
        <v>19</v>
      </c>
      <c r="BK234" s="143" t="e">
        <f>ROUND(#REF!*#REF!,2)</f>
        <v>#REF!</v>
      </c>
      <c r="BL234" s="132" t="s">
        <v>392</v>
      </c>
      <c r="BM234" s="132" t="s">
        <v>396</v>
      </c>
    </row>
    <row r="235" spans="2:63" s="9" customFormat="1" ht="27" customHeight="1">
      <c r="B235" s="22"/>
      <c r="C235" s="108">
        <v>80</v>
      </c>
      <c r="D235" s="108" t="s">
        <v>124</v>
      </c>
      <c r="E235" s="109" t="s">
        <v>397</v>
      </c>
      <c r="F235" s="266" t="s">
        <v>398</v>
      </c>
      <c r="G235" s="266"/>
      <c r="H235" s="266"/>
      <c r="I235" s="266"/>
      <c r="J235" s="110" t="s">
        <v>171</v>
      </c>
      <c r="K235" s="111">
        <v>51.87</v>
      </c>
      <c r="L235" s="267"/>
      <c r="M235" s="267"/>
      <c r="N235" s="267">
        <f>K235*L235</f>
        <v>0</v>
      </c>
      <c r="O235" s="267"/>
      <c r="P235" s="267"/>
      <c r="Q235" s="267"/>
      <c r="R235" s="23"/>
      <c r="T235" s="112"/>
      <c r="U235" s="28"/>
      <c r="V235" s="113"/>
      <c r="W235" s="113"/>
      <c r="X235" s="113"/>
      <c r="Y235" s="113"/>
      <c r="Z235" s="113"/>
      <c r="AA235" s="114"/>
      <c r="BE235" s="115"/>
      <c r="BF235" s="115"/>
      <c r="BG235" s="115"/>
      <c r="BH235" s="115"/>
      <c r="BI235" s="115"/>
      <c r="BK235" s="115"/>
    </row>
    <row r="236" spans="2:65" s="9" customFormat="1" ht="30.75" customHeight="1">
      <c r="B236" s="22"/>
      <c r="C236" s="108">
        <v>81</v>
      </c>
      <c r="D236" s="108" t="s">
        <v>252</v>
      </c>
      <c r="E236" s="109" t="s">
        <v>399</v>
      </c>
      <c r="F236" s="266" t="s">
        <v>400</v>
      </c>
      <c r="G236" s="266"/>
      <c r="H236" s="266"/>
      <c r="I236" s="266"/>
      <c r="J236" s="110" t="s">
        <v>171</v>
      </c>
      <c r="K236" s="111">
        <v>60</v>
      </c>
      <c r="L236" s="267"/>
      <c r="M236" s="267"/>
      <c r="N236" s="267">
        <f>K236*L236</f>
        <v>0</v>
      </c>
      <c r="O236" s="267"/>
      <c r="P236" s="267"/>
      <c r="Q236" s="267"/>
      <c r="R236" s="23"/>
      <c r="T236" s="112"/>
      <c r="U236" s="28" t="s">
        <v>37</v>
      </c>
      <c r="V236" s="113">
        <v>0</v>
      </c>
      <c r="W236" s="113" t="e">
        <f>#REF!*#REF!</f>
        <v>#REF!</v>
      </c>
      <c r="X236" s="113">
        <v>0</v>
      </c>
      <c r="Y236" s="113" t="e">
        <f>#REF!*#REF!</f>
        <v>#REF!</v>
      </c>
      <c r="Z236" s="113">
        <v>0</v>
      </c>
      <c r="AA236" s="114" t="e">
        <f>#REF!*#REF!</f>
        <v>#REF!</v>
      </c>
      <c r="AR236" s="9" t="s">
        <v>392</v>
      </c>
      <c r="AT236" s="9" t="s">
        <v>124</v>
      </c>
      <c r="AU236" s="9" t="s">
        <v>19</v>
      </c>
      <c r="AY236" s="9" t="s">
        <v>123</v>
      </c>
      <c r="BE236" s="115" t="e">
        <f>IF(#REF!="základní",#REF!,0)</f>
        <v>#REF!</v>
      </c>
      <c r="BF236" s="115" t="e">
        <f>IF(#REF!="snížená",#REF!,0)</f>
        <v>#REF!</v>
      </c>
      <c r="BG236" s="115" t="e">
        <f>IF(#REF!="zákl. přenesená",#REF!,0)</f>
        <v>#REF!</v>
      </c>
      <c r="BH236" s="115" t="e">
        <f>IF(#REF!="sníž. přenesená",#REF!,0)</f>
        <v>#REF!</v>
      </c>
      <c r="BI236" s="115" t="e">
        <f>IF(#REF!="nulová",#REF!,0)</f>
        <v>#REF!</v>
      </c>
      <c r="BJ236" s="9" t="s">
        <v>19</v>
      </c>
      <c r="BK236" s="115" t="e">
        <f>ROUND(#REF!*#REF!,2)</f>
        <v>#REF!</v>
      </c>
      <c r="BL236" s="9" t="s">
        <v>392</v>
      </c>
      <c r="BM236" s="9" t="s">
        <v>401</v>
      </c>
    </row>
    <row r="237" spans="2:65" s="9" customFormat="1" ht="27" customHeight="1">
      <c r="B237" s="22"/>
      <c r="C237" s="108">
        <v>82</v>
      </c>
      <c r="D237" s="108" t="s">
        <v>124</v>
      </c>
      <c r="E237" s="109" t="s">
        <v>402</v>
      </c>
      <c r="F237" s="266" t="s">
        <v>403</v>
      </c>
      <c r="G237" s="266"/>
      <c r="H237" s="266"/>
      <c r="I237" s="266"/>
      <c r="J237" s="110" t="s">
        <v>404</v>
      </c>
      <c r="K237" s="111">
        <f>SUM(N233:Q236)/100</f>
        <v>0</v>
      </c>
      <c r="L237" s="267"/>
      <c r="M237" s="267"/>
      <c r="N237" s="267">
        <f>K237*L237</f>
        <v>0</v>
      </c>
      <c r="O237" s="267"/>
      <c r="P237" s="267"/>
      <c r="Q237" s="267"/>
      <c r="R237" s="23"/>
      <c r="T237" s="112"/>
      <c r="U237" s="28" t="s">
        <v>37</v>
      </c>
      <c r="V237" s="113">
        <v>0</v>
      </c>
      <c r="W237" s="113" t="e">
        <f>#REF!*#REF!</f>
        <v>#REF!</v>
      </c>
      <c r="X237" s="113">
        <v>0</v>
      </c>
      <c r="Y237" s="113" t="e">
        <f>#REF!*#REF!</f>
        <v>#REF!</v>
      </c>
      <c r="Z237" s="113">
        <v>0</v>
      </c>
      <c r="AA237" s="114" t="e">
        <f>#REF!*#REF!</f>
        <v>#REF!</v>
      </c>
      <c r="AR237" s="9" t="s">
        <v>392</v>
      </c>
      <c r="AT237" s="9" t="s">
        <v>124</v>
      </c>
      <c r="AU237" s="9" t="s">
        <v>19</v>
      </c>
      <c r="AY237" s="9" t="s">
        <v>123</v>
      </c>
      <c r="BE237" s="115" t="e">
        <f>IF(#REF!="základní",#REF!,0)</f>
        <v>#REF!</v>
      </c>
      <c r="BF237" s="115" t="e">
        <f>IF(#REF!="snížená",#REF!,0)</f>
        <v>#REF!</v>
      </c>
      <c r="BG237" s="115" t="e">
        <f>IF(#REF!="zákl. přenesená",#REF!,0)</f>
        <v>#REF!</v>
      </c>
      <c r="BH237" s="115" t="e">
        <f>IF(#REF!="sníž. přenesená",#REF!,0)</f>
        <v>#REF!</v>
      </c>
      <c r="BI237" s="115" t="e">
        <f>IF(#REF!="nulová",#REF!,0)</f>
        <v>#REF!</v>
      </c>
      <c r="BJ237" s="9" t="s">
        <v>19</v>
      </c>
      <c r="BK237" s="115" t="e">
        <f>ROUND(#REF!*#REF!,2)</f>
        <v>#REF!</v>
      </c>
      <c r="BL237" s="9" t="s">
        <v>392</v>
      </c>
      <c r="BM237" s="9" t="s">
        <v>405</v>
      </c>
    </row>
    <row r="238" spans="2:63" s="99" customFormat="1" ht="37.5" customHeight="1">
      <c r="B238" s="100"/>
      <c r="D238" s="101" t="s">
        <v>159</v>
      </c>
      <c r="E238" s="101"/>
      <c r="F238" s="101"/>
      <c r="G238" s="101"/>
      <c r="H238" s="101"/>
      <c r="I238" s="101"/>
      <c r="J238" s="101"/>
      <c r="K238" s="101"/>
      <c r="L238" s="101"/>
      <c r="M238" s="101"/>
      <c r="N238" s="268">
        <f>SUM(N239:Q249)</f>
        <v>0</v>
      </c>
      <c r="O238" s="268"/>
      <c r="P238" s="268"/>
      <c r="Q238" s="268"/>
      <c r="R238" s="102"/>
      <c r="T238" s="103"/>
      <c r="W238" s="104" t="e">
        <f>SUM(#REF!)</f>
        <v>#REF!</v>
      </c>
      <c r="Y238" s="104" t="e">
        <f>SUM(#REF!)</f>
        <v>#REF!</v>
      </c>
      <c r="AA238" s="105" t="e">
        <f>SUM(#REF!)</f>
        <v>#REF!</v>
      </c>
      <c r="AR238" s="106" t="s">
        <v>19</v>
      </c>
      <c r="AT238" s="106" t="s">
        <v>71</v>
      </c>
      <c r="AU238" s="106" t="s">
        <v>72</v>
      </c>
      <c r="AY238" s="106" t="s">
        <v>123</v>
      </c>
      <c r="BK238" s="107" t="e">
        <f>SUM(#REF!)</f>
        <v>#REF!</v>
      </c>
    </row>
    <row r="239" spans="2:65" s="9" customFormat="1" ht="32.25" customHeight="1">
      <c r="B239" s="22"/>
      <c r="C239" s="119">
        <v>83</v>
      </c>
      <c r="D239" s="108" t="s">
        <v>124</v>
      </c>
      <c r="E239" s="109" t="s">
        <v>406</v>
      </c>
      <c r="F239" s="266" t="s">
        <v>407</v>
      </c>
      <c r="G239" s="266"/>
      <c r="H239" s="266"/>
      <c r="I239" s="266"/>
      <c r="J239" s="110" t="s">
        <v>171</v>
      </c>
      <c r="K239" s="111">
        <v>915.603</v>
      </c>
      <c r="L239" s="267"/>
      <c r="M239" s="267"/>
      <c r="N239" s="267">
        <f>K239*L239</f>
        <v>0</v>
      </c>
      <c r="O239" s="267"/>
      <c r="P239" s="267"/>
      <c r="Q239" s="267"/>
      <c r="R239" s="23"/>
      <c r="T239" s="112"/>
      <c r="U239" s="28" t="s">
        <v>37</v>
      </c>
      <c r="V239" s="113">
        <v>0</v>
      </c>
      <c r="W239" s="113" t="e">
        <f>#REF!*#REF!</f>
        <v>#REF!</v>
      </c>
      <c r="X239" s="113">
        <v>0</v>
      </c>
      <c r="Y239" s="113" t="e">
        <f>#REF!*#REF!</f>
        <v>#REF!</v>
      </c>
      <c r="Z239" s="113">
        <v>0</v>
      </c>
      <c r="AA239" s="114" t="e">
        <f>#REF!*#REF!</f>
        <v>#REF!</v>
      </c>
      <c r="AR239" s="9" t="s">
        <v>392</v>
      </c>
      <c r="AT239" s="9" t="s">
        <v>124</v>
      </c>
      <c r="AU239" s="9" t="s">
        <v>19</v>
      </c>
      <c r="AY239" s="9" t="s">
        <v>123</v>
      </c>
      <c r="BE239" s="115" t="e">
        <f>IF(#REF!="základní",#REF!,0)</f>
        <v>#REF!</v>
      </c>
      <c r="BF239" s="115" t="e">
        <f>IF(#REF!="snížená",#REF!,0)</f>
        <v>#REF!</v>
      </c>
      <c r="BG239" s="115" t="e">
        <f>IF(#REF!="zákl. přenesená",#REF!,0)</f>
        <v>#REF!</v>
      </c>
      <c r="BH239" s="115" t="e">
        <f>IF(#REF!="sníž. přenesená",#REF!,0)</f>
        <v>#REF!</v>
      </c>
      <c r="BI239" s="115" t="e">
        <f>IF(#REF!="nulová",#REF!,0)</f>
        <v>#REF!</v>
      </c>
      <c r="BJ239" s="9" t="s">
        <v>19</v>
      </c>
      <c r="BK239" s="115" t="e">
        <f>ROUND(#REF!*#REF!,2)</f>
        <v>#REF!</v>
      </c>
      <c r="BL239" s="9" t="s">
        <v>392</v>
      </c>
      <c r="BM239" s="9" t="s">
        <v>393</v>
      </c>
    </row>
    <row r="240" spans="2:63" s="120" customFormat="1" ht="26.25" customHeight="1">
      <c r="B240" s="121"/>
      <c r="C240" s="122"/>
      <c r="D240" s="122"/>
      <c r="E240" s="123" t="s">
        <v>408</v>
      </c>
      <c r="F240" s="280" t="s">
        <v>409</v>
      </c>
      <c r="G240" s="280"/>
      <c r="H240" s="280"/>
      <c r="I240" s="280"/>
      <c r="J240" s="124"/>
      <c r="K240" s="125">
        <v>915.603</v>
      </c>
      <c r="L240" s="281"/>
      <c r="M240" s="281"/>
      <c r="N240" s="281"/>
      <c r="O240" s="281"/>
      <c r="P240" s="281"/>
      <c r="Q240" s="281"/>
      <c r="R240" s="126"/>
      <c r="T240" s="127"/>
      <c r="U240" s="128"/>
      <c r="V240" s="129"/>
      <c r="W240" s="129"/>
      <c r="X240" s="129"/>
      <c r="Y240" s="129"/>
      <c r="Z240" s="129"/>
      <c r="AA240" s="130"/>
      <c r="BE240" s="131"/>
      <c r="BF240" s="131"/>
      <c r="BG240" s="131"/>
      <c r="BH240" s="131"/>
      <c r="BI240" s="131"/>
      <c r="BK240" s="131"/>
    </row>
    <row r="241" spans="2:65" s="132" customFormat="1" ht="15" customHeight="1">
      <c r="B241" s="133"/>
      <c r="C241" s="119">
        <v>84</v>
      </c>
      <c r="D241" s="134" t="s">
        <v>252</v>
      </c>
      <c r="E241" s="135" t="s">
        <v>394</v>
      </c>
      <c r="F241" s="278" t="s">
        <v>395</v>
      </c>
      <c r="G241" s="278"/>
      <c r="H241" s="278"/>
      <c r="I241" s="278"/>
      <c r="J241" s="136" t="s">
        <v>375</v>
      </c>
      <c r="K241" s="137">
        <v>0.28</v>
      </c>
      <c r="L241" s="279"/>
      <c r="M241" s="279"/>
      <c r="N241" s="279">
        <f aca="true" t="shared" si="5" ref="N241:N249">K241*L241</f>
        <v>0</v>
      </c>
      <c r="O241" s="279"/>
      <c r="P241" s="279"/>
      <c r="Q241" s="279"/>
      <c r="R241" s="138"/>
      <c r="T241" s="139"/>
      <c r="U241" s="140" t="s">
        <v>37</v>
      </c>
      <c r="V241" s="141">
        <v>0</v>
      </c>
      <c r="W241" s="141" t="e">
        <f>#REF!*#REF!</f>
        <v>#REF!</v>
      </c>
      <c r="X241" s="141">
        <v>0</v>
      </c>
      <c r="Y241" s="141" t="e">
        <f>#REF!*#REF!</f>
        <v>#REF!</v>
      </c>
      <c r="Z241" s="141">
        <v>0</v>
      </c>
      <c r="AA241" s="142" t="e">
        <f>#REF!*#REF!</f>
        <v>#REF!</v>
      </c>
      <c r="AR241" s="132" t="s">
        <v>392</v>
      </c>
      <c r="AT241" s="132" t="s">
        <v>124</v>
      </c>
      <c r="AU241" s="132" t="s">
        <v>19</v>
      </c>
      <c r="AY241" s="132" t="s">
        <v>123</v>
      </c>
      <c r="BE241" s="143" t="e">
        <f>IF(#REF!="základní",#REF!,0)</f>
        <v>#REF!</v>
      </c>
      <c r="BF241" s="143" t="e">
        <f>IF(#REF!="snížená",#REF!,0)</f>
        <v>#REF!</v>
      </c>
      <c r="BG241" s="143" t="e">
        <f>IF(#REF!="zákl. přenesená",#REF!,0)</f>
        <v>#REF!</v>
      </c>
      <c r="BH241" s="143" t="e">
        <f>IF(#REF!="sníž. přenesená",#REF!,0)</f>
        <v>#REF!</v>
      </c>
      <c r="BI241" s="143" t="e">
        <f>IF(#REF!="nulová",#REF!,0)</f>
        <v>#REF!</v>
      </c>
      <c r="BJ241" s="132" t="s">
        <v>19</v>
      </c>
      <c r="BK241" s="143" t="e">
        <f>ROUND(#REF!*#REF!,2)</f>
        <v>#REF!</v>
      </c>
      <c r="BL241" s="132" t="s">
        <v>392</v>
      </c>
      <c r="BM241" s="132" t="s">
        <v>396</v>
      </c>
    </row>
    <row r="242" spans="2:63" s="9" customFormat="1" ht="27" customHeight="1">
      <c r="B242" s="22"/>
      <c r="C242" s="119">
        <v>85</v>
      </c>
      <c r="D242" s="108" t="s">
        <v>124</v>
      </c>
      <c r="E242" s="109" t="s">
        <v>410</v>
      </c>
      <c r="F242" s="266" t="s">
        <v>411</v>
      </c>
      <c r="G242" s="266"/>
      <c r="H242" s="266"/>
      <c r="I242" s="266"/>
      <c r="J242" s="110" t="s">
        <v>171</v>
      </c>
      <c r="K242" s="111">
        <f>K239</f>
        <v>915.603</v>
      </c>
      <c r="L242" s="267"/>
      <c r="M242" s="267"/>
      <c r="N242" s="267">
        <f t="shared" si="5"/>
        <v>0</v>
      </c>
      <c r="O242" s="267"/>
      <c r="P242" s="267"/>
      <c r="Q242" s="267"/>
      <c r="R242" s="23"/>
      <c r="T242" s="112"/>
      <c r="U242" s="28"/>
      <c r="V242" s="113"/>
      <c r="W242" s="113"/>
      <c r="X242" s="113"/>
      <c r="Y242" s="113"/>
      <c r="Z242" s="113"/>
      <c r="AA242" s="114"/>
      <c r="BE242" s="115"/>
      <c r="BF242" s="115"/>
      <c r="BG242" s="115"/>
      <c r="BH242" s="115"/>
      <c r="BI242" s="115"/>
      <c r="BK242" s="115"/>
    </row>
    <row r="243" spans="2:65" s="132" customFormat="1" ht="15" customHeight="1">
      <c r="B243" s="133"/>
      <c r="C243" s="119">
        <v>86</v>
      </c>
      <c r="D243" s="134" t="s">
        <v>252</v>
      </c>
      <c r="E243" s="135" t="s">
        <v>412</v>
      </c>
      <c r="F243" s="278" t="s">
        <v>413</v>
      </c>
      <c r="G243" s="278"/>
      <c r="H243" s="278"/>
      <c r="I243" s="278"/>
      <c r="J243" s="136" t="s">
        <v>171</v>
      </c>
      <c r="K243" s="137">
        <f>K242*1.1</f>
        <v>1007.1633</v>
      </c>
      <c r="L243" s="279"/>
      <c r="M243" s="279"/>
      <c r="N243" s="279">
        <f t="shared" si="5"/>
        <v>0</v>
      </c>
      <c r="O243" s="279"/>
      <c r="P243" s="279"/>
      <c r="Q243" s="279"/>
      <c r="R243" s="138"/>
      <c r="T243" s="139"/>
      <c r="U243" s="140" t="s">
        <v>37</v>
      </c>
      <c r="V243" s="141">
        <v>0</v>
      </c>
      <c r="W243" s="141" t="e">
        <f>#REF!*#REF!</f>
        <v>#REF!</v>
      </c>
      <c r="X243" s="141">
        <v>0</v>
      </c>
      <c r="Y243" s="141" t="e">
        <f>#REF!*#REF!</f>
        <v>#REF!</v>
      </c>
      <c r="Z243" s="141">
        <v>0</v>
      </c>
      <c r="AA243" s="142" t="e">
        <f>#REF!*#REF!</f>
        <v>#REF!</v>
      </c>
      <c r="AR243" s="132" t="s">
        <v>392</v>
      </c>
      <c r="AT243" s="132" t="s">
        <v>124</v>
      </c>
      <c r="AU243" s="132" t="s">
        <v>19</v>
      </c>
      <c r="AY243" s="132" t="s">
        <v>123</v>
      </c>
      <c r="BE243" s="143" t="e">
        <f>IF(#REF!="základní",#REF!,0)</f>
        <v>#REF!</v>
      </c>
      <c r="BF243" s="143" t="e">
        <f>IF(#REF!="snížená",#REF!,0)</f>
        <v>#REF!</v>
      </c>
      <c r="BG243" s="143" t="e">
        <f>IF(#REF!="zákl. přenesená",#REF!,0)</f>
        <v>#REF!</v>
      </c>
      <c r="BH243" s="143" t="e">
        <f>IF(#REF!="sníž. přenesená",#REF!,0)</f>
        <v>#REF!</v>
      </c>
      <c r="BI243" s="143" t="e">
        <f>IF(#REF!="nulová",#REF!,0)</f>
        <v>#REF!</v>
      </c>
      <c r="BJ243" s="132" t="s">
        <v>19</v>
      </c>
      <c r="BK243" s="143" t="e">
        <f>ROUND(#REF!*#REF!,2)</f>
        <v>#REF!</v>
      </c>
      <c r="BL243" s="132" t="s">
        <v>392</v>
      </c>
      <c r="BM243" s="132" t="s">
        <v>401</v>
      </c>
    </row>
    <row r="244" spans="2:63" s="9" customFormat="1" ht="26.25" customHeight="1">
      <c r="B244" s="22"/>
      <c r="C244" s="119">
        <v>87</v>
      </c>
      <c r="D244" s="108" t="s">
        <v>124</v>
      </c>
      <c r="E244" s="109" t="s">
        <v>414</v>
      </c>
      <c r="F244" s="266" t="s">
        <v>415</v>
      </c>
      <c r="G244" s="266"/>
      <c r="H244" s="266"/>
      <c r="I244" s="266"/>
      <c r="J244" s="110" t="s">
        <v>171</v>
      </c>
      <c r="K244" s="111">
        <f>K242</f>
        <v>915.603</v>
      </c>
      <c r="L244" s="267"/>
      <c r="M244" s="267"/>
      <c r="N244" s="267">
        <f t="shared" si="5"/>
        <v>0</v>
      </c>
      <c r="O244" s="267"/>
      <c r="P244" s="267"/>
      <c r="Q244" s="267"/>
      <c r="R244" s="23"/>
      <c r="T244" s="112"/>
      <c r="U244" s="28"/>
      <c r="V244" s="113"/>
      <c r="W244" s="113"/>
      <c r="X244" s="113"/>
      <c r="Y244" s="113"/>
      <c r="Z244" s="113"/>
      <c r="AA244" s="114"/>
      <c r="BE244" s="115"/>
      <c r="BF244" s="115"/>
      <c r="BG244" s="115"/>
      <c r="BH244" s="115"/>
      <c r="BI244" s="115"/>
      <c r="BK244" s="115"/>
    </row>
    <row r="245" spans="2:63" s="132" customFormat="1" ht="30" customHeight="1">
      <c r="B245" s="133"/>
      <c r="C245" s="119">
        <v>88</v>
      </c>
      <c r="D245" s="134" t="s">
        <v>252</v>
      </c>
      <c r="E245" s="135" t="s">
        <v>416</v>
      </c>
      <c r="F245" s="278" t="s">
        <v>417</v>
      </c>
      <c r="G245" s="278"/>
      <c r="H245" s="278"/>
      <c r="I245" s="278"/>
      <c r="J245" s="136" t="s">
        <v>171</v>
      </c>
      <c r="K245" s="137">
        <f>K244*1.1</f>
        <v>1007.1633</v>
      </c>
      <c r="L245" s="279"/>
      <c r="M245" s="279"/>
      <c r="N245" s="279">
        <f t="shared" si="5"/>
        <v>0</v>
      </c>
      <c r="O245" s="279"/>
      <c r="P245" s="279"/>
      <c r="Q245" s="279"/>
      <c r="R245" s="138"/>
      <c r="T245" s="139"/>
      <c r="U245" s="140"/>
      <c r="V245" s="141"/>
      <c r="W245" s="141"/>
      <c r="X245" s="141"/>
      <c r="Y245" s="141"/>
      <c r="Z245" s="141"/>
      <c r="AA245" s="142"/>
      <c r="BE245" s="143"/>
      <c r="BF245" s="143"/>
      <c r="BG245" s="143"/>
      <c r="BH245" s="143"/>
      <c r="BI245" s="143"/>
      <c r="BK245" s="143"/>
    </row>
    <row r="246" spans="2:63" s="9" customFormat="1" ht="28.5" customHeight="1">
      <c r="B246" s="22"/>
      <c r="C246" s="119">
        <v>89</v>
      </c>
      <c r="D246" s="108" t="s">
        <v>124</v>
      </c>
      <c r="E246" s="109" t="s">
        <v>418</v>
      </c>
      <c r="F246" s="266" t="s">
        <v>419</v>
      </c>
      <c r="G246" s="266"/>
      <c r="H246" s="266"/>
      <c r="I246" s="266"/>
      <c r="J246" s="110" t="s">
        <v>171</v>
      </c>
      <c r="K246" s="111">
        <f>K244</f>
        <v>915.603</v>
      </c>
      <c r="L246" s="267"/>
      <c r="M246" s="267"/>
      <c r="N246" s="267">
        <f t="shared" si="5"/>
        <v>0</v>
      </c>
      <c r="O246" s="267"/>
      <c r="P246" s="267"/>
      <c r="Q246" s="267"/>
      <c r="R246" s="23"/>
      <c r="T246" s="112"/>
      <c r="U246" s="28"/>
      <c r="V246" s="113"/>
      <c r="W246" s="113"/>
      <c r="X246" s="113"/>
      <c r="Y246" s="113"/>
      <c r="Z246" s="113"/>
      <c r="AA246" s="114"/>
      <c r="BE246" s="115"/>
      <c r="BF246" s="115"/>
      <c r="BG246" s="115"/>
      <c r="BH246" s="115"/>
      <c r="BI246" s="115"/>
      <c r="BK246" s="115"/>
    </row>
    <row r="247" spans="2:63" s="132" customFormat="1" ht="30" customHeight="1">
      <c r="B247" s="133"/>
      <c r="C247" s="119">
        <v>90</v>
      </c>
      <c r="D247" s="134" t="s">
        <v>252</v>
      </c>
      <c r="E247" s="135" t="s">
        <v>420</v>
      </c>
      <c r="F247" s="278" t="s">
        <v>421</v>
      </c>
      <c r="G247" s="278"/>
      <c r="H247" s="278"/>
      <c r="I247" s="278"/>
      <c r="J247" s="136" t="s">
        <v>171</v>
      </c>
      <c r="K247" s="137">
        <f>K246*1.1</f>
        <v>1007.1633</v>
      </c>
      <c r="L247" s="279"/>
      <c r="M247" s="279"/>
      <c r="N247" s="279">
        <f t="shared" si="5"/>
        <v>0</v>
      </c>
      <c r="O247" s="279"/>
      <c r="P247" s="279"/>
      <c r="Q247" s="279"/>
      <c r="R247" s="138"/>
      <c r="T247" s="139"/>
      <c r="U247" s="140"/>
      <c r="V247" s="141"/>
      <c r="W247" s="141"/>
      <c r="X247" s="141"/>
      <c r="Y247" s="141"/>
      <c r="Z247" s="141"/>
      <c r="AA247" s="142"/>
      <c r="BE247" s="143"/>
      <c r="BF247" s="143"/>
      <c r="BG247" s="143"/>
      <c r="BH247" s="143"/>
      <c r="BI247" s="143"/>
      <c r="BK247" s="143"/>
    </row>
    <row r="248" spans="2:63" s="9" customFormat="1" ht="17.25" customHeight="1">
      <c r="B248" s="22"/>
      <c r="C248" s="108">
        <v>91</v>
      </c>
      <c r="D248" s="108"/>
      <c r="E248" s="109" t="s">
        <v>422</v>
      </c>
      <c r="F248" s="266" t="s">
        <v>423</v>
      </c>
      <c r="G248" s="266"/>
      <c r="H248" s="266"/>
      <c r="I248" s="266"/>
      <c r="J248" s="110" t="s">
        <v>424</v>
      </c>
      <c r="K248" s="111">
        <v>17</v>
      </c>
      <c r="L248" s="267"/>
      <c r="M248" s="267"/>
      <c r="N248" s="267">
        <f t="shared" si="5"/>
        <v>0</v>
      </c>
      <c r="O248" s="267"/>
      <c r="P248" s="267"/>
      <c r="Q248" s="267"/>
      <c r="R248" s="23"/>
      <c r="T248" s="112"/>
      <c r="U248" s="28"/>
      <c r="V248" s="113"/>
      <c r="W248" s="113"/>
      <c r="X248" s="113"/>
      <c r="Y248" s="113"/>
      <c r="Z248" s="113"/>
      <c r="AA248" s="114"/>
      <c r="BE248" s="115"/>
      <c r="BF248" s="115"/>
      <c r="BG248" s="115"/>
      <c r="BH248" s="115"/>
      <c r="BI248" s="115"/>
      <c r="BK248" s="115"/>
    </row>
    <row r="249" spans="2:65" s="9" customFormat="1" ht="27" customHeight="1">
      <c r="B249" s="22"/>
      <c r="C249" s="108">
        <v>92</v>
      </c>
      <c r="D249" s="108" t="s">
        <v>124</v>
      </c>
      <c r="E249" s="109" t="s">
        <v>402</v>
      </c>
      <c r="F249" s="266" t="s">
        <v>403</v>
      </c>
      <c r="G249" s="266"/>
      <c r="H249" s="266"/>
      <c r="I249" s="266"/>
      <c r="J249" s="110" t="s">
        <v>404</v>
      </c>
      <c r="K249" s="111">
        <f>SUM(N239:Q248)/100</f>
        <v>0</v>
      </c>
      <c r="L249" s="267"/>
      <c r="M249" s="267"/>
      <c r="N249" s="267">
        <f t="shared" si="5"/>
        <v>0</v>
      </c>
      <c r="O249" s="267"/>
      <c r="P249" s="267"/>
      <c r="Q249" s="267"/>
      <c r="R249" s="23"/>
      <c r="T249" s="112"/>
      <c r="U249" s="28" t="s">
        <v>37</v>
      </c>
      <c r="V249" s="113">
        <v>0</v>
      </c>
      <c r="W249" s="113" t="e">
        <f>#REF!*#REF!</f>
        <v>#REF!</v>
      </c>
      <c r="X249" s="113">
        <v>0</v>
      </c>
      <c r="Y249" s="113" t="e">
        <f>#REF!*#REF!</f>
        <v>#REF!</v>
      </c>
      <c r="Z249" s="113">
        <v>0</v>
      </c>
      <c r="AA249" s="114" t="e">
        <f>#REF!*#REF!</f>
        <v>#REF!</v>
      </c>
      <c r="AR249" s="9" t="s">
        <v>392</v>
      </c>
      <c r="AT249" s="9" t="s">
        <v>124</v>
      </c>
      <c r="AU249" s="9" t="s">
        <v>19</v>
      </c>
      <c r="AY249" s="9" t="s">
        <v>123</v>
      </c>
      <c r="BE249" s="115" t="e">
        <f>IF(#REF!="základní",#REF!,0)</f>
        <v>#REF!</v>
      </c>
      <c r="BF249" s="115" t="e">
        <f>IF(#REF!="snížená",#REF!,0)</f>
        <v>#REF!</v>
      </c>
      <c r="BG249" s="115" t="e">
        <f>IF(#REF!="zákl. přenesená",#REF!,0)</f>
        <v>#REF!</v>
      </c>
      <c r="BH249" s="115" t="e">
        <f>IF(#REF!="sníž. přenesená",#REF!,0)</f>
        <v>#REF!</v>
      </c>
      <c r="BI249" s="115" t="e">
        <f>IF(#REF!="nulová",#REF!,0)</f>
        <v>#REF!</v>
      </c>
      <c r="BJ249" s="9" t="s">
        <v>19</v>
      </c>
      <c r="BK249" s="115" t="e">
        <f>ROUND(#REF!*#REF!,2)</f>
        <v>#REF!</v>
      </c>
      <c r="BL249" s="9" t="s">
        <v>392</v>
      </c>
      <c r="BM249" s="9" t="s">
        <v>405</v>
      </c>
    </row>
    <row r="250" spans="2:63" s="99" customFormat="1" ht="37.5" customHeight="1">
      <c r="B250" s="100"/>
      <c r="D250" s="101" t="s">
        <v>160</v>
      </c>
      <c r="E250" s="101"/>
      <c r="F250" s="101"/>
      <c r="G250" s="101"/>
      <c r="H250" s="101"/>
      <c r="I250" s="101"/>
      <c r="J250" s="101"/>
      <c r="K250" s="101"/>
      <c r="L250" s="101"/>
      <c r="M250" s="101"/>
      <c r="N250" s="268">
        <f>SUM(N251:Q254)</f>
        <v>0</v>
      </c>
      <c r="O250" s="268"/>
      <c r="P250" s="268"/>
      <c r="Q250" s="268"/>
      <c r="R250" s="102"/>
      <c r="T250" s="103"/>
      <c r="W250" s="104" t="e">
        <f>SUM(#REF!)</f>
        <v>#REF!</v>
      </c>
      <c r="Y250" s="104" t="e">
        <f>SUM(#REF!)</f>
        <v>#REF!</v>
      </c>
      <c r="AA250" s="105" t="e">
        <f>SUM(#REF!)</f>
        <v>#REF!</v>
      </c>
      <c r="AR250" s="106" t="s">
        <v>138</v>
      </c>
      <c r="AT250" s="106" t="s">
        <v>71</v>
      </c>
      <c r="AU250" s="106" t="s">
        <v>72</v>
      </c>
      <c r="AY250" s="106" t="s">
        <v>123</v>
      </c>
      <c r="BK250" s="107" t="e">
        <f>SUM(#REF!)</f>
        <v>#REF!</v>
      </c>
    </row>
    <row r="251" spans="2:65" s="9" customFormat="1" ht="27" customHeight="1">
      <c r="B251" s="22"/>
      <c r="C251" s="119">
        <v>93</v>
      </c>
      <c r="D251" s="108" t="s">
        <v>124</v>
      </c>
      <c r="E251" s="109" t="s">
        <v>425</v>
      </c>
      <c r="F251" s="266" t="s">
        <v>426</v>
      </c>
      <c r="G251" s="266"/>
      <c r="H251" s="266"/>
      <c r="I251" s="266"/>
      <c r="J251" s="110" t="s">
        <v>324</v>
      </c>
      <c r="K251" s="111">
        <v>1831.206</v>
      </c>
      <c r="L251" s="267"/>
      <c r="M251" s="267"/>
      <c r="N251" s="267">
        <f>K251*L251</f>
        <v>0</v>
      </c>
      <c r="O251" s="267"/>
      <c r="P251" s="267"/>
      <c r="Q251" s="267"/>
      <c r="R251" s="23"/>
      <c r="T251" s="112"/>
      <c r="U251" s="28" t="s">
        <v>37</v>
      </c>
      <c r="V251" s="113">
        <v>0</v>
      </c>
      <c r="W251" s="113" t="e">
        <f>#REF!*#REF!</f>
        <v>#REF!</v>
      </c>
      <c r="X251" s="113">
        <v>0</v>
      </c>
      <c r="Y251" s="113" t="e">
        <f>#REF!*#REF!</f>
        <v>#REF!</v>
      </c>
      <c r="Z251" s="113">
        <v>0</v>
      </c>
      <c r="AA251" s="114" t="e">
        <f>#REF!*#REF!</f>
        <v>#REF!</v>
      </c>
      <c r="AR251" s="9" t="s">
        <v>392</v>
      </c>
      <c r="AT251" s="9" t="s">
        <v>124</v>
      </c>
      <c r="AU251" s="9" t="s">
        <v>19</v>
      </c>
      <c r="AY251" s="9" t="s">
        <v>123</v>
      </c>
      <c r="BE251" s="115" t="e">
        <f>IF(#REF!="základní",#REF!,0)</f>
        <v>#REF!</v>
      </c>
      <c r="BF251" s="115" t="e">
        <f>IF(#REF!="snížená",#REF!,0)</f>
        <v>#REF!</v>
      </c>
      <c r="BG251" s="115" t="e">
        <f>IF(#REF!="zákl. přenesená",#REF!,0)</f>
        <v>#REF!</v>
      </c>
      <c r="BH251" s="115" t="e">
        <f>IF(#REF!="sníž. přenesená",#REF!,0)</f>
        <v>#REF!</v>
      </c>
      <c r="BI251" s="115" t="e">
        <f>IF(#REF!="nulová",#REF!,0)</f>
        <v>#REF!</v>
      </c>
      <c r="BJ251" s="9" t="s">
        <v>19</v>
      </c>
      <c r="BK251" s="115" t="e">
        <f>ROUND(#REF!*#REF!,2)</f>
        <v>#REF!</v>
      </c>
      <c r="BL251" s="9" t="s">
        <v>392</v>
      </c>
      <c r="BM251" s="9" t="s">
        <v>427</v>
      </c>
    </row>
    <row r="252" spans="2:65" s="9" customFormat="1" ht="15.75" customHeight="1">
      <c r="B252" s="22"/>
      <c r="C252" s="119">
        <v>94</v>
      </c>
      <c r="D252" s="108" t="s">
        <v>252</v>
      </c>
      <c r="E252" s="109" t="s">
        <v>428</v>
      </c>
      <c r="F252" s="266" t="s">
        <v>429</v>
      </c>
      <c r="G252" s="266"/>
      <c r="H252" s="266"/>
      <c r="I252" s="266"/>
      <c r="J252" s="110" t="s">
        <v>324</v>
      </c>
      <c r="K252" s="111">
        <v>984.533</v>
      </c>
      <c r="L252" s="267"/>
      <c r="M252" s="267"/>
      <c r="N252" s="267">
        <f>K252*L252</f>
        <v>0</v>
      </c>
      <c r="O252" s="267"/>
      <c r="P252" s="267"/>
      <c r="Q252" s="267"/>
      <c r="R252" s="23"/>
      <c r="T252" s="112"/>
      <c r="U252" s="28" t="s">
        <v>37</v>
      </c>
      <c r="V252" s="113">
        <v>0</v>
      </c>
      <c r="W252" s="113" t="e">
        <f>#REF!*#REF!</f>
        <v>#REF!</v>
      </c>
      <c r="X252" s="113">
        <v>0</v>
      </c>
      <c r="Y252" s="113" t="e">
        <f>#REF!*#REF!</f>
        <v>#REF!</v>
      </c>
      <c r="Z252" s="113">
        <v>0</v>
      </c>
      <c r="AA252" s="114" t="e">
        <f>#REF!*#REF!</f>
        <v>#REF!</v>
      </c>
      <c r="AR252" s="9" t="s">
        <v>392</v>
      </c>
      <c r="AT252" s="9" t="s">
        <v>124</v>
      </c>
      <c r="AU252" s="9" t="s">
        <v>19</v>
      </c>
      <c r="AY252" s="9" t="s">
        <v>123</v>
      </c>
      <c r="BE252" s="115" t="e">
        <f>IF(#REF!="základní",#REF!,0)</f>
        <v>#REF!</v>
      </c>
      <c r="BF252" s="115" t="e">
        <f>IF(#REF!="snížená",#REF!,0)</f>
        <v>#REF!</v>
      </c>
      <c r="BG252" s="115" t="e">
        <f>IF(#REF!="zákl. přenesená",#REF!,0)</f>
        <v>#REF!</v>
      </c>
      <c r="BH252" s="115" t="e">
        <f>IF(#REF!="sníž. přenesená",#REF!,0)</f>
        <v>#REF!</v>
      </c>
      <c r="BI252" s="115" t="e">
        <f>IF(#REF!="nulová",#REF!,0)</f>
        <v>#REF!</v>
      </c>
      <c r="BJ252" s="9" t="s">
        <v>19</v>
      </c>
      <c r="BK252" s="115" t="e">
        <f>ROUND(#REF!*#REF!,2)</f>
        <v>#REF!</v>
      </c>
      <c r="BL252" s="9" t="s">
        <v>392</v>
      </c>
      <c r="BM252" s="9" t="s">
        <v>430</v>
      </c>
    </row>
    <row r="253" spans="2:65" s="9" customFormat="1" ht="15.75" customHeight="1">
      <c r="B253" s="22"/>
      <c r="C253" s="119">
        <v>95</v>
      </c>
      <c r="D253" s="108" t="s">
        <v>252</v>
      </c>
      <c r="E253" s="109" t="s">
        <v>431</v>
      </c>
      <c r="F253" s="266" t="s">
        <v>432</v>
      </c>
      <c r="G253" s="266"/>
      <c r="H253" s="266"/>
      <c r="I253" s="266"/>
      <c r="J253" s="110" t="s">
        <v>324</v>
      </c>
      <c r="K253" s="111">
        <f>K252</f>
        <v>984.533</v>
      </c>
      <c r="L253" s="267"/>
      <c r="M253" s="267"/>
      <c r="N253" s="267">
        <f>K253*L253</f>
        <v>0</v>
      </c>
      <c r="O253" s="267"/>
      <c r="P253" s="267"/>
      <c r="Q253" s="267"/>
      <c r="R253" s="23"/>
      <c r="T253" s="112"/>
      <c r="U253" s="28" t="s">
        <v>37</v>
      </c>
      <c r="V253" s="113">
        <v>0</v>
      </c>
      <c r="W253" s="113" t="e">
        <f>#REF!*#REF!</f>
        <v>#REF!</v>
      </c>
      <c r="X253" s="113">
        <v>0</v>
      </c>
      <c r="Y253" s="113" t="e">
        <f>#REF!*#REF!</f>
        <v>#REF!</v>
      </c>
      <c r="Z253" s="113">
        <v>0</v>
      </c>
      <c r="AA253" s="114" t="e">
        <f>#REF!*#REF!</f>
        <v>#REF!</v>
      </c>
      <c r="AR253" s="9" t="s">
        <v>392</v>
      </c>
      <c r="AT253" s="9" t="s">
        <v>124</v>
      </c>
      <c r="AU253" s="9" t="s">
        <v>19</v>
      </c>
      <c r="AY253" s="9" t="s">
        <v>123</v>
      </c>
      <c r="BE253" s="115" t="e">
        <f>IF(#REF!="základní",#REF!,0)</f>
        <v>#REF!</v>
      </c>
      <c r="BF253" s="115" t="e">
        <f>IF(#REF!="snížená",#REF!,0)</f>
        <v>#REF!</v>
      </c>
      <c r="BG253" s="115" t="e">
        <f>IF(#REF!="zákl. přenesená",#REF!,0)</f>
        <v>#REF!</v>
      </c>
      <c r="BH253" s="115" t="e">
        <f>IF(#REF!="sníž. přenesená",#REF!,0)</f>
        <v>#REF!</v>
      </c>
      <c r="BI253" s="115" t="e">
        <f>IF(#REF!="nulová",#REF!,0)</f>
        <v>#REF!</v>
      </c>
      <c r="BJ253" s="9" t="s">
        <v>19</v>
      </c>
      <c r="BK253" s="115" t="e">
        <f>ROUND(#REF!*#REF!,2)</f>
        <v>#REF!</v>
      </c>
      <c r="BL253" s="9" t="s">
        <v>392</v>
      </c>
      <c r="BM253" s="9" t="s">
        <v>433</v>
      </c>
    </row>
    <row r="254" spans="2:65" s="9" customFormat="1" ht="27" customHeight="1">
      <c r="B254" s="22"/>
      <c r="C254" s="119">
        <v>96</v>
      </c>
      <c r="D254" s="108" t="s">
        <v>124</v>
      </c>
      <c r="E254" s="109" t="s">
        <v>434</v>
      </c>
      <c r="F254" s="266" t="s">
        <v>435</v>
      </c>
      <c r="G254" s="266"/>
      <c r="H254" s="266"/>
      <c r="I254" s="266"/>
      <c r="J254" s="110" t="s">
        <v>404</v>
      </c>
      <c r="K254" s="111">
        <f>SUM(N251:Q253)/100</f>
        <v>0</v>
      </c>
      <c r="L254" s="267"/>
      <c r="M254" s="267"/>
      <c r="N254" s="267">
        <f>K254*L254</f>
        <v>0</v>
      </c>
      <c r="O254" s="267"/>
      <c r="P254" s="267"/>
      <c r="Q254" s="267"/>
      <c r="R254" s="23"/>
      <c r="T254" s="112"/>
      <c r="U254" s="28" t="s">
        <v>37</v>
      </c>
      <c r="V254" s="113">
        <v>0</v>
      </c>
      <c r="W254" s="113" t="e">
        <f>#REF!*#REF!</f>
        <v>#REF!</v>
      </c>
      <c r="X254" s="113">
        <v>0</v>
      </c>
      <c r="Y254" s="113" t="e">
        <f>#REF!*#REF!</f>
        <v>#REF!</v>
      </c>
      <c r="Z254" s="113">
        <v>0</v>
      </c>
      <c r="AA254" s="114" t="e">
        <f>#REF!*#REF!</f>
        <v>#REF!</v>
      </c>
      <c r="AR254" s="9" t="s">
        <v>392</v>
      </c>
      <c r="AT254" s="9" t="s">
        <v>124</v>
      </c>
      <c r="AU254" s="9" t="s">
        <v>19</v>
      </c>
      <c r="AY254" s="9" t="s">
        <v>123</v>
      </c>
      <c r="BE254" s="115" t="e">
        <f>IF(#REF!="základní",#REF!,0)</f>
        <v>#REF!</v>
      </c>
      <c r="BF254" s="115" t="e">
        <f>IF(#REF!="snížená",#REF!,0)</f>
        <v>#REF!</v>
      </c>
      <c r="BG254" s="115" t="e">
        <f>IF(#REF!="zákl. přenesená",#REF!,0)</f>
        <v>#REF!</v>
      </c>
      <c r="BH254" s="115" t="e">
        <f>IF(#REF!="sníž. přenesená",#REF!,0)</f>
        <v>#REF!</v>
      </c>
      <c r="BI254" s="115" t="e">
        <f>IF(#REF!="nulová",#REF!,0)</f>
        <v>#REF!</v>
      </c>
      <c r="BJ254" s="9" t="s">
        <v>19</v>
      </c>
      <c r="BK254" s="115" t="e">
        <f>ROUND(#REF!*#REF!,2)</f>
        <v>#REF!</v>
      </c>
      <c r="BL254" s="9" t="s">
        <v>392</v>
      </c>
      <c r="BM254" s="9" t="s">
        <v>436</v>
      </c>
    </row>
    <row r="255" spans="2:63" s="9" customFormat="1" ht="31.5" customHeight="1">
      <c r="B255" s="22"/>
      <c r="C255" s="99"/>
      <c r="D255" s="101" t="s">
        <v>161</v>
      </c>
      <c r="E255" s="101"/>
      <c r="F255" s="101"/>
      <c r="G255" s="101"/>
      <c r="H255" s="101"/>
      <c r="I255" s="101"/>
      <c r="J255" s="101"/>
      <c r="K255" s="101"/>
      <c r="L255" s="101"/>
      <c r="M255" s="101"/>
      <c r="N255" s="268">
        <f>N256+N257</f>
        <v>0</v>
      </c>
      <c r="O255" s="268"/>
      <c r="P255" s="268"/>
      <c r="Q255" s="268"/>
      <c r="R255" s="23"/>
      <c r="T255" s="149"/>
      <c r="U255" s="28"/>
      <c r="V255" s="113"/>
      <c r="W255" s="113"/>
      <c r="X255" s="113"/>
      <c r="Y255" s="113"/>
      <c r="Z255" s="113"/>
      <c r="AA255" s="114"/>
      <c r="BE255" s="115"/>
      <c r="BF255" s="115"/>
      <c r="BG255" s="115"/>
      <c r="BH255" s="115"/>
      <c r="BI255" s="115"/>
      <c r="BK255" s="115"/>
    </row>
    <row r="256" spans="2:63" s="9" customFormat="1" ht="15" customHeight="1">
      <c r="B256" s="22"/>
      <c r="C256" s="108">
        <v>97</v>
      </c>
      <c r="D256" s="108" t="s">
        <v>124</v>
      </c>
      <c r="E256" s="109" t="s">
        <v>437</v>
      </c>
      <c r="F256" s="266" t="s">
        <v>438</v>
      </c>
      <c r="G256" s="266"/>
      <c r="H256" s="266"/>
      <c r="I256" s="266"/>
      <c r="J256" s="110" t="s">
        <v>211</v>
      </c>
      <c r="K256" s="111">
        <v>2</v>
      </c>
      <c r="L256" s="267"/>
      <c r="M256" s="267"/>
      <c r="N256" s="267">
        <f>K256*L256</f>
        <v>0</v>
      </c>
      <c r="O256" s="267"/>
      <c r="P256" s="267"/>
      <c r="Q256" s="267"/>
      <c r="R256" s="23"/>
      <c r="T256" s="149"/>
      <c r="U256" s="28"/>
      <c r="V256" s="113"/>
      <c r="W256" s="113"/>
      <c r="X256" s="113"/>
      <c r="Y256" s="113"/>
      <c r="Z256" s="113"/>
      <c r="AA256" s="114"/>
      <c r="BE256" s="115"/>
      <c r="BF256" s="115"/>
      <c r="BG256" s="115"/>
      <c r="BH256" s="115"/>
      <c r="BI256" s="115"/>
      <c r="BK256" s="115"/>
    </row>
    <row r="257" spans="2:63" s="9" customFormat="1" ht="24" customHeight="1">
      <c r="B257" s="22"/>
      <c r="C257" s="119" t="s">
        <v>251</v>
      </c>
      <c r="D257" s="108" t="s">
        <v>124</v>
      </c>
      <c r="E257" s="109" t="s">
        <v>439</v>
      </c>
      <c r="F257" s="266" t="s">
        <v>440</v>
      </c>
      <c r="G257" s="266"/>
      <c r="H257" s="266"/>
      <c r="I257" s="266"/>
      <c r="J257" s="110" t="s">
        <v>176</v>
      </c>
      <c r="K257" s="111">
        <v>2</v>
      </c>
      <c r="L257" s="267"/>
      <c r="M257" s="267"/>
      <c r="N257" s="267">
        <f>K257*L257</f>
        <v>0</v>
      </c>
      <c r="O257" s="267"/>
      <c r="P257" s="267"/>
      <c r="Q257" s="267"/>
      <c r="R257" s="23"/>
      <c r="T257" s="149"/>
      <c r="U257" s="28"/>
      <c r="V257" s="113"/>
      <c r="W257" s="113"/>
      <c r="X257" s="113"/>
      <c r="Y257" s="113"/>
      <c r="Z257" s="113"/>
      <c r="AA257" s="114"/>
      <c r="BE257" s="115"/>
      <c r="BF257" s="115"/>
      <c r="BG257" s="115"/>
      <c r="BH257" s="115"/>
      <c r="BI257" s="115"/>
      <c r="BK257" s="115"/>
    </row>
    <row r="258" spans="2:63" s="9" customFormat="1" ht="31.5" customHeight="1">
      <c r="B258" s="22"/>
      <c r="C258" s="99"/>
      <c r="D258" s="101" t="s">
        <v>162</v>
      </c>
      <c r="E258" s="101"/>
      <c r="F258" s="101"/>
      <c r="G258" s="101"/>
      <c r="H258" s="101"/>
      <c r="I258" s="101"/>
      <c r="J258" s="101"/>
      <c r="K258" s="101"/>
      <c r="L258" s="101"/>
      <c r="M258" s="101"/>
      <c r="N258" s="268">
        <f>SUM(N259:Q259)</f>
        <v>0</v>
      </c>
      <c r="O258" s="268"/>
      <c r="P258" s="268"/>
      <c r="Q258" s="268"/>
      <c r="R258" s="23"/>
      <c r="T258" s="149"/>
      <c r="U258" s="28"/>
      <c r="V258" s="113"/>
      <c r="W258" s="113"/>
      <c r="X258" s="113"/>
      <c r="Y258" s="113"/>
      <c r="Z258" s="113"/>
      <c r="AA258" s="114"/>
      <c r="BE258" s="115"/>
      <c r="BF258" s="115"/>
      <c r="BG258" s="115"/>
      <c r="BH258" s="115"/>
      <c r="BI258" s="115"/>
      <c r="BK258" s="115"/>
    </row>
    <row r="259" spans="2:63" s="9" customFormat="1" ht="15" customHeight="1">
      <c r="B259" s="22"/>
      <c r="C259" s="108">
        <v>98</v>
      </c>
      <c r="D259" s="108" t="s">
        <v>124</v>
      </c>
      <c r="E259" s="109" t="s">
        <v>441</v>
      </c>
      <c r="F259" s="266" t="s">
        <v>442</v>
      </c>
      <c r="G259" s="266"/>
      <c r="H259" s="266"/>
      <c r="I259" s="266"/>
      <c r="J259" s="110" t="s">
        <v>176</v>
      </c>
      <c r="K259" s="111">
        <v>1</v>
      </c>
      <c r="L259" s="267">
        <f>'VZT+UT'!F36</f>
        <v>0</v>
      </c>
      <c r="M259" s="267"/>
      <c r="N259" s="267">
        <f>K259*L259</f>
        <v>0</v>
      </c>
      <c r="O259" s="267"/>
      <c r="P259" s="267"/>
      <c r="Q259" s="267"/>
      <c r="R259" s="23"/>
      <c r="T259" s="149"/>
      <c r="U259" s="28"/>
      <c r="V259" s="113"/>
      <c r="W259" s="113"/>
      <c r="X259" s="113"/>
      <c r="Y259" s="113"/>
      <c r="Z259" s="113"/>
      <c r="AA259" s="114"/>
      <c r="BE259" s="115"/>
      <c r="BF259" s="115"/>
      <c r="BG259" s="115"/>
      <c r="BH259" s="115"/>
      <c r="BI259" s="115"/>
      <c r="BK259" s="115"/>
    </row>
    <row r="260" spans="2:63" s="9" customFormat="1" ht="30.75" customHeight="1">
      <c r="B260" s="22"/>
      <c r="C260" s="99"/>
      <c r="D260" s="101" t="s">
        <v>163</v>
      </c>
      <c r="E260" s="101"/>
      <c r="F260" s="101"/>
      <c r="G260" s="101"/>
      <c r="H260" s="101"/>
      <c r="I260" s="101"/>
      <c r="J260" s="101"/>
      <c r="K260" s="101"/>
      <c r="L260" s="101"/>
      <c r="M260" s="101"/>
      <c r="N260" s="268">
        <f>SUM(N261:Q261)</f>
        <v>0</v>
      </c>
      <c r="O260" s="268"/>
      <c r="P260" s="268"/>
      <c r="Q260" s="268"/>
      <c r="R260" s="23"/>
      <c r="T260" s="149"/>
      <c r="U260" s="28"/>
      <c r="V260" s="113"/>
      <c r="W260" s="113"/>
      <c r="X260" s="113"/>
      <c r="Y260" s="113"/>
      <c r="Z260" s="113"/>
      <c r="AA260" s="114"/>
      <c r="BE260" s="115"/>
      <c r="BF260" s="115"/>
      <c r="BG260" s="115"/>
      <c r="BH260" s="115"/>
      <c r="BI260" s="115"/>
      <c r="BK260" s="115"/>
    </row>
    <row r="261" spans="2:63" s="9" customFormat="1" ht="14.25" customHeight="1">
      <c r="B261" s="22"/>
      <c r="C261" s="108">
        <v>99</v>
      </c>
      <c r="D261" s="108" t="s">
        <v>124</v>
      </c>
      <c r="E261" s="109" t="s">
        <v>443</v>
      </c>
      <c r="F261" s="266" t="s">
        <v>444</v>
      </c>
      <c r="G261" s="266"/>
      <c r="H261" s="266"/>
      <c r="I261" s="266"/>
      <c r="J261" s="110" t="s">
        <v>176</v>
      </c>
      <c r="K261" s="111">
        <v>1</v>
      </c>
      <c r="L261" s="267">
        <f>'VZT+UT'!F61</f>
        <v>0</v>
      </c>
      <c r="M261" s="267"/>
      <c r="N261" s="267">
        <f>K261*L261</f>
        <v>0</v>
      </c>
      <c r="O261" s="267"/>
      <c r="P261" s="267"/>
      <c r="Q261" s="267"/>
      <c r="R261" s="23"/>
      <c r="T261" s="149"/>
      <c r="U261" s="28"/>
      <c r="V261" s="113"/>
      <c r="W261" s="113"/>
      <c r="X261" s="113"/>
      <c r="Y261" s="113"/>
      <c r="Z261" s="113"/>
      <c r="AA261" s="114"/>
      <c r="BE261" s="115"/>
      <c r="BF261" s="115"/>
      <c r="BG261" s="115"/>
      <c r="BH261" s="115"/>
      <c r="BI261" s="115"/>
      <c r="BK261" s="115"/>
    </row>
    <row r="262" spans="2:63" s="99" customFormat="1" ht="37.5" customHeight="1">
      <c r="B262" s="100"/>
      <c r="D262" s="101" t="s">
        <v>164</v>
      </c>
      <c r="E262" s="101"/>
      <c r="F262" s="101"/>
      <c r="G262" s="101"/>
      <c r="H262" s="101"/>
      <c r="I262" s="101"/>
      <c r="J262" s="101"/>
      <c r="K262" s="101"/>
      <c r="L262" s="101"/>
      <c r="M262" s="101"/>
      <c r="N262" s="268">
        <f>SUM(N263:Q273)</f>
        <v>0</v>
      </c>
      <c r="O262" s="268"/>
      <c r="P262" s="268"/>
      <c r="Q262" s="268"/>
      <c r="R262" s="102"/>
      <c r="T262" s="103"/>
      <c r="W262" s="104" t="e">
        <f>SUM($W$263:$W$273)</f>
        <v>#REF!</v>
      </c>
      <c r="Y262" s="104" t="e">
        <f>SUM($Y$263:$Y$273)</f>
        <v>#REF!</v>
      </c>
      <c r="AA262" s="105" t="e">
        <f>SUM($AA$263:$AA$273)</f>
        <v>#REF!</v>
      </c>
      <c r="AR262" s="106" t="s">
        <v>19</v>
      </c>
      <c r="AT262" s="106" t="s">
        <v>71</v>
      </c>
      <c r="AU262" s="106" t="s">
        <v>72</v>
      </c>
      <c r="AY262" s="106" t="s">
        <v>123</v>
      </c>
      <c r="BK262" s="107" t="e">
        <f>SUM($BK$263:$BK$273)</f>
        <v>#REF!</v>
      </c>
    </row>
    <row r="263" spans="2:65" s="9" customFormat="1" ht="15.75" customHeight="1">
      <c r="B263" s="22"/>
      <c r="C263" s="119">
        <v>100</v>
      </c>
      <c r="D263" s="108" t="s">
        <v>124</v>
      </c>
      <c r="E263" s="109" t="s">
        <v>445</v>
      </c>
      <c r="F263" s="266" t="s">
        <v>446</v>
      </c>
      <c r="G263" s="266"/>
      <c r="H263" s="266"/>
      <c r="I263" s="266"/>
      <c r="J263" s="110" t="s">
        <v>293</v>
      </c>
      <c r="K263" s="111">
        <v>177.672</v>
      </c>
      <c r="L263" s="267"/>
      <c r="M263" s="267"/>
      <c r="N263" s="267">
        <f aca="true" t="shared" si="6" ref="N263:N273">K263*L263</f>
        <v>0</v>
      </c>
      <c r="O263" s="267"/>
      <c r="P263" s="267"/>
      <c r="Q263" s="267"/>
      <c r="R263" s="23"/>
      <c r="T263" s="112"/>
      <c r="U263" s="28" t="s">
        <v>37</v>
      </c>
      <c r="V263" s="113">
        <v>0</v>
      </c>
      <c r="W263" s="113">
        <f>$V$263*$K$263</f>
        <v>0</v>
      </c>
      <c r="X263" s="113">
        <v>0</v>
      </c>
      <c r="Y263" s="113">
        <f>$X$263*$K$263</f>
        <v>0</v>
      </c>
      <c r="Z263" s="113">
        <v>0</v>
      </c>
      <c r="AA263" s="114">
        <f>$Z$263*$K$263</f>
        <v>0</v>
      </c>
      <c r="AR263" s="9" t="s">
        <v>392</v>
      </c>
      <c r="AT263" s="9" t="s">
        <v>124</v>
      </c>
      <c r="AU263" s="9" t="s">
        <v>19</v>
      </c>
      <c r="AY263" s="9" t="s">
        <v>123</v>
      </c>
      <c r="BE263" s="115">
        <f>IF($U$263="základní",$N$263,0)</f>
        <v>0</v>
      </c>
      <c r="BF263" s="115">
        <f>IF($U$263="snížená",$N$263,0)</f>
        <v>0</v>
      </c>
      <c r="BG263" s="115">
        <f>IF($U$263="zákl. přenesená",$N$263,0)</f>
        <v>0</v>
      </c>
      <c r="BH263" s="115">
        <f>IF($U$263="sníž. přenesená",$N$263,0)</f>
        <v>0</v>
      </c>
      <c r="BI263" s="115">
        <f>IF($U$263="nulová",$N$263,0)</f>
        <v>0</v>
      </c>
      <c r="BJ263" s="9" t="s">
        <v>19</v>
      </c>
      <c r="BK263" s="115">
        <f>ROUND($L$263*$K$263,2)</f>
        <v>0</v>
      </c>
      <c r="BL263" s="9" t="s">
        <v>392</v>
      </c>
      <c r="BM263" s="9" t="s">
        <v>447</v>
      </c>
    </row>
    <row r="264" spans="2:65" s="9" customFormat="1" ht="16.5" customHeight="1">
      <c r="B264" s="22"/>
      <c r="C264" s="108">
        <v>101</v>
      </c>
      <c r="D264" s="108" t="s">
        <v>124</v>
      </c>
      <c r="E264" s="109" t="s">
        <v>448</v>
      </c>
      <c r="F264" s="266" t="s">
        <v>449</v>
      </c>
      <c r="G264" s="266"/>
      <c r="H264" s="266"/>
      <c r="I264" s="266"/>
      <c r="J264" s="110" t="s">
        <v>293</v>
      </c>
      <c r="K264" s="111">
        <v>197.43</v>
      </c>
      <c r="L264" s="267"/>
      <c r="M264" s="267"/>
      <c r="N264" s="267">
        <f t="shared" si="6"/>
        <v>0</v>
      </c>
      <c r="O264" s="267"/>
      <c r="P264" s="267"/>
      <c r="Q264" s="267"/>
      <c r="R264" s="23"/>
      <c r="T264" s="112"/>
      <c r="U264" s="28" t="s">
        <v>37</v>
      </c>
      <c r="V264" s="113">
        <v>0</v>
      </c>
      <c r="W264" s="113">
        <f>$V$264*$K$264</f>
        <v>0</v>
      </c>
      <c r="X264" s="113">
        <v>0</v>
      </c>
      <c r="Y264" s="113">
        <f>$X$264*$K$264</f>
        <v>0</v>
      </c>
      <c r="Z264" s="113">
        <v>0</v>
      </c>
      <c r="AA264" s="114">
        <f>$Z$264*$K$264</f>
        <v>0</v>
      </c>
      <c r="AR264" s="9" t="s">
        <v>392</v>
      </c>
      <c r="AT264" s="9" t="s">
        <v>124</v>
      </c>
      <c r="AU264" s="9" t="s">
        <v>19</v>
      </c>
      <c r="AY264" s="9" t="s">
        <v>123</v>
      </c>
      <c r="BE264" s="115">
        <f>IF($U$264="základní",$N$264,0)</f>
        <v>0</v>
      </c>
      <c r="BF264" s="115">
        <f>IF($U$264="snížená",$N$264,0)</f>
        <v>0</v>
      </c>
      <c r="BG264" s="115">
        <f>IF($U$264="zákl. přenesená",$N$264,0)</f>
        <v>0</v>
      </c>
      <c r="BH264" s="115">
        <f>IF($U$264="sníž. přenesená",$N$264,0)</f>
        <v>0</v>
      </c>
      <c r="BI264" s="115">
        <f>IF($U$264="nulová",$N$264,0)</f>
        <v>0</v>
      </c>
      <c r="BJ264" s="9" t="s">
        <v>19</v>
      </c>
      <c r="BK264" s="115">
        <f>ROUND($L$264*$K$264,2)</f>
        <v>0</v>
      </c>
      <c r="BL264" s="9" t="s">
        <v>392</v>
      </c>
      <c r="BM264" s="9" t="s">
        <v>450</v>
      </c>
    </row>
    <row r="265" spans="2:65" s="9" customFormat="1" ht="24" customHeight="1">
      <c r="B265" s="22"/>
      <c r="C265" s="119">
        <v>102</v>
      </c>
      <c r="D265" s="108" t="s">
        <v>124</v>
      </c>
      <c r="E265" s="109" t="s">
        <v>451</v>
      </c>
      <c r="F265" s="266" t="s">
        <v>452</v>
      </c>
      <c r="G265" s="266"/>
      <c r="H265" s="266"/>
      <c r="I265" s="266"/>
      <c r="J265" s="110" t="s">
        <v>293</v>
      </c>
      <c r="K265" s="111">
        <v>168.2</v>
      </c>
      <c r="L265" s="267"/>
      <c r="M265" s="267"/>
      <c r="N265" s="267">
        <f t="shared" si="6"/>
        <v>0</v>
      </c>
      <c r="O265" s="267"/>
      <c r="P265" s="267"/>
      <c r="Q265" s="267"/>
      <c r="R265" s="23"/>
      <c r="T265" s="112"/>
      <c r="U265" s="28" t="s">
        <v>37</v>
      </c>
      <c r="V265" s="113">
        <v>0</v>
      </c>
      <c r="W265" s="113">
        <f>$V$265*$K$265</f>
        <v>0</v>
      </c>
      <c r="X265" s="113">
        <v>0</v>
      </c>
      <c r="Y265" s="113">
        <f>$X$265*$K$265</f>
        <v>0</v>
      </c>
      <c r="Z265" s="113">
        <v>0</v>
      </c>
      <c r="AA265" s="114">
        <f>$Z$265*$K$265</f>
        <v>0</v>
      </c>
      <c r="AR265" s="9" t="s">
        <v>392</v>
      </c>
      <c r="AT265" s="9" t="s">
        <v>124</v>
      </c>
      <c r="AU265" s="9" t="s">
        <v>19</v>
      </c>
      <c r="AY265" s="9" t="s">
        <v>123</v>
      </c>
      <c r="BE265" s="115">
        <f>IF($U$265="základní",$N$265,0)</f>
        <v>0</v>
      </c>
      <c r="BF265" s="115">
        <f>IF($U$265="snížená",$N$265,0)</f>
        <v>0</v>
      </c>
      <c r="BG265" s="115">
        <f>IF($U$265="zákl. přenesená",$N$265,0)</f>
        <v>0</v>
      </c>
      <c r="BH265" s="115">
        <f>IF($U$265="sníž. přenesená",$N$265,0)</f>
        <v>0</v>
      </c>
      <c r="BI265" s="115">
        <f>IF($U$265="nulová",$N$265,0)</f>
        <v>0</v>
      </c>
      <c r="BJ265" s="9" t="s">
        <v>19</v>
      </c>
      <c r="BK265" s="115">
        <f>ROUND($L$265*$K$265,2)</f>
        <v>0</v>
      </c>
      <c r="BL265" s="9" t="s">
        <v>392</v>
      </c>
      <c r="BM265" s="9" t="s">
        <v>453</v>
      </c>
    </row>
    <row r="266" spans="2:65" s="9" customFormat="1" ht="16.5" customHeight="1">
      <c r="B266" s="22"/>
      <c r="C266" s="108">
        <v>103</v>
      </c>
      <c r="D266" s="108" t="s">
        <v>124</v>
      </c>
      <c r="E266" s="109" t="s">
        <v>454</v>
      </c>
      <c r="F266" s="266" t="s">
        <v>455</v>
      </c>
      <c r="G266" s="266"/>
      <c r="H266" s="266"/>
      <c r="I266" s="266"/>
      <c r="J266" s="110" t="s">
        <v>293</v>
      </c>
      <c r="K266" s="111">
        <v>197.43</v>
      </c>
      <c r="L266" s="267"/>
      <c r="M266" s="267"/>
      <c r="N266" s="267">
        <f t="shared" si="6"/>
        <v>0</v>
      </c>
      <c r="O266" s="267"/>
      <c r="P266" s="267"/>
      <c r="Q266" s="267"/>
      <c r="R266" s="23"/>
      <c r="T266" s="112"/>
      <c r="U266" s="28" t="s">
        <v>37</v>
      </c>
      <c r="V266" s="113">
        <v>0</v>
      </c>
      <c r="W266" s="113">
        <f>$V$266*$K$266</f>
        <v>0</v>
      </c>
      <c r="X266" s="113">
        <v>0</v>
      </c>
      <c r="Y266" s="113">
        <f>$X$266*$K$266</f>
        <v>0</v>
      </c>
      <c r="Z266" s="113">
        <v>0</v>
      </c>
      <c r="AA266" s="114">
        <f>$Z$266*$K$266</f>
        <v>0</v>
      </c>
      <c r="AR266" s="9" t="s">
        <v>392</v>
      </c>
      <c r="AT266" s="9" t="s">
        <v>124</v>
      </c>
      <c r="AU266" s="9" t="s">
        <v>19</v>
      </c>
      <c r="AY266" s="9" t="s">
        <v>123</v>
      </c>
      <c r="BE266" s="115">
        <f>IF($U$266="základní",$N$266,0)</f>
        <v>0</v>
      </c>
      <c r="BF266" s="115">
        <f>IF($U$266="snížená",$N$266,0)</f>
        <v>0</v>
      </c>
      <c r="BG266" s="115">
        <f>IF($U$266="zákl. přenesená",$N$266,0)</f>
        <v>0</v>
      </c>
      <c r="BH266" s="115">
        <f>IF($U$266="sníž. přenesená",$N$266,0)</f>
        <v>0</v>
      </c>
      <c r="BI266" s="115">
        <f>IF($U$266="nulová",$N$266,0)</f>
        <v>0</v>
      </c>
      <c r="BJ266" s="9" t="s">
        <v>19</v>
      </c>
      <c r="BK266" s="115">
        <f>ROUND($L$266*$K$266,2)</f>
        <v>0</v>
      </c>
      <c r="BL266" s="9" t="s">
        <v>392</v>
      </c>
      <c r="BM266" s="9" t="s">
        <v>456</v>
      </c>
    </row>
    <row r="267" spans="2:65" s="9" customFormat="1" ht="23.25" customHeight="1">
      <c r="B267" s="22"/>
      <c r="C267" s="119" t="s">
        <v>251</v>
      </c>
      <c r="D267" s="108" t="s">
        <v>124</v>
      </c>
      <c r="E267" s="109" t="s">
        <v>457</v>
      </c>
      <c r="F267" s="266" t="s">
        <v>458</v>
      </c>
      <c r="G267" s="266"/>
      <c r="H267" s="266"/>
      <c r="I267" s="266"/>
      <c r="J267" s="110" t="s">
        <v>293</v>
      </c>
      <c r="K267" s="111">
        <v>197.43</v>
      </c>
      <c r="L267" s="267"/>
      <c r="M267" s="267"/>
      <c r="N267" s="267">
        <f t="shared" si="6"/>
        <v>0</v>
      </c>
      <c r="O267" s="267"/>
      <c r="P267" s="267"/>
      <c r="Q267" s="267"/>
      <c r="R267" s="23"/>
      <c r="T267" s="112"/>
      <c r="U267" s="28" t="s">
        <v>37</v>
      </c>
      <c r="V267" s="113">
        <v>0</v>
      </c>
      <c r="W267" s="113">
        <f>$V$245*$K$245</f>
        <v>0</v>
      </c>
      <c r="X267" s="113">
        <v>0</v>
      </c>
      <c r="Y267" s="113">
        <f>$X$245*$K$245</f>
        <v>0</v>
      </c>
      <c r="Z267" s="113">
        <v>0</v>
      </c>
      <c r="AA267" s="114">
        <f>$Z$245*$K$245</f>
        <v>0</v>
      </c>
      <c r="AR267" s="9" t="s">
        <v>392</v>
      </c>
      <c r="AT267" s="9" t="s">
        <v>124</v>
      </c>
      <c r="AU267" s="9" t="s">
        <v>19</v>
      </c>
      <c r="AY267" s="9" t="s">
        <v>123</v>
      </c>
      <c r="BE267" s="115">
        <f>IF($U$245="základní",$N$245,0)</f>
        <v>0</v>
      </c>
      <c r="BF267" s="115">
        <f>IF($U$245="snížená",$N$245,0)</f>
        <v>0</v>
      </c>
      <c r="BG267" s="115">
        <f>IF($U$245="zákl. přenesená",$N$245,0)</f>
        <v>0</v>
      </c>
      <c r="BH267" s="115">
        <f>IF($U$245="sníž. přenesená",$N$245,0)</f>
        <v>0</v>
      </c>
      <c r="BI267" s="115">
        <f>IF($U$245="nulová",$N$245,0)</f>
        <v>0</v>
      </c>
      <c r="BJ267" s="9" t="s">
        <v>19</v>
      </c>
      <c r="BK267" s="115">
        <f>ROUND($L$245*$K$245,2)</f>
        <v>0</v>
      </c>
      <c r="BL267" s="9" t="s">
        <v>392</v>
      </c>
      <c r="BM267" s="9" t="s">
        <v>459</v>
      </c>
    </row>
    <row r="268" spans="2:65" s="9" customFormat="1" ht="23.25" customHeight="1">
      <c r="B268" s="22"/>
      <c r="C268" s="108">
        <v>104</v>
      </c>
      <c r="D268" s="108" t="s">
        <v>124</v>
      </c>
      <c r="E268" s="109" t="s">
        <v>460</v>
      </c>
      <c r="F268" s="266" t="s">
        <v>461</v>
      </c>
      <c r="G268" s="266"/>
      <c r="H268" s="266"/>
      <c r="I268" s="266"/>
      <c r="J268" s="110" t="s">
        <v>211</v>
      </c>
      <c r="K268" s="111">
        <v>14</v>
      </c>
      <c r="L268" s="267"/>
      <c r="M268" s="267"/>
      <c r="N268" s="267">
        <f t="shared" si="6"/>
        <v>0</v>
      </c>
      <c r="O268" s="267"/>
      <c r="P268" s="267"/>
      <c r="Q268" s="267"/>
      <c r="R268" s="23"/>
      <c r="T268" s="112"/>
      <c r="U268" s="28" t="s">
        <v>37</v>
      </c>
      <c r="V268" s="113">
        <v>0</v>
      </c>
      <c r="W268" s="113">
        <f>$V$268*$K$268</f>
        <v>0</v>
      </c>
      <c r="X268" s="113">
        <v>0</v>
      </c>
      <c r="Y268" s="113">
        <f>$X$268*$K$268</f>
        <v>0</v>
      </c>
      <c r="Z268" s="113">
        <v>0</v>
      </c>
      <c r="AA268" s="114">
        <f>$Z$268*$K$268</f>
        <v>0</v>
      </c>
      <c r="AR268" s="9" t="s">
        <v>392</v>
      </c>
      <c r="AT268" s="9" t="s">
        <v>124</v>
      </c>
      <c r="AU268" s="9" t="s">
        <v>19</v>
      </c>
      <c r="AY268" s="9" t="s">
        <v>123</v>
      </c>
      <c r="BE268" s="115">
        <f>IF($U$268="základní",$N$268,0)</f>
        <v>0</v>
      </c>
      <c r="BF268" s="115">
        <f>IF($U$268="snížená",$N$268,0)</f>
        <v>0</v>
      </c>
      <c r="BG268" s="115">
        <f>IF($U$268="zákl. přenesená",$N$268,0)</f>
        <v>0</v>
      </c>
      <c r="BH268" s="115">
        <f>IF($U$268="sníž. přenesená",$N$268,0)</f>
        <v>0</v>
      </c>
      <c r="BI268" s="115">
        <f>IF($U$268="nulová",$N$268,0)</f>
        <v>0</v>
      </c>
      <c r="BJ268" s="9" t="s">
        <v>19</v>
      </c>
      <c r="BK268" s="115">
        <f>ROUND($L$268*$K$268,2)</f>
        <v>0</v>
      </c>
      <c r="BL268" s="9" t="s">
        <v>392</v>
      </c>
      <c r="BM268" s="9" t="s">
        <v>459</v>
      </c>
    </row>
    <row r="269" spans="2:65" s="9" customFormat="1" ht="15.75" customHeight="1">
      <c r="B269" s="22"/>
      <c r="C269" s="108">
        <v>106</v>
      </c>
      <c r="D269" s="108" t="s">
        <v>124</v>
      </c>
      <c r="E269" s="109" t="s">
        <v>462</v>
      </c>
      <c r="F269" s="266" t="s">
        <v>463</v>
      </c>
      <c r="G269" s="266"/>
      <c r="H269" s="266"/>
      <c r="I269" s="266"/>
      <c r="J269" s="110" t="s">
        <v>211</v>
      </c>
      <c r="K269" s="111">
        <v>5</v>
      </c>
      <c r="L269" s="267"/>
      <c r="M269" s="267"/>
      <c r="N269" s="267">
        <f t="shared" si="6"/>
        <v>0</v>
      </c>
      <c r="O269" s="267"/>
      <c r="P269" s="267"/>
      <c r="Q269" s="267"/>
      <c r="R269" s="23"/>
      <c r="T269" s="112"/>
      <c r="U269" s="28" t="s">
        <v>37</v>
      </c>
      <c r="V269" s="113">
        <v>0</v>
      </c>
      <c r="W269" s="113">
        <f>$V$269*$K$269</f>
        <v>0</v>
      </c>
      <c r="X269" s="113">
        <v>0</v>
      </c>
      <c r="Y269" s="113">
        <f>$X$269*$K$269</f>
        <v>0</v>
      </c>
      <c r="Z269" s="113">
        <v>0</v>
      </c>
      <c r="AA269" s="114">
        <f>$Z$269*$K$269</f>
        <v>0</v>
      </c>
      <c r="AR269" s="9" t="s">
        <v>392</v>
      </c>
      <c r="AT269" s="9" t="s">
        <v>124</v>
      </c>
      <c r="AU269" s="9" t="s">
        <v>19</v>
      </c>
      <c r="AY269" s="9" t="s">
        <v>123</v>
      </c>
      <c r="BE269" s="115">
        <f>IF($U$269="základní",$N$269,0)</f>
        <v>0</v>
      </c>
      <c r="BF269" s="115">
        <f>IF($U$269="snížená",$N$269,0)</f>
        <v>0</v>
      </c>
      <c r="BG269" s="115">
        <f>IF($U$269="zákl. přenesená",$N$269,0)</f>
        <v>0</v>
      </c>
      <c r="BH269" s="115">
        <f>IF($U$269="sníž. přenesená",$N$269,0)</f>
        <v>0</v>
      </c>
      <c r="BI269" s="115">
        <f>IF($U$269="nulová",$N$269,0)</f>
        <v>0</v>
      </c>
      <c r="BJ269" s="9" t="s">
        <v>19</v>
      </c>
      <c r="BK269" s="115">
        <f>ROUND($L$269*$K$269,2)</f>
        <v>0</v>
      </c>
      <c r="BL269" s="9" t="s">
        <v>392</v>
      </c>
      <c r="BM269" s="9" t="s">
        <v>464</v>
      </c>
    </row>
    <row r="270" spans="2:65" s="9" customFormat="1" ht="26.25" customHeight="1">
      <c r="B270" s="22"/>
      <c r="C270" s="108">
        <v>107</v>
      </c>
      <c r="D270" s="108" t="s">
        <v>124</v>
      </c>
      <c r="E270" s="109" t="s">
        <v>465</v>
      </c>
      <c r="F270" s="266" t="s">
        <v>466</v>
      </c>
      <c r="G270" s="266"/>
      <c r="H270" s="266"/>
      <c r="I270" s="266"/>
      <c r="J270" s="110" t="s">
        <v>176</v>
      </c>
      <c r="K270" s="111">
        <v>1</v>
      </c>
      <c r="L270" s="267"/>
      <c r="M270" s="267"/>
      <c r="N270" s="267">
        <f t="shared" si="6"/>
        <v>0</v>
      </c>
      <c r="O270" s="267"/>
      <c r="P270" s="267"/>
      <c r="Q270" s="267"/>
      <c r="R270" s="23"/>
      <c r="T270" s="112"/>
      <c r="U270" s="28" t="s">
        <v>37</v>
      </c>
      <c r="V270" s="113">
        <v>0</v>
      </c>
      <c r="W270" s="113">
        <f>$V$270*$K$270</f>
        <v>0</v>
      </c>
      <c r="X270" s="113">
        <v>0</v>
      </c>
      <c r="Y270" s="113">
        <f>$X$270*$K$270</f>
        <v>0</v>
      </c>
      <c r="Z270" s="113">
        <v>0</v>
      </c>
      <c r="AA270" s="114">
        <f>$Z$270*$K$270</f>
        <v>0</v>
      </c>
      <c r="AR270" s="9" t="s">
        <v>392</v>
      </c>
      <c r="AT270" s="9" t="s">
        <v>124</v>
      </c>
      <c r="AU270" s="9" t="s">
        <v>19</v>
      </c>
      <c r="AY270" s="9" t="s">
        <v>123</v>
      </c>
      <c r="BE270" s="115">
        <f>IF($U$270="základní",$N$270,0)</f>
        <v>0</v>
      </c>
      <c r="BF270" s="115">
        <f>IF($U$270="snížená",$N$270,0)</f>
        <v>0</v>
      </c>
      <c r="BG270" s="115">
        <f>IF($U$270="zákl. přenesená",$N$270,0)</f>
        <v>0</v>
      </c>
      <c r="BH270" s="115">
        <f>IF($U$270="sníž. přenesená",$N$270,0)</f>
        <v>0</v>
      </c>
      <c r="BI270" s="115">
        <f>IF($U$270="nulová",$N$270,0)</f>
        <v>0</v>
      </c>
      <c r="BJ270" s="9" t="s">
        <v>19</v>
      </c>
      <c r="BK270" s="115">
        <f>ROUND($L$270*$K$270,2)</f>
        <v>0</v>
      </c>
      <c r="BL270" s="9" t="s">
        <v>392</v>
      </c>
      <c r="BM270" s="9" t="s">
        <v>467</v>
      </c>
    </row>
    <row r="271" spans="2:65" s="9" customFormat="1" ht="12.75" customHeight="1">
      <c r="B271" s="22"/>
      <c r="C271" s="108">
        <v>108</v>
      </c>
      <c r="D271" s="108" t="s">
        <v>124</v>
      </c>
      <c r="E271" s="109" t="s">
        <v>468</v>
      </c>
      <c r="F271" s="266" t="s">
        <v>469</v>
      </c>
      <c r="G271" s="266"/>
      <c r="H271" s="266"/>
      <c r="I271" s="266"/>
      <c r="J271" s="110" t="s">
        <v>211</v>
      </c>
      <c r="K271" s="146">
        <v>1</v>
      </c>
      <c r="L271" s="267"/>
      <c r="M271" s="267"/>
      <c r="N271" s="267">
        <f t="shared" si="6"/>
        <v>0</v>
      </c>
      <c r="O271" s="267"/>
      <c r="P271" s="267"/>
      <c r="Q271" s="267"/>
      <c r="R271" s="23"/>
      <c r="T271" s="112"/>
      <c r="U271" s="28" t="s">
        <v>37</v>
      </c>
      <c r="V271" s="113">
        <v>0</v>
      </c>
      <c r="W271" s="113">
        <f>$V$271*$K$271</f>
        <v>0</v>
      </c>
      <c r="X271" s="113">
        <v>0</v>
      </c>
      <c r="Y271" s="113">
        <f>$X$271*$K$271</f>
        <v>0</v>
      </c>
      <c r="Z271" s="113">
        <v>0</v>
      </c>
      <c r="AA271" s="114">
        <f>$Z$271*$K$271</f>
        <v>0</v>
      </c>
      <c r="AR271" s="9" t="s">
        <v>392</v>
      </c>
      <c r="AT271" s="9" t="s">
        <v>124</v>
      </c>
      <c r="AU271" s="9" t="s">
        <v>19</v>
      </c>
      <c r="AY271" s="9" t="s">
        <v>123</v>
      </c>
      <c r="BE271" s="115">
        <f>IF($U$271="základní",$N$271,0)</f>
        <v>0</v>
      </c>
      <c r="BF271" s="115">
        <f>IF($U$271="snížená",$N$271,0)</f>
        <v>0</v>
      </c>
      <c r="BG271" s="115">
        <f>IF($U$271="zákl. přenesená",$N$271,0)</f>
        <v>0</v>
      </c>
      <c r="BH271" s="115">
        <f>IF($U$271="sníž. přenesená",$N$271,0)</f>
        <v>0</v>
      </c>
      <c r="BI271" s="115">
        <f>IF($U$271="nulová",$N$271,0)</f>
        <v>0</v>
      </c>
      <c r="BJ271" s="9" t="s">
        <v>19</v>
      </c>
      <c r="BK271" s="115">
        <f>ROUND($L$271*$K$271,2)</f>
        <v>0</v>
      </c>
      <c r="BL271" s="9" t="s">
        <v>392</v>
      </c>
      <c r="BM271" s="9" t="s">
        <v>470</v>
      </c>
    </row>
    <row r="272" spans="2:63" s="9" customFormat="1" ht="27" customHeight="1">
      <c r="B272" s="22"/>
      <c r="C272" s="108">
        <v>109</v>
      </c>
      <c r="D272" s="108" t="s">
        <v>124</v>
      </c>
      <c r="E272" s="109" t="s">
        <v>471</v>
      </c>
      <c r="F272" s="266" t="s">
        <v>472</v>
      </c>
      <c r="G272" s="266"/>
      <c r="H272" s="266"/>
      <c r="I272" s="266"/>
      <c r="J272" s="110" t="s">
        <v>211</v>
      </c>
      <c r="K272" s="111">
        <v>4</v>
      </c>
      <c r="L272" s="267"/>
      <c r="M272" s="267"/>
      <c r="N272" s="267">
        <f t="shared" si="6"/>
        <v>0</v>
      </c>
      <c r="O272" s="267"/>
      <c r="P272" s="267"/>
      <c r="Q272" s="267"/>
      <c r="R272" s="23"/>
      <c r="T272" s="112"/>
      <c r="U272" s="28"/>
      <c r="V272" s="113"/>
      <c r="W272" s="113"/>
      <c r="X272" s="113"/>
      <c r="Y272" s="113"/>
      <c r="Z272" s="113"/>
      <c r="AA272" s="114"/>
      <c r="BE272" s="115"/>
      <c r="BF272" s="115"/>
      <c r="BG272" s="115"/>
      <c r="BH272" s="115"/>
      <c r="BI272" s="115"/>
      <c r="BK272" s="115"/>
    </row>
    <row r="273" spans="2:65" s="9" customFormat="1" ht="27" customHeight="1">
      <c r="B273" s="22"/>
      <c r="C273" s="108">
        <v>110</v>
      </c>
      <c r="D273" s="108" t="s">
        <v>124</v>
      </c>
      <c r="E273" s="109" t="s">
        <v>473</v>
      </c>
      <c r="F273" s="266" t="s">
        <v>474</v>
      </c>
      <c r="G273" s="266"/>
      <c r="H273" s="266"/>
      <c r="I273" s="266"/>
      <c r="J273" s="110" t="s">
        <v>404</v>
      </c>
      <c r="K273" s="111">
        <f>SUM(N263:Q272)/100</f>
        <v>0</v>
      </c>
      <c r="L273" s="267"/>
      <c r="M273" s="267"/>
      <c r="N273" s="267">
        <f t="shared" si="6"/>
        <v>0</v>
      </c>
      <c r="O273" s="267"/>
      <c r="P273" s="267"/>
      <c r="Q273" s="267"/>
      <c r="R273" s="23"/>
      <c r="T273" s="112"/>
      <c r="U273" s="28" t="s">
        <v>37</v>
      </c>
      <c r="V273" s="113">
        <v>0</v>
      </c>
      <c r="W273" s="113" t="e">
        <f>#REF!*#REF!</f>
        <v>#REF!</v>
      </c>
      <c r="X273" s="113">
        <v>0</v>
      </c>
      <c r="Y273" s="113" t="e">
        <f>#REF!*#REF!</f>
        <v>#REF!</v>
      </c>
      <c r="Z273" s="113">
        <v>0</v>
      </c>
      <c r="AA273" s="114" t="e">
        <f>#REF!*#REF!</f>
        <v>#REF!</v>
      </c>
      <c r="AR273" s="9" t="s">
        <v>392</v>
      </c>
      <c r="AT273" s="9" t="s">
        <v>124</v>
      </c>
      <c r="AU273" s="9" t="s">
        <v>19</v>
      </c>
      <c r="AY273" s="9" t="s">
        <v>123</v>
      </c>
      <c r="BE273" s="115" t="e">
        <f>IF(#REF!="základní",#REF!,0)</f>
        <v>#REF!</v>
      </c>
      <c r="BF273" s="115" t="e">
        <f>IF(#REF!="snížená",#REF!,0)</f>
        <v>#REF!</v>
      </c>
      <c r="BG273" s="115" t="e">
        <f>IF(#REF!="zákl. přenesená",#REF!,0)</f>
        <v>#REF!</v>
      </c>
      <c r="BH273" s="115" t="e">
        <f>IF(#REF!="sníž. přenesená",#REF!,0)</f>
        <v>#REF!</v>
      </c>
      <c r="BI273" s="115" t="e">
        <f>IF(#REF!="nulová",#REF!,0)</f>
        <v>#REF!</v>
      </c>
      <c r="BJ273" s="9" t="s">
        <v>19</v>
      </c>
      <c r="BK273" s="115" t="e">
        <f>ROUND(#REF!*#REF!,2)</f>
        <v>#REF!</v>
      </c>
      <c r="BL273" s="9" t="s">
        <v>392</v>
      </c>
      <c r="BM273" s="9" t="s">
        <v>475</v>
      </c>
    </row>
    <row r="274" spans="2:63" s="99" customFormat="1" ht="37.5" customHeight="1">
      <c r="B274" s="100"/>
      <c r="D274" s="101" t="s">
        <v>165</v>
      </c>
      <c r="E274" s="101"/>
      <c r="F274" s="101"/>
      <c r="G274" s="101"/>
      <c r="H274" s="101"/>
      <c r="I274" s="101"/>
      <c r="J274" s="101"/>
      <c r="K274" s="101"/>
      <c r="L274" s="101"/>
      <c r="M274" s="101"/>
      <c r="N274" s="268">
        <f>SUM(N275:Q286)</f>
        <v>0</v>
      </c>
      <c r="O274" s="268"/>
      <c r="P274" s="268"/>
      <c r="Q274" s="268"/>
      <c r="R274" s="102"/>
      <c r="T274" s="103"/>
      <c r="W274" s="104" t="e">
        <f>SUM($W$275:$W$285)</f>
        <v>#REF!</v>
      </c>
      <c r="Y274" s="104" t="e">
        <f>SUM($Y$275:$Y$285)</f>
        <v>#REF!</v>
      </c>
      <c r="AA274" s="105" t="e">
        <f>SUM($AA$275:$AA$285)</f>
        <v>#REF!</v>
      </c>
      <c r="AR274" s="106" t="s">
        <v>19</v>
      </c>
      <c r="AT274" s="106" t="s">
        <v>71</v>
      </c>
      <c r="AU274" s="106" t="s">
        <v>72</v>
      </c>
      <c r="AY274" s="106" t="s">
        <v>123</v>
      </c>
      <c r="BK274" s="107" t="e">
        <f>SUM($BK$275:$BK$285)</f>
        <v>#REF!</v>
      </c>
    </row>
    <row r="275" spans="2:65" s="9" customFormat="1" ht="15" customHeight="1">
      <c r="B275" s="22"/>
      <c r="C275" s="108">
        <v>111</v>
      </c>
      <c r="D275" s="108" t="s">
        <v>124</v>
      </c>
      <c r="E275" s="109" t="s">
        <v>476</v>
      </c>
      <c r="F275" s="266" t="s">
        <v>477</v>
      </c>
      <c r="G275" s="266"/>
      <c r="H275" s="266"/>
      <c r="I275" s="266"/>
      <c r="J275" s="110" t="s">
        <v>211</v>
      </c>
      <c r="K275" s="111">
        <v>1</v>
      </c>
      <c r="L275" s="267"/>
      <c r="M275" s="267"/>
      <c r="N275" s="267">
        <f aca="true" t="shared" si="7" ref="N275:N285">K275*L275</f>
        <v>0</v>
      </c>
      <c r="O275" s="267"/>
      <c r="P275" s="267"/>
      <c r="Q275" s="267"/>
      <c r="R275" s="23"/>
      <c r="T275" s="112"/>
      <c r="U275" s="28" t="s">
        <v>37</v>
      </c>
      <c r="V275" s="113">
        <v>0</v>
      </c>
      <c r="W275" s="113">
        <f>$V$275*$K$275</f>
        <v>0</v>
      </c>
      <c r="X275" s="113">
        <v>0</v>
      </c>
      <c r="Y275" s="113">
        <f>$X$275*$K$275</f>
        <v>0</v>
      </c>
      <c r="Z275" s="113">
        <v>0</v>
      </c>
      <c r="AA275" s="114">
        <f>$Z$275*$K$275</f>
        <v>0</v>
      </c>
      <c r="AR275" s="9" t="s">
        <v>392</v>
      </c>
      <c r="AT275" s="9" t="s">
        <v>124</v>
      </c>
      <c r="AU275" s="9" t="s">
        <v>19</v>
      </c>
      <c r="AY275" s="9" t="s">
        <v>123</v>
      </c>
      <c r="BE275" s="115">
        <f>IF($U$275="základní",$N$275,0)</f>
        <v>0</v>
      </c>
      <c r="BF275" s="115">
        <f>IF($U$275="snížená",$N$275,0)</f>
        <v>0</v>
      </c>
      <c r="BG275" s="115">
        <f>IF($U$275="zákl. přenesená",$N$275,0)</f>
        <v>0</v>
      </c>
      <c r="BH275" s="115">
        <f>IF($U$275="sníž. přenesená",$N$275,0)</f>
        <v>0</v>
      </c>
      <c r="BI275" s="115">
        <f>IF($U$275="nulová",$N$275,0)</f>
        <v>0</v>
      </c>
      <c r="BJ275" s="9" t="s">
        <v>19</v>
      </c>
      <c r="BK275" s="115">
        <f>ROUND($L$275*$K$275,2)</f>
        <v>0</v>
      </c>
      <c r="BL275" s="9" t="s">
        <v>392</v>
      </c>
      <c r="BM275" s="9" t="s">
        <v>478</v>
      </c>
    </row>
    <row r="276" spans="2:65" s="9" customFormat="1" ht="27" customHeight="1">
      <c r="B276" s="22"/>
      <c r="C276" s="108">
        <v>112</v>
      </c>
      <c r="D276" s="108" t="s">
        <v>124</v>
      </c>
      <c r="E276" s="109" t="s">
        <v>479</v>
      </c>
      <c r="F276" s="266" t="s">
        <v>480</v>
      </c>
      <c r="G276" s="266"/>
      <c r="H276" s="266"/>
      <c r="I276" s="266"/>
      <c r="J276" s="110" t="s">
        <v>176</v>
      </c>
      <c r="K276" s="111">
        <v>2</v>
      </c>
      <c r="L276" s="267"/>
      <c r="M276" s="267"/>
      <c r="N276" s="267">
        <f t="shared" si="7"/>
        <v>0</v>
      </c>
      <c r="O276" s="267"/>
      <c r="P276" s="267"/>
      <c r="Q276" s="267"/>
      <c r="R276" s="23"/>
      <c r="T276" s="112"/>
      <c r="U276" s="28" t="s">
        <v>37</v>
      </c>
      <c r="V276" s="113">
        <v>0</v>
      </c>
      <c r="W276" s="113">
        <f>$V$276*$K$276</f>
        <v>0</v>
      </c>
      <c r="X276" s="113">
        <v>0</v>
      </c>
      <c r="Y276" s="113">
        <f>$X$276*$K$276</f>
        <v>0</v>
      </c>
      <c r="Z276" s="113">
        <v>0</v>
      </c>
      <c r="AA276" s="114">
        <f>$Z$276*$K$276</f>
        <v>0</v>
      </c>
      <c r="AR276" s="9" t="s">
        <v>392</v>
      </c>
      <c r="AT276" s="9" t="s">
        <v>124</v>
      </c>
      <c r="AU276" s="9" t="s">
        <v>19</v>
      </c>
      <c r="AY276" s="9" t="s">
        <v>123</v>
      </c>
      <c r="BE276" s="115">
        <f>IF($U$276="základní",$N$276,0)</f>
        <v>0</v>
      </c>
      <c r="BF276" s="115">
        <f>IF($U$276="snížená",$N$276,0)</f>
        <v>0</v>
      </c>
      <c r="BG276" s="115">
        <f>IF($U$276="zákl. přenesená",$N$276,0)</f>
        <v>0</v>
      </c>
      <c r="BH276" s="115">
        <f>IF($U$276="sníž. přenesená",$N$276,0)</f>
        <v>0</v>
      </c>
      <c r="BI276" s="115">
        <f>IF($U$276="nulová",$N$276,0)</f>
        <v>0</v>
      </c>
      <c r="BJ276" s="9" t="s">
        <v>19</v>
      </c>
      <c r="BK276" s="115">
        <f>ROUND($L$276*$K$276,2)</f>
        <v>0</v>
      </c>
      <c r="BL276" s="9" t="s">
        <v>392</v>
      </c>
      <c r="BM276" s="9" t="s">
        <v>481</v>
      </c>
    </row>
    <row r="277" spans="2:65" s="9" customFormat="1" ht="18" customHeight="1">
      <c r="B277" s="22"/>
      <c r="C277" s="108">
        <v>113</v>
      </c>
      <c r="D277" s="108" t="s">
        <v>124</v>
      </c>
      <c r="E277" s="109" t="s">
        <v>482</v>
      </c>
      <c r="F277" s="266" t="s">
        <v>483</v>
      </c>
      <c r="G277" s="266"/>
      <c r="H277" s="266"/>
      <c r="I277" s="266"/>
      <c r="J277" s="110" t="s">
        <v>211</v>
      </c>
      <c r="K277" s="111">
        <v>4</v>
      </c>
      <c r="L277" s="267"/>
      <c r="M277" s="267"/>
      <c r="N277" s="267">
        <f t="shared" si="7"/>
        <v>0</v>
      </c>
      <c r="O277" s="267"/>
      <c r="P277" s="267"/>
      <c r="Q277" s="267"/>
      <c r="R277" s="23"/>
      <c r="T277" s="112"/>
      <c r="U277" s="28" t="s">
        <v>37</v>
      </c>
      <c r="V277" s="113">
        <v>0</v>
      </c>
      <c r="W277" s="113">
        <f>$V$277*$K$277</f>
        <v>0</v>
      </c>
      <c r="X277" s="113">
        <v>0</v>
      </c>
      <c r="Y277" s="113">
        <f>$X$277*$K$277</f>
        <v>0</v>
      </c>
      <c r="Z277" s="113">
        <v>0</v>
      </c>
      <c r="AA277" s="114">
        <f>$Z$277*$K$277</f>
        <v>0</v>
      </c>
      <c r="AR277" s="9" t="s">
        <v>392</v>
      </c>
      <c r="AT277" s="9" t="s">
        <v>124</v>
      </c>
      <c r="AU277" s="9" t="s">
        <v>19</v>
      </c>
      <c r="AY277" s="9" t="s">
        <v>123</v>
      </c>
      <c r="BE277" s="115">
        <f>IF($U$277="základní",$N$277,0)</f>
        <v>0</v>
      </c>
      <c r="BF277" s="115">
        <f>IF($U$277="snížená",$N$277,0)</f>
        <v>0</v>
      </c>
      <c r="BG277" s="115">
        <f>IF($U$277="zákl. přenesená",$N$277,0)</f>
        <v>0</v>
      </c>
      <c r="BH277" s="115">
        <f>IF($U$277="sníž. přenesená",$N$277,0)</f>
        <v>0</v>
      </c>
      <c r="BI277" s="115">
        <f>IF($U$277="nulová",$N$277,0)</f>
        <v>0</v>
      </c>
      <c r="BJ277" s="9" t="s">
        <v>19</v>
      </c>
      <c r="BK277" s="115">
        <f>ROUND($L$277*$K$277,2)</f>
        <v>0</v>
      </c>
      <c r="BL277" s="9" t="s">
        <v>392</v>
      </c>
      <c r="BM277" s="9" t="s">
        <v>484</v>
      </c>
    </row>
    <row r="278" spans="2:65" s="9" customFormat="1" ht="15.75" customHeight="1">
      <c r="B278" s="22"/>
      <c r="C278" s="108">
        <v>114</v>
      </c>
      <c r="D278" s="108" t="s">
        <v>124</v>
      </c>
      <c r="E278" s="109" t="s">
        <v>485</v>
      </c>
      <c r="F278" s="266" t="s">
        <v>486</v>
      </c>
      <c r="G278" s="266"/>
      <c r="H278" s="266"/>
      <c r="I278" s="266"/>
      <c r="J278" s="110" t="s">
        <v>293</v>
      </c>
      <c r="K278" s="111">
        <v>18.4</v>
      </c>
      <c r="L278" s="267"/>
      <c r="M278" s="267"/>
      <c r="N278" s="267">
        <f t="shared" si="7"/>
        <v>0</v>
      </c>
      <c r="O278" s="267"/>
      <c r="P278" s="267"/>
      <c r="Q278" s="267"/>
      <c r="R278" s="23"/>
      <c r="T278" s="112"/>
      <c r="U278" s="28" t="s">
        <v>37</v>
      </c>
      <c r="V278" s="113">
        <v>0</v>
      </c>
      <c r="W278" s="113">
        <f>$V$278*$K$278</f>
        <v>0</v>
      </c>
      <c r="X278" s="113">
        <v>0</v>
      </c>
      <c r="Y278" s="113">
        <f>$X$278*$K$278</f>
        <v>0</v>
      </c>
      <c r="Z278" s="113">
        <v>0</v>
      </c>
      <c r="AA278" s="114">
        <f>$Z$278*$K$278</f>
        <v>0</v>
      </c>
      <c r="AR278" s="9" t="s">
        <v>392</v>
      </c>
      <c r="AT278" s="9" t="s">
        <v>124</v>
      </c>
      <c r="AU278" s="9" t="s">
        <v>19</v>
      </c>
      <c r="AY278" s="9" t="s">
        <v>123</v>
      </c>
      <c r="BE278" s="115">
        <f>IF($U$278="základní",$N$278,0)</f>
        <v>0</v>
      </c>
      <c r="BF278" s="115">
        <f>IF($U$278="snížená",$N$278,0)</f>
        <v>0</v>
      </c>
      <c r="BG278" s="115">
        <f>IF($U$278="zákl. přenesená",$N$278,0)</f>
        <v>0</v>
      </c>
      <c r="BH278" s="115">
        <f>IF($U$278="sníž. přenesená",$N$278,0)</f>
        <v>0</v>
      </c>
      <c r="BI278" s="115">
        <f>IF($U$278="nulová",$N$278,0)</f>
        <v>0</v>
      </c>
      <c r="BJ278" s="9" t="s">
        <v>19</v>
      </c>
      <c r="BK278" s="115">
        <f>ROUND($L$278*$K$278,2)</f>
        <v>0</v>
      </c>
      <c r="BL278" s="9" t="s">
        <v>392</v>
      </c>
      <c r="BM278" s="9" t="s">
        <v>487</v>
      </c>
    </row>
    <row r="279" spans="2:65" s="9" customFormat="1" ht="33.75" customHeight="1">
      <c r="B279" s="22"/>
      <c r="C279" s="119">
        <v>115</v>
      </c>
      <c r="D279" s="108" t="s">
        <v>124</v>
      </c>
      <c r="E279" s="109" t="s">
        <v>488</v>
      </c>
      <c r="F279" s="266" t="s">
        <v>489</v>
      </c>
      <c r="G279" s="266"/>
      <c r="H279" s="266"/>
      <c r="I279" s="266"/>
      <c r="J279" s="110" t="s">
        <v>293</v>
      </c>
      <c r="K279" s="111">
        <v>7.371</v>
      </c>
      <c r="L279" s="267"/>
      <c r="M279" s="267"/>
      <c r="N279" s="267">
        <f t="shared" si="7"/>
        <v>0</v>
      </c>
      <c r="O279" s="267"/>
      <c r="P279" s="267"/>
      <c r="Q279" s="267"/>
      <c r="R279" s="23"/>
      <c r="T279" s="112"/>
      <c r="U279" s="28" t="s">
        <v>37</v>
      </c>
      <c r="V279" s="113">
        <v>0</v>
      </c>
      <c r="W279" s="113">
        <f>$V$279*$K$279</f>
        <v>0</v>
      </c>
      <c r="X279" s="113">
        <v>0</v>
      </c>
      <c r="Y279" s="113">
        <f>$X$279*$K$279</f>
        <v>0</v>
      </c>
      <c r="Z279" s="113">
        <v>0</v>
      </c>
      <c r="AA279" s="114">
        <f>$Z$279*$K$279</f>
        <v>0</v>
      </c>
      <c r="AR279" s="9" t="s">
        <v>392</v>
      </c>
      <c r="AT279" s="9" t="s">
        <v>124</v>
      </c>
      <c r="AU279" s="9" t="s">
        <v>19</v>
      </c>
      <c r="AY279" s="9" t="s">
        <v>123</v>
      </c>
      <c r="BE279" s="115">
        <f>IF($U$279="základní",$N$279,0)</f>
        <v>0</v>
      </c>
      <c r="BF279" s="115">
        <f>IF($U$279="snížená",$N$279,0)</f>
        <v>0</v>
      </c>
      <c r="BG279" s="115">
        <f>IF($U$279="zákl. přenesená",$N$279,0)</f>
        <v>0</v>
      </c>
      <c r="BH279" s="115">
        <f>IF($U$279="sníž. přenesená",$N$279,0)</f>
        <v>0</v>
      </c>
      <c r="BI279" s="115">
        <f>IF($U$279="nulová",$N$279,0)</f>
        <v>0</v>
      </c>
      <c r="BJ279" s="9" t="s">
        <v>19</v>
      </c>
      <c r="BK279" s="115">
        <f>ROUND($L$279*$K$279,2)</f>
        <v>0</v>
      </c>
      <c r="BL279" s="9" t="s">
        <v>392</v>
      </c>
      <c r="BM279" s="9" t="s">
        <v>490</v>
      </c>
    </row>
    <row r="280" spans="2:65" s="9" customFormat="1" ht="36.75" customHeight="1">
      <c r="B280" s="22"/>
      <c r="C280" s="108">
        <v>116</v>
      </c>
      <c r="D280" s="108" t="s">
        <v>124</v>
      </c>
      <c r="E280" s="109" t="s">
        <v>491</v>
      </c>
      <c r="F280" s="266" t="s">
        <v>492</v>
      </c>
      <c r="G280" s="266"/>
      <c r="H280" s="266"/>
      <c r="I280" s="266"/>
      <c r="J280" s="110" t="s">
        <v>293</v>
      </c>
      <c r="K280" s="111">
        <v>4</v>
      </c>
      <c r="L280" s="267"/>
      <c r="M280" s="267"/>
      <c r="N280" s="267">
        <f t="shared" si="7"/>
        <v>0</v>
      </c>
      <c r="O280" s="267"/>
      <c r="P280" s="267"/>
      <c r="Q280" s="267"/>
      <c r="R280" s="23"/>
      <c r="T280" s="112"/>
      <c r="U280" s="28" t="s">
        <v>37</v>
      </c>
      <c r="V280" s="113">
        <v>0</v>
      </c>
      <c r="W280" s="113">
        <f>$V$280*$K$280</f>
        <v>0</v>
      </c>
      <c r="X280" s="113">
        <v>0</v>
      </c>
      <c r="Y280" s="113">
        <f>$X$280*$K$280</f>
        <v>0</v>
      </c>
      <c r="Z280" s="113">
        <v>0</v>
      </c>
      <c r="AA280" s="114">
        <f>$Z$280*$K$280</f>
        <v>0</v>
      </c>
      <c r="AR280" s="9" t="s">
        <v>392</v>
      </c>
      <c r="AT280" s="9" t="s">
        <v>124</v>
      </c>
      <c r="AU280" s="9" t="s">
        <v>19</v>
      </c>
      <c r="AY280" s="9" t="s">
        <v>123</v>
      </c>
      <c r="BE280" s="115">
        <f>IF($U$280="základní",$N$280,0)</f>
        <v>0</v>
      </c>
      <c r="BF280" s="115">
        <f>IF($U$280="snížená",$N$280,0)</f>
        <v>0</v>
      </c>
      <c r="BG280" s="115">
        <f>IF($U$280="zákl. přenesená",$N$280,0)</f>
        <v>0</v>
      </c>
      <c r="BH280" s="115">
        <f>IF($U$280="sníž. přenesená",$N$280,0)</f>
        <v>0</v>
      </c>
      <c r="BI280" s="115">
        <f>IF($U$280="nulová",$N$280,0)</f>
        <v>0</v>
      </c>
      <c r="BJ280" s="9" t="s">
        <v>19</v>
      </c>
      <c r="BK280" s="115">
        <f>ROUND($L$280*$K$280,2)</f>
        <v>0</v>
      </c>
      <c r="BL280" s="9" t="s">
        <v>392</v>
      </c>
      <c r="BM280" s="9" t="s">
        <v>493</v>
      </c>
    </row>
    <row r="281" spans="2:65" s="9" customFormat="1" ht="18" customHeight="1">
      <c r="B281" s="22"/>
      <c r="C281" s="108">
        <v>117</v>
      </c>
      <c r="D281" s="108" t="s">
        <v>124</v>
      </c>
      <c r="E281" s="109" t="s">
        <v>494</v>
      </c>
      <c r="F281" s="266" t="s">
        <v>495</v>
      </c>
      <c r="G281" s="266"/>
      <c r="H281" s="266"/>
      <c r="I281" s="266"/>
      <c r="J281" s="110" t="s">
        <v>211</v>
      </c>
      <c r="K281" s="111">
        <v>5</v>
      </c>
      <c r="L281" s="267"/>
      <c r="M281" s="267"/>
      <c r="N281" s="267">
        <f t="shared" si="7"/>
        <v>0</v>
      </c>
      <c r="O281" s="267"/>
      <c r="P281" s="267"/>
      <c r="Q281" s="267"/>
      <c r="R281" s="23"/>
      <c r="T281" s="112"/>
      <c r="U281" s="28" t="s">
        <v>37</v>
      </c>
      <c r="V281" s="113">
        <v>0</v>
      </c>
      <c r="W281" s="113">
        <f>$V$281*$K$281</f>
        <v>0</v>
      </c>
      <c r="X281" s="113">
        <v>0</v>
      </c>
      <c r="Y281" s="113">
        <f>$X$281*$K$281</f>
        <v>0</v>
      </c>
      <c r="Z281" s="113">
        <v>0</v>
      </c>
      <c r="AA281" s="114">
        <f>$Z$281*$K$281</f>
        <v>0</v>
      </c>
      <c r="AR281" s="9" t="s">
        <v>392</v>
      </c>
      <c r="AT281" s="9" t="s">
        <v>124</v>
      </c>
      <c r="AU281" s="9" t="s">
        <v>19</v>
      </c>
      <c r="AY281" s="9" t="s">
        <v>123</v>
      </c>
      <c r="BE281" s="115">
        <f>IF($U$281="základní",$N$281,0)</f>
        <v>0</v>
      </c>
      <c r="BF281" s="115">
        <f>IF($U$281="snížená",$N$281,0)</f>
        <v>0</v>
      </c>
      <c r="BG281" s="115">
        <f>IF($U$281="zákl. přenesená",$N$281,0)</f>
        <v>0</v>
      </c>
      <c r="BH281" s="115">
        <f>IF($U$281="sníž. přenesená",$N$281,0)</f>
        <v>0</v>
      </c>
      <c r="BI281" s="115">
        <f>IF($U$281="nulová",$N$281,0)</f>
        <v>0</v>
      </c>
      <c r="BJ281" s="9" t="s">
        <v>19</v>
      </c>
      <c r="BK281" s="115">
        <f>ROUND($L$281*$K$281,2)</f>
        <v>0</v>
      </c>
      <c r="BL281" s="9" t="s">
        <v>392</v>
      </c>
      <c r="BM281" s="9" t="s">
        <v>496</v>
      </c>
    </row>
    <row r="282" spans="2:65" s="9" customFormat="1" ht="27" customHeight="1">
      <c r="B282" s="22"/>
      <c r="C282" s="119">
        <v>118</v>
      </c>
      <c r="D282" s="108" t="s">
        <v>124</v>
      </c>
      <c r="E282" s="109" t="s">
        <v>497</v>
      </c>
      <c r="F282" s="266" t="s">
        <v>498</v>
      </c>
      <c r="G282" s="266"/>
      <c r="H282" s="266"/>
      <c r="I282" s="266"/>
      <c r="J282" s="110" t="s">
        <v>211</v>
      </c>
      <c r="K282" s="111">
        <v>3</v>
      </c>
      <c r="L282" s="267"/>
      <c r="M282" s="267"/>
      <c r="N282" s="267">
        <f t="shared" si="7"/>
        <v>0</v>
      </c>
      <c r="O282" s="267"/>
      <c r="P282" s="267"/>
      <c r="Q282" s="267"/>
      <c r="R282" s="23"/>
      <c r="T282" s="112"/>
      <c r="U282" s="28" t="s">
        <v>37</v>
      </c>
      <c r="V282" s="113">
        <v>0</v>
      </c>
      <c r="W282" s="113">
        <f>$V$283*$K$283</f>
        <v>0</v>
      </c>
      <c r="X282" s="113">
        <v>0</v>
      </c>
      <c r="Y282" s="113">
        <f>$X$283*$K$283</f>
        <v>0</v>
      </c>
      <c r="Z282" s="113">
        <v>0</v>
      </c>
      <c r="AA282" s="114">
        <f>$Z$283*$K$283</f>
        <v>0</v>
      </c>
      <c r="AR282" s="9" t="s">
        <v>392</v>
      </c>
      <c r="AT282" s="9" t="s">
        <v>124</v>
      </c>
      <c r="AU282" s="9" t="s">
        <v>19</v>
      </c>
      <c r="AY282" s="9" t="s">
        <v>123</v>
      </c>
      <c r="BE282" s="115">
        <f>IF($U$283="základní",$N$283,0)</f>
        <v>0</v>
      </c>
      <c r="BF282" s="115">
        <f>IF($U$283="snížená",$N$283,0)</f>
        <v>0</v>
      </c>
      <c r="BG282" s="115">
        <f>IF($U$283="zákl. přenesená",$N$283,0)</f>
        <v>0</v>
      </c>
      <c r="BH282" s="115">
        <f>IF($U$283="sníž. přenesená",$N$283,0)</f>
        <v>0</v>
      </c>
      <c r="BI282" s="115">
        <f>IF($U$283="nulová",$N$283,0)</f>
        <v>0</v>
      </c>
      <c r="BJ282" s="9" t="s">
        <v>19</v>
      </c>
      <c r="BK282" s="115">
        <f>ROUND($L$283*$K$283,2)</f>
        <v>0</v>
      </c>
      <c r="BL282" s="9" t="s">
        <v>392</v>
      </c>
      <c r="BM282" s="9" t="s">
        <v>499</v>
      </c>
    </row>
    <row r="283" spans="2:65" s="9" customFormat="1" ht="27" customHeight="1">
      <c r="B283" s="22"/>
      <c r="C283" s="119">
        <v>119</v>
      </c>
      <c r="D283" s="108" t="s">
        <v>124</v>
      </c>
      <c r="E283" s="109" t="s">
        <v>497</v>
      </c>
      <c r="F283" s="266" t="s">
        <v>500</v>
      </c>
      <c r="G283" s="266"/>
      <c r="H283" s="266"/>
      <c r="I283" s="266"/>
      <c r="J283" s="110" t="s">
        <v>211</v>
      </c>
      <c r="K283" s="111">
        <v>4</v>
      </c>
      <c r="L283" s="267"/>
      <c r="M283" s="267"/>
      <c r="N283" s="267">
        <f t="shared" si="7"/>
        <v>0</v>
      </c>
      <c r="O283" s="267"/>
      <c r="P283" s="267"/>
      <c r="Q283" s="267"/>
      <c r="R283" s="23"/>
      <c r="T283" s="112"/>
      <c r="U283" s="28" t="s">
        <v>37</v>
      </c>
      <c r="V283" s="113">
        <v>0</v>
      </c>
      <c r="W283" s="113">
        <f>$V$283*$K$283</f>
        <v>0</v>
      </c>
      <c r="X283" s="113">
        <v>0</v>
      </c>
      <c r="Y283" s="113">
        <f>$X$283*$K$283</f>
        <v>0</v>
      </c>
      <c r="Z283" s="113">
        <v>0</v>
      </c>
      <c r="AA283" s="114">
        <f>$Z$283*$K$283</f>
        <v>0</v>
      </c>
      <c r="AR283" s="9" t="s">
        <v>392</v>
      </c>
      <c r="AT283" s="9" t="s">
        <v>124</v>
      </c>
      <c r="AU283" s="9" t="s">
        <v>19</v>
      </c>
      <c r="AY283" s="9" t="s">
        <v>123</v>
      </c>
      <c r="BE283" s="115">
        <f>IF($U$283="základní",$N$283,0)</f>
        <v>0</v>
      </c>
      <c r="BF283" s="115">
        <f>IF($U$283="snížená",$N$283,0)</f>
        <v>0</v>
      </c>
      <c r="BG283" s="115">
        <f>IF($U$283="zákl. přenesená",$N$283,0)</f>
        <v>0</v>
      </c>
      <c r="BH283" s="115">
        <f>IF($U$283="sníž. přenesená",$N$283,0)</f>
        <v>0</v>
      </c>
      <c r="BI283" s="115">
        <f>IF($U$283="nulová",$N$283,0)</f>
        <v>0</v>
      </c>
      <c r="BJ283" s="9" t="s">
        <v>19</v>
      </c>
      <c r="BK283" s="115">
        <f>ROUND($L$283*$K$283,2)</f>
        <v>0</v>
      </c>
      <c r="BL283" s="9" t="s">
        <v>392</v>
      </c>
      <c r="BM283" s="9" t="s">
        <v>499</v>
      </c>
    </row>
    <row r="284" spans="2:65" s="9" customFormat="1" ht="18.75" customHeight="1">
      <c r="B284" s="22"/>
      <c r="C284" s="119" t="s">
        <v>251</v>
      </c>
      <c r="D284" s="108" t="s">
        <v>124</v>
      </c>
      <c r="E284" s="109" t="s">
        <v>501</v>
      </c>
      <c r="F284" s="266" t="s">
        <v>502</v>
      </c>
      <c r="G284" s="266"/>
      <c r="H284" s="266"/>
      <c r="I284" s="266"/>
      <c r="J284" s="110" t="s">
        <v>293</v>
      </c>
      <c r="K284" s="111">
        <v>7.776</v>
      </c>
      <c r="L284" s="267"/>
      <c r="M284" s="267"/>
      <c r="N284" s="267">
        <f t="shared" si="7"/>
        <v>0</v>
      </c>
      <c r="O284" s="267"/>
      <c r="P284" s="267"/>
      <c r="Q284" s="267"/>
      <c r="R284" s="23"/>
      <c r="T284" s="112"/>
      <c r="U284" s="28" t="s">
        <v>37</v>
      </c>
      <c r="V284" s="113">
        <v>0</v>
      </c>
      <c r="W284" s="113">
        <f>$V$268*$K$268</f>
        <v>0</v>
      </c>
      <c r="X284" s="113">
        <v>0</v>
      </c>
      <c r="Y284" s="113">
        <f>$X$268*$K$268</f>
        <v>0</v>
      </c>
      <c r="Z284" s="113">
        <v>0</v>
      </c>
      <c r="AA284" s="114">
        <f>$Z$268*$K$268</f>
        <v>0</v>
      </c>
      <c r="AR284" s="9" t="s">
        <v>392</v>
      </c>
      <c r="AT284" s="9" t="s">
        <v>124</v>
      </c>
      <c r="AU284" s="9" t="s">
        <v>19</v>
      </c>
      <c r="AY284" s="9" t="s">
        <v>123</v>
      </c>
      <c r="BE284" s="115">
        <f>IF($U$268="základní",$N$268,0)</f>
        <v>0</v>
      </c>
      <c r="BF284" s="115">
        <f>IF($U$268="snížená",$N$268,0)</f>
        <v>0</v>
      </c>
      <c r="BG284" s="115">
        <f>IF($U$268="zákl. přenesená",$N$268,0)</f>
        <v>0</v>
      </c>
      <c r="BH284" s="115">
        <f>IF($U$268="sníž. přenesená",$N$268,0)</f>
        <v>0</v>
      </c>
      <c r="BI284" s="115">
        <f>IF($U$268="nulová",$N$268,0)</f>
        <v>0</v>
      </c>
      <c r="BJ284" s="9" t="s">
        <v>19</v>
      </c>
      <c r="BK284" s="115">
        <f>ROUND($L$268*$K$268,2)</f>
        <v>0</v>
      </c>
      <c r="BL284" s="9" t="s">
        <v>392</v>
      </c>
      <c r="BM284" s="9" t="s">
        <v>499</v>
      </c>
    </row>
    <row r="285" spans="2:65" s="9" customFormat="1" ht="27" customHeight="1">
      <c r="B285" s="22"/>
      <c r="C285" s="108">
        <v>120</v>
      </c>
      <c r="D285" s="108" t="s">
        <v>124</v>
      </c>
      <c r="E285" s="109" t="s">
        <v>503</v>
      </c>
      <c r="F285" s="266" t="s">
        <v>504</v>
      </c>
      <c r="G285" s="266"/>
      <c r="H285" s="266"/>
      <c r="I285" s="266"/>
      <c r="J285" s="110" t="s">
        <v>404</v>
      </c>
      <c r="K285" s="111">
        <f>SUM(N275:Q284)+N286/100</f>
        <v>0</v>
      </c>
      <c r="L285" s="267"/>
      <c r="M285" s="267"/>
      <c r="N285" s="267">
        <f t="shared" si="7"/>
        <v>0</v>
      </c>
      <c r="O285" s="267"/>
      <c r="P285" s="267"/>
      <c r="Q285" s="267"/>
      <c r="R285" s="23"/>
      <c r="T285" s="112"/>
      <c r="U285" s="28" t="s">
        <v>37</v>
      </c>
      <c r="V285" s="113">
        <v>0</v>
      </c>
      <c r="W285" s="113" t="e">
        <f>#REF!*#REF!</f>
        <v>#REF!</v>
      </c>
      <c r="X285" s="113">
        <v>0</v>
      </c>
      <c r="Y285" s="113" t="e">
        <f>#REF!*#REF!</f>
        <v>#REF!</v>
      </c>
      <c r="Z285" s="113">
        <v>0</v>
      </c>
      <c r="AA285" s="114" t="e">
        <f>#REF!*#REF!</f>
        <v>#REF!</v>
      </c>
      <c r="AR285" s="9" t="s">
        <v>392</v>
      </c>
      <c r="AT285" s="9" t="s">
        <v>124</v>
      </c>
      <c r="AU285" s="9" t="s">
        <v>19</v>
      </c>
      <c r="AY285" s="9" t="s">
        <v>123</v>
      </c>
      <c r="BE285" s="115" t="e">
        <f>IF(#REF!="základní",#REF!,0)</f>
        <v>#REF!</v>
      </c>
      <c r="BF285" s="115" t="e">
        <f>IF(#REF!="snížená",#REF!,0)</f>
        <v>#REF!</v>
      </c>
      <c r="BG285" s="115" t="e">
        <f>IF(#REF!="zákl. přenesená",#REF!,0)</f>
        <v>#REF!</v>
      </c>
      <c r="BH285" s="115" t="e">
        <f>IF(#REF!="sníž. přenesená",#REF!,0)</f>
        <v>#REF!</v>
      </c>
      <c r="BI285" s="115" t="e">
        <f>IF(#REF!="nulová",#REF!,0)</f>
        <v>#REF!</v>
      </c>
      <c r="BJ285" s="9" t="s">
        <v>19</v>
      </c>
      <c r="BK285" s="115" t="e">
        <f>ROUND(#REF!*#REF!,2)</f>
        <v>#REF!</v>
      </c>
      <c r="BL285" s="9" t="s">
        <v>392</v>
      </c>
      <c r="BM285" s="9" t="s">
        <v>505</v>
      </c>
    </row>
    <row r="286" spans="2:63" s="9" customFormat="1" ht="47.25" customHeight="1">
      <c r="B286" s="22"/>
      <c r="C286" s="243" t="s">
        <v>251</v>
      </c>
      <c r="D286" s="108" t="s">
        <v>124</v>
      </c>
      <c r="E286" s="109" t="s">
        <v>675</v>
      </c>
      <c r="F286" s="266" t="s">
        <v>676</v>
      </c>
      <c r="G286" s="266"/>
      <c r="H286" s="266"/>
      <c r="I286" s="266"/>
      <c r="J286" s="110" t="s">
        <v>176</v>
      </c>
      <c r="K286" s="111">
        <v>1</v>
      </c>
      <c r="L286" s="267"/>
      <c r="M286" s="267"/>
      <c r="N286" s="267">
        <f>K286*L286</f>
        <v>0</v>
      </c>
      <c r="O286" s="267"/>
      <c r="P286" s="267"/>
      <c r="Q286" s="267"/>
      <c r="R286" s="23"/>
      <c r="T286" s="149"/>
      <c r="U286" s="28"/>
      <c r="V286" s="113"/>
      <c r="W286" s="113"/>
      <c r="X286" s="113"/>
      <c r="Y286" s="113"/>
      <c r="Z286" s="113"/>
      <c r="AA286" s="114"/>
      <c r="BE286" s="115"/>
      <c r="BF286" s="115"/>
      <c r="BG286" s="115"/>
      <c r="BH286" s="115"/>
      <c r="BI286" s="115"/>
      <c r="BK286" s="115"/>
    </row>
    <row r="287" spans="2:63" s="99" customFormat="1" ht="37.5" customHeight="1">
      <c r="B287" s="100"/>
      <c r="D287" s="101" t="s">
        <v>166</v>
      </c>
      <c r="E287" s="101"/>
      <c r="F287" s="101"/>
      <c r="G287" s="101"/>
      <c r="H287" s="101"/>
      <c r="I287" s="101"/>
      <c r="J287" s="101"/>
      <c r="K287" s="101"/>
      <c r="L287" s="101"/>
      <c r="M287" s="101"/>
      <c r="N287" s="268">
        <f>SUM(N288:Q297)</f>
        <v>0</v>
      </c>
      <c r="O287" s="268"/>
      <c r="P287" s="268"/>
      <c r="Q287" s="268"/>
      <c r="R287" s="102"/>
      <c r="T287" s="103"/>
      <c r="W287" s="104" t="e">
        <f>SUM($W$288:$W$297)</f>
        <v>#REF!</v>
      </c>
      <c r="Y287" s="104" t="e">
        <f>SUM($Y$288:$Y$297)</f>
        <v>#REF!</v>
      </c>
      <c r="AA287" s="105" t="e">
        <f>SUM($AA$288:$AA$297)</f>
        <v>#REF!</v>
      </c>
      <c r="AR287" s="106" t="s">
        <v>19</v>
      </c>
      <c r="AT287" s="106" t="s">
        <v>71</v>
      </c>
      <c r="AU287" s="106" t="s">
        <v>72</v>
      </c>
      <c r="AY287" s="106" t="s">
        <v>123</v>
      </c>
      <c r="BK287" s="107" t="e">
        <f>SUM($BK$288:$BK$297)</f>
        <v>#REF!</v>
      </c>
    </row>
    <row r="288" spans="2:65" s="9" customFormat="1" ht="27" customHeight="1">
      <c r="B288" s="22"/>
      <c r="C288" s="108">
        <v>121</v>
      </c>
      <c r="D288" s="108" t="s">
        <v>124</v>
      </c>
      <c r="E288" s="109" t="s">
        <v>506</v>
      </c>
      <c r="F288" s="266" t="s">
        <v>507</v>
      </c>
      <c r="G288" s="266"/>
      <c r="H288" s="266"/>
      <c r="I288" s="266"/>
      <c r="J288" s="110" t="s">
        <v>293</v>
      </c>
      <c r="K288" s="111">
        <v>14.4</v>
      </c>
      <c r="L288" s="267"/>
      <c r="M288" s="267"/>
      <c r="N288" s="267">
        <f aca="true" t="shared" si="8" ref="N288:N297">K288*L288</f>
        <v>0</v>
      </c>
      <c r="O288" s="267"/>
      <c r="P288" s="267"/>
      <c r="Q288" s="267"/>
      <c r="R288" s="23"/>
      <c r="T288" s="112"/>
      <c r="U288" s="28" t="s">
        <v>37</v>
      </c>
      <c r="V288" s="113">
        <v>0</v>
      </c>
      <c r="W288" s="113">
        <f>$V$288*$K$288</f>
        <v>0</v>
      </c>
      <c r="X288" s="113">
        <v>0</v>
      </c>
      <c r="Y288" s="113">
        <f>$X$288*$K$288</f>
        <v>0</v>
      </c>
      <c r="Z288" s="113">
        <v>0</v>
      </c>
      <c r="AA288" s="114">
        <f>$Z$288*$K$288</f>
        <v>0</v>
      </c>
      <c r="AR288" s="9" t="s">
        <v>392</v>
      </c>
      <c r="AT288" s="9" t="s">
        <v>124</v>
      </c>
      <c r="AU288" s="9" t="s">
        <v>19</v>
      </c>
      <c r="AY288" s="9" t="s">
        <v>123</v>
      </c>
      <c r="BE288" s="115">
        <f>IF($U$288="základní",$N$288,0)</f>
        <v>0</v>
      </c>
      <c r="BF288" s="115">
        <f>IF($U$288="snížená",$N$288,0)</f>
        <v>0</v>
      </c>
      <c r="BG288" s="115">
        <f>IF($U$288="zákl. přenesená",$N$288,0)</f>
        <v>0</v>
      </c>
      <c r="BH288" s="115">
        <f>IF($U$288="sníž. přenesená",$N$288,0)</f>
        <v>0</v>
      </c>
      <c r="BI288" s="115">
        <f>IF($U$288="nulová",$N$288,0)</f>
        <v>0</v>
      </c>
      <c r="BJ288" s="9" t="s">
        <v>19</v>
      </c>
      <c r="BK288" s="115">
        <f>ROUND($L$288*$K$288,2)</f>
        <v>0</v>
      </c>
      <c r="BL288" s="9" t="s">
        <v>392</v>
      </c>
      <c r="BM288" s="9" t="s">
        <v>508</v>
      </c>
    </row>
    <row r="289" spans="2:65" s="9" customFormat="1" ht="27" customHeight="1">
      <c r="B289" s="22"/>
      <c r="C289" s="108">
        <v>122</v>
      </c>
      <c r="D289" s="108" t="s">
        <v>124</v>
      </c>
      <c r="E289" s="109" t="s">
        <v>509</v>
      </c>
      <c r="F289" s="266" t="s">
        <v>510</v>
      </c>
      <c r="G289" s="266"/>
      <c r="H289" s="266"/>
      <c r="I289" s="266"/>
      <c r="J289" s="110" t="s">
        <v>293</v>
      </c>
      <c r="K289" s="111">
        <v>14.4</v>
      </c>
      <c r="L289" s="267"/>
      <c r="M289" s="267"/>
      <c r="N289" s="267">
        <f t="shared" si="8"/>
        <v>0</v>
      </c>
      <c r="O289" s="267"/>
      <c r="P289" s="267"/>
      <c r="Q289" s="267"/>
      <c r="R289" s="23"/>
      <c r="T289" s="112"/>
      <c r="U289" s="28" t="s">
        <v>37</v>
      </c>
      <c r="V289" s="113">
        <v>0</v>
      </c>
      <c r="W289" s="113">
        <f>$V$289*$K$289</f>
        <v>0</v>
      </c>
      <c r="X289" s="113">
        <v>0</v>
      </c>
      <c r="Y289" s="113">
        <f>$X$289*$K$289</f>
        <v>0</v>
      </c>
      <c r="Z289" s="113">
        <v>0</v>
      </c>
      <c r="AA289" s="114">
        <f>$Z$289*$K$289</f>
        <v>0</v>
      </c>
      <c r="AR289" s="9" t="s">
        <v>392</v>
      </c>
      <c r="AT289" s="9" t="s">
        <v>124</v>
      </c>
      <c r="AU289" s="9" t="s">
        <v>19</v>
      </c>
      <c r="AY289" s="9" t="s">
        <v>123</v>
      </c>
      <c r="BE289" s="115">
        <f>IF($U$289="základní",$N$289,0)</f>
        <v>0</v>
      </c>
      <c r="BF289" s="115">
        <f>IF($U$289="snížená",$N$289,0)</f>
        <v>0</v>
      </c>
      <c r="BG289" s="115">
        <f>IF($U$289="zákl. přenesená",$N$289,0)</f>
        <v>0</v>
      </c>
      <c r="BH289" s="115">
        <f>IF($U$289="sníž. přenesená",$N$289,0)</f>
        <v>0</v>
      </c>
      <c r="BI289" s="115">
        <f>IF($U$289="nulová",$N$289,0)</f>
        <v>0</v>
      </c>
      <c r="BJ289" s="9" t="s">
        <v>19</v>
      </c>
      <c r="BK289" s="115">
        <f>ROUND($L$289*$K$289,2)</f>
        <v>0</v>
      </c>
      <c r="BL289" s="9" t="s">
        <v>392</v>
      </c>
      <c r="BM289" s="9" t="s">
        <v>511</v>
      </c>
    </row>
    <row r="290" spans="2:65" s="9" customFormat="1" ht="27" customHeight="1">
      <c r="B290" s="22"/>
      <c r="C290" s="108">
        <v>123</v>
      </c>
      <c r="D290" s="108" t="s">
        <v>124</v>
      </c>
      <c r="E290" s="109" t="s">
        <v>512</v>
      </c>
      <c r="F290" s="266" t="s">
        <v>513</v>
      </c>
      <c r="G290" s="266"/>
      <c r="H290" s="266"/>
      <c r="I290" s="266"/>
      <c r="J290" s="110" t="s">
        <v>171</v>
      </c>
      <c r="K290" s="111">
        <v>10.44</v>
      </c>
      <c r="L290" s="267"/>
      <c r="M290" s="267"/>
      <c r="N290" s="267">
        <f t="shared" si="8"/>
        <v>0</v>
      </c>
      <c r="O290" s="267"/>
      <c r="P290" s="267"/>
      <c r="Q290" s="267"/>
      <c r="R290" s="23"/>
      <c r="T290" s="112"/>
      <c r="U290" s="28" t="s">
        <v>37</v>
      </c>
      <c r="V290" s="113">
        <v>0</v>
      </c>
      <c r="W290" s="113">
        <f>$V$290*$K$290</f>
        <v>0</v>
      </c>
      <c r="X290" s="113">
        <v>0</v>
      </c>
      <c r="Y290" s="113">
        <f>$X$290*$K$290</f>
        <v>0</v>
      </c>
      <c r="Z290" s="113">
        <v>0</v>
      </c>
      <c r="AA290" s="114">
        <f>$Z$290*$K$290</f>
        <v>0</v>
      </c>
      <c r="AR290" s="9" t="s">
        <v>392</v>
      </c>
      <c r="AT290" s="9" t="s">
        <v>124</v>
      </c>
      <c r="AU290" s="9" t="s">
        <v>19</v>
      </c>
      <c r="AY290" s="9" t="s">
        <v>123</v>
      </c>
      <c r="BE290" s="115">
        <f>IF($U$290="základní",$N$290,0)</f>
        <v>0</v>
      </c>
      <c r="BF290" s="115">
        <f>IF($U$290="snížená",$N$290,0)</f>
        <v>0</v>
      </c>
      <c r="BG290" s="115">
        <f>IF($U$290="zákl. přenesená",$N$290,0)</f>
        <v>0</v>
      </c>
      <c r="BH290" s="115">
        <f>IF($U$290="sníž. přenesená",$N$290,0)</f>
        <v>0</v>
      </c>
      <c r="BI290" s="115">
        <f>IF($U$290="nulová",$N$290,0)</f>
        <v>0</v>
      </c>
      <c r="BJ290" s="9" t="s">
        <v>19</v>
      </c>
      <c r="BK290" s="115">
        <f>ROUND($L$290*$K$290,2)</f>
        <v>0</v>
      </c>
      <c r="BL290" s="9" t="s">
        <v>392</v>
      </c>
      <c r="BM290" s="9" t="s">
        <v>514</v>
      </c>
    </row>
    <row r="291" spans="2:65" s="9" customFormat="1" ht="27" customHeight="1">
      <c r="B291" s="22"/>
      <c r="C291" s="108">
        <v>124</v>
      </c>
      <c r="D291" s="108" t="s">
        <v>124</v>
      </c>
      <c r="E291" s="109" t="s">
        <v>515</v>
      </c>
      <c r="F291" s="266" t="s">
        <v>516</v>
      </c>
      <c r="G291" s="266"/>
      <c r="H291" s="266"/>
      <c r="I291" s="266"/>
      <c r="J291" s="110" t="s">
        <v>293</v>
      </c>
      <c r="K291" s="111">
        <v>14.4</v>
      </c>
      <c r="L291" s="267"/>
      <c r="M291" s="267"/>
      <c r="N291" s="267">
        <f t="shared" si="8"/>
        <v>0</v>
      </c>
      <c r="O291" s="267"/>
      <c r="P291" s="267"/>
      <c r="Q291" s="267"/>
      <c r="R291" s="23"/>
      <c r="T291" s="112"/>
      <c r="U291" s="28" t="s">
        <v>37</v>
      </c>
      <c r="V291" s="113">
        <v>0</v>
      </c>
      <c r="W291" s="113">
        <f>$V$291*$K$291</f>
        <v>0</v>
      </c>
      <c r="X291" s="113">
        <v>0</v>
      </c>
      <c r="Y291" s="113">
        <f>$X$291*$K$291</f>
        <v>0</v>
      </c>
      <c r="Z291" s="113">
        <v>0</v>
      </c>
      <c r="AA291" s="114">
        <f>$Z$291*$K$291</f>
        <v>0</v>
      </c>
      <c r="AR291" s="9" t="s">
        <v>392</v>
      </c>
      <c r="AT291" s="9" t="s">
        <v>124</v>
      </c>
      <c r="AU291" s="9" t="s">
        <v>19</v>
      </c>
      <c r="AY291" s="9" t="s">
        <v>123</v>
      </c>
      <c r="BE291" s="115">
        <f>IF($U$291="základní",$N$291,0)</f>
        <v>0</v>
      </c>
      <c r="BF291" s="115">
        <f>IF($U$291="snížená",$N$291,0)</f>
        <v>0</v>
      </c>
      <c r="BG291" s="115">
        <f>IF($U$291="zákl. přenesená",$N$291,0)</f>
        <v>0</v>
      </c>
      <c r="BH291" s="115">
        <f>IF($U$291="sníž. přenesená",$N$291,0)</f>
        <v>0</v>
      </c>
      <c r="BI291" s="115">
        <f>IF($U$291="nulová",$N$291,0)</f>
        <v>0</v>
      </c>
      <c r="BJ291" s="9" t="s">
        <v>19</v>
      </c>
      <c r="BK291" s="115">
        <f>ROUND($L$291*$K$291,2)</f>
        <v>0</v>
      </c>
      <c r="BL291" s="9" t="s">
        <v>392</v>
      </c>
      <c r="BM291" s="9" t="s">
        <v>517</v>
      </c>
    </row>
    <row r="292" spans="2:65" s="9" customFormat="1" ht="39" customHeight="1">
      <c r="B292" s="22"/>
      <c r="C292" s="108">
        <v>125</v>
      </c>
      <c r="D292" s="108" t="s">
        <v>124</v>
      </c>
      <c r="E292" s="109" t="s">
        <v>518</v>
      </c>
      <c r="F292" s="266" t="s">
        <v>519</v>
      </c>
      <c r="G292" s="266"/>
      <c r="H292" s="266"/>
      <c r="I292" s="266"/>
      <c r="J292" s="110" t="s">
        <v>171</v>
      </c>
      <c r="K292" s="111">
        <v>17.28</v>
      </c>
      <c r="L292" s="267"/>
      <c r="M292" s="267"/>
      <c r="N292" s="267">
        <f t="shared" si="8"/>
        <v>0</v>
      </c>
      <c r="O292" s="267"/>
      <c r="P292" s="267"/>
      <c r="Q292" s="267"/>
      <c r="R292" s="23"/>
      <c r="T292" s="112"/>
      <c r="U292" s="28" t="s">
        <v>37</v>
      </c>
      <c r="V292" s="113">
        <v>0</v>
      </c>
      <c r="W292" s="113">
        <f>$V$292*$K$292</f>
        <v>0</v>
      </c>
      <c r="X292" s="113">
        <v>0</v>
      </c>
      <c r="Y292" s="113">
        <f>$X$292*$K$292</f>
        <v>0</v>
      </c>
      <c r="Z292" s="113">
        <v>0</v>
      </c>
      <c r="AA292" s="114">
        <f>$Z$292*$K$292</f>
        <v>0</v>
      </c>
      <c r="AR292" s="9" t="s">
        <v>392</v>
      </c>
      <c r="AT292" s="9" t="s">
        <v>124</v>
      </c>
      <c r="AU292" s="9" t="s">
        <v>19</v>
      </c>
      <c r="AY292" s="9" t="s">
        <v>123</v>
      </c>
      <c r="BE292" s="115">
        <f>IF($U$292="základní",$N$292,0)</f>
        <v>0</v>
      </c>
      <c r="BF292" s="115">
        <f>IF($U$292="snížená",$N$292,0)</f>
        <v>0</v>
      </c>
      <c r="BG292" s="115">
        <f>IF($U$292="zákl. přenesená",$N$292,0)</f>
        <v>0</v>
      </c>
      <c r="BH292" s="115">
        <f>IF($U$292="sníž. přenesená",$N$292,0)</f>
        <v>0</v>
      </c>
      <c r="BI292" s="115">
        <f>IF($U$292="nulová",$N$292,0)</f>
        <v>0</v>
      </c>
      <c r="BJ292" s="9" t="s">
        <v>19</v>
      </c>
      <c r="BK292" s="115">
        <f>ROUND($L$292*$K$292,2)</f>
        <v>0</v>
      </c>
      <c r="BL292" s="9" t="s">
        <v>392</v>
      </c>
      <c r="BM292" s="9" t="s">
        <v>520</v>
      </c>
    </row>
    <row r="293" spans="2:63" s="132" customFormat="1" ht="31.5" customHeight="1">
      <c r="B293" s="133"/>
      <c r="C293" s="108">
        <v>126</v>
      </c>
      <c r="D293" s="134" t="s">
        <v>252</v>
      </c>
      <c r="E293" s="135" t="s">
        <v>521</v>
      </c>
      <c r="F293" s="278" t="s">
        <v>522</v>
      </c>
      <c r="G293" s="278"/>
      <c r="H293" s="278"/>
      <c r="I293" s="278"/>
      <c r="J293" s="136" t="s">
        <v>171</v>
      </c>
      <c r="K293" s="137">
        <v>4.75</v>
      </c>
      <c r="L293" s="279"/>
      <c r="M293" s="279"/>
      <c r="N293" s="279">
        <f t="shared" si="8"/>
        <v>0</v>
      </c>
      <c r="O293" s="279"/>
      <c r="P293" s="279"/>
      <c r="Q293" s="279"/>
      <c r="R293" s="138"/>
      <c r="T293" s="139"/>
      <c r="U293" s="140"/>
      <c r="V293" s="141"/>
      <c r="W293" s="141"/>
      <c r="X293" s="141"/>
      <c r="Y293" s="141"/>
      <c r="Z293" s="141"/>
      <c r="AA293" s="142"/>
      <c r="BE293" s="143"/>
      <c r="BF293" s="143"/>
      <c r="BG293" s="143"/>
      <c r="BH293" s="143"/>
      <c r="BI293" s="143"/>
      <c r="BK293" s="143"/>
    </row>
    <row r="294" spans="2:65" s="132" customFormat="1" ht="27" customHeight="1">
      <c r="B294" s="133"/>
      <c r="C294" s="108">
        <v>127</v>
      </c>
      <c r="D294" s="134" t="s">
        <v>252</v>
      </c>
      <c r="E294" s="135" t="s">
        <v>523</v>
      </c>
      <c r="F294" s="278" t="s">
        <v>524</v>
      </c>
      <c r="G294" s="278"/>
      <c r="H294" s="278"/>
      <c r="I294" s="278"/>
      <c r="J294" s="136" t="s">
        <v>171</v>
      </c>
      <c r="K294" s="137">
        <v>11.48</v>
      </c>
      <c r="L294" s="279"/>
      <c r="M294" s="279"/>
      <c r="N294" s="279">
        <f t="shared" si="8"/>
        <v>0</v>
      </c>
      <c r="O294" s="279"/>
      <c r="P294" s="279"/>
      <c r="Q294" s="279"/>
      <c r="R294" s="138"/>
      <c r="T294" s="139"/>
      <c r="U294" s="140" t="s">
        <v>37</v>
      </c>
      <c r="V294" s="141">
        <v>0</v>
      </c>
      <c r="W294" s="141" t="e">
        <f>#REF!*#REF!</f>
        <v>#REF!</v>
      </c>
      <c r="X294" s="141">
        <v>0</v>
      </c>
      <c r="Y294" s="141" t="e">
        <f>#REF!*#REF!</f>
        <v>#REF!</v>
      </c>
      <c r="Z294" s="141">
        <v>0</v>
      </c>
      <c r="AA294" s="142" t="e">
        <f>#REF!*#REF!</f>
        <v>#REF!</v>
      </c>
      <c r="AR294" s="132" t="s">
        <v>392</v>
      </c>
      <c r="AT294" s="132" t="s">
        <v>124</v>
      </c>
      <c r="AU294" s="132" t="s">
        <v>19</v>
      </c>
      <c r="AY294" s="132" t="s">
        <v>123</v>
      </c>
      <c r="BE294" s="143" t="e">
        <f>IF(#REF!="základní",#REF!,0)</f>
        <v>#REF!</v>
      </c>
      <c r="BF294" s="143" t="e">
        <f>IF(#REF!="snížená",#REF!,0)</f>
        <v>#REF!</v>
      </c>
      <c r="BG294" s="143" t="e">
        <f>IF(#REF!="zákl. přenesená",#REF!,0)</f>
        <v>#REF!</v>
      </c>
      <c r="BH294" s="143" t="e">
        <f>IF(#REF!="sníž. přenesená",#REF!,0)</f>
        <v>#REF!</v>
      </c>
      <c r="BI294" s="143" t="e">
        <f>IF(#REF!="nulová",#REF!,0)</f>
        <v>#REF!</v>
      </c>
      <c r="BJ294" s="132" t="s">
        <v>19</v>
      </c>
      <c r="BK294" s="143" t="e">
        <f>ROUND(#REF!*#REF!,2)</f>
        <v>#REF!</v>
      </c>
      <c r="BL294" s="132" t="s">
        <v>392</v>
      </c>
      <c r="BM294" s="132" t="s">
        <v>525</v>
      </c>
    </row>
    <row r="295" spans="2:65" s="9" customFormat="1" ht="27" customHeight="1">
      <c r="B295" s="22"/>
      <c r="C295" s="108">
        <v>128</v>
      </c>
      <c r="D295" s="108" t="s">
        <v>124</v>
      </c>
      <c r="E295" s="109" t="s">
        <v>526</v>
      </c>
      <c r="F295" s="266" t="s">
        <v>527</v>
      </c>
      <c r="G295" s="266"/>
      <c r="H295" s="266"/>
      <c r="I295" s="266"/>
      <c r="J295" s="110" t="s">
        <v>293</v>
      </c>
      <c r="K295" s="111">
        <v>9</v>
      </c>
      <c r="L295" s="267"/>
      <c r="M295" s="267"/>
      <c r="N295" s="267">
        <f t="shared" si="8"/>
        <v>0</v>
      </c>
      <c r="O295" s="267"/>
      <c r="P295" s="267"/>
      <c r="Q295" s="267"/>
      <c r="R295" s="23"/>
      <c r="T295" s="112"/>
      <c r="U295" s="28" t="s">
        <v>37</v>
      </c>
      <c r="V295" s="113">
        <v>0</v>
      </c>
      <c r="W295" s="113">
        <f>$V$295*$K$295</f>
        <v>0</v>
      </c>
      <c r="X295" s="113">
        <v>0</v>
      </c>
      <c r="Y295" s="113">
        <f>$X$295*$K$295</f>
        <v>0</v>
      </c>
      <c r="Z295" s="113">
        <v>0</v>
      </c>
      <c r="AA295" s="114">
        <f>$Z$295*$K$295</f>
        <v>0</v>
      </c>
      <c r="AR295" s="9" t="s">
        <v>392</v>
      </c>
      <c r="AT295" s="9" t="s">
        <v>124</v>
      </c>
      <c r="AU295" s="9" t="s">
        <v>19</v>
      </c>
      <c r="AY295" s="9" t="s">
        <v>123</v>
      </c>
      <c r="BE295" s="115">
        <f>IF($U$295="základní",$N$295,0)</f>
        <v>0</v>
      </c>
      <c r="BF295" s="115">
        <f>IF($U$295="snížená",$N$295,0)</f>
        <v>0</v>
      </c>
      <c r="BG295" s="115">
        <f>IF($U$295="zákl. přenesená",$N$295,0)</f>
        <v>0</v>
      </c>
      <c r="BH295" s="115">
        <f>IF($U$295="sníž. přenesená",$N$295,0)</f>
        <v>0</v>
      </c>
      <c r="BI295" s="115">
        <f>IF($U$295="nulová",$N$295,0)</f>
        <v>0</v>
      </c>
      <c r="BJ295" s="9" t="s">
        <v>19</v>
      </c>
      <c r="BK295" s="115">
        <f>ROUND($L$295*$K$295,2)</f>
        <v>0</v>
      </c>
      <c r="BL295" s="9" t="s">
        <v>392</v>
      </c>
      <c r="BM295" s="9" t="s">
        <v>528</v>
      </c>
    </row>
    <row r="296" spans="2:65" s="132" customFormat="1" ht="15.75" customHeight="1">
      <c r="B296" s="133"/>
      <c r="C296" s="108">
        <v>129</v>
      </c>
      <c r="D296" s="134" t="s">
        <v>252</v>
      </c>
      <c r="E296" s="135" t="s">
        <v>529</v>
      </c>
      <c r="F296" s="278" t="s">
        <v>530</v>
      </c>
      <c r="G296" s="278"/>
      <c r="H296" s="278"/>
      <c r="I296" s="278"/>
      <c r="J296" s="136" t="s">
        <v>293</v>
      </c>
      <c r="K296" s="137">
        <v>10</v>
      </c>
      <c r="L296" s="279"/>
      <c r="M296" s="279"/>
      <c r="N296" s="279">
        <f t="shared" si="8"/>
        <v>0</v>
      </c>
      <c r="O296" s="279"/>
      <c r="P296" s="279"/>
      <c r="Q296" s="279"/>
      <c r="R296" s="138"/>
      <c r="T296" s="139"/>
      <c r="U296" s="140" t="s">
        <v>37</v>
      </c>
      <c r="V296" s="141">
        <v>0</v>
      </c>
      <c r="W296" s="141">
        <f>$V$296*$K$296</f>
        <v>0</v>
      </c>
      <c r="X296" s="141">
        <v>0</v>
      </c>
      <c r="Y296" s="141">
        <f>$X$296*$K$296</f>
        <v>0</v>
      </c>
      <c r="Z296" s="141">
        <v>0</v>
      </c>
      <c r="AA296" s="142">
        <f>$Z$296*$K$296</f>
        <v>0</v>
      </c>
      <c r="AR296" s="132" t="s">
        <v>392</v>
      </c>
      <c r="AT296" s="132" t="s">
        <v>124</v>
      </c>
      <c r="AU296" s="132" t="s">
        <v>19</v>
      </c>
      <c r="AY296" s="132" t="s">
        <v>123</v>
      </c>
      <c r="BE296" s="143">
        <f>IF($U$296="základní",$N$296,0)</f>
        <v>0</v>
      </c>
      <c r="BF296" s="143">
        <f>IF($U$296="snížená",$N$296,0)</f>
        <v>0</v>
      </c>
      <c r="BG296" s="143">
        <f>IF($U$296="zákl. přenesená",$N$296,0)</f>
        <v>0</v>
      </c>
      <c r="BH296" s="143">
        <f>IF($U$296="sníž. přenesená",$N$296,0)</f>
        <v>0</v>
      </c>
      <c r="BI296" s="143">
        <f>IF($U$296="nulová",$N$296,0)</f>
        <v>0</v>
      </c>
      <c r="BJ296" s="132" t="s">
        <v>19</v>
      </c>
      <c r="BK296" s="143">
        <f>ROUND($L$296*$K$296,2)</f>
        <v>0</v>
      </c>
      <c r="BL296" s="132" t="s">
        <v>392</v>
      </c>
      <c r="BM296" s="132" t="s">
        <v>531</v>
      </c>
    </row>
    <row r="297" spans="2:65" s="9" customFormat="1" ht="27" customHeight="1">
      <c r="B297" s="22"/>
      <c r="C297" s="108">
        <v>130</v>
      </c>
      <c r="D297" s="108" t="s">
        <v>124</v>
      </c>
      <c r="E297" s="109" t="s">
        <v>532</v>
      </c>
      <c r="F297" s="266" t="s">
        <v>533</v>
      </c>
      <c r="G297" s="266"/>
      <c r="H297" s="266"/>
      <c r="I297" s="266"/>
      <c r="J297" s="110" t="s">
        <v>404</v>
      </c>
      <c r="K297" s="111">
        <f>SUM(N288:Q296)/100</f>
        <v>0</v>
      </c>
      <c r="L297" s="267"/>
      <c r="M297" s="267"/>
      <c r="N297" s="267">
        <f t="shared" si="8"/>
        <v>0</v>
      </c>
      <c r="O297" s="267"/>
      <c r="P297" s="267"/>
      <c r="Q297" s="267"/>
      <c r="R297" s="23"/>
      <c r="T297" s="112"/>
      <c r="U297" s="28" t="s">
        <v>37</v>
      </c>
      <c r="V297" s="113">
        <v>0</v>
      </c>
      <c r="W297" s="113">
        <f>$V$297*$K$297</f>
        <v>0</v>
      </c>
      <c r="X297" s="113">
        <v>0</v>
      </c>
      <c r="Y297" s="113">
        <f>$X$297*$K$297</f>
        <v>0</v>
      </c>
      <c r="Z297" s="113">
        <v>0</v>
      </c>
      <c r="AA297" s="114">
        <f>$Z$297*$K$297</f>
        <v>0</v>
      </c>
      <c r="AR297" s="9" t="s">
        <v>392</v>
      </c>
      <c r="AT297" s="9" t="s">
        <v>124</v>
      </c>
      <c r="AU297" s="9" t="s">
        <v>19</v>
      </c>
      <c r="AY297" s="9" t="s">
        <v>123</v>
      </c>
      <c r="BE297" s="115">
        <f>IF($U$297="základní",$N$297,0)</f>
        <v>0</v>
      </c>
      <c r="BF297" s="115">
        <f>IF($U$297="snížená",$N$297,0)</f>
        <v>0</v>
      </c>
      <c r="BG297" s="115">
        <f>IF($U$297="zákl. přenesená",$N$297,0)</f>
        <v>0</v>
      </c>
      <c r="BH297" s="115">
        <f>IF($U$297="sníž. přenesená",$N$297,0)</f>
        <v>0</v>
      </c>
      <c r="BI297" s="115">
        <f>IF($U$297="nulová",$N$297,0)</f>
        <v>0</v>
      </c>
      <c r="BJ297" s="9" t="s">
        <v>19</v>
      </c>
      <c r="BK297" s="115">
        <f>ROUND($L$297*$K$297,2)</f>
        <v>0</v>
      </c>
      <c r="BL297" s="9" t="s">
        <v>392</v>
      </c>
      <c r="BM297" s="9" t="s">
        <v>534</v>
      </c>
    </row>
    <row r="298" spans="2:63" s="99" customFormat="1" ht="37.5" customHeight="1">
      <c r="B298" s="100"/>
      <c r="D298" s="101" t="s">
        <v>167</v>
      </c>
      <c r="E298" s="101"/>
      <c r="F298" s="101"/>
      <c r="G298" s="101"/>
      <c r="H298" s="101"/>
      <c r="I298" s="101"/>
      <c r="J298" s="101"/>
      <c r="K298" s="101"/>
      <c r="L298" s="101"/>
      <c r="M298" s="101"/>
      <c r="N298" s="268">
        <f>N299+N300</f>
        <v>0</v>
      </c>
      <c r="O298" s="268"/>
      <c r="P298" s="268"/>
      <c r="Q298" s="268"/>
      <c r="R298" s="102"/>
      <c r="T298" s="103"/>
      <c r="W298" s="104">
        <f>SUM($W$299:$W$300)</f>
        <v>0</v>
      </c>
      <c r="Y298" s="104">
        <f>SUM($Y$299:$Y$300)</f>
        <v>0</v>
      </c>
      <c r="AA298" s="105">
        <f>SUM($AA$299:$AA$300)</f>
        <v>0</v>
      </c>
      <c r="AR298" s="106" t="s">
        <v>19</v>
      </c>
      <c r="AT298" s="106" t="s">
        <v>71</v>
      </c>
      <c r="AU298" s="106" t="s">
        <v>72</v>
      </c>
      <c r="AY298" s="106" t="s">
        <v>123</v>
      </c>
      <c r="BK298" s="107">
        <f>SUM($BK$299:$BK$300)</f>
        <v>0</v>
      </c>
    </row>
    <row r="299" spans="2:65" s="9" customFormat="1" ht="27" customHeight="1">
      <c r="B299" s="22"/>
      <c r="C299" s="119">
        <v>131</v>
      </c>
      <c r="D299" s="108" t="s">
        <v>124</v>
      </c>
      <c r="E299" s="109" t="s">
        <v>535</v>
      </c>
      <c r="F299" s="266" t="s">
        <v>536</v>
      </c>
      <c r="G299" s="266"/>
      <c r="H299" s="266"/>
      <c r="I299" s="266"/>
      <c r="J299" s="110" t="s">
        <v>324</v>
      </c>
      <c r="K299" s="111">
        <v>0</v>
      </c>
      <c r="L299" s="267"/>
      <c r="M299" s="267"/>
      <c r="N299" s="267">
        <f>K299*L299</f>
        <v>0</v>
      </c>
      <c r="O299" s="267"/>
      <c r="P299" s="267"/>
      <c r="Q299" s="267"/>
      <c r="R299" s="23"/>
      <c r="T299" s="112"/>
      <c r="U299" s="28" t="s">
        <v>37</v>
      </c>
      <c r="V299" s="113">
        <v>0</v>
      </c>
      <c r="W299" s="113">
        <f>$V$299*$K$299</f>
        <v>0</v>
      </c>
      <c r="X299" s="113">
        <v>0</v>
      </c>
      <c r="Y299" s="113">
        <f>$X$299*$K$299</f>
        <v>0</v>
      </c>
      <c r="Z299" s="113">
        <v>0</v>
      </c>
      <c r="AA299" s="114">
        <f>$Z$299*$K$299</f>
        <v>0</v>
      </c>
      <c r="AR299" s="9" t="s">
        <v>392</v>
      </c>
      <c r="AT299" s="9" t="s">
        <v>124</v>
      </c>
      <c r="AU299" s="9" t="s">
        <v>19</v>
      </c>
      <c r="AY299" s="9" t="s">
        <v>123</v>
      </c>
      <c r="BE299" s="115">
        <f>IF($U$299="základní",$N$299,0)</f>
        <v>0</v>
      </c>
      <c r="BF299" s="115">
        <f>IF($U$299="snížená",$N$299,0)</f>
        <v>0</v>
      </c>
      <c r="BG299" s="115">
        <f>IF($U$299="zákl. přenesená",$N$299,0)</f>
        <v>0</v>
      </c>
      <c r="BH299" s="115">
        <f>IF($U$299="sníž. přenesená",$N$299,0)</f>
        <v>0</v>
      </c>
      <c r="BI299" s="115">
        <f>IF($U$299="nulová",$N$299,0)</f>
        <v>0</v>
      </c>
      <c r="BJ299" s="9" t="s">
        <v>19</v>
      </c>
      <c r="BK299" s="115">
        <f>ROUND($L$299*$K$299,2)</f>
        <v>0</v>
      </c>
      <c r="BL299" s="9" t="s">
        <v>392</v>
      </c>
      <c r="BM299" s="9" t="s">
        <v>537</v>
      </c>
    </row>
    <row r="300" spans="2:65" s="9" customFormat="1" ht="33" customHeight="1">
      <c r="B300" s="22"/>
      <c r="C300" s="119">
        <v>132</v>
      </c>
      <c r="D300" s="108" t="s">
        <v>124</v>
      </c>
      <c r="E300" s="109" t="s">
        <v>538</v>
      </c>
      <c r="F300" s="266" t="s">
        <v>539</v>
      </c>
      <c r="G300" s="266"/>
      <c r="H300" s="266"/>
      <c r="I300" s="266"/>
      <c r="J300" s="110" t="s">
        <v>324</v>
      </c>
      <c r="K300" s="111">
        <v>140.48</v>
      </c>
      <c r="L300" s="267"/>
      <c r="M300" s="267"/>
      <c r="N300" s="267">
        <f>K300*L300</f>
        <v>0</v>
      </c>
      <c r="O300" s="267"/>
      <c r="P300" s="267"/>
      <c r="Q300" s="267"/>
      <c r="R300" s="23"/>
      <c r="T300" s="112"/>
      <c r="U300" s="28" t="s">
        <v>37</v>
      </c>
      <c r="V300" s="113">
        <v>0</v>
      </c>
      <c r="W300" s="113">
        <f>$V$300*$K$300</f>
        <v>0</v>
      </c>
      <c r="X300" s="113">
        <v>0</v>
      </c>
      <c r="Y300" s="113">
        <f>$X$300*$K$300</f>
        <v>0</v>
      </c>
      <c r="Z300" s="113">
        <v>0</v>
      </c>
      <c r="AA300" s="114">
        <f>$Z$300*$K$300</f>
        <v>0</v>
      </c>
      <c r="AR300" s="9" t="s">
        <v>392</v>
      </c>
      <c r="AT300" s="9" t="s">
        <v>124</v>
      </c>
      <c r="AU300" s="9" t="s">
        <v>19</v>
      </c>
      <c r="AY300" s="9" t="s">
        <v>123</v>
      </c>
      <c r="BE300" s="115">
        <f>IF($U$300="základní",$N$300,0)</f>
        <v>0</v>
      </c>
      <c r="BF300" s="115">
        <f>IF($U$300="snížená",$N$300,0)</f>
        <v>0</v>
      </c>
      <c r="BG300" s="115">
        <f>IF($U$300="zákl. přenesená",$N$300,0)</f>
        <v>0</v>
      </c>
      <c r="BH300" s="115">
        <f>IF($U$300="sníž. přenesená",$N$300,0)</f>
        <v>0</v>
      </c>
      <c r="BI300" s="115">
        <f>IF($U$300="nulová",$N$300,0)</f>
        <v>0</v>
      </c>
      <c r="BJ300" s="9" t="s">
        <v>19</v>
      </c>
      <c r="BK300" s="115">
        <f>ROUND($L$300*$K$300,2)</f>
        <v>0</v>
      </c>
      <c r="BL300" s="9" t="s">
        <v>392</v>
      </c>
      <c r="BM300" s="9" t="s">
        <v>540</v>
      </c>
    </row>
    <row r="301" spans="2:63" s="9" customFormat="1" ht="33" customHeight="1">
      <c r="B301" s="22"/>
      <c r="C301" s="99"/>
      <c r="D301" s="101" t="s">
        <v>541</v>
      </c>
      <c r="E301" s="101"/>
      <c r="F301" s="101"/>
      <c r="G301" s="101"/>
      <c r="H301" s="101"/>
      <c r="I301" s="101"/>
      <c r="J301" s="101"/>
      <c r="K301" s="101"/>
      <c r="L301" s="101"/>
      <c r="M301" s="101"/>
      <c r="N301" s="268">
        <f>N302+N303+N306+N307+N304+N305</f>
        <v>0</v>
      </c>
      <c r="O301" s="268"/>
      <c r="P301" s="268"/>
      <c r="Q301" s="268"/>
      <c r="R301" s="23"/>
      <c r="T301" s="150"/>
      <c r="U301" s="28"/>
      <c r="V301" s="113"/>
      <c r="W301" s="113"/>
      <c r="X301" s="113"/>
      <c r="Y301" s="113"/>
      <c r="Z301" s="113"/>
      <c r="AA301" s="151"/>
      <c r="BE301" s="115"/>
      <c r="BF301" s="115"/>
      <c r="BG301" s="115"/>
      <c r="BH301" s="115"/>
      <c r="BI301" s="115"/>
      <c r="BK301" s="115"/>
    </row>
    <row r="302" spans="2:63" s="9" customFormat="1" ht="27" customHeight="1">
      <c r="B302" s="22"/>
      <c r="C302" s="108">
        <v>133</v>
      </c>
      <c r="D302" s="108" t="s">
        <v>252</v>
      </c>
      <c r="E302" s="109" t="s">
        <v>542</v>
      </c>
      <c r="F302" s="266" t="s">
        <v>543</v>
      </c>
      <c r="G302" s="266"/>
      <c r="H302" s="266"/>
      <c r="I302" s="266"/>
      <c r="J302" s="110" t="s">
        <v>176</v>
      </c>
      <c r="K302" s="111">
        <v>1</v>
      </c>
      <c r="L302" s="267"/>
      <c r="M302" s="267"/>
      <c r="N302" s="267">
        <f aca="true" t="shared" si="9" ref="N302:N307">K302*L302</f>
        <v>0</v>
      </c>
      <c r="O302" s="267"/>
      <c r="P302" s="267"/>
      <c r="Q302" s="267"/>
      <c r="R302" s="23"/>
      <c r="T302" s="150"/>
      <c r="U302" s="28"/>
      <c r="V302" s="113"/>
      <c r="W302" s="113"/>
      <c r="X302" s="113"/>
      <c r="Y302" s="113"/>
      <c r="Z302" s="113"/>
      <c r="AA302" s="151"/>
      <c r="BE302" s="115"/>
      <c r="BF302" s="115"/>
      <c r="BG302" s="115"/>
      <c r="BH302" s="115"/>
      <c r="BI302" s="115"/>
      <c r="BK302" s="115"/>
    </row>
    <row r="303" spans="2:63" s="9" customFormat="1" ht="29.25" customHeight="1">
      <c r="B303" s="22"/>
      <c r="C303" s="108">
        <v>135</v>
      </c>
      <c r="D303" s="108" t="s">
        <v>252</v>
      </c>
      <c r="E303" s="109" t="s">
        <v>544</v>
      </c>
      <c r="F303" s="266" t="s">
        <v>545</v>
      </c>
      <c r="G303" s="266"/>
      <c r="H303" s="266"/>
      <c r="I303" s="266"/>
      <c r="J303" s="110" t="s">
        <v>211</v>
      </c>
      <c r="K303" s="111">
        <v>5</v>
      </c>
      <c r="L303" s="267"/>
      <c r="M303" s="267"/>
      <c r="N303" s="267">
        <f t="shared" si="9"/>
        <v>0</v>
      </c>
      <c r="O303" s="267"/>
      <c r="P303" s="267"/>
      <c r="Q303" s="267"/>
      <c r="R303" s="23"/>
      <c r="T303" s="150"/>
      <c r="U303" s="28"/>
      <c r="V303" s="113"/>
      <c r="W303" s="113"/>
      <c r="X303" s="113"/>
      <c r="Y303" s="113"/>
      <c r="Z303" s="113"/>
      <c r="AA303" s="151"/>
      <c r="BE303" s="115"/>
      <c r="BF303" s="115"/>
      <c r="BG303" s="115"/>
      <c r="BH303" s="115"/>
      <c r="BI303" s="115"/>
      <c r="BK303" s="115"/>
    </row>
    <row r="304" spans="2:63" s="9" customFormat="1" ht="36" customHeight="1">
      <c r="B304" s="22"/>
      <c r="C304" s="108">
        <v>136</v>
      </c>
      <c r="D304" s="108" t="s">
        <v>252</v>
      </c>
      <c r="E304" s="109" t="s">
        <v>546</v>
      </c>
      <c r="F304" s="266" t="s">
        <v>547</v>
      </c>
      <c r="G304" s="266"/>
      <c r="H304" s="266"/>
      <c r="I304" s="266"/>
      <c r="J304" s="110" t="s">
        <v>293</v>
      </c>
      <c r="K304" s="111">
        <v>277.5</v>
      </c>
      <c r="L304" s="267"/>
      <c r="M304" s="267"/>
      <c r="N304" s="267">
        <f t="shared" si="9"/>
        <v>0</v>
      </c>
      <c r="O304" s="267"/>
      <c r="P304" s="267"/>
      <c r="Q304" s="267"/>
      <c r="R304" s="23"/>
      <c r="T304" s="150"/>
      <c r="U304" s="28"/>
      <c r="V304" s="113"/>
      <c r="W304" s="113"/>
      <c r="X304" s="113"/>
      <c r="Y304" s="113"/>
      <c r="Z304" s="113"/>
      <c r="AA304" s="151"/>
      <c r="BE304" s="115"/>
      <c r="BF304" s="115"/>
      <c r="BG304" s="115"/>
      <c r="BH304" s="115"/>
      <c r="BI304" s="115"/>
      <c r="BK304" s="115"/>
    </row>
    <row r="305" spans="2:63" s="9" customFormat="1" ht="12" customHeight="1">
      <c r="B305" s="22"/>
      <c r="C305" s="108">
        <v>137</v>
      </c>
      <c r="D305" s="108" t="s">
        <v>252</v>
      </c>
      <c r="E305" s="109" t="s">
        <v>548</v>
      </c>
      <c r="F305" s="266" t="s">
        <v>549</v>
      </c>
      <c r="G305" s="266"/>
      <c r="H305" s="266"/>
      <c r="I305" s="266"/>
      <c r="J305" s="110" t="s">
        <v>176</v>
      </c>
      <c r="K305" s="111">
        <v>1</v>
      </c>
      <c r="L305" s="267">
        <f>elektro!H46</f>
        <v>0</v>
      </c>
      <c r="M305" s="267"/>
      <c r="N305" s="267">
        <f t="shared" si="9"/>
        <v>0</v>
      </c>
      <c r="O305" s="267"/>
      <c r="P305" s="267"/>
      <c r="Q305" s="267"/>
      <c r="R305" s="23"/>
      <c r="T305" s="150"/>
      <c r="U305" s="28"/>
      <c r="V305" s="113"/>
      <c r="W305" s="113"/>
      <c r="X305" s="113"/>
      <c r="Y305" s="113"/>
      <c r="Z305" s="113"/>
      <c r="AA305" s="151"/>
      <c r="BE305" s="115"/>
      <c r="BF305" s="115"/>
      <c r="BG305" s="115"/>
      <c r="BH305" s="115"/>
      <c r="BI305" s="115"/>
      <c r="BK305" s="115"/>
    </row>
    <row r="306" spans="2:63" s="9" customFormat="1" ht="33" customHeight="1">
      <c r="B306" s="22"/>
      <c r="C306" s="108">
        <v>138</v>
      </c>
      <c r="D306" s="108" t="s">
        <v>252</v>
      </c>
      <c r="E306" s="109" t="s">
        <v>550</v>
      </c>
      <c r="F306" s="266" t="s">
        <v>551</v>
      </c>
      <c r="G306" s="266"/>
      <c r="H306" s="266"/>
      <c r="I306" s="266"/>
      <c r="J306" s="110" t="s">
        <v>211</v>
      </c>
      <c r="K306" s="111">
        <v>3</v>
      </c>
      <c r="L306" s="267"/>
      <c r="M306" s="267"/>
      <c r="N306" s="267">
        <f t="shared" si="9"/>
        <v>0</v>
      </c>
      <c r="O306" s="267"/>
      <c r="P306" s="267"/>
      <c r="Q306" s="267"/>
      <c r="R306" s="23"/>
      <c r="T306" s="150"/>
      <c r="U306" s="28"/>
      <c r="V306" s="113"/>
      <c r="W306" s="113"/>
      <c r="X306" s="113"/>
      <c r="Y306" s="113"/>
      <c r="Z306" s="113"/>
      <c r="AA306" s="151"/>
      <c r="BE306" s="115"/>
      <c r="BF306" s="115"/>
      <c r="BG306" s="115"/>
      <c r="BH306" s="115"/>
      <c r="BI306" s="115"/>
      <c r="BK306" s="115"/>
    </row>
    <row r="307" spans="2:63" s="9" customFormat="1" ht="26.25" customHeight="1">
      <c r="B307" s="22"/>
      <c r="C307" s="119">
        <v>139</v>
      </c>
      <c r="D307" s="108" t="s">
        <v>252</v>
      </c>
      <c r="E307" s="109" t="s">
        <v>552</v>
      </c>
      <c r="F307" s="266" t="s">
        <v>553</v>
      </c>
      <c r="G307" s="266"/>
      <c r="H307" s="266"/>
      <c r="I307" s="266"/>
      <c r="J307" s="110" t="s">
        <v>211</v>
      </c>
      <c r="K307" s="111">
        <v>1</v>
      </c>
      <c r="L307" s="267"/>
      <c r="M307" s="267"/>
      <c r="N307" s="267">
        <f t="shared" si="9"/>
        <v>0</v>
      </c>
      <c r="O307" s="267"/>
      <c r="P307" s="267"/>
      <c r="Q307" s="267"/>
      <c r="R307" s="23"/>
      <c r="T307" s="150"/>
      <c r="U307" s="28"/>
      <c r="V307" s="113"/>
      <c r="W307" s="113"/>
      <c r="X307" s="113"/>
      <c r="Y307" s="113"/>
      <c r="Z307" s="113"/>
      <c r="AA307" s="151"/>
      <c r="BE307" s="115"/>
      <c r="BF307" s="115"/>
      <c r="BG307" s="115"/>
      <c r="BH307" s="115"/>
      <c r="BI307" s="115"/>
      <c r="BK307" s="115"/>
    </row>
    <row r="308" spans="2:46" s="9" customFormat="1" ht="7.5" customHeight="1">
      <c r="B308" s="43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5"/>
      <c r="AT308" s="1"/>
    </row>
  </sheetData>
  <sheetProtection selectLockedCells="1" selectUnlockedCells="1"/>
  <mergeCells count="568">
    <mergeCell ref="F286:I286"/>
    <mergeCell ref="L286:M286"/>
    <mergeCell ref="N286:Q286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N128:Q128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N154:Q154"/>
    <mergeCell ref="F155:I155"/>
    <mergeCell ref="L155:M155"/>
    <mergeCell ref="N155:Q155"/>
    <mergeCell ref="F156:I156"/>
    <mergeCell ref="L156:M156"/>
    <mergeCell ref="N156:Q156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N199:Q199"/>
    <mergeCell ref="F200:I200"/>
    <mergeCell ref="L200:M200"/>
    <mergeCell ref="N200:Q200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N230:Q230"/>
    <mergeCell ref="F231:I231"/>
    <mergeCell ref="L231:M231"/>
    <mergeCell ref="N231:Q231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N255:Q255"/>
    <mergeCell ref="F256:I256"/>
    <mergeCell ref="L256:M256"/>
    <mergeCell ref="N256:Q256"/>
    <mergeCell ref="F257:I257"/>
    <mergeCell ref="L257:M257"/>
    <mergeCell ref="N257:Q257"/>
    <mergeCell ref="N258:Q258"/>
    <mergeCell ref="F259:I259"/>
    <mergeCell ref="L259:M259"/>
    <mergeCell ref="N259:Q259"/>
    <mergeCell ref="N260:Q260"/>
    <mergeCell ref="F261:I261"/>
    <mergeCell ref="L261:M261"/>
    <mergeCell ref="N261:Q261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N298:Q298"/>
    <mergeCell ref="F299:I299"/>
    <mergeCell ref="L299:M299"/>
    <mergeCell ref="N299:Q299"/>
    <mergeCell ref="F300:I300"/>
    <mergeCell ref="L300:M300"/>
    <mergeCell ref="N300:Q300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</mergeCells>
  <hyperlinks>
    <hyperlink ref="F1" location="C2" display="1) Krycí list rozpočtu"/>
    <hyperlink ref="H1" location="C86" display="2) Rekapitulace rozpočtu"/>
    <hyperlink ref="L1" location="C139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showGridLines="0" zoomScale="73" zoomScaleNormal="73" zoomScalePageLayoutView="0" workbookViewId="0" topLeftCell="A1">
      <selection activeCell="A3" sqref="A3"/>
    </sheetView>
  </sheetViews>
  <sheetFormatPr defaultColWidth="10.5" defaultRowHeight="13.5"/>
  <cols>
    <col min="1" max="1" width="10.66015625" style="152" customWidth="1"/>
    <col min="2" max="2" width="12.83203125" style="153" customWidth="1"/>
    <col min="3" max="3" width="72.66015625" style="153" customWidth="1"/>
    <col min="4" max="4" width="8.16015625" style="154" customWidth="1"/>
    <col min="5" max="5" width="15.5" style="155" customWidth="1"/>
    <col min="6" max="6" width="19.66015625" style="155" customWidth="1"/>
    <col min="7" max="7" width="15.33203125" style="155" customWidth="1"/>
    <col min="8" max="8" width="17.5" style="155" customWidth="1"/>
    <col min="9" max="16384" width="10.5" style="156" customWidth="1"/>
  </cols>
  <sheetData>
    <row r="1" spans="1:8" s="160" customFormat="1" ht="17.25" customHeight="1">
      <c r="A1" s="157" t="s">
        <v>554</v>
      </c>
      <c r="B1" s="158"/>
      <c r="C1" s="158"/>
      <c r="D1" s="159"/>
      <c r="E1" s="158"/>
      <c r="F1" s="158"/>
      <c r="G1" s="158"/>
      <c r="H1" s="158"/>
    </row>
    <row r="2" spans="1:8" s="160" customFormat="1" ht="17.25" customHeight="1">
      <c r="A2" s="157"/>
      <c r="B2" s="158"/>
      <c r="C2" s="158"/>
      <c r="D2" s="159"/>
      <c r="E2" s="158"/>
      <c r="F2" s="158"/>
      <c r="G2" s="158"/>
      <c r="H2" s="158"/>
    </row>
    <row r="3" spans="1:8" s="160" customFormat="1" ht="17.25" customHeight="1">
      <c r="A3" s="157" t="s">
        <v>669</v>
      </c>
      <c r="B3" s="158"/>
      <c r="C3" s="158"/>
      <c r="D3" s="159"/>
      <c r="E3" s="158"/>
      <c r="F3" s="158"/>
      <c r="G3" s="158"/>
      <c r="H3" s="158"/>
    </row>
    <row r="4" spans="1:8" s="160" customFormat="1" ht="17.25" customHeight="1">
      <c r="A4" s="157" t="s">
        <v>555</v>
      </c>
      <c r="B4" s="158"/>
      <c r="C4" s="158"/>
      <c r="D4" s="159"/>
      <c r="E4" s="158"/>
      <c r="F4" s="158"/>
      <c r="G4" s="158"/>
      <c r="H4" s="158"/>
    </row>
    <row r="5" spans="1:11" s="160" customFormat="1" ht="17.25" customHeight="1">
      <c r="A5" s="157"/>
      <c r="B5" s="158"/>
      <c r="C5" s="158"/>
      <c r="D5" s="159"/>
      <c r="E5" s="158"/>
      <c r="F5" s="158"/>
      <c r="G5" s="158"/>
      <c r="H5" s="158"/>
      <c r="K5" s="161"/>
    </row>
    <row r="6" spans="1:256" s="160" customFormat="1" ht="28.5" customHeight="1">
      <c r="A6" s="162" t="s">
        <v>556</v>
      </c>
      <c r="B6" s="162" t="s">
        <v>557</v>
      </c>
      <c r="C6" s="162" t="s">
        <v>111</v>
      </c>
      <c r="D6" s="162" t="s">
        <v>112</v>
      </c>
      <c r="E6" s="163" t="s">
        <v>558</v>
      </c>
      <c r="F6" s="164" t="str">
        <f>'VZT+UT'!A3</f>
        <v>„Snížení energetické náročnosti MŠ Renoirova“ </v>
      </c>
      <c r="G6" s="165" t="s">
        <v>559</v>
      </c>
      <c r="H6" s="164" t="s">
        <v>560</v>
      </c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</row>
    <row r="7" spans="1:256" s="160" customFormat="1" ht="12.75" customHeight="1">
      <c r="A7" s="162" t="s">
        <v>19</v>
      </c>
      <c r="B7" s="162" t="s">
        <v>138</v>
      </c>
      <c r="C7" s="162" t="s">
        <v>142</v>
      </c>
      <c r="D7" s="162" t="s">
        <v>128</v>
      </c>
      <c r="E7" s="167" t="s">
        <v>133</v>
      </c>
      <c r="F7" s="168">
        <v>6</v>
      </c>
      <c r="G7" s="169">
        <v>7</v>
      </c>
      <c r="H7" s="164">
        <v>8</v>
      </c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8" s="160" customFormat="1" ht="24" customHeight="1">
      <c r="A8" s="170"/>
      <c r="B8" s="171">
        <v>730</v>
      </c>
      <c r="C8" s="172" t="s">
        <v>561</v>
      </c>
      <c r="D8" s="173"/>
      <c r="E8" s="174"/>
      <c r="F8" s="174"/>
      <c r="G8" s="174"/>
      <c r="H8" s="175"/>
    </row>
    <row r="9" spans="1:256" s="160" customFormat="1" ht="15" customHeight="1">
      <c r="A9" s="176">
        <v>11</v>
      </c>
      <c r="B9" s="177">
        <v>42373</v>
      </c>
      <c r="C9" s="178" t="s">
        <v>562</v>
      </c>
      <c r="D9" s="179" t="s">
        <v>176</v>
      </c>
      <c r="E9" s="180">
        <v>2</v>
      </c>
      <c r="F9" s="181"/>
      <c r="G9" s="181">
        <f aca="true" t="shared" si="0" ref="G9:G24">E9*F9</f>
        <v>0</v>
      </c>
      <c r="H9" s="181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82"/>
      <c r="IT9" s="182"/>
      <c r="IU9" s="182"/>
      <c r="IV9" s="182"/>
    </row>
    <row r="10" spans="1:256" s="183" customFormat="1" ht="15" customHeight="1">
      <c r="A10" s="176"/>
      <c r="B10" s="177">
        <v>42404</v>
      </c>
      <c r="C10" s="178" t="s">
        <v>563</v>
      </c>
      <c r="D10" s="179" t="s">
        <v>176</v>
      </c>
      <c r="E10" s="180">
        <v>2</v>
      </c>
      <c r="F10" s="181"/>
      <c r="G10" s="181">
        <f t="shared" si="0"/>
        <v>0</v>
      </c>
      <c r="H10" s="181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  <c r="IU10" s="184"/>
      <c r="IV10" s="184"/>
    </row>
    <row r="11" spans="1:256" s="183" customFormat="1" ht="15" customHeight="1">
      <c r="A11" s="176"/>
      <c r="B11" s="177">
        <v>42433</v>
      </c>
      <c r="C11" s="178" t="s">
        <v>564</v>
      </c>
      <c r="D11" s="179" t="s">
        <v>176</v>
      </c>
      <c r="E11" s="180">
        <v>2</v>
      </c>
      <c r="F11" s="181"/>
      <c r="G11" s="181">
        <f t="shared" si="0"/>
        <v>0</v>
      </c>
      <c r="H11" s="181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  <c r="IT11" s="185"/>
      <c r="IU11" s="185"/>
      <c r="IV11" s="185"/>
    </row>
    <row r="12" spans="1:256" s="183" customFormat="1" ht="15" customHeight="1">
      <c r="A12" s="176"/>
      <c r="B12" s="177">
        <v>42464</v>
      </c>
      <c r="C12" s="178" t="s">
        <v>565</v>
      </c>
      <c r="D12" s="179" t="s">
        <v>176</v>
      </c>
      <c r="E12" s="180">
        <v>2</v>
      </c>
      <c r="F12" s="181"/>
      <c r="G12" s="181">
        <f t="shared" si="0"/>
        <v>0</v>
      </c>
      <c r="H12" s="181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  <c r="IV12" s="185"/>
    </row>
    <row r="13" spans="1:256" s="183" customFormat="1" ht="15" customHeight="1">
      <c r="A13" s="176"/>
      <c r="B13" s="177">
        <v>42494</v>
      </c>
      <c r="C13" s="178" t="s">
        <v>566</v>
      </c>
      <c r="D13" s="179" t="s">
        <v>176</v>
      </c>
      <c r="E13" s="180">
        <v>14</v>
      </c>
      <c r="F13" s="181"/>
      <c r="G13" s="181">
        <f t="shared" si="0"/>
        <v>0</v>
      </c>
      <c r="H13" s="181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  <c r="IU13" s="185"/>
      <c r="IV13" s="185"/>
    </row>
    <row r="14" spans="1:256" s="183" customFormat="1" ht="15" customHeight="1">
      <c r="A14" s="176"/>
      <c r="B14" s="177">
        <v>42525</v>
      </c>
      <c r="C14" s="178" t="s">
        <v>567</v>
      </c>
      <c r="D14" s="179" t="s">
        <v>176</v>
      </c>
      <c r="E14" s="180">
        <v>12</v>
      </c>
      <c r="F14" s="181"/>
      <c r="G14" s="181">
        <f t="shared" si="0"/>
        <v>0</v>
      </c>
      <c r="H14" s="181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  <c r="IV14" s="186"/>
    </row>
    <row r="15" spans="1:256" s="183" customFormat="1" ht="15" customHeight="1">
      <c r="A15" s="176"/>
      <c r="B15" s="177">
        <v>42555</v>
      </c>
      <c r="C15" s="178" t="s">
        <v>568</v>
      </c>
      <c r="D15" s="179" t="s">
        <v>176</v>
      </c>
      <c r="E15" s="180">
        <v>2</v>
      </c>
      <c r="F15" s="181"/>
      <c r="G15" s="181">
        <f t="shared" si="0"/>
        <v>0</v>
      </c>
      <c r="H15" s="181"/>
      <c r="II15" s="187"/>
      <c r="IJ15" s="187"/>
      <c r="IK15" s="187"/>
      <c r="IL15" s="187"/>
      <c r="IM15" s="187"/>
      <c r="IN15" s="187"/>
      <c r="IO15" s="187"/>
      <c r="IP15" s="187"/>
      <c r="IQ15" s="187"/>
      <c r="IR15" s="187"/>
      <c r="IS15" s="187"/>
      <c r="IT15" s="187"/>
      <c r="IU15" s="187"/>
      <c r="IV15" s="187"/>
    </row>
    <row r="16" spans="1:256" s="183" customFormat="1" ht="15" customHeight="1">
      <c r="A16" s="176"/>
      <c r="B16" s="177">
        <v>42586</v>
      </c>
      <c r="C16" s="178" t="s">
        <v>569</v>
      </c>
      <c r="D16" s="179" t="s">
        <v>176</v>
      </c>
      <c r="E16" s="180">
        <v>2</v>
      </c>
      <c r="F16" s="181"/>
      <c r="G16" s="181">
        <f t="shared" si="0"/>
        <v>0</v>
      </c>
      <c r="H16" s="181"/>
      <c r="II16" s="185"/>
      <c r="IJ16" s="185"/>
      <c r="IK16" s="185"/>
      <c r="IL16" s="185"/>
      <c r="IM16" s="185"/>
      <c r="IN16" s="185"/>
      <c r="IO16" s="185"/>
      <c r="IP16" s="185"/>
      <c r="IQ16" s="185"/>
      <c r="IR16" s="185"/>
      <c r="IS16" s="185"/>
      <c r="IT16" s="185"/>
      <c r="IU16" s="185"/>
      <c r="IV16" s="185"/>
    </row>
    <row r="17" spans="1:256" s="183" customFormat="1" ht="15" customHeight="1">
      <c r="A17" s="176"/>
      <c r="B17" s="177">
        <v>42617</v>
      </c>
      <c r="C17" s="178" t="s">
        <v>570</v>
      </c>
      <c r="D17" s="179" t="s">
        <v>176</v>
      </c>
      <c r="E17" s="180">
        <v>1</v>
      </c>
      <c r="F17" s="181"/>
      <c r="G17" s="181">
        <f t="shared" si="0"/>
        <v>0</v>
      </c>
      <c r="H17" s="181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  <c r="IT17" s="188"/>
      <c r="IU17" s="188"/>
      <c r="IV17" s="188"/>
    </row>
    <row r="18" spans="1:256" s="183" customFormat="1" ht="15" customHeight="1">
      <c r="A18" s="176"/>
      <c r="B18" s="177" t="s">
        <v>571</v>
      </c>
      <c r="C18" s="178" t="s">
        <v>572</v>
      </c>
      <c r="D18" s="179" t="s">
        <v>176</v>
      </c>
      <c r="E18" s="180">
        <v>1</v>
      </c>
      <c r="F18" s="181"/>
      <c r="G18" s="181">
        <f t="shared" si="0"/>
        <v>0</v>
      </c>
      <c r="H18" s="181"/>
      <c r="II18" s="185"/>
      <c r="IJ18" s="185"/>
      <c r="IK18" s="185"/>
      <c r="IL18" s="185"/>
      <c r="IM18" s="185"/>
      <c r="IN18" s="185"/>
      <c r="IO18" s="185"/>
      <c r="IP18" s="185"/>
      <c r="IQ18" s="185"/>
      <c r="IR18" s="185"/>
      <c r="IS18" s="185"/>
      <c r="IT18" s="185"/>
      <c r="IU18" s="185"/>
      <c r="IV18" s="185"/>
    </row>
    <row r="19" spans="1:256" s="183" customFormat="1" ht="15" customHeight="1">
      <c r="A19" s="176"/>
      <c r="B19" s="177">
        <v>42374</v>
      </c>
      <c r="C19" s="178" t="s">
        <v>573</v>
      </c>
      <c r="D19" s="179" t="s">
        <v>176</v>
      </c>
      <c r="E19" s="180">
        <v>1</v>
      </c>
      <c r="F19" s="181"/>
      <c r="G19" s="181">
        <f t="shared" si="0"/>
        <v>0</v>
      </c>
      <c r="H19" s="181"/>
      <c r="II19" s="185"/>
      <c r="IJ19" s="185"/>
      <c r="IK19" s="185"/>
      <c r="IL19" s="185"/>
      <c r="IM19" s="185"/>
      <c r="IN19" s="185"/>
      <c r="IO19" s="185"/>
      <c r="IP19" s="185"/>
      <c r="IQ19" s="185"/>
      <c r="IR19" s="185"/>
      <c r="IS19" s="185"/>
      <c r="IT19" s="185"/>
      <c r="IU19" s="185"/>
      <c r="IV19" s="185"/>
    </row>
    <row r="20" spans="1:8" s="183" customFormat="1" ht="15" customHeight="1">
      <c r="A20" s="176"/>
      <c r="B20" s="177">
        <v>42405</v>
      </c>
      <c r="C20" s="178" t="s">
        <v>574</v>
      </c>
      <c r="D20" s="179" t="s">
        <v>176</v>
      </c>
      <c r="E20" s="180">
        <v>2</v>
      </c>
      <c r="F20" s="181"/>
      <c r="G20" s="181">
        <f t="shared" si="0"/>
        <v>0</v>
      </c>
      <c r="H20" s="181"/>
    </row>
    <row r="21" spans="1:256" s="183" customFormat="1" ht="15" customHeight="1">
      <c r="A21" s="176"/>
      <c r="B21" s="177">
        <v>42434</v>
      </c>
      <c r="C21" s="178" t="s">
        <v>575</v>
      </c>
      <c r="D21" s="179" t="s">
        <v>176</v>
      </c>
      <c r="E21" s="180">
        <v>2</v>
      </c>
      <c r="F21" s="181"/>
      <c r="G21" s="181">
        <f t="shared" si="0"/>
        <v>0</v>
      </c>
      <c r="H21" s="181"/>
      <c r="II21" s="185"/>
      <c r="IJ21" s="185"/>
      <c r="IK21" s="185"/>
      <c r="IL21" s="185"/>
      <c r="IM21" s="185"/>
      <c r="IN21" s="185"/>
      <c r="IO21" s="185"/>
      <c r="IP21" s="185"/>
      <c r="IQ21" s="185"/>
      <c r="IR21" s="185"/>
      <c r="IS21" s="185"/>
      <c r="IT21" s="185"/>
      <c r="IU21" s="185"/>
      <c r="IV21" s="185"/>
    </row>
    <row r="22" spans="1:8" s="183" customFormat="1" ht="15" customHeight="1">
      <c r="A22" s="176"/>
      <c r="B22" s="177">
        <v>42465</v>
      </c>
      <c r="C22" s="178" t="s">
        <v>576</v>
      </c>
      <c r="D22" s="179" t="s">
        <v>176</v>
      </c>
      <c r="E22" s="180">
        <v>2</v>
      </c>
      <c r="F22" s="181"/>
      <c r="G22" s="181">
        <f t="shared" si="0"/>
        <v>0</v>
      </c>
      <c r="H22" s="181"/>
    </row>
    <row r="23" spans="1:8" s="183" customFormat="1" ht="15" customHeight="1">
      <c r="A23" s="176"/>
      <c r="B23" s="177">
        <v>42495</v>
      </c>
      <c r="C23" s="178" t="s">
        <v>577</v>
      </c>
      <c r="D23" s="179" t="s">
        <v>176</v>
      </c>
      <c r="E23" s="180">
        <v>1</v>
      </c>
      <c r="F23" s="181"/>
      <c r="G23" s="181">
        <f t="shared" si="0"/>
        <v>0</v>
      </c>
      <c r="H23" s="181"/>
    </row>
    <row r="24" spans="1:8" s="183" customFormat="1" ht="15" customHeight="1">
      <c r="A24" s="176"/>
      <c r="B24" s="177">
        <v>42526</v>
      </c>
      <c r="C24" s="178" t="s">
        <v>578</v>
      </c>
      <c r="D24" s="179" t="s">
        <v>176</v>
      </c>
      <c r="E24" s="180">
        <v>8</v>
      </c>
      <c r="F24" s="181"/>
      <c r="G24" s="181">
        <f t="shared" si="0"/>
        <v>0</v>
      </c>
      <c r="H24" s="181"/>
    </row>
    <row r="25" spans="1:8" s="183" customFormat="1" ht="15" customHeight="1">
      <c r="A25" s="176"/>
      <c r="B25" s="177">
        <v>42556</v>
      </c>
      <c r="C25" s="178" t="s">
        <v>579</v>
      </c>
      <c r="D25" s="179" t="s">
        <v>404</v>
      </c>
      <c r="E25" s="180">
        <v>20</v>
      </c>
      <c r="F25" s="181">
        <f>SUM(G9:G24)</f>
        <v>0</v>
      </c>
      <c r="G25" s="181"/>
      <c r="H25" s="181">
        <f>E25*F25/100</f>
        <v>0</v>
      </c>
    </row>
    <row r="26" spans="1:256" s="183" customFormat="1" ht="15" customHeight="1">
      <c r="A26" s="176">
        <v>12</v>
      </c>
      <c r="B26" s="177">
        <v>42587</v>
      </c>
      <c r="C26" s="178" t="s">
        <v>580</v>
      </c>
      <c r="D26" s="179" t="s">
        <v>211</v>
      </c>
      <c r="E26" s="180">
        <v>4</v>
      </c>
      <c r="F26" s="181"/>
      <c r="G26" s="181">
        <f>E26*F26</f>
        <v>0</v>
      </c>
      <c r="H26" s="181"/>
      <c r="FV26" s="189"/>
      <c r="FW26" s="185"/>
      <c r="FX26" s="185"/>
      <c r="FY26" s="185"/>
      <c r="FZ26" s="185"/>
      <c r="GA26" s="185"/>
      <c r="GB26" s="185"/>
      <c r="GC26" s="185"/>
      <c r="GD26" s="185"/>
      <c r="GE26" s="185"/>
      <c r="GF26" s="185"/>
      <c r="GG26" s="185"/>
      <c r="GH26" s="185"/>
      <c r="GI26" s="185"/>
      <c r="GJ26" s="185"/>
      <c r="GK26" s="185"/>
      <c r="GL26" s="185"/>
      <c r="GM26" s="185"/>
      <c r="GN26" s="185"/>
      <c r="GO26" s="185"/>
      <c r="GP26" s="185"/>
      <c r="GQ26" s="185"/>
      <c r="GR26" s="185"/>
      <c r="GS26" s="185"/>
      <c r="GT26" s="185"/>
      <c r="GU26" s="185"/>
      <c r="GV26" s="185"/>
      <c r="GW26" s="185"/>
      <c r="GX26" s="185"/>
      <c r="GY26" s="185"/>
      <c r="GZ26" s="185"/>
      <c r="HA26" s="185"/>
      <c r="HB26" s="185"/>
      <c r="HC26" s="185"/>
      <c r="HD26" s="185"/>
      <c r="HE26" s="185"/>
      <c r="HF26" s="185"/>
      <c r="HG26" s="185"/>
      <c r="HH26" s="185"/>
      <c r="HI26" s="185"/>
      <c r="HJ26" s="185"/>
      <c r="HK26" s="185"/>
      <c r="HL26" s="185"/>
      <c r="HM26" s="185"/>
      <c r="HN26" s="185"/>
      <c r="HO26" s="185"/>
      <c r="HP26" s="185"/>
      <c r="HQ26" s="185"/>
      <c r="HR26" s="185"/>
      <c r="HS26" s="185"/>
      <c r="HT26" s="185"/>
      <c r="HU26" s="185"/>
      <c r="HV26" s="185"/>
      <c r="HW26" s="185"/>
      <c r="HX26" s="185"/>
      <c r="HY26" s="185"/>
      <c r="HZ26" s="185"/>
      <c r="IA26" s="185"/>
      <c r="IB26" s="185"/>
      <c r="IC26" s="185"/>
      <c r="ID26" s="185"/>
      <c r="IE26" s="185"/>
      <c r="IF26" s="185"/>
      <c r="IG26" s="185"/>
      <c r="IH26" s="185"/>
      <c r="II26" s="185"/>
      <c r="IJ26" s="185"/>
      <c r="IK26" s="185"/>
      <c r="IL26" s="185"/>
      <c r="IM26" s="185"/>
      <c r="IN26" s="185"/>
      <c r="IO26" s="185"/>
      <c r="IP26" s="185"/>
      <c r="IQ26" s="185"/>
      <c r="IR26" s="185"/>
      <c r="IS26" s="185"/>
      <c r="IT26" s="185"/>
      <c r="IU26" s="185"/>
      <c r="IV26" s="185"/>
    </row>
    <row r="27" spans="1:256" s="183" customFormat="1" ht="15" customHeight="1">
      <c r="A27" s="176"/>
      <c r="B27" s="177">
        <v>42618</v>
      </c>
      <c r="C27" s="178" t="s">
        <v>581</v>
      </c>
      <c r="D27" s="179" t="s">
        <v>211</v>
      </c>
      <c r="E27" s="180">
        <v>2</v>
      </c>
      <c r="F27" s="181"/>
      <c r="G27" s="181">
        <f>E27*F27</f>
        <v>0</v>
      </c>
      <c r="H27" s="181"/>
      <c r="FV27" s="189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  <c r="HF27" s="185"/>
      <c r="HG27" s="185"/>
      <c r="HH27" s="185"/>
      <c r="HI27" s="185"/>
      <c r="HJ27" s="185"/>
      <c r="HK27" s="185"/>
      <c r="HL27" s="185"/>
      <c r="HM27" s="185"/>
      <c r="HN27" s="185"/>
      <c r="HO27" s="185"/>
      <c r="HP27" s="185"/>
      <c r="HQ27" s="185"/>
      <c r="HR27" s="185"/>
      <c r="HS27" s="185"/>
      <c r="HT27" s="185"/>
      <c r="HU27" s="185"/>
      <c r="HV27" s="185"/>
      <c r="HW27" s="185"/>
      <c r="HX27" s="185"/>
      <c r="HY27" s="185"/>
      <c r="HZ27" s="185"/>
      <c r="IA27" s="185"/>
      <c r="IB27" s="185"/>
      <c r="IC27" s="185"/>
      <c r="ID27" s="185"/>
      <c r="IE27" s="185"/>
      <c r="IF27" s="185"/>
      <c r="IG27" s="185"/>
      <c r="IH27" s="185"/>
      <c r="II27" s="185"/>
      <c r="IJ27" s="185"/>
      <c r="IK27" s="185"/>
      <c r="IL27" s="185"/>
      <c r="IM27" s="185"/>
      <c r="IN27" s="185"/>
      <c r="IO27" s="185"/>
      <c r="IP27" s="185"/>
      <c r="IQ27" s="185"/>
      <c r="IR27" s="185"/>
      <c r="IS27" s="185"/>
      <c r="IT27" s="185"/>
      <c r="IU27" s="185"/>
      <c r="IV27" s="185"/>
    </row>
    <row r="28" spans="1:256" s="183" customFormat="1" ht="15" customHeight="1">
      <c r="A28" s="176"/>
      <c r="B28" s="177" t="s">
        <v>582</v>
      </c>
      <c r="C28" s="178" t="s">
        <v>583</v>
      </c>
      <c r="D28" s="179" t="s">
        <v>404</v>
      </c>
      <c r="E28" s="180">
        <v>30</v>
      </c>
      <c r="F28" s="181">
        <f>(G26+G27)</f>
        <v>0</v>
      </c>
      <c r="G28" s="181"/>
      <c r="H28" s="181">
        <f>E28*F28/100</f>
        <v>0</v>
      </c>
      <c r="FV28" s="189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5"/>
      <c r="HF28" s="185"/>
      <c r="HG28" s="185"/>
      <c r="HH28" s="185"/>
      <c r="HI28" s="185"/>
      <c r="HJ28" s="185"/>
      <c r="HK28" s="185"/>
      <c r="HL28" s="185"/>
      <c r="HM28" s="185"/>
      <c r="HN28" s="185"/>
      <c r="HO28" s="185"/>
      <c r="HP28" s="185"/>
      <c r="HQ28" s="185"/>
      <c r="HR28" s="185"/>
      <c r="HS28" s="185"/>
      <c r="HT28" s="185"/>
      <c r="HU28" s="185"/>
      <c r="HV28" s="185"/>
      <c r="HW28" s="185"/>
      <c r="HX28" s="185"/>
      <c r="HY28" s="185"/>
      <c r="HZ28" s="185"/>
      <c r="IA28" s="185"/>
      <c r="IB28" s="185"/>
      <c r="IC28" s="185"/>
      <c r="ID28" s="185"/>
      <c r="IE28" s="185"/>
      <c r="IF28" s="185"/>
      <c r="IG28" s="185"/>
      <c r="IH28" s="185"/>
      <c r="II28" s="185"/>
      <c r="IJ28" s="185"/>
      <c r="IK28" s="185"/>
      <c r="IL28" s="185"/>
      <c r="IM28" s="185"/>
      <c r="IN28" s="185"/>
      <c r="IO28" s="185"/>
      <c r="IP28" s="185"/>
      <c r="IQ28" s="185"/>
      <c r="IR28" s="185"/>
      <c r="IS28" s="185"/>
      <c r="IT28" s="185"/>
      <c r="IU28" s="185"/>
      <c r="IV28" s="185"/>
    </row>
    <row r="29" spans="1:256" s="183" customFormat="1" ht="30.75" customHeight="1">
      <c r="A29" s="176"/>
      <c r="B29" s="190" t="s">
        <v>584</v>
      </c>
      <c r="C29" s="178" t="s">
        <v>665</v>
      </c>
      <c r="D29" s="179" t="s">
        <v>176</v>
      </c>
      <c r="E29" s="180">
        <v>1</v>
      </c>
      <c r="F29" s="181"/>
      <c r="G29" s="181"/>
      <c r="H29" s="181">
        <f>E29*F29</f>
        <v>0</v>
      </c>
      <c r="FV29" s="189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  <c r="HF29" s="185"/>
      <c r="HG29" s="185"/>
      <c r="HH29" s="185"/>
      <c r="HI29" s="185"/>
      <c r="HJ29" s="185"/>
      <c r="HK29" s="185"/>
      <c r="HL29" s="185"/>
      <c r="HM29" s="185"/>
      <c r="HN29" s="185"/>
      <c r="HO29" s="185"/>
      <c r="HP29" s="185"/>
      <c r="HQ29" s="185"/>
      <c r="HR29" s="185"/>
      <c r="HS29" s="185"/>
      <c r="HT29" s="185"/>
      <c r="HU29" s="185"/>
      <c r="HV29" s="185"/>
      <c r="HW29" s="185"/>
      <c r="HX29" s="185"/>
      <c r="HY29" s="185"/>
      <c r="HZ29" s="185"/>
      <c r="IA29" s="185"/>
      <c r="IB29" s="185"/>
      <c r="IC29" s="185"/>
      <c r="ID29" s="185"/>
      <c r="IE29" s="185"/>
      <c r="IF29" s="185"/>
      <c r="IG29" s="185"/>
      <c r="IH29" s="185"/>
      <c r="II29" s="185"/>
      <c r="IJ29" s="185"/>
      <c r="IK29" s="185"/>
      <c r="IL29" s="185"/>
      <c r="IM29" s="185"/>
      <c r="IN29" s="185"/>
      <c r="IO29" s="185"/>
      <c r="IP29" s="185"/>
      <c r="IQ29" s="185"/>
      <c r="IR29" s="185"/>
      <c r="IS29" s="185"/>
      <c r="IT29" s="185"/>
      <c r="IU29" s="185"/>
      <c r="IV29" s="185"/>
    </row>
    <row r="30" spans="1:256" s="183" customFormat="1" ht="15" customHeight="1">
      <c r="A30" s="176">
        <v>13</v>
      </c>
      <c r="B30" s="177">
        <v>42375</v>
      </c>
      <c r="C30" s="178" t="s">
        <v>585</v>
      </c>
      <c r="D30" s="179" t="s">
        <v>586</v>
      </c>
      <c r="E30" s="180">
        <v>74</v>
      </c>
      <c r="F30" s="181"/>
      <c r="G30" s="181">
        <f>E30*F30</f>
        <v>0</v>
      </c>
      <c r="H30" s="181"/>
      <c r="FV30" s="189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  <c r="HF30" s="185"/>
      <c r="HG30" s="185"/>
      <c r="HH30" s="185"/>
      <c r="HI30" s="185"/>
      <c r="HJ30" s="185"/>
      <c r="HK30" s="185"/>
      <c r="HL30" s="185"/>
      <c r="HM30" s="185"/>
      <c r="HN30" s="185"/>
      <c r="HO30" s="185"/>
      <c r="HP30" s="185"/>
      <c r="HQ30" s="185"/>
      <c r="HR30" s="185"/>
      <c r="HS30" s="185"/>
      <c r="HT30" s="185"/>
      <c r="HU30" s="185"/>
      <c r="HV30" s="185"/>
      <c r="HW30" s="185"/>
      <c r="HX30" s="185"/>
      <c r="HY30" s="185"/>
      <c r="HZ30" s="185"/>
      <c r="IA30" s="185"/>
      <c r="IB30" s="185"/>
      <c r="IC30" s="185"/>
      <c r="ID30" s="185"/>
      <c r="IE30" s="185"/>
      <c r="IF30" s="185"/>
      <c r="IG30" s="185"/>
      <c r="IH30" s="185"/>
      <c r="II30" s="185"/>
      <c r="IJ30" s="185"/>
      <c r="IK30" s="185"/>
      <c r="IL30" s="185"/>
      <c r="IM30" s="185"/>
      <c r="IN30" s="185"/>
      <c r="IO30" s="185"/>
      <c r="IP30" s="185"/>
      <c r="IQ30" s="185"/>
      <c r="IR30" s="185"/>
      <c r="IS30" s="185"/>
      <c r="IT30" s="185"/>
      <c r="IU30" s="185"/>
      <c r="IV30" s="185"/>
    </row>
    <row r="31" spans="1:256" s="183" customFormat="1" ht="19.5" customHeight="1">
      <c r="A31" s="176">
        <v>14</v>
      </c>
      <c r="B31" s="177">
        <v>42406</v>
      </c>
      <c r="C31" s="178" t="s">
        <v>587</v>
      </c>
      <c r="D31" s="179" t="s">
        <v>586</v>
      </c>
      <c r="E31" s="180">
        <v>1</v>
      </c>
      <c r="F31" s="181"/>
      <c r="G31" s="181">
        <f>E31*F31</f>
        <v>0</v>
      </c>
      <c r="H31" s="181"/>
      <c r="FV31" s="189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 s="185"/>
      <c r="HK31" s="185"/>
      <c r="HL31" s="185"/>
      <c r="HM31" s="185"/>
      <c r="HN31" s="185"/>
      <c r="HO31" s="185"/>
      <c r="HP31" s="185"/>
      <c r="HQ31" s="185"/>
      <c r="HR31" s="185"/>
      <c r="HS31" s="185"/>
      <c r="HT31" s="185"/>
      <c r="HU31" s="185"/>
      <c r="HV31" s="185"/>
      <c r="HW31" s="185"/>
      <c r="HX31" s="185"/>
      <c r="HY31" s="185"/>
      <c r="HZ31" s="185"/>
      <c r="IA31" s="185"/>
      <c r="IB31" s="185"/>
      <c r="IC31" s="185"/>
      <c r="ID31" s="185"/>
      <c r="IE31" s="185"/>
      <c r="IF31" s="185"/>
      <c r="IG31" s="185"/>
      <c r="IH31" s="185"/>
      <c r="II31" s="185"/>
      <c r="IJ31" s="185"/>
      <c r="IK31" s="185"/>
      <c r="IL31" s="185"/>
      <c r="IM31" s="185"/>
      <c r="IN31" s="185"/>
      <c r="IO31" s="185"/>
      <c r="IP31" s="185"/>
      <c r="IQ31" s="185"/>
      <c r="IR31" s="185"/>
      <c r="IS31" s="185"/>
      <c r="IT31" s="185"/>
      <c r="IU31" s="185"/>
      <c r="IV31" s="185"/>
    </row>
    <row r="32" spans="1:256" s="183" customFormat="1" ht="15" customHeight="1">
      <c r="A32" s="176"/>
      <c r="B32" s="177">
        <v>42435</v>
      </c>
      <c r="C32" s="178" t="s">
        <v>588</v>
      </c>
      <c r="D32" s="179" t="s">
        <v>404</v>
      </c>
      <c r="E32" s="180">
        <v>30</v>
      </c>
      <c r="F32" s="181">
        <f>(G30+G31)</f>
        <v>0</v>
      </c>
      <c r="G32" s="181"/>
      <c r="H32" s="181">
        <f>E32*F32/100</f>
        <v>0</v>
      </c>
      <c r="FV32" s="189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5"/>
      <c r="HF32" s="185"/>
      <c r="HG32" s="185"/>
      <c r="HH32" s="185"/>
      <c r="HI32" s="185"/>
      <c r="HJ32" s="185"/>
      <c r="HK32" s="185"/>
      <c r="HL32" s="185"/>
      <c r="HM32" s="185"/>
      <c r="HN32" s="185"/>
      <c r="HO32" s="185"/>
      <c r="HP32" s="185"/>
      <c r="HQ32" s="185"/>
      <c r="HR32" s="185"/>
      <c r="HS32" s="185"/>
      <c r="HT32" s="185"/>
      <c r="HU32" s="185"/>
      <c r="HV32" s="185"/>
      <c r="HW32" s="185"/>
      <c r="HX32" s="185"/>
      <c r="HY32" s="185"/>
      <c r="HZ32" s="185"/>
      <c r="IA32" s="185"/>
      <c r="IB32" s="185"/>
      <c r="IC32" s="185"/>
      <c r="ID32" s="185"/>
      <c r="IE32" s="185"/>
      <c r="IF32" s="185"/>
      <c r="IG32" s="185"/>
      <c r="IH32" s="185"/>
      <c r="II32" s="185"/>
      <c r="IJ32" s="185"/>
      <c r="IK32" s="185"/>
      <c r="IL32" s="185"/>
      <c r="IM32" s="185"/>
      <c r="IN32" s="185"/>
      <c r="IO32" s="185"/>
      <c r="IP32" s="185"/>
      <c r="IQ32" s="185"/>
      <c r="IR32" s="185"/>
      <c r="IS32" s="185"/>
      <c r="IT32" s="185"/>
      <c r="IU32" s="185"/>
      <c r="IV32" s="185"/>
    </row>
    <row r="33" spans="1:8" s="160" customFormat="1" ht="19.5" customHeight="1">
      <c r="A33" s="176"/>
      <c r="B33" s="177"/>
      <c r="C33" s="178"/>
      <c r="D33" s="179"/>
      <c r="E33" s="180"/>
      <c r="F33" s="181"/>
      <c r="G33" s="181"/>
      <c r="H33" s="181"/>
    </row>
    <row r="34" spans="1:256" s="183" customFormat="1" ht="15" customHeight="1">
      <c r="A34" s="176">
        <v>15</v>
      </c>
      <c r="B34" s="177">
        <v>42376</v>
      </c>
      <c r="C34" s="191" t="s">
        <v>589</v>
      </c>
      <c r="D34" s="192"/>
      <c r="E34" s="193"/>
      <c r="F34" s="194"/>
      <c r="G34" s="194">
        <f>SUM(G9:G33)</f>
        <v>0</v>
      </c>
      <c r="H34" s="194"/>
      <c r="FV34" s="189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5"/>
      <c r="HF34" s="185"/>
      <c r="HG34" s="185"/>
      <c r="HH34" s="185"/>
      <c r="HI34" s="185"/>
      <c r="HJ34" s="185"/>
      <c r="HK34" s="185"/>
      <c r="HL34" s="185"/>
      <c r="HM34" s="185"/>
      <c r="HN34" s="185"/>
      <c r="HO34" s="185"/>
      <c r="HP34" s="185"/>
      <c r="HQ34" s="185"/>
      <c r="HR34" s="185"/>
      <c r="HS34" s="185"/>
      <c r="HT34" s="185"/>
      <c r="HU34" s="185"/>
      <c r="HV34" s="185"/>
      <c r="HW34" s="185"/>
      <c r="HX34" s="185"/>
      <c r="HY34" s="185"/>
      <c r="HZ34" s="185"/>
      <c r="IA34" s="185"/>
      <c r="IB34" s="185"/>
      <c r="IC34" s="185"/>
      <c r="ID34" s="185"/>
      <c r="IE34" s="185"/>
      <c r="IF34" s="185"/>
      <c r="IG34" s="185"/>
      <c r="IH34" s="185"/>
      <c r="II34" s="185"/>
      <c r="IJ34" s="185"/>
      <c r="IK34" s="185"/>
      <c r="IL34" s="185"/>
      <c r="IM34" s="185"/>
      <c r="IN34" s="185"/>
      <c r="IO34" s="185"/>
      <c r="IP34" s="185"/>
      <c r="IQ34" s="185"/>
      <c r="IR34" s="185"/>
      <c r="IS34" s="185"/>
      <c r="IT34" s="185"/>
      <c r="IU34" s="185"/>
      <c r="IV34" s="185"/>
    </row>
    <row r="35" spans="1:256" s="183" customFormat="1" ht="15" customHeight="1">
      <c r="A35" s="195">
        <v>16</v>
      </c>
      <c r="B35" s="196">
        <v>42407</v>
      </c>
      <c r="C35" s="197" t="s">
        <v>590</v>
      </c>
      <c r="D35" s="198"/>
      <c r="E35" s="199"/>
      <c r="F35" s="200"/>
      <c r="G35" s="200"/>
      <c r="H35" s="201">
        <f>SUM(H25:H34)</f>
        <v>0</v>
      </c>
      <c r="FV35" s="189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5"/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5"/>
      <c r="HF35" s="185"/>
      <c r="HG35" s="185"/>
      <c r="HH35" s="185"/>
      <c r="HI35" s="185"/>
      <c r="HJ35" s="185"/>
      <c r="HK35" s="185"/>
      <c r="HL35" s="185"/>
      <c r="HM35" s="185"/>
      <c r="HN35" s="185"/>
      <c r="HO35" s="185"/>
      <c r="HP35" s="185"/>
      <c r="HQ35" s="185"/>
      <c r="HR35" s="185"/>
      <c r="HS35" s="185"/>
      <c r="HT35" s="185"/>
      <c r="HU35" s="185"/>
      <c r="HV35" s="185"/>
      <c r="HW35" s="185"/>
      <c r="HX35" s="185"/>
      <c r="HY35" s="185"/>
      <c r="HZ35" s="185"/>
      <c r="IA35" s="185"/>
      <c r="IB35" s="185"/>
      <c r="IC35" s="185"/>
      <c r="ID35" s="185"/>
      <c r="IE35" s="185"/>
      <c r="IF35" s="185"/>
      <c r="IG35" s="185"/>
      <c r="IH35" s="185"/>
      <c r="II35" s="185"/>
      <c r="IJ35" s="185"/>
      <c r="IK35" s="185"/>
      <c r="IL35" s="185"/>
      <c r="IM35" s="185"/>
      <c r="IN35" s="185"/>
      <c r="IO35" s="185"/>
      <c r="IP35" s="185"/>
      <c r="IQ35" s="185"/>
      <c r="IR35" s="185"/>
      <c r="IS35" s="185"/>
      <c r="IT35" s="185"/>
      <c r="IU35" s="185"/>
      <c r="IV35" s="185"/>
    </row>
    <row r="36" spans="1:256" s="183" customFormat="1" ht="15" customHeight="1">
      <c r="A36" s="176">
        <v>17</v>
      </c>
      <c r="B36" s="177">
        <v>42436</v>
      </c>
      <c r="C36" s="202" t="s">
        <v>591</v>
      </c>
      <c r="D36" s="192"/>
      <c r="E36" s="193"/>
      <c r="F36" s="203">
        <f>G34+H35</f>
        <v>0</v>
      </c>
      <c r="G36" s="194"/>
      <c r="H36" s="194"/>
      <c r="FV36" s="189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5"/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5"/>
      <c r="HF36" s="185"/>
      <c r="HG36" s="185"/>
      <c r="HH36" s="185"/>
      <c r="HI36" s="185"/>
      <c r="HJ36" s="185"/>
      <c r="HK36" s="185"/>
      <c r="HL36" s="185"/>
      <c r="HM36" s="185"/>
      <c r="HN36" s="185"/>
      <c r="HO36" s="185"/>
      <c r="HP36" s="185"/>
      <c r="HQ36" s="185"/>
      <c r="HR36" s="185"/>
      <c r="HS36" s="185"/>
      <c r="HT36" s="185"/>
      <c r="HU36" s="185"/>
      <c r="HV36" s="185"/>
      <c r="HW36" s="185"/>
      <c r="HX36" s="185"/>
      <c r="HY36" s="185"/>
      <c r="HZ36" s="185"/>
      <c r="IA36" s="185"/>
      <c r="IB36" s="185"/>
      <c r="IC36" s="185"/>
      <c r="ID36" s="185"/>
      <c r="IE36" s="185"/>
      <c r="IF36" s="185"/>
      <c r="IG36" s="185"/>
      <c r="IH36" s="185"/>
      <c r="II36" s="185"/>
      <c r="IJ36" s="185"/>
      <c r="IK36" s="185"/>
      <c r="IL36" s="185"/>
      <c r="IM36" s="185"/>
      <c r="IN36" s="185"/>
      <c r="IO36" s="185"/>
      <c r="IP36" s="185"/>
      <c r="IQ36" s="185"/>
      <c r="IR36" s="185"/>
      <c r="IS36" s="185"/>
      <c r="IT36" s="185"/>
      <c r="IU36" s="185"/>
      <c r="IV36" s="185"/>
    </row>
    <row r="37" spans="1:256" s="183" customFormat="1" ht="26.25" customHeight="1">
      <c r="A37" s="170"/>
      <c r="B37" s="171">
        <v>751</v>
      </c>
      <c r="C37" s="172" t="s">
        <v>592</v>
      </c>
      <c r="D37" s="173"/>
      <c r="E37" s="174"/>
      <c r="F37" s="204"/>
      <c r="G37" s="204"/>
      <c r="H37" s="205"/>
      <c r="FV37" s="189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185"/>
      <c r="HS37" s="185"/>
      <c r="HT37" s="185"/>
      <c r="HU37" s="185"/>
      <c r="HV37" s="185"/>
      <c r="HW37" s="185"/>
      <c r="HX37" s="185"/>
      <c r="HY37" s="185"/>
      <c r="HZ37" s="185"/>
      <c r="IA37" s="185"/>
      <c r="IB37" s="185"/>
      <c r="IC37" s="185"/>
      <c r="ID37" s="185"/>
      <c r="IE37" s="185"/>
      <c r="IF37" s="185"/>
      <c r="IG37" s="185"/>
      <c r="IH37" s="185"/>
      <c r="II37" s="185"/>
      <c r="IJ37" s="185"/>
      <c r="IK37" s="185"/>
      <c r="IL37" s="185"/>
      <c r="IM37" s="185"/>
      <c r="IN37" s="185"/>
      <c r="IO37" s="185"/>
      <c r="IP37" s="185"/>
      <c r="IQ37" s="185"/>
      <c r="IR37" s="185"/>
      <c r="IS37" s="185"/>
      <c r="IT37" s="185"/>
      <c r="IU37" s="185"/>
      <c r="IV37" s="185"/>
    </row>
    <row r="38" spans="1:256" s="183" customFormat="1" ht="15" customHeight="1">
      <c r="A38" s="206">
        <v>1</v>
      </c>
      <c r="B38" s="207">
        <v>42370</v>
      </c>
      <c r="C38" s="208" t="s">
        <v>593</v>
      </c>
      <c r="D38" s="209" t="s">
        <v>176</v>
      </c>
      <c r="E38" s="210">
        <v>4</v>
      </c>
      <c r="F38" s="211"/>
      <c r="G38" s="181">
        <f>E38*F38</f>
        <v>0</v>
      </c>
      <c r="H38" s="211"/>
      <c r="FV38" s="189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185"/>
      <c r="IH38" s="185"/>
      <c r="II38" s="185"/>
      <c r="IJ38" s="185"/>
      <c r="IK38" s="185"/>
      <c r="IL38" s="185"/>
      <c r="IM38" s="185"/>
      <c r="IN38" s="185"/>
      <c r="IO38" s="185"/>
      <c r="IP38" s="185"/>
      <c r="IQ38" s="185"/>
      <c r="IR38" s="185"/>
      <c r="IS38" s="185"/>
      <c r="IT38" s="185"/>
      <c r="IU38" s="185"/>
      <c r="IV38" s="185"/>
    </row>
    <row r="39" spans="1:256" s="183" customFormat="1" ht="15" customHeight="1">
      <c r="A39" s="206"/>
      <c r="B39" s="209"/>
      <c r="C39" s="208" t="s">
        <v>594</v>
      </c>
      <c r="D39" s="209"/>
      <c r="E39" s="210"/>
      <c r="F39" s="211"/>
      <c r="G39" s="211"/>
      <c r="H39" s="211"/>
      <c r="FV39" s="189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5"/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  <c r="HR39" s="185"/>
      <c r="HS39" s="185"/>
      <c r="HT39" s="185"/>
      <c r="HU39" s="185"/>
      <c r="HV39" s="185"/>
      <c r="HW39" s="185"/>
      <c r="HX39" s="185"/>
      <c r="HY39" s="185"/>
      <c r="HZ39" s="185"/>
      <c r="IA39" s="185"/>
      <c r="IB39" s="185"/>
      <c r="IC39" s="185"/>
      <c r="ID39" s="185"/>
      <c r="IE39" s="185"/>
      <c r="IF39" s="185"/>
      <c r="IG39" s="185"/>
      <c r="IH39" s="185"/>
      <c r="II39" s="185"/>
      <c r="IJ39" s="185"/>
      <c r="IK39" s="185"/>
      <c r="IL39" s="185"/>
      <c r="IM39" s="185"/>
      <c r="IN39" s="185"/>
      <c r="IO39" s="185"/>
      <c r="IP39" s="185"/>
      <c r="IQ39" s="185"/>
      <c r="IR39" s="185"/>
      <c r="IS39" s="185"/>
      <c r="IT39" s="185"/>
      <c r="IU39" s="185"/>
      <c r="IV39" s="185"/>
    </row>
    <row r="40" spans="1:256" s="183" customFormat="1" ht="15" customHeight="1">
      <c r="A40" s="206"/>
      <c r="B40" s="207"/>
      <c r="C40" s="208" t="s">
        <v>595</v>
      </c>
      <c r="D40" s="209"/>
      <c r="E40" s="210"/>
      <c r="F40" s="211"/>
      <c r="G40" s="211"/>
      <c r="H40" s="211"/>
      <c r="FV40" s="189"/>
      <c r="FW40" s="185"/>
      <c r="FX40" s="185"/>
      <c r="FY40" s="185"/>
      <c r="FZ40" s="185"/>
      <c r="GA40" s="185"/>
      <c r="GB40" s="185"/>
      <c r="GC40" s="185"/>
      <c r="GD40" s="185"/>
      <c r="GE40" s="185"/>
      <c r="GF40" s="185"/>
      <c r="GG40" s="185"/>
      <c r="GH40" s="185"/>
      <c r="GI40" s="185"/>
      <c r="GJ40" s="185"/>
      <c r="GK40" s="185"/>
      <c r="GL40" s="185"/>
      <c r="GM40" s="185"/>
      <c r="GN40" s="185"/>
      <c r="GO40" s="185"/>
      <c r="GP40" s="185"/>
      <c r="GQ40" s="185"/>
      <c r="GR40" s="185"/>
      <c r="GS40" s="185"/>
      <c r="GT40" s="185"/>
      <c r="GU40" s="185"/>
      <c r="GV40" s="185"/>
      <c r="GW40" s="185"/>
      <c r="GX40" s="185"/>
      <c r="GY40" s="185"/>
      <c r="GZ40" s="185"/>
      <c r="HA40" s="185"/>
      <c r="HB40" s="185"/>
      <c r="HC40" s="185"/>
      <c r="HD40" s="185"/>
      <c r="HE40" s="185"/>
      <c r="HF40" s="185"/>
      <c r="HG40" s="185"/>
      <c r="HH40" s="185"/>
      <c r="HI40" s="185"/>
      <c r="HJ40" s="185"/>
      <c r="HK40" s="185"/>
      <c r="HL40" s="185"/>
      <c r="HM40" s="185"/>
      <c r="HN40" s="185"/>
      <c r="HO40" s="185"/>
      <c r="HP40" s="185"/>
      <c r="HQ40" s="185"/>
      <c r="HR40" s="185"/>
      <c r="HS40" s="185"/>
      <c r="HT40" s="185"/>
      <c r="HU40" s="185"/>
      <c r="HV40" s="185"/>
      <c r="HW40" s="185"/>
      <c r="HX40" s="185"/>
      <c r="HY40" s="185"/>
      <c r="HZ40" s="185"/>
      <c r="IA40" s="185"/>
      <c r="IB40" s="185"/>
      <c r="IC40" s="185"/>
      <c r="ID40" s="185"/>
      <c r="IE40" s="185"/>
      <c r="IF40" s="185"/>
      <c r="IG40" s="185"/>
      <c r="IH40" s="185"/>
      <c r="II40" s="185"/>
      <c r="IJ40" s="185"/>
      <c r="IK40" s="185"/>
      <c r="IL40" s="185"/>
      <c r="IM40" s="185"/>
      <c r="IN40" s="185"/>
      <c r="IO40" s="185"/>
      <c r="IP40" s="185"/>
      <c r="IQ40" s="185"/>
      <c r="IR40" s="185"/>
      <c r="IS40" s="185"/>
      <c r="IT40" s="185"/>
      <c r="IU40" s="185"/>
      <c r="IV40" s="185"/>
    </row>
    <row r="41" spans="1:256" s="183" customFormat="1" ht="15" customHeight="1">
      <c r="A41" s="206"/>
      <c r="B41" s="209"/>
      <c r="C41" s="208" t="s">
        <v>596</v>
      </c>
      <c r="D41" s="209"/>
      <c r="E41" s="210"/>
      <c r="F41" s="211"/>
      <c r="G41" s="211"/>
      <c r="H41" s="211"/>
      <c r="FV41" s="189"/>
      <c r="FW41" s="185"/>
      <c r="FX41" s="185"/>
      <c r="FY41" s="185"/>
      <c r="FZ41" s="185"/>
      <c r="GA41" s="185"/>
      <c r="GB41" s="185"/>
      <c r="GC41" s="185"/>
      <c r="GD41" s="185"/>
      <c r="GE41" s="185"/>
      <c r="GF41" s="185"/>
      <c r="GG41" s="185"/>
      <c r="GH41" s="185"/>
      <c r="GI41" s="185"/>
      <c r="GJ41" s="185"/>
      <c r="GK41" s="185"/>
      <c r="GL41" s="185"/>
      <c r="GM41" s="185"/>
      <c r="GN41" s="185"/>
      <c r="GO41" s="185"/>
      <c r="GP41" s="185"/>
      <c r="GQ41" s="185"/>
      <c r="GR41" s="185"/>
      <c r="GS41" s="185"/>
      <c r="GT41" s="185"/>
      <c r="GU41" s="185"/>
      <c r="GV41" s="185"/>
      <c r="GW41" s="185"/>
      <c r="GX41" s="185"/>
      <c r="GY41" s="185"/>
      <c r="GZ41" s="185"/>
      <c r="HA41" s="185"/>
      <c r="HB41" s="185"/>
      <c r="HC41" s="185"/>
      <c r="HD41" s="185"/>
      <c r="HE41" s="185"/>
      <c r="HF41" s="185"/>
      <c r="HG41" s="185"/>
      <c r="HH41" s="185"/>
      <c r="HI41" s="185"/>
      <c r="HJ41" s="185"/>
      <c r="HK41" s="185"/>
      <c r="HL41" s="185"/>
      <c r="HM41" s="185"/>
      <c r="HN41" s="185"/>
      <c r="HO41" s="185"/>
      <c r="HP41" s="185"/>
      <c r="HQ41" s="185"/>
      <c r="HR41" s="185"/>
      <c r="HS41" s="185"/>
      <c r="HT41" s="185"/>
      <c r="HU41" s="185"/>
      <c r="HV41" s="185"/>
      <c r="HW41" s="185"/>
      <c r="HX41" s="185"/>
      <c r="HY41" s="185"/>
      <c r="HZ41" s="185"/>
      <c r="IA41" s="185"/>
      <c r="IB41" s="185"/>
      <c r="IC41" s="185"/>
      <c r="ID41" s="185"/>
      <c r="IE41" s="185"/>
      <c r="IF41" s="185"/>
      <c r="IG41" s="185"/>
      <c r="IH41" s="185"/>
      <c r="II41" s="185"/>
      <c r="IJ41" s="185"/>
      <c r="IK41" s="185"/>
      <c r="IL41" s="185"/>
      <c r="IM41" s="185"/>
      <c r="IN41" s="185"/>
      <c r="IO41" s="185"/>
      <c r="IP41" s="185"/>
      <c r="IQ41" s="185"/>
      <c r="IR41" s="185"/>
      <c r="IS41" s="185"/>
      <c r="IT41" s="185"/>
      <c r="IU41" s="185"/>
      <c r="IV41" s="185"/>
    </row>
    <row r="42" spans="1:256" s="183" customFormat="1" ht="15" customHeight="1">
      <c r="A42" s="206"/>
      <c r="B42" s="209"/>
      <c r="C42" s="208" t="s">
        <v>597</v>
      </c>
      <c r="D42" s="209"/>
      <c r="E42" s="210"/>
      <c r="F42" s="211"/>
      <c r="G42" s="211"/>
      <c r="H42" s="211"/>
      <c r="FV42" s="189"/>
      <c r="FW42" s="185"/>
      <c r="FX42" s="185"/>
      <c r="FY42" s="185"/>
      <c r="FZ42" s="185"/>
      <c r="GA42" s="185"/>
      <c r="GB42" s="185"/>
      <c r="GC42" s="185"/>
      <c r="GD42" s="185"/>
      <c r="GE42" s="185"/>
      <c r="GF42" s="185"/>
      <c r="GG42" s="185"/>
      <c r="GH42" s="185"/>
      <c r="GI42" s="185"/>
      <c r="GJ42" s="185"/>
      <c r="GK42" s="185"/>
      <c r="GL42" s="185"/>
      <c r="GM42" s="185"/>
      <c r="GN42" s="185"/>
      <c r="GO42" s="185"/>
      <c r="GP42" s="185"/>
      <c r="GQ42" s="185"/>
      <c r="GR42" s="185"/>
      <c r="GS42" s="185"/>
      <c r="GT42" s="185"/>
      <c r="GU42" s="185"/>
      <c r="GV42" s="185"/>
      <c r="GW42" s="185"/>
      <c r="GX42" s="185"/>
      <c r="GY42" s="185"/>
      <c r="GZ42" s="185"/>
      <c r="HA42" s="185"/>
      <c r="HB42" s="185"/>
      <c r="HC42" s="185"/>
      <c r="HD42" s="185"/>
      <c r="HE42" s="185"/>
      <c r="HF42" s="185"/>
      <c r="HG42" s="185"/>
      <c r="HH42" s="185"/>
      <c r="HI42" s="185"/>
      <c r="HJ42" s="185"/>
      <c r="HK42" s="185"/>
      <c r="HL42" s="185"/>
      <c r="HM42" s="185"/>
      <c r="HN42" s="185"/>
      <c r="HO42" s="185"/>
      <c r="HP42" s="185"/>
      <c r="HQ42" s="185"/>
      <c r="HR42" s="185"/>
      <c r="HS42" s="185"/>
      <c r="HT42" s="185"/>
      <c r="HU42" s="185"/>
      <c r="HV42" s="185"/>
      <c r="HW42" s="185"/>
      <c r="HX42" s="185"/>
      <c r="HY42" s="185"/>
      <c r="HZ42" s="185"/>
      <c r="IA42" s="185"/>
      <c r="IB42" s="185"/>
      <c r="IC42" s="185"/>
      <c r="ID42" s="185"/>
      <c r="IE42" s="185"/>
      <c r="IF42" s="185"/>
      <c r="IG42" s="185"/>
      <c r="IH42" s="185"/>
      <c r="II42" s="185"/>
      <c r="IJ42" s="185"/>
      <c r="IK42" s="185"/>
      <c r="IL42" s="185"/>
      <c r="IM42" s="185"/>
      <c r="IN42" s="185"/>
      <c r="IO42" s="185"/>
      <c r="IP42" s="185"/>
      <c r="IQ42" s="185"/>
      <c r="IR42" s="185"/>
      <c r="IS42" s="185"/>
      <c r="IT42" s="185"/>
      <c r="IU42" s="185"/>
      <c r="IV42" s="185"/>
    </row>
    <row r="43" spans="1:256" s="183" customFormat="1" ht="15" customHeight="1">
      <c r="A43" s="206"/>
      <c r="B43" s="207">
        <v>42401</v>
      </c>
      <c r="C43" s="208" t="s">
        <v>579</v>
      </c>
      <c r="D43" s="209" t="s">
        <v>598</v>
      </c>
      <c r="E43" s="210">
        <v>15</v>
      </c>
      <c r="F43" s="211">
        <f>G38</f>
        <v>0</v>
      </c>
      <c r="G43" s="211"/>
      <c r="H43" s="181">
        <f>E43*F43/100</f>
        <v>0</v>
      </c>
      <c r="FV43" s="189"/>
      <c r="FW43" s="185"/>
      <c r="FX43" s="185"/>
      <c r="FY43" s="185"/>
      <c r="FZ43" s="185"/>
      <c r="GA43" s="185"/>
      <c r="GB43" s="185"/>
      <c r="GC43" s="185"/>
      <c r="GD43" s="185"/>
      <c r="GE43" s="185"/>
      <c r="GF43" s="185"/>
      <c r="GG43" s="185"/>
      <c r="GH43" s="185"/>
      <c r="GI43" s="185"/>
      <c r="GJ43" s="185"/>
      <c r="GK43" s="185"/>
      <c r="GL43" s="185"/>
      <c r="GM43" s="185"/>
      <c r="GN43" s="185"/>
      <c r="GO43" s="185"/>
      <c r="GP43" s="185"/>
      <c r="GQ43" s="185"/>
      <c r="GR43" s="185"/>
      <c r="GS43" s="185"/>
      <c r="GT43" s="185"/>
      <c r="GU43" s="185"/>
      <c r="GV43" s="185"/>
      <c r="GW43" s="185"/>
      <c r="GX43" s="185"/>
      <c r="GY43" s="185"/>
      <c r="GZ43" s="185"/>
      <c r="HA43" s="185"/>
      <c r="HB43" s="185"/>
      <c r="HC43" s="185"/>
      <c r="HD43" s="185"/>
      <c r="HE43" s="185"/>
      <c r="HF43" s="185"/>
      <c r="HG43" s="185"/>
      <c r="HH43" s="185"/>
      <c r="HI43" s="185"/>
      <c r="HJ43" s="185"/>
      <c r="HK43" s="185"/>
      <c r="HL43" s="185"/>
      <c r="HM43" s="185"/>
      <c r="HN43" s="185"/>
      <c r="HO43" s="185"/>
      <c r="HP43" s="185"/>
      <c r="HQ43" s="185"/>
      <c r="HR43" s="185"/>
      <c r="HS43" s="185"/>
      <c r="HT43" s="185"/>
      <c r="HU43" s="185"/>
      <c r="HV43" s="185"/>
      <c r="HW43" s="185"/>
      <c r="HX43" s="185"/>
      <c r="HY43" s="185"/>
      <c r="HZ43" s="185"/>
      <c r="IA43" s="185"/>
      <c r="IB43" s="185"/>
      <c r="IC43" s="185"/>
      <c r="ID43" s="185"/>
      <c r="IE43" s="185"/>
      <c r="IF43" s="185"/>
      <c r="IG43" s="185"/>
      <c r="IH43" s="185"/>
      <c r="II43" s="185"/>
      <c r="IJ43" s="185"/>
      <c r="IK43" s="185"/>
      <c r="IL43" s="185"/>
      <c r="IM43" s="185"/>
      <c r="IN43" s="185"/>
      <c r="IO43" s="185"/>
      <c r="IP43" s="185"/>
      <c r="IQ43" s="185"/>
      <c r="IR43" s="185"/>
      <c r="IS43" s="185"/>
      <c r="IT43" s="185"/>
      <c r="IU43" s="185"/>
      <c r="IV43" s="185"/>
    </row>
    <row r="44" spans="1:256" s="183" customFormat="1" ht="15" customHeight="1">
      <c r="A44" s="206">
        <v>2</v>
      </c>
      <c r="B44" s="207">
        <v>42430</v>
      </c>
      <c r="C44" s="208" t="s">
        <v>599</v>
      </c>
      <c r="D44" s="209" t="s">
        <v>176</v>
      </c>
      <c r="E44" s="210">
        <v>8</v>
      </c>
      <c r="F44" s="211"/>
      <c r="G44" s="181">
        <f>E44*F44</f>
        <v>0</v>
      </c>
      <c r="H44" s="211"/>
      <c r="FV44" s="189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  <c r="HF44" s="185"/>
      <c r="HG44" s="185"/>
      <c r="HH44" s="185"/>
      <c r="HI44" s="185"/>
      <c r="HJ44" s="185"/>
      <c r="HK44" s="185"/>
      <c r="HL44" s="185"/>
      <c r="HM44" s="185"/>
      <c r="HN44" s="185"/>
      <c r="HO44" s="185"/>
      <c r="HP44" s="185"/>
      <c r="HQ44" s="185"/>
      <c r="HR44" s="185"/>
      <c r="HS44" s="185"/>
      <c r="HT44" s="185"/>
      <c r="HU44" s="185"/>
      <c r="HV44" s="185"/>
      <c r="HW44" s="185"/>
      <c r="HX44" s="185"/>
      <c r="HY44" s="185"/>
      <c r="HZ44" s="185"/>
      <c r="IA44" s="185"/>
      <c r="IB44" s="185"/>
      <c r="IC44" s="185"/>
      <c r="ID44" s="185"/>
      <c r="IE44" s="185"/>
      <c r="IF44" s="185"/>
      <c r="IG44" s="185"/>
      <c r="IH44" s="185"/>
      <c r="II44" s="185"/>
      <c r="IJ44" s="185"/>
      <c r="IK44" s="185"/>
      <c r="IL44" s="185"/>
      <c r="IM44" s="185"/>
      <c r="IN44" s="185"/>
      <c r="IO44" s="185"/>
      <c r="IP44" s="185"/>
      <c r="IQ44" s="185"/>
      <c r="IR44" s="185"/>
      <c r="IS44" s="185"/>
      <c r="IT44" s="185"/>
      <c r="IU44" s="185"/>
      <c r="IV44" s="185"/>
    </row>
    <row r="45" spans="1:256" s="183" customFormat="1" ht="15" customHeight="1">
      <c r="A45" s="206"/>
      <c r="B45" s="207">
        <v>42461</v>
      </c>
      <c r="C45" s="208" t="s">
        <v>579</v>
      </c>
      <c r="D45" s="209" t="s">
        <v>404</v>
      </c>
      <c r="E45" s="210">
        <v>20</v>
      </c>
      <c r="F45" s="211">
        <f>G44</f>
        <v>0</v>
      </c>
      <c r="G45" s="211"/>
      <c r="H45" s="181">
        <f>E45*F45/100</f>
        <v>0</v>
      </c>
      <c r="FV45" s="189"/>
      <c r="FW45" s="185"/>
      <c r="FX45" s="185"/>
      <c r="FY45" s="185"/>
      <c r="FZ45" s="185"/>
      <c r="GA45" s="185"/>
      <c r="GB45" s="185"/>
      <c r="GC45" s="185"/>
      <c r="GD45" s="185"/>
      <c r="GE45" s="185"/>
      <c r="GF45" s="185"/>
      <c r="GG45" s="185"/>
      <c r="GH45" s="185"/>
      <c r="GI45" s="185"/>
      <c r="GJ45" s="185"/>
      <c r="GK45" s="185"/>
      <c r="GL45" s="185"/>
      <c r="GM45" s="185"/>
      <c r="GN45" s="185"/>
      <c r="GO45" s="185"/>
      <c r="GP45" s="185"/>
      <c r="GQ45" s="185"/>
      <c r="GR45" s="185"/>
      <c r="GS45" s="185"/>
      <c r="GT45" s="185"/>
      <c r="GU45" s="185"/>
      <c r="GV45" s="185"/>
      <c r="GW45" s="185"/>
      <c r="GX45" s="185"/>
      <c r="GY45" s="185"/>
      <c r="GZ45" s="185"/>
      <c r="HA45" s="185"/>
      <c r="HB45" s="185"/>
      <c r="HC45" s="185"/>
      <c r="HD45" s="185"/>
      <c r="HE45" s="185"/>
      <c r="HF45" s="185"/>
      <c r="HG45" s="185"/>
      <c r="HH45" s="185"/>
      <c r="HI45" s="185"/>
      <c r="HJ45" s="185"/>
      <c r="HK45" s="185"/>
      <c r="HL45" s="185"/>
      <c r="HM45" s="185"/>
      <c r="HN45" s="185"/>
      <c r="HO45" s="185"/>
      <c r="HP45" s="185"/>
      <c r="HQ45" s="185"/>
      <c r="HR45" s="185"/>
      <c r="HS45" s="185"/>
      <c r="HT45" s="185"/>
      <c r="HU45" s="185"/>
      <c r="HV45" s="185"/>
      <c r="HW45" s="185"/>
      <c r="HX45" s="185"/>
      <c r="HY45" s="185"/>
      <c r="HZ45" s="185"/>
      <c r="IA45" s="185"/>
      <c r="IB45" s="185"/>
      <c r="IC45" s="185"/>
      <c r="ID45" s="185"/>
      <c r="IE45" s="185"/>
      <c r="IF45" s="185"/>
      <c r="IG45" s="185"/>
      <c r="IH45" s="185"/>
      <c r="II45" s="185"/>
      <c r="IJ45" s="185"/>
      <c r="IK45" s="185"/>
      <c r="IL45" s="185"/>
      <c r="IM45" s="185"/>
      <c r="IN45" s="185"/>
      <c r="IO45" s="185"/>
      <c r="IP45" s="185"/>
      <c r="IQ45" s="185"/>
      <c r="IR45" s="185"/>
      <c r="IS45" s="185"/>
      <c r="IT45" s="185"/>
      <c r="IU45" s="185"/>
      <c r="IV45" s="185"/>
    </row>
    <row r="46" spans="1:256" s="183" customFormat="1" ht="15" customHeight="1">
      <c r="A46" s="206">
        <v>3</v>
      </c>
      <c r="B46" s="207">
        <v>42491</v>
      </c>
      <c r="C46" s="208" t="s">
        <v>600</v>
      </c>
      <c r="D46" s="209" t="s">
        <v>211</v>
      </c>
      <c r="E46" s="210">
        <v>32</v>
      </c>
      <c r="F46" s="211"/>
      <c r="G46" s="181">
        <f>E46*F46</f>
        <v>0</v>
      </c>
      <c r="H46" s="211"/>
      <c r="FV46" s="189"/>
      <c r="FW46" s="185"/>
      <c r="FX46" s="185"/>
      <c r="FY46" s="185"/>
      <c r="FZ46" s="185"/>
      <c r="GA46" s="185"/>
      <c r="GB46" s="185"/>
      <c r="GC46" s="185"/>
      <c r="GD46" s="185"/>
      <c r="GE46" s="185"/>
      <c r="GF46" s="185"/>
      <c r="GG46" s="185"/>
      <c r="GH46" s="185"/>
      <c r="GI46" s="185"/>
      <c r="GJ46" s="185"/>
      <c r="GK46" s="185"/>
      <c r="GL46" s="185"/>
      <c r="GM46" s="185"/>
      <c r="GN46" s="185"/>
      <c r="GO46" s="185"/>
      <c r="GP46" s="185"/>
      <c r="GQ46" s="185"/>
      <c r="GR46" s="185"/>
      <c r="GS46" s="185"/>
      <c r="GT46" s="185"/>
      <c r="GU46" s="185"/>
      <c r="GV46" s="185"/>
      <c r="GW46" s="185"/>
      <c r="GX46" s="185"/>
      <c r="GY46" s="185"/>
      <c r="GZ46" s="185"/>
      <c r="HA46" s="185"/>
      <c r="HB46" s="185"/>
      <c r="HC46" s="185"/>
      <c r="HD46" s="185"/>
      <c r="HE46" s="185"/>
      <c r="HF46" s="185"/>
      <c r="HG46" s="185"/>
      <c r="HH46" s="185"/>
      <c r="HI46" s="185"/>
      <c r="HJ46" s="185"/>
      <c r="HK46" s="185"/>
      <c r="HL46" s="185"/>
      <c r="HM46" s="185"/>
      <c r="HN46" s="185"/>
      <c r="HO46" s="185"/>
      <c r="HP46" s="185"/>
      <c r="HQ46" s="185"/>
      <c r="HR46" s="185"/>
      <c r="HS46" s="185"/>
      <c r="HT46" s="185"/>
      <c r="HU46" s="185"/>
      <c r="HV46" s="185"/>
      <c r="HW46" s="185"/>
      <c r="HX46" s="185"/>
      <c r="HY46" s="185"/>
      <c r="HZ46" s="185"/>
      <c r="IA46" s="185"/>
      <c r="IB46" s="185"/>
      <c r="IC46" s="185"/>
      <c r="ID46" s="185"/>
      <c r="IE46" s="185"/>
      <c r="IF46" s="185"/>
      <c r="IG46" s="185"/>
      <c r="IH46" s="185"/>
      <c r="II46" s="185"/>
      <c r="IJ46" s="185"/>
      <c r="IK46" s="185"/>
      <c r="IL46" s="185"/>
      <c r="IM46" s="185"/>
      <c r="IN46" s="185"/>
      <c r="IO46" s="185"/>
      <c r="IP46" s="185"/>
      <c r="IQ46" s="185"/>
      <c r="IR46" s="185"/>
      <c r="IS46" s="185"/>
      <c r="IT46" s="185"/>
      <c r="IU46" s="185"/>
      <c r="IV46" s="185"/>
    </row>
    <row r="47" spans="1:256" s="183" customFormat="1" ht="15" customHeight="1">
      <c r="A47" s="206"/>
      <c r="B47" s="207">
        <v>42522</v>
      </c>
      <c r="C47" s="208" t="s">
        <v>601</v>
      </c>
      <c r="D47" s="209" t="s">
        <v>211</v>
      </c>
      <c r="E47" s="210">
        <v>28</v>
      </c>
      <c r="F47" s="211"/>
      <c r="G47" s="181">
        <f>E47*F47</f>
        <v>0</v>
      </c>
      <c r="H47" s="211"/>
      <c r="FV47" s="189"/>
      <c r="FW47" s="185"/>
      <c r="FX47" s="185"/>
      <c r="FY47" s="185"/>
      <c r="FZ47" s="185"/>
      <c r="GA47" s="185"/>
      <c r="GB47" s="185"/>
      <c r="GC47" s="185"/>
      <c r="GD47" s="185"/>
      <c r="GE47" s="185"/>
      <c r="GF47" s="185"/>
      <c r="GG47" s="185"/>
      <c r="GH47" s="185"/>
      <c r="GI47" s="185"/>
      <c r="GJ47" s="185"/>
      <c r="GK47" s="185"/>
      <c r="GL47" s="185"/>
      <c r="GM47" s="185"/>
      <c r="GN47" s="185"/>
      <c r="GO47" s="185"/>
      <c r="GP47" s="185"/>
      <c r="GQ47" s="185"/>
      <c r="GR47" s="185"/>
      <c r="GS47" s="185"/>
      <c r="GT47" s="185"/>
      <c r="GU47" s="185"/>
      <c r="GV47" s="185"/>
      <c r="GW47" s="185"/>
      <c r="GX47" s="185"/>
      <c r="GY47" s="185"/>
      <c r="GZ47" s="185"/>
      <c r="HA47" s="185"/>
      <c r="HB47" s="185"/>
      <c r="HC47" s="185"/>
      <c r="HD47" s="185"/>
      <c r="HE47" s="185"/>
      <c r="HF47" s="185"/>
      <c r="HG47" s="185"/>
      <c r="HH47" s="185"/>
      <c r="HI47" s="185"/>
      <c r="HJ47" s="185"/>
      <c r="HK47" s="185"/>
      <c r="HL47" s="185"/>
      <c r="HM47" s="185"/>
      <c r="HN47" s="185"/>
      <c r="HO47" s="185"/>
      <c r="HP47" s="185"/>
      <c r="HQ47" s="185"/>
      <c r="HR47" s="185"/>
      <c r="HS47" s="185"/>
      <c r="HT47" s="185"/>
      <c r="HU47" s="185"/>
      <c r="HV47" s="185"/>
      <c r="HW47" s="185"/>
      <c r="HX47" s="185"/>
      <c r="HY47" s="185"/>
      <c r="HZ47" s="185"/>
      <c r="IA47" s="185"/>
      <c r="IB47" s="185"/>
      <c r="IC47" s="185"/>
      <c r="ID47" s="185"/>
      <c r="IE47" s="185"/>
      <c r="IF47" s="185"/>
      <c r="IG47" s="185"/>
      <c r="IH47" s="185"/>
      <c r="II47" s="185"/>
      <c r="IJ47" s="185"/>
      <c r="IK47" s="185"/>
      <c r="IL47" s="185"/>
      <c r="IM47" s="185"/>
      <c r="IN47" s="185"/>
      <c r="IO47" s="185"/>
      <c r="IP47" s="185"/>
      <c r="IQ47" s="185"/>
      <c r="IR47" s="185"/>
      <c r="IS47" s="185"/>
      <c r="IT47" s="185"/>
      <c r="IU47" s="185"/>
      <c r="IV47" s="185"/>
    </row>
    <row r="48" spans="1:256" s="183" customFormat="1" ht="15" customHeight="1">
      <c r="A48" s="206"/>
      <c r="B48" s="207">
        <v>42552</v>
      </c>
      <c r="C48" s="208" t="s">
        <v>579</v>
      </c>
      <c r="D48" s="209" t="s">
        <v>404</v>
      </c>
      <c r="E48" s="210">
        <v>20</v>
      </c>
      <c r="F48" s="211">
        <f>(G46+G47)</f>
        <v>0</v>
      </c>
      <c r="G48" s="211"/>
      <c r="H48" s="181">
        <f>E48*F48/100</f>
        <v>0</v>
      </c>
      <c r="FV48" s="189"/>
      <c r="FW48" s="185"/>
      <c r="FX48" s="185"/>
      <c r="FY48" s="185"/>
      <c r="FZ48" s="185"/>
      <c r="GA48" s="185"/>
      <c r="GB48" s="185"/>
      <c r="GC48" s="185"/>
      <c r="GD48" s="185"/>
      <c r="GE48" s="185"/>
      <c r="GF48" s="185"/>
      <c r="GG48" s="185"/>
      <c r="GH48" s="185"/>
      <c r="GI48" s="185"/>
      <c r="GJ48" s="185"/>
      <c r="GK48" s="185"/>
      <c r="GL48" s="185"/>
      <c r="GM48" s="185"/>
      <c r="GN48" s="185"/>
      <c r="GO48" s="185"/>
      <c r="GP48" s="185"/>
      <c r="GQ48" s="185"/>
      <c r="GR48" s="185"/>
      <c r="GS48" s="185"/>
      <c r="GT48" s="185"/>
      <c r="GU48" s="185"/>
      <c r="GV48" s="185"/>
      <c r="GW48" s="185"/>
      <c r="GX48" s="185"/>
      <c r="GY48" s="185"/>
      <c r="GZ48" s="185"/>
      <c r="HA48" s="185"/>
      <c r="HB48" s="185"/>
      <c r="HC48" s="185"/>
      <c r="HD48" s="185"/>
      <c r="HE48" s="185"/>
      <c r="HF48" s="185"/>
      <c r="HG48" s="185"/>
      <c r="HH48" s="185"/>
      <c r="HI48" s="185"/>
      <c r="HJ48" s="185"/>
      <c r="HK48" s="185"/>
      <c r="HL48" s="185"/>
      <c r="HM48" s="185"/>
      <c r="HN48" s="185"/>
      <c r="HO48" s="185"/>
      <c r="HP48" s="185"/>
      <c r="HQ48" s="185"/>
      <c r="HR48" s="185"/>
      <c r="HS48" s="185"/>
      <c r="HT48" s="185"/>
      <c r="HU48" s="185"/>
      <c r="HV48" s="185"/>
      <c r="HW48" s="185"/>
      <c r="HX48" s="185"/>
      <c r="HY48" s="185"/>
      <c r="HZ48" s="185"/>
      <c r="IA48" s="185"/>
      <c r="IB48" s="185"/>
      <c r="IC48" s="185"/>
      <c r="ID48" s="185"/>
      <c r="IE48" s="185"/>
      <c r="IF48" s="185"/>
      <c r="IG48" s="185"/>
      <c r="IH48" s="185"/>
      <c r="II48" s="185"/>
      <c r="IJ48" s="185"/>
      <c r="IK48" s="185"/>
      <c r="IL48" s="185"/>
      <c r="IM48" s="185"/>
      <c r="IN48" s="185"/>
      <c r="IO48" s="185"/>
      <c r="IP48" s="185"/>
      <c r="IQ48" s="185"/>
      <c r="IR48" s="185"/>
      <c r="IS48" s="185"/>
      <c r="IT48" s="185"/>
      <c r="IU48" s="185"/>
      <c r="IV48" s="185"/>
    </row>
    <row r="49" spans="1:256" s="183" customFormat="1" ht="15" customHeight="1">
      <c r="A49" s="206">
        <v>4</v>
      </c>
      <c r="B49" s="207">
        <v>42583</v>
      </c>
      <c r="C49" s="208" t="s">
        <v>602</v>
      </c>
      <c r="D49" s="209" t="s">
        <v>211</v>
      </c>
      <c r="E49" s="210">
        <v>13</v>
      </c>
      <c r="F49" s="211"/>
      <c r="G49" s="211">
        <f>E49*F49</f>
        <v>0</v>
      </c>
      <c r="H49" s="211"/>
      <c r="FV49" s="189"/>
      <c r="FW49" s="185"/>
      <c r="FX49" s="185"/>
      <c r="FY49" s="185"/>
      <c r="FZ49" s="185"/>
      <c r="GA49" s="185"/>
      <c r="GB49" s="185"/>
      <c r="GC49" s="185"/>
      <c r="GD49" s="185"/>
      <c r="GE49" s="185"/>
      <c r="GF49" s="185"/>
      <c r="GG49" s="185"/>
      <c r="GH49" s="185"/>
      <c r="GI49" s="185"/>
      <c r="GJ49" s="185"/>
      <c r="GK49" s="185"/>
      <c r="GL49" s="185"/>
      <c r="GM49" s="185"/>
      <c r="GN49" s="185"/>
      <c r="GO49" s="185"/>
      <c r="GP49" s="185"/>
      <c r="GQ49" s="185"/>
      <c r="GR49" s="185"/>
      <c r="GS49" s="185"/>
      <c r="GT49" s="185"/>
      <c r="GU49" s="185"/>
      <c r="GV49" s="185"/>
      <c r="GW49" s="185"/>
      <c r="GX49" s="185"/>
      <c r="GY49" s="185"/>
      <c r="GZ49" s="185"/>
      <c r="HA49" s="185"/>
      <c r="HB49" s="185"/>
      <c r="HC49" s="185"/>
      <c r="HD49" s="185"/>
      <c r="HE49" s="185"/>
      <c r="HF49" s="185"/>
      <c r="HG49" s="185"/>
      <c r="HH49" s="185"/>
      <c r="HI49" s="185"/>
      <c r="HJ49" s="185"/>
      <c r="HK49" s="185"/>
      <c r="HL49" s="185"/>
      <c r="HM49" s="185"/>
      <c r="HN49" s="185"/>
      <c r="HO49" s="185"/>
      <c r="HP49" s="185"/>
      <c r="HQ49" s="185"/>
      <c r="HR49" s="185"/>
      <c r="HS49" s="185"/>
      <c r="HT49" s="185"/>
      <c r="HU49" s="185"/>
      <c r="HV49" s="185"/>
      <c r="HW49" s="185"/>
      <c r="HX49" s="185"/>
      <c r="HY49" s="185"/>
      <c r="HZ49" s="185"/>
      <c r="IA49" s="185"/>
      <c r="IB49" s="185"/>
      <c r="IC49" s="185"/>
      <c r="ID49" s="185"/>
      <c r="IE49" s="185"/>
      <c r="IF49" s="185"/>
      <c r="IG49" s="185"/>
      <c r="IH49" s="185"/>
      <c r="II49" s="185"/>
      <c r="IJ49" s="185"/>
      <c r="IK49" s="185"/>
      <c r="IL49" s="185"/>
      <c r="IM49" s="185"/>
      <c r="IN49" s="185"/>
      <c r="IO49" s="185"/>
      <c r="IP49" s="185"/>
      <c r="IQ49" s="185"/>
      <c r="IR49" s="185"/>
      <c r="IS49" s="185"/>
      <c r="IT49" s="185"/>
      <c r="IU49" s="185"/>
      <c r="IV49" s="185"/>
    </row>
    <row r="50" spans="1:256" s="183" customFormat="1" ht="15" customHeight="1">
      <c r="A50" s="206"/>
      <c r="B50" s="207">
        <v>42614</v>
      </c>
      <c r="C50" s="208" t="s">
        <v>579</v>
      </c>
      <c r="D50" s="209" t="s">
        <v>404</v>
      </c>
      <c r="E50" s="210">
        <v>30</v>
      </c>
      <c r="F50" s="211">
        <f>G49</f>
        <v>0</v>
      </c>
      <c r="G50" s="211"/>
      <c r="H50" s="181">
        <f>E50*F50/100</f>
        <v>0</v>
      </c>
      <c r="FV50" s="189"/>
      <c r="FW50" s="185"/>
      <c r="FX50" s="185"/>
      <c r="FY50" s="185"/>
      <c r="FZ50" s="185"/>
      <c r="GA50" s="185"/>
      <c r="GB50" s="185"/>
      <c r="GC50" s="185"/>
      <c r="GD50" s="185"/>
      <c r="GE50" s="185"/>
      <c r="GF50" s="185"/>
      <c r="GG50" s="185"/>
      <c r="GH50" s="185"/>
      <c r="GI50" s="185"/>
      <c r="GJ50" s="185"/>
      <c r="GK50" s="185"/>
      <c r="GL50" s="185"/>
      <c r="GM50" s="185"/>
      <c r="GN50" s="185"/>
      <c r="GO50" s="185"/>
      <c r="GP50" s="185"/>
      <c r="GQ50" s="185"/>
      <c r="GR50" s="185"/>
      <c r="GS50" s="185"/>
      <c r="GT50" s="185"/>
      <c r="GU50" s="185"/>
      <c r="GV50" s="185"/>
      <c r="GW50" s="185"/>
      <c r="GX50" s="185"/>
      <c r="GY50" s="185"/>
      <c r="GZ50" s="185"/>
      <c r="HA50" s="185"/>
      <c r="HB50" s="185"/>
      <c r="HC50" s="185"/>
      <c r="HD50" s="185"/>
      <c r="HE50" s="185"/>
      <c r="HF50" s="185"/>
      <c r="HG50" s="185"/>
      <c r="HH50" s="185"/>
      <c r="HI50" s="185"/>
      <c r="HJ50" s="185"/>
      <c r="HK50" s="185"/>
      <c r="HL50" s="185"/>
      <c r="HM50" s="185"/>
      <c r="HN50" s="185"/>
      <c r="HO50" s="185"/>
      <c r="HP50" s="185"/>
      <c r="HQ50" s="185"/>
      <c r="HR50" s="185"/>
      <c r="HS50" s="185"/>
      <c r="HT50" s="185"/>
      <c r="HU50" s="185"/>
      <c r="HV50" s="185"/>
      <c r="HW50" s="185"/>
      <c r="HX50" s="185"/>
      <c r="HY50" s="185"/>
      <c r="HZ50" s="185"/>
      <c r="IA50" s="185"/>
      <c r="IB50" s="185"/>
      <c r="IC50" s="185"/>
      <c r="ID50" s="185"/>
      <c r="IE50" s="185"/>
      <c r="IF50" s="185"/>
      <c r="IG50" s="185"/>
      <c r="IH50" s="185"/>
      <c r="II50" s="185"/>
      <c r="IJ50" s="185"/>
      <c r="IK50" s="185"/>
      <c r="IL50" s="185"/>
      <c r="IM50" s="185"/>
      <c r="IN50" s="185"/>
      <c r="IO50" s="185"/>
      <c r="IP50" s="185"/>
      <c r="IQ50" s="185"/>
      <c r="IR50" s="185"/>
      <c r="IS50" s="185"/>
      <c r="IT50" s="185"/>
      <c r="IU50" s="185"/>
      <c r="IV50" s="185"/>
    </row>
    <row r="51" spans="1:256" s="183" customFormat="1" ht="15" customHeight="1">
      <c r="A51" s="206">
        <v>5</v>
      </c>
      <c r="B51" s="207" t="s">
        <v>4</v>
      </c>
      <c r="C51" s="208" t="s">
        <v>603</v>
      </c>
      <c r="D51" s="209" t="s">
        <v>171</v>
      </c>
      <c r="E51" s="210">
        <v>32</v>
      </c>
      <c r="F51" s="211"/>
      <c r="G51" s="181">
        <f>E51*F51</f>
        <v>0</v>
      </c>
      <c r="H51" s="211"/>
      <c r="FV51" s="189"/>
      <c r="FW51" s="185"/>
      <c r="FX51" s="185"/>
      <c r="FY51" s="185"/>
      <c r="FZ51" s="185"/>
      <c r="GA51" s="185"/>
      <c r="GB51" s="185"/>
      <c r="GC51" s="185"/>
      <c r="GD51" s="185"/>
      <c r="GE51" s="185"/>
      <c r="GF51" s="185"/>
      <c r="GG51" s="185"/>
      <c r="GH51" s="185"/>
      <c r="GI51" s="185"/>
      <c r="GJ51" s="185"/>
      <c r="GK51" s="185"/>
      <c r="GL51" s="185"/>
      <c r="GM51" s="185"/>
      <c r="GN51" s="185"/>
      <c r="GO51" s="185"/>
      <c r="GP51" s="185"/>
      <c r="GQ51" s="185"/>
      <c r="GR51" s="185"/>
      <c r="GS51" s="185"/>
      <c r="GT51" s="185"/>
      <c r="GU51" s="185"/>
      <c r="GV51" s="185"/>
      <c r="GW51" s="185"/>
      <c r="GX51" s="185"/>
      <c r="GY51" s="185"/>
      <c r="GZ51" s="185"/>
      <c r="HA51" s="185"/>
      <c r="HB51" s="185"/>
      <c r="HC51" s="185"/>
      <c r="HD51" s="185"/>
      <c r="HE51" s="185"/>
      <c r="HF51" s="185"/>
      <c r="HG51" s="185"/>
      <c r="HH51" s="185"/>
      <c r="HI51" s="185"/>
      <c r="HJ51" s="185"/>
      <c r="HK51" s="185"/>
      <c r="HL51" s="185"/>
      <c r="HM51" s="185"/>
      <c r="HN51" s="185"/>
      <c r="HO51" s="185"/>
      <c r="HP51" s="185"/>
      <c r="HQ51" s="185"/>
      <c r="HR51" s="185"/>
      <c r="HS51" s="185"/>
      <c r="HT51" s="185"/>
      <c r="HU51" s="185"/>
      <c r="HV51" s="185"/>
      <c r="HW51" s="185"/>
      <c r="HX51" s="185"/>
      <c r="HY51" s="185"/>
      <c r="HZ51" s="185"/>
      <c r="IA51" s="185"/>
      <c r="IB51" s="185"/>
      <c r="IC51" s="185"/>
      <c r="ID51" s="185"/>
      <c r="IE51" s="185"/>
      <c r="IF51" s="185"/>
      <c r="IG51" s="185"/>
      <c r="IH51" s="185"/>
      <c r="II51" s="185"/>
      <c r="IJ51" s="185"/>
      <c r="IK51" s="185"/>
      <c r="IL51" s="185"/>
      <c r="IM51" s="185"/>
      <c r="IN51" s="185"/>
      <c r="IO51" s="185"/>
      <c r="IP51" s="185"/>
      <c r="IQ51" s="185"/>
      <c r="IR51" s="185"/>
      <c r="IS51" s="185"/>
      <c r="IT51" s="185"/>
      <c r="IU51" s="185"/>
      <c r="IV51" s="185"/>
    </row>
    <row r="52" spans="1:256" s="183" customFormat="1" ht="15" customHeight="1">
      <c r="A52" s="206"/>
      <c r="B52" s="207">
        <v>42371</v>
      </c>
      <c r="C52" s="208" t="s">
        <v>579</v>
      </c>
      <c r="D52" s="209" t="s">
        <v>404</v>
      </c>
      <c r="E52" s="210">
        <v>30</v>
      </c>
      <c r="F52" s="211">
        <f>G51</f>
        <v>0</v>
      </c>
      <c r="G52" s="211"/>
      <c r="H52" s="181">
        <f>E52*F52/100</f>
        <v>0</v>
      </c>
      <c r="FV52" s="189"/>
      <c r="FW52" s="185"/>
      <c r="FX52" s="185"/>
      <c r="FY52" s="185"/>
      <c r="FZ52" s="185"/>
      <c r="GA52" s="185"/>
      <c r="GB52" s="185"/>
      <c r="GC52" s="185"/>
      <c r="GD52" s="185"/>
      <c r="GE52" s="185"/>
      <c r="GF52" s="185"/>
      <c r="GG52" s="185"/>
      <c r="GH52" s="185"/>
      <c r="GI52" s="185"/>
      <c r="GJ52" s="185"/>
      <c r="GK52" s="185"/>
      <c r="GL52" s="185"/>
      <c r="GM52" s="185"/>
      <c r="GN52" s="185"/>
      <c r="GO52" s="185"/>
      <c r="GP52" s="185"/>
      <c r="GQ52" s="185"/>
      <c r="GR52" s="185"/>
      <c r="GS52" s="185"/>
      <c r="GT52" s="185"/>
      <c r="GU52" s="185"/>
      <c r="GV52" s="185"/>
      <c r="GW52" s="185"/>
      <c r="GX52" s="185"/>
      <c r="GY52" s="185"/>
      <c r="GZ52" s="185"/>
      <c r="HA52" s="185"/>
      <c r="HB52" s="185"/>
      <c r="HC52" s="185"/>
      <c r="HD52" s="185"/>
      <c r="HE52" s="185"/>
      <c r="HF52" s="185"/>
      <c r="HG52" s="185"/>
      <c r="HH52" s="185"/>
      <c r="HI52" s="185"/>
      <c r="HJ52" s="185"/>
      <c r="HK52" s="185"/>
      <c r="HL52" s="185"/>
      <c r="HM52" s="185"/>
      <c r="HN52" s="185"/>
      <c r="HO52" s="185"/>
      <c r="HP52" s="185"/>
      <c r="HQ52" s="185"/>
      <c r="HR52" s="185"/>
      <c r="HS52" s="185"/>
      <c r="HT52" s="185"/>
      <c r="HU52" s="185"/>
      <c r="HV52" s="185"/>
      <c r="HW52" s="185"/>
      <c r="HX52" s="185"/>
      <c r="HY52" s="185"/>
      <c r="HZ52" s="185"/>
      <c r="IA52" s="185"/>
      <c r="IB52" s="185"/>
      <c r="IC52" s="185"/>
      <c r="ID52" s="185"/>
      <c r="IE52" s="185"/>
      <c r="IF52" s="185"/>
      <c r="IG52" s="185"/>
      <c r="IH52" s="185"/>
      <c r="II52" s="185"/>
      <c r="IJ52" s="185"/>
      <c r="IK52" s="185"/>
      <c r="IL52" s="185"/>
      <c r="IM52" s="185"/>
      <c r="IN52" s="185"/>
      <c r="IO52" s="185"/>
      <c r="IP52" s="185"/>
      <c r="IQ52" s="185"/>
      <c r="IR52" s="185"/>
      <c r="IS52" s="185"/>
      <c r="IT52" s="185"/>
      <c r="IU52" s="185"/>
      <c r="IV52" s="185"/>
    </row>
    <row r="53" spans="1:256" s="183" customFormat="1" ht="15" customHeight="1">
      <c r="A53" s="206">
        <v>6</v>
      </c>
      <c r="B53" s="207">
        <v>42402</v>
      </c>
      <c r="C53" s="208" t="s">
        <v>604</v>
      </c>
      <c r="D53" s="209" t="s">
        <v>586</v>
      </c>
      <c r="E53" s="210">
        <v>160</v>
      </c>
      <c r="F53" s="211"/>
      <c r="G53" s="181">
        <f>E53*F53</f>
        <v>0</v>
      </c>
      <c r="H53" s="211"/>
      <c r="FV53" s="189"/>
      <c r="FW53" s="185"/>
      <c r="FX53" s="185"/>
      <c r="FY53" s="185"/>
      <c r="FZ53" s="185"/>
      <c r="GA53" s="185"/>
      <c r="GB53" s="185"/>
      <c r="GC53" s="185"/>
      <c r="GD53" s="185"/>
      <c r="GE53" s="185"/>
      <c r="GF53" s="185"/>
      <c r="GG53" s="185"/>
      <c r="GH53" s="185"/>
      <c r="GI53" s="185"/>
      <c r="GJ53" s="185"/>
      <c r="GK53" s="185"/>
      <c r="GL53" s="185"/>
      <c r="GM53" s="185"/>
      <c r="GN53" s="185"/>
      <c r="GO53" s="185"/>
      <c r="GP53" s="185"/>
      <c r="GQ53" s="185"/>
      <c r="GR53" s="185"/>
      <c r="GS53" s="185"/>
      <c r="GT53" s="185"/>
      <c r="GU53" s="185"/>
      <c r="GV53" s="185"/>
      <c r="GW53" s="185"/>
      <c r="GX53" s="185"/>
      <c r="GY53" s="185"/>
      <c r="GZ53" s="185"/>
      <c r="HA53" s="185"/>
      <c r="HB53" s="185"/>
      <c r="HC53" s="185"/>
      <c r="HD53" s="185"/>
      <c r="HE53" s="185"/>
      <c r="HF53" s="185"/>
      <c r="HG53" s="185"/>
      <c r="HH53" s="185"/>
      <c r="HI53" s="185"/>
      <c r="HJ53" s="185"/>
      <c r="HK53" s="185"/>
      <c r="HL53" s="185"/>
      <c r="HM53" s="185"/>
      <c r="HN53" s="185"/>
      <c r="HO53" s="185"/>
      <c r="HP53" s="185"/>
      <c r="HQ53" s="185"/>
      <c r="HR53" s="185"/>
      <c r="HS53" s="185"/>
      <c r="HT53" s="185"/>
      <c r="HU53" s="185"/>
      <c r="HV53" s="185"/>
      <c r="HW53" s="185"/>
      <c r="HX53" s="185"/>
      <c r="HY53" s="185"/>
      <c r="HZ53" s="185"/>
      <c r="IA53" s="185"/>
      <c r="IB53" s="185"/>
      <c r="IC53" s="185"/>
      <c r="ID53" s="185"/>
      <c r="IE53" s="185"/>
      <c r="IF53" s="185"/>
      <c r="IG53" s="185"/>
      <c r="IH53" s="185"/>
      <c r="II53" s="185"/>
      <c r="IJ53" s="185"/>
      <c r="IK53" s="185"/>
      <c r="IL53" s="185"/>
      <c r="IM53" s="185"/>
      <c r="IN53" s="185"/>
      <c r="IO53" s="185"/>
      <c r="IP53" s="185"/>
      <c r="IQ53" s="185"/>
      <c r="IR53" s="185"/>
      <c r="IS53" s="185"/>
      <c r="IT53" s="185"/>
      <c r="IU53" s="185"/>
      <c r="IV53" s="185"/>
    </row>
    <row r="54" spans="1:256" s="183" customFormat="1" ht="15" customHeight="1">
      <c r="A54" s="206"/>
      <c r="B54" s="207">
        <v>42431</v>
      </c>
      <c r="C54" s="208" t="s">
        <v>605</v>
      </c>
      <c r="D54" s="209" t="s">
        <v>586</v>
      </c>
      <c r="E54" s="210">
        <v>70</v>
      </c>
      <c r="F54" s="211"/>
      <c r="G54" s="181">
        <f>E54*F54</f>
        <v>0</v>
      </c>
      <c r="H54" s="211"/>
      <c r="FV54" s="189"/>
      <c r="FW54" s="185"/>
      <c r="FX54" s="185"/>
      <c r="FY54" s="185"/>
      <c r="FZ54" s="185"/>
      <c r="GA54" s="185"/>
      <c r="GB54" s="185"/>
      <c r="GC54" s="185"/>
      <c r="GD54" s="185"/>
      <c r="GE54" s="185"/>
      <c r="GF54" s="185"/>
      <c r="GG54" s="185"/>
      <c r="GH54" s="185"/>
      <c r="GI54" s="185"/>
      <c r="GJ54" s="185"/>
      <c r="GK54" s="185"/>
      <c r="GL54" s="185"/>
      <c r="GM54" s="185"/>
      <c r="GN54" s="185"/>
      <c r="GO54" s="185"/>
      <c r="GP54" s="185"/>
      <c r="GQ54" s="185"/>
      <c r="GR54" s="185"/>
      <c r="GS54" s="185"/>
      <c r="GT54" s="185"/>
      <c r="GU54" s="185"/>
      <c r="GV54" s="185"/>
      <c r="GW54" s="185"/>
      <c r="GX54" s="185"/>
      <c r="GY54" s="185"/>
      <c r="GZ54" s="185"/>
      <c r="HA54" s="185"/>
      <c r="HB54" s="185"/>
      <c r="HC54" s="185"/>
      <c r="HD54" s="185"/>
      <c r="HE54" s="185"/>
      <c r="HF54" s="185"/>
      <c r="HG54" s="185"/>
      <c r="HH54" s="185"/>
      <c r="HI54" s="185"/>
      <c r="HJ54" s="185"/>
      <c r="HK54" s="185"/>
      <c r="HL54" s="185"/>
      <c r="HM54" s="185"/>
      <c r="HN54" s="185"/>
      <c r="HO54" s="185"/>
      <c r="HP54" s="185"/>
      <c r="HQ54" s="185"/>
      <c r="HR54" s="185"/>
      <c r="HS54" s="185"/>
      <c r="HT54" s="185"/>
      <c r="HU54" s="185"/>
      <c r="HV54" s="185"/>
      <c r="HW54" s="185"/>
      <c r="HX54" s="185"/>
      <c r="HY54" s="185"/>
      <c r="HZ54" s="185"/>
      <c r="IA54" s="185"/>
      <c r="IB54" s="185"/>
      <c r="IC54" s="185"/>
      <c r="ID54" s="185"/>
      <c r="IE54" s="185"/>
      <c r="IF54" s="185"/>
      <c r="IG54" s="185"/>
      <c r="IH54" s="185"/>
      <c r="II54" s="185"/>
      <c r="IJ54" s="185"/>
      <c r="IK54" s="185"/>
      <c r="IL54" s="185"/>
      <c r="IM54" s="185"/>
      <c r="IN54" s="185"/>
      <c r="IO54" s="185"/>
      <c r="IP54" s="185"/>
      <c r="IQ54" s="185"/>
      <c r="IR54" s="185"/>
      <c r="IS54" s="185"/>
      <c r="IT54" s="185"/>
      <c r="IU54" s="185"/>
      <c r="IV54" s="185"/>
    </row>
    <row r="55" spans="1:256" s="183" customFormat="1" ht="15" customHeight="1">
      <c r="A55" s="176"/>
      <c r="B55" s="177">
        <v>42462</v>
      </c>
      <c r="C55" s="208" t="s">
        <v>579</v>
      </c>
      <c r="D55" s="179" t="s">
        <v>404</v>
      </c>
      <c r="E55" s="180">
        <v>30</v>
      </c>
      <c r="F55" s="181">
        <f>(G53+G54)</f>
        <v>0</v>
      </c>
      <c r="G55" s="181"/>
      <c r="H55" s="181">
        <f>E55*F55/100</f>
        <v>0</v>
      </c>
      <c r="FV55" s="189"/>
      <c r="FW55" s="185"/>
      <c r="FX55" s="185"/>
      <c r="FY55" s="185"/>
      <c r="FZ55" s="185"/>
      <c r="GA55" s="185"/>
      <c r="GB55" s="185"/>
      <c r="GC55" s="185"/>
      <c r="GD55" s="185"/>
      <c r="GE55" s="185"/>
      <c r="GF55" s="185"/>
      <c r="GG55" s="185"/>
      <c r="GH55" s="185"/>
      <c r="GI55" s="185"/>
      <c r="GJ55" s="185"/>
      <c r="GK55" s="185"/>
      <c r="GL55" s="185"/>
      <c r="GM55" s="185"/>
      <c r="GN55" s="185"/>
      <c r="GO55" s="185"/>
      <c r="GP55" s="185"/>
      <c r="GQ55" s="185"/>
      <c r="GR55" s="185"/>
      <c r="GS55" s="185"/>
      <c r="GT55" s="185"/>
      <c r="GU55" s="185"/>
      <c r="GV55" s="185"/>
      <c r="GW55" s="185"/>
      <c r="GX55" s="185"/>
      <c r="GY55" s="185"/>
      <c r="GZ55" s="185"/>
      <c r="HA55" s="185"/>
      <c r="HB55" s="185"/>
      <c r="HC55" s="185"/>
      <c r="HD55" s="185"/>
      <c r="HE55" s="185"/>
      <c r="HF55" s="185"/>
      <c r="HG55" s="185"/>
      <c r="HH55" s="185"/>
      <c r="HI55" s="185"/>
      <c r="HJ55" s="185"/>
      <c r="HK55" s="185"/>
      <c r="HL55" s="185"/>
      <c r="HM55" s="185"/>
      <c r="HN55" s="185"/>
      <c r="HO55" s="185"/>
      <c r="HP55" s="185"/>
      <c r="HQ55" s="185"/>
      <c r="HR55" s="185"/>
      <c r="HS55" s="185"/>
      <c r="HT55" s="185"/>
      <c r="HU55" s="185"/>
      <c r="HV55" s="185"/>
      <c r="HW55" s="185"/>
      <c r="HX55" s="185"/>
      <c r="HY55" s="185"/>
      <c r="HZ55" s="185"/>
      <c r="IA55" s="185"/>
      <c r="IB55" s="185"/>
      <c r="IC55" s="185"/>
      <c r="ID55" s="185"/>
      <c r="IE55" s="185"/>
      <c r="IF55" s="185"/>
      <c r="IG55" s="185"/>
      <c r="IH55" s="185"/>
      <c r="II55" s="185"/>
      <c r="IJ55" s="185"/>
      <c r="IK55" s="185"/>
      <c r="IL55" s="185"/>
      <c r="IM55" s="185"/>
      <c r="IN55" s="185"/>
      <c r="IO55" s="185"/>
      <c r="IP55" s="185"/>
      <c r="IQ55" s="185"/>
      <c r="IR55" s="185"/>
      <c r="IS55" s="185"/>
      <c r="IT55" s="185"/>
      <c r="IU55" s="185"/>
      <c r="IV55" s="185"/>
    </row>
    <row r="56" spans="1:256" s="212" customFormat="1" ht="28.5" customHeight="1">
      <c r="A56" s="176"/>
      <c r="B56" s="190" t="s">
        <v>606</v>
      </c>
      <c r="C56" s="208" t="s">
        <v>666</v>
      </c>
      <c r="D56" s="179" t="s">
        <v>176</v>
      </c>
      <c r="E56" s="180">
        <v>1</v>
      </c>
      <c r="F56" s="181"/>
      <c r="G56" s="181"/>
      <c r="H56" s="181">
        <f>F56*E56</f>
        <v>0</v>
      </c>
      <c r="FV56" s="213"/>
      <c r="FW56" s="214"/>
      <c r="FX56" s="214"/>
      <c r="FY56" s="214"/>
      <c r="FZ56" s="214"/>
      <c r="GA56" s="214"/>
      <c r="GB56" s="214"/>
      <c r="GC56" s="214"/>
      <c r="GD56" s="214"/>
      <c r="GE56" s="214"/>
      <c r="GF56" s="214"/>
      <c r="GG56" s="214"/>
      <c r="GH56" s="214"/>
      <c r="GI56" s="214"/>
      <c r="GJ56" s="214"/>
      <c r="GK56" s="214"/>
      <c r="GL56" s="214"/>
      <c r="GM56" s="214"/>
      <c r="GN56" s="214"/>
      <c r="GO56" s="214"/>
      <c r="GP56" s="214"/>
      <c r="GQ56" s="214"/>
      <c r="GR56" s="214"/>
      <c r="GS56" s="214"/>
      <c r="GT56" s="214"/>
      <c r="GU56" s="214"/>
      <c r="GV56" s="214"/>
      <c r="GW56" s="214"/>
      <c r="GX56" s="214"/>
      <c r="GY56" s="214"/>
      <c r="GZ56" s="214"/>
      <c r="HA56" s="214"/>
      <c r="HB56" s="214"/>
      <c r="HC56" s="214"/>
      <c r="HD56" s="214"/>
      <c r="HE56" s="214"/>
      <c r="HF56" s="214"/>
      <c r="HG56" s="214"/>
      <c r="HH56" s="214"/>
      <c r="HI56" s="214"/>
      <c r="HJ56" s="214"/>
      <c r="HK56" s="214"/>
      <c r="HL56" s="214"/>
      <c r="HM56" s="214"/>
      <c r="HN56" s="214"/>
      <c r="HO56" s="214"/>
      <c r="HP56" s="214"/>
      <c r="HQ56" s="214"/>
      <c r="HR56" s="214"/>
      <c r="HS56" s="214"/>
      <c r="HT56" s="214"/>
      <c r="HU56" s="214"/>
      <c r="HV56" s="214"/>
      <c r="HW56" s="214"/>
      <c r="HX56" s="214"/>
      <c r="HY56" s="214"/>
      <c r="HZ56" s="214"/>
      <c r="IA56" s="214"/>
      <c r="IB56" s="214"/>
      <c r="IC56" s="214"/>
      <c r="ID56" s="214"/>
      <c r="IE56" s="214"/>
      <c r="IF56" s="214"/>
      <c r="IG56" s="214"/>
      <c r="IH56" s="214"/>
      <c r="II56" s="214"/>
      <c r="IJ56" s="214"/>
      <c r="IK56" s="214"/>
      <c r="IL56" s="214"/>
      <c r="IM56" s="214"/>
      <c r="IN56" s="214"/>
      <c r="IO56" s="214"/>
      <c r="IP56" s="214"/>
      <c r="IQ56" s="214"/>
      <c r="IR56" s="214"/>
      <c r="IS56" s="214"/>
      <c r="IT56" s="214"/>
      <c r="IU56" s="214"/>
      <c r="IV56" s="214"/>
    </row>
    <row r="57" spans="1:256" s="183" customFormat="1" ht="15" customHeight="1">
      <c r="A57" s="176"/>
      <c r="B57" s="190" t="s">
        <v>607</v>
      </c>
      <c r="C57" s="208" t="s">
        <v>608</v>
      </c>
      <c r="D57" s="179" t="s">
        <v>176</v>
      </c>
      <c r="E57" s="180">
        <v>2</v>
      </c>
      <c r="F57" s="181"/>
      <c r="G57" s="181"/>
      <c r="H57" s="181">
        <f>E57*F57</f>
        <v>0</v>
      </c>
      <c r="FV57" s="189"/>
      <c r="FW57" s="185"/>
      <c r="FX57" s="185"/>
      <c r="FY57" s="185"/>
      <c r="FZ57" s="185"/>
      <c r="GA57" s="185"/>
      <c r="GB57" s="185"/>
      <c r="GC57" s="185"/>
      <c r="GD57" s="185"/>
      <c r="GE57" s="185"/>
      <c r="GF57" s="185"/>
      <c r="GG57" s="185"/>
      <c r="GH57" s="185"/>
      <c r="GI57" s="185"/>
      <c r="GJ57" s="185"/>
      <c r="GK57" s="185"/>
      <c r="GL57" s="185"/>
      <c r="GM57" s="185"/>
      <c r="GN57" s="185"/>
      <c r="GO57" s="185"/>
      <c r="GP57" s="185"/>
      <c r="GQ57" s="185"/>
      <c r="GR57" s="185"/>
      <c r="GS57" s="185"/>
      <c r="GT57" s="185"/>
      <c r="GU57" s="185"/>
      <c r="GV57" s="185"/>
      <c r="GW57" s="185"/>
      <c r="GX57" s="185"/>
      <c r="GY57" s="185"/>
      <c r="GZ57" s="185"/>
      <c r="HA57" s="185"/>
      <c r="HB57" s="185"/>
      <c r="HC57" s="185"/>
      <c r="HD57" s="185"/>
      <c r="HE57" s="185"/>
      <c r="HF57" s="185"/>
      <c r="HG57" s="185"/>
      <c r="HH57" s="185"/>
      <c r="HI57" s="185"/>
      <c r="HJ57" s="185"/>
      <c r="HK57" s="185"/>
      <c r="HL57" s="185"/>
      <c r="HM57" s="185"/>
      <c r="HN57" s="185"/>
      <c r="HO57" s="185"/>
      <c r="HP57" s="185"/>
      <c r="HQ57" s="185"/>
      <c r="HR57" s="185"/>
      <c r="HS57" s="185"/>
      <c r="HT57" s="185"/>
      <c r="HU57" s="185"/>
      <c r="HV57" s="185"/>
      <c r="HW57" s="185"/>
      <c r="HX57" s="185"/>
      <c r="HY57" s="185"/>
      <c r="HZ57" s="185"/>
      <c r="IA57" s="185"/>
      <c r="IB57" s="185"/>
      <c r="IC57" s="185"/>
      <c r="ID57" s="185"/>
      <c r="IE57" s="185"/>
      <c r="IF57" s="185"/>
      <c r="IG57" s="185"/>
      <c r="IH57" s="185"/>
      <c r="II57" s="185"/>
      <c r="IJ57" s="185"/>
      <c r="IK57" s="185"/>
      <c r="IL57" s="185"/>
      <c r="IM57" s="185"/>
      <c r="IN57" s="185"/>
      <c r="IO57" s="185"/>
      <c r="IP57" s="185"/>
      <c r="IQ57" s="185"/>
      <c r="IR57" s="185"/>
      <c r="IS57" s="185"/>
      <c r="IT57" s="185"/>
      <c r="IU57" s="185"/>
      <c r="IV57" s="185"/>
    </row>
    <row r="58" spans="1:256" s="212" customFormat="1" ht="31.5" customHeight="1">
      <c r="A58" s="176"/>
      <c r="B58" s="190" t="s">
        <v>609</v>
      </c>
      <c r="C58" s="208" t="s">
        <v>610</v>
      </c>
      <c r="D58" s="179" t="s">
        <v>176</v>
      </c>
      <c r="E58" s="180">
        <v>1</v>
      </c>
      <c r="F58" s="181"/>
      <c r="G58" s="181"/>
      <c r="H58" s="181">
        <f>F58*E58</f>
        <v>0</v>
      </c>
      <c r="FV58" s="213"/>
      <c r="FW58" s="214"/>
      <c r="FX58" s="214"/>
      <c r="FY58" s="214"/>
      <c r="FZ58" s="214"/>
      <c r="GA58" s="214"/>
      <c r="GB58" s="214"/>
      <c r="GC58" s="214"/>
      <c r="GD58" s="214"/>
      <c r="GE58" s="214"/>
      <c r="GF58" s="214"/>
      <c r="GG58" s="214"/>
      <c r="GH58" s="214"/>
      <c r="GI58" s="214"/>
      <c r="GJ58" s="214"/>
      <c r="GK58" s="214"/>
      <c r="GL58" s="214"/>
      <c r="GM58" s="214"/>
      <c r="GN58" s="214"/>
      <c r="GO58" s="214"/>
      <c r="GP58" s="214"/>
      <c r="GQ58" s="214"/>
      <c r="GR58" s="214"/>
      <c r="GS58" s="214"/>
      <c r="GT58" s="214"/>
      <c r="GU58" s="214"/>
      <c r="GV58" s="214"/>
      <c r="GW58" s="214"/>
      <c r="GX58" s="214"/>
      <c r="GY58" s="214"/>
      <c r="GZ58" s="214"/>
      <c r="HA58" s="214"/>
      <c r="HB58" s="214"/>
      <c r="HC58" s="214"/>
      <c r="HD58" s="214"/>
      <c r="HE58" s="214"/>
      <c r="HF58" s="214"/>
      <c r="HG58" s="214"/>
      <c r="HH58" s="214"/>
      <c r="HI58" s="214"/>
      <c r="HJ58" s="214"/>
      <c r="HK58" s="214"/>
      <c r="HL58" s="214"/>
      <c r="HM58" s="214"/>
      <c r="HN58" s="214"/>
      <c r="HO58" s="214"/>
      <c r="HP58" s="214"/>
      <c r="HQ58" s="214"/>
      <c r="HR58" s="214"/>
      <c r="HS58" s="214"/>
      <c r="HT58" s="214"/>
      <c r="HU58" s="214"/>
      <c r="HV58" s="214"/>
      <c r="HW58" s="214"/>
      <c r="HX58" s="214"/>
      <c r="HY58" s="214"/>
      <c r="HZ58" s="214"/>
      <c r="IA58" s="214"/>
      <c r="IB58" s="214"/>
      <c r="IC58" s="214"/>
      <c r="ID58" s="214"/>
      <c r="IE58" s="214"/>
      <c r="IF58" s="214"/>
      <c r="IG58" s="214"/>
      <c r="IH58" s="214"/>
      <c r="II58" s="214"/>
      <c r="IJ58" s="214"/>
      <c r="IK58" s="214"/>
      <c r="IL58" s="214"/>
      <c r="IM58" s="214"/>
      <c r="IN58" s="214"/>
      <c r="IO58" s="214"/>
      <c r="IP58" s="214"/>
      <c r="IQ58" s="214"/>
      <c r="IR58" s="214"/>
      <c r="IS58" s="214"/>
      <c r="IT58" s="214"/>
      <c r="IU58" s="214"/>
      <c r="IV58" s="214"/>
    </row>
    <row r="59" spans="1:256" s="183" customFormat="1" ht="15" customHeight="1">
      <c r="A59" s="176">
        <v>7</v>
      </c>
      <c r="B59" s="177">
        <v>42372</v>
      </c>
      <c r="C59" s="191" t="s">
        <v>589</v>
      </c>
      <c r="D59" s="192"/>
      <c r="E59" s="193"/>
      <c r="F59" s="194"/>
      <c r="G59" s="194">
        <f>SUM(G38:G57)</f>
        <v>0</v>
      </c>
      <c r="H59" s="194"/>
      <c r="FV59" s="189"/>
      <c r="FW59" s="185"/>
      <c r="FX59" s="185"/>
      <c r="FY59" s="185"/>
      <c r="FZ59" s="185"/>
      <c r="GA59" s="185"/>
      <c r="GB59" s="185"/>
      <c r="GC59" s="185"/>
      <c r="GD59" s="185"/>
      <c r="GE59" s="185"/>
      <c r="GF59" s="185"/>
      <c r="GG59" s="185"/>
      <c r="GH59" s="185"/>
      <c r="GI59" s="185"/>
      <c r="GJ59" s="185"/>
      <c r="GK59" s="185"/>
      <c r="GL59" s="185"/>
      <c r="GM59" s="185"/>
      <c r="GN59" s="185"/>
      <c r="GO59" s="185"/>
      <c r="GP59" s="185"/>
      <c r="GQ59" s="185"/>
      <c r="GR59" s="185"/>
      <c r="GS59" s="185"/>
      <c r="GT59" s="185"/>
      <c r="GU59" s="185"/>
      <c r="GV59" s="185"/>
      <c r="GW59" s="185"/>
      <c r="GX59" s="185"/>
      <c r="GY59" s="185"/>
      <c r="GZ59" s="185"/>
      <c r="HA59" s="185"/>
      <c r="HB59" s="185"/>
      <c r="HC59" s="185"/>
      <c r="HD59" s="185"/>
      <c r="HE59" s="185"/>
      <c r="HF59" s="185"/>
      <c r="HG59" s="185"/>
      <c r="HH59" s="185"/>
      <c r="HI59" s="185"/>
      <c r="HJ59" s="185"/>
      <c r="HK59" s="185"/>
      <c r="HL59" s="185"/>
      <c r="HM59" s="185"/>
      <c r="HN59" s="185"/>
      <c r="HO59" s="185"/>
      <c r="HP59" s="185"/>
      <c r="HQ59" s="185"/>
      <c r="HR59" s="185"/>
      <c r="HS59" s="185"/>
      <c r="HT59" s="185"/>
      <c r="HU59" s="185"/>
      <c r="HV59" s="185"/>
      <c r="HW59" s="185"/>
      <c r="HX59" s="185"/>
      <c r="HY59" s="185"/>
      <c r="HZ59" s="185"/>
      <c r="IA59" s="185"/>
      <c r="IB59" s="185"/>
      <c r="IC59" s="185"/>
      <c r="ID59" s="185"/>
      <c r="IE59" s="185"/>
      <c r="IF59" s="185"/>
      <c r="IG59" s="185"/>
      <c r="IH59" s="185"/>
      <c r="II59" s="185"/>
      <c r="IJ59" s="185"/>
      <c r="IK59" s="185"/>
      <c r="IL59" s="185"/>
      <c r="IM59" s="185"/>
      <c r="IN59" s="185"/>
      <c r="IO59" s="185"/>
      <c r="IP59" s="185"/>
      <c r="IQ59" s="185"/>
      <c r="IR59" s="185"/>
      <c r="IS59" s="185"/>
      <c r="IT59" s="185"/>
      <c r="IU59" s="185"/>
      <c r="IV59" s="185"/>
    </row>
    <row r="60" spans="1:256" s="183" customFormat="1" ht="15" customHeight="1">
      <c r="A60" s="176">
        <v>8</v>
      </c>
      <c r="B60" s="177">
        <v>42403</v>
      </c>
      <c r="C60" s="191" t="s">
        <v>590</v>
      </c>
      <c r="D60" s="192"/>
      <c r="E60" s="193"/>
      <c r="F60" s="194"/>
      <c r="G60" s="194"/>
      <c r="H60" s="215">
        <f>SUM(H43:H59)</f>
        <v>0</v>
      </c>
      <c r="FV60" s="189"/>
      <c r="FW60" s="185"/>
      <c r="FX60" s="185"/>
      <c r="FY60" s="185"/>
      <c r="FZ60" s="185"/>
      <c r="GA60" s="185"/>
      <c r="GB60" s="185"/>
      <c r="GC60" s="185"/>
      <c r="GD60" s="185"/>
      <c r="GE60" s="185"/>
      <c r="GF60" s="185"/>
      <c r="GG60" s="185"/>
      <c r="GH60" s="185"/>
      <c r="GI60" s="185"/>
      <c r="GJ60" s="185"/>
      <c r="GK60" s="185"/>
      <c r="GL60" s="185"/>
      <c r="GM60" s="185"/>
      <c r="GN60" s="185"/>
      <c r="GO60" s="185"/>
      <c r="GP60" s="185"/>
      <c r="GQ60" s="185"/>
      <c r="GR60" s="185"/>
      <c r="GS60" s="185"/>
      <c r="GT60" s="185"/>
      <c r="GU60" s="185"/>
      <c r="GV60" s="185"/>
      <c r="GW60" s="185"/>
      <c r="GX60" s="185"/>
      <c r="GY60" s="185"/>
      <c r="GZ60" s="185"/>
      <c r="HA60" s="185"/>
      <c r="HB60" s="185"/>
      <c r="HC60" s="185"/>
      <c r="HD60" s="185"/>
      <c r="HE60" s="185"/>
      <c r="HF60" s="185"/>
      <c r="HG60" s="185"/>
      <c r="HH60" s="185"/>
      <c r="HI60" s="185"/>
      <c r="HJ60" s="185"/>
      <c r="HK60" s="185"/>
      <c r="HL60" s="185"/>
      <c r="HM60" s="185"/>
      <c r="HN60" s="185"/>
      <c r="HO60" s="185"/>
      <c r="HP60" s="185"/>
      <c r="HQ60" s="185"/>
      <c r="HR60" s="185"/>
      <c r="HS60" s="185"/>
      <c r="HT60" s="185"/>
      <c r="HU60" s="185"/>
      <c r="HV60" s="185"/>
      <c r="HW60" s="185"/>
      <c r="HX60" s="185"/>
      <c r="HY60" s="185"/>
      <c r="HZ60" s="185"/>
      <c r="IA60" s="185"/>
      <c r="IB60" s="185"/>
      <c r="IC60" s="185"/>
      <c r="ID60" s="185"/>
      <c r="IE60" s="185"/>
      <c r="IF60" s="185"/>
      <c r="IG60" s="185"/>
      <c r="IH60" s="185"/>
      <c r="II60" s="185"/>
      <c r="IJ60" s="185"/>
      <c r="IK60" s="185"/>
      <c r="IL60" s="185"/>
      <c r="IM60" s="185"/>
      <c r="IN60" s="185"/>
      <c r="IO60" s="185"/>
      <c r="IP60" s="185"/>
      <c r="IQ60" s="185"/>
      <c r="IR60" s="185"/>
      <c r="IS60" s="185"/>
      <c r="IT60" s="185"/>
      <c r="IU60" s="185"/>
      <c r="IV60" s="185"/>
    </row>
    <row r="61" spans="1:256" s="183" customFormat="1" ht="15" customHeight="1">
      <c r="A61" s="176">
        <v>9</v>
      </c>
      <c r="B61" s="177">
        <v>42432</v>
      </c>
      <c r="C61" s="202" t="s">
        <v>591</v>
      </c>
      <c r="D61" s="192"/>
      <c r="E61" s="193"/>
      <c r="F61" s="203">
        <f>G59+H60</f>
        <v>0</v>
      </c>
      <c r="G61" s="194"/>
      <c r="H61" s="194"/>
      <c r="FV61" s="216"/>
      <c r="FW61" s="187"/>
      <c r="FX61" s="187"/>
      <c r="FY61" s="187"/>
      <c r="FZ61" s="187"/>
      <c r="GA61" s="187"/>
      <c r="GB61" s="187"/>
      <c r="GC61" s="187"/>
      <c r="GD61" s="187"/>
      <c r="GE61" s="187"/>
      <c r="GF61" s="187"/>
      <c r="GG61" s="187"/>
      <c r="GH61" s="187"/>
      <c r="GI61" s="187"/>
      <c r="GJ61" s="187"/>
      <c r="GK61" s="187"/>
      <c r="GL61" s="187"/>
      <c r="GM61" s="187"/>
      <c r="GN61" s="187"/>
      <c r="GO61" s="187"/>
      <c r="GP61" s="187"/>
      <c r="GQ61" s="187"/>
      <c r="GR61" s="187"/>
      <c r="GS61" s="187"/>
      <c r="GT61" s="187"/>
      <c r="GU61" s="187"/>
      <c r="GV61" s="187"/>
      <c r="GW61" s="187"/>
      <c r="GX61" s="187"/>
      <c r="GY61" s="187"/>
      <c r="GZ61" s="187"/>
      <c r="HA61" s="187"/>
      <c r="HB61" s="187"/>
      <c r="HC61" s="187"/>
      <c r="HD61" s="187"/>
      <c r="HE61" s="187"/>
      <c r="HF61" s="187"/>
      <c r="HG61" s="187"/>
      <c r="HH61" s="187"/>
      <c r="HI61" s="187"/>
      <c r="HJ61" s="187"/>
      <c r="HK61" s="187"/>
      <c r="HL61" s="187"/>
      <c r="HM61" s="187"/>
      <c r="HN61" s="187"/>
      <c r="HO61" s="187"/>
      <c r="HP61" s="187"/>
      <c r="HQ61" s="187"/>
      <c r="HR61" s="187"/>
      <c r="HS61" s="187"/>
      <c r="HT61" s="187"/>
      <c r="HU61" s="187"/>
      <c r="HV61" s="187"/>
      <c r="HW61" s="187"/>
      <c r="HX61" s="187"/>
      <c r="HY61" s="187"/>
      <c r="HZ61" s="187"/>
      <c r="IA61" s="187"/>
      <c r="IB61" s="187"/>
      <c r="IC61" s="187"/>
      <c r="ID61" s="187"/>
      <c r="IE61" s="187"/>
      <c r="IF61" s="187"/>
      <c r="IG61" s="187"/>
      <c r="IH61" s="187"/>
      <c r="II61" s="187"/>
      <c r="IJ61" s="187"/>
      <c r="IK61" s="187"/>
      <c r="IL61" s="187"/>
      <c r="IM61" s="187"/>
      <c r="IN61" s="187"/>
      <c r="IO61" s="187"/>
      <c r="IP61" s="187"/>
      <c r="IQ61" s="187"/>
      <c r="IR61" s="187"/>
      <c r="IS61" s="187"/>
      <c r="IT61" s="187"/>
      <c r="IU61" s="187"/>
      <c r="IV61" s="187"/>
    </row>
    <row r="62" spans="1:256" s="183" customFormat="1" ht="19.5" customHeight="1">
      <c r="A62" s="176"/>
      <c r="B62" s="217"/>
      <c r="C62" s="208"/>
      <c r="D62" s="179"/>
      <c r="E62" s="180"/>
      <c r="F62" s="181"/>
      <c r="G62" s="181"/>
      <c r="H62" s="181"/>
      <c r="FV62" s="216"/>
      <c r="FW62" s="187"/>
      <c r="FX62" s="187"/>
      <c r="FY62" s="187"/>
      <c r="FZ62" s="187"/>
      <c r="GA62" s="187"/>
      <c r="GB62" s="187"/>
      <c r="GC62" s="187"/>
      <c r="GD62" s="187"/>
      <c r="GE62" s="187"/>
      <c r="GF62" s="187"/>
      <c r="GG62" s="187"/>
      <c r="GH62" s="187"/>
      <c r="GI62" s="187"/>
      <c r="GJ62" s="187"/>
      <c r="GK62" s="187"/>
      <c r="GL62" s="187"/>
      <c r="GM62" s="187"/>
      <c r="GN62" s="187"/>
      <c r="GO62" s="187"/>
      <c r="GP62" s="187"/>
      <c r="GQ62" s="187"/>
      <c r="GR62" s="187"/>
      <c r="GS62" s="187"/>
      <c r="GT62" s="187"/>
      <c r="GU62" s="187"/>
      <c r="GV62" s="187"/>
      <c r="GW62" s="187"/>
      <c r="GX62" s="187"/>
      <c r="GY62" s="187"/>
      <c r="GZ62" s="187"/>
      <c r="HA62" s="187"/>
      <c r="HB62" s="187"/>
      <c r="HC62" s="187"/>
      <c r="HD62" s="187"/>
      <c r="HE62" s="187"/>
      <c r="HF62" s="187"/>
      <c r="HG62" s="187"/>
      <c r="HH62" s="187"/>
      <c r="HI62" s="187"/>
      <c r="HJ62" s="187"/>
      <c r="HK62" s="187"/>
      <c r="HL62" s="187"/>
      <c r="HM62" s="187"/>
      <c r="HN62" s="187"/>
      <c r="HO62" s="187"/>
      <c r="HP62" s="187"/>
      <c r="HQ62" s="187"/>
      <c r="HR62" s="187"/>
      <c r="HS62" s="187"/>
      <c r="HT62" s="187"/>
      <c r="HU62" s="187"/>
      <c r="HV62" s="187"/>
      <c r="HW62" s="187"/>
      <c r="HX62" s="187"/>
      <c r="HY62" s="187"/>
      <c r="HZ62" s="187"/>
      <c r="IA62" s="187"/>
      <c r="IB62" s="187"/>
      <c r="IC62" s="187"/>
      <c r="ID62" s="187"/>
      <c r="IE62" s="187"/>
      <c r="IF62" s="187"/>
      <c r="IG62" s="187"/>
      <c r="IH62" s="187"/>
      <c r="II62" s="187"/>
      <c r="IJ62" s="187"/>
      <c r="IK62" s="187"/>
      <c r="IL62" s="187"/>
      <c r="IM62" s="187"/>
      <c r="IN62" s="187"/>
      <c r="IO62" s="187"/>
      <c r="IP62" s="187"/>
      <c r="IQ62" s="187"/>
      <c r="IR62" s="187"/>
      <c r="IS62" s="187"/>
      <c r="IT62" s="187"/>
      <c r="IU62" s="187"/>
      <c r="IV62" s="187"/>
    </row>
    <row r="63" ht="15" customHeight="1"/>
    <row r="64" ht="15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B14" sqref="B14"/>
    </sheetView>
  </sheetViews>
  <sheetFormatPr defaultColWidth="9.33203125" defaultRowHeight="13.5"/>
  <cols>
    <col min="2" max="2" width="53.5" style="0" customWidth="1"/>
    <col min="5" max="6" width="14.83203125" style="0" customWidth="1"/>
    <col min="7" max="8" width="14.33203125" style="0" customWidth="1"/>
  </cols>
  <sheetData>
    <row r="1" spans="1:8" ht="15">
      <c r="A1" s="218" t="s">
        <v>669</v>
      </c>
      <c r="B1" s="219"/>
      <c r="C1" s="219"/>
      <c r="D1" s="219"/>
      <c r="E1" s="219"/>
      <c r="F1" s="219"/>
      <c r="G1" s="219"/>
      <c r="H1" s="220" t="s">
        <v>611</v>
      </c>
    </row>
    <row r="2" spans="1:8" ht="15">
      <c r="A2" s="218"/>
      <c r="B2" s="219"/>
      <c r="C2" s="219"/>
      <c r="D2" s="219"/>
      <c r="E2" s="219"/>
      <c r="F2" s="219"/>
      <c r="G2" s="219"/>
      <c r="H2" s="219"/>
    </row>
    <row r="3" spans="1:8" ht="14.25">
      <c r="A3" s="219"/>
      <c r="B3" s="219"/>
      <c r="C3" s="219"/>
      <c r="D3" s="219"/>
      <c r="E3" s="219"/>
      <c r="F3" s="219"/>
      <c r="G3" s="219"/>
      <c r="H3" s="219"/>
    </row>
    <row r="4" spans="1:8" ht="15">
      <c r="A4" s="221" t="s">
        <v>612</v>
      </c>
      <c r="B4" s="219"/>
      <c r="C4" s="219"/>
      <c r="D4" s="219"/>
      <c r="E4" s="219"/>
      <c r="F4" s="219"/>
      <c r="G4" s="219"/>
      <c r="H4" s="219"/>
    </row>
    <row r="5" spans="1:8" ht="13.5">
      <c r="A5" s="222" t="s">
        <v>613</v>
      </c>
      <c r="B5" s="222" t="s">
        <v>614</v>
      </c>
      <c r="C5" s="222" t="s">
        <v>113</v>
      </c>
      <c r="D5" s="222" t="s">
        <v>112</v>
      </c>
      <c r="E5" s="223" t="s">
        <v>615</v>
      </c>
      <c r="F5" s="223" t="s">
        <v>616</v>
      </c>
      <c r="G5" s="222" t="s">
        <v>617</v>
      </c>
      <c r="H5" s="222" t="s">
        <v>618</v>
      </c>
    </row>
    <row r="6" spans="1:8" ht="18.75" customHeight="1">
      <c r="A6" s="224">
        <v>1</v>
      </c>
      <c r="B6" s="225" t="s">
        <v>619</v>
      </c>
      <c r="C6" s="226">
        <v>220</v>
      </c>
      <c r="D6" s="227" t="s">
        <v>293</v>
      </c>
      <c r="E6" s="228"/>
      <c r="F6" s="228"/>
      <c r="G6" s="228">
        <f aca="true" t="shared" si="0" ref="G6:G43">C6*E6</f>
        <v>0</v>
      </c>
      <c r="H6" s="228">
        <f aca="true" t="shared" si="1" ref="H6:H43">C6*F6</f>
        <v>0</v>
      </c>
    </row>
    <row r="7" spans="1:8" ht="18.75" customHeight="1">
      <c r="A7" s="224">
        <v>2</v>
      </c>
      <c r="B7" s="225" t="s">
        <v>620</v>
      </c>
      <c r="C7" s="226">
        <v>21</v>
      </c>
      <c r="D7" s="227" t="s">
        <v>211</v>
      </c>
      <c r="E7" s="228"/>
      <c r="F7" s="228"/>
      <c r="G7" s="228">
        <f t="shared" si="0"/>
        <v>0</v>
      </c>
      <c r="H7" s="228">
        <f t="shared" si="1"/>
        <v>0</v>
      </c>
    </row>
    <row r="8" spans="1:8" ht="18.75" customHeight="1">
      <c r="A8" s="224">
        <v>3</v>
      </c>
      <c r="B8" s="225" t="s">
        <v>621</v>
      </c>
      <c r="C8" s="226">
        <v>40</v>
      </c>
      <c r="D8" s="227" t="s">
        <v>211</v>
      </c>
      <c r="E8" s="228"/>
      <c r="F8" s="228"/>
      <c r="G8" s="228">
        <f t="shared" si="0"/>
        <v>0</v>
      </c>
      <c r="H8" s="228">
        <f t="shared" si="1"/>
        <v>0</v>
      </c>
    </row>
    <row r="9" spans="1:8" ht="18.75" customHeight="1">
      <c r="A9" s="224">
        <v>4</v>
      </c>
      <c r="B9" s="225" t="s">
        <v>622</v>
      </c>
      <c r="C9" s="226">
        <v>36</v>
      </c>
      <c r="D9" s="227" t="s">
        <v>211</v>
      </c>
      <c r="E9" s="228"/>
      <c r="F9" s="228"/>
      <c r="G9" s="228">
        <f t="shared" si="0"/>
        <v>0</v>
      </c>
      <c r="H9" s="228">
        <f t="shared" si="1"/>
        <v>0</v>
      </c>
    </row>
    <row r="10" spans="1:8" ht="18.75" customHeight="1">
      <c r="A10" s="224">
        <v>5</v>
      </c>
      <c r="B10" s="225" t="s">
        <v>623</v>
      </c>
      <c r="C10" s="226">
        <v>5</v>
      </c>
      <c r="D10" s="227" t="s">
        <v>211</v>
      </c>
      <c r="E10" s="228"/>
      <c r="F10" s="228"/>
      <c r="G10" s="228">
        <f t="shared" si="0"/>
        <v>0</v>
      </c>
      <c r="H10" s="228">
        <f t="shared" si="1"/>
        <v>0</v>
      </c>
    </row>
    <row r="11" spans="1:8" ht="18.75" customHeight="1">
      <c r="A11" s="224">
        <v>6</v>
      </c>
      <c r="B11" s="225" t="s">
        <v>624</v>
      </c>
      <c r="C11" s="226">
        <v>4</v>
      </c>
      <c r="D11" s="227" t="s">
        <v>211</v>
      </c>
      <c r="E11" s="228"/>
      <c r="F11" s="228"/>
      <c r="G11" s="228">
        <f t="shared" si="0"/>
        <v>0</v>
      </c>
      <c r="H11" s="228">
        <f t="shared" si="1"/>
        <v>0</v>
      </c>
    </row>
    <row r="12" spans="1:8" ht="18.75" customHeight="1">
      <c r="A12" s="224">
        <v>7</v>
      </c>
      <c r="B12" s="225" t="s">
        <v>625</v>
      </c>
      <c r="C12" s="226">
        <v>2</v>
      </c>
      <c r="D12" s="227" t="s">
        <v>211</v>
      </c>
      <c r="E12" s="228"/>
      <c r="F12" s="228"/>
      <c r="G12" s="228">
        <f t="shared" si="0"/>
        <v>0</v>
      </c>
      <c r="H12" s="228">
        <f t="shared" si="1"/>
        <v>0</v>
      </c>
    </row>
    <row r="13" spans="1:8" ht="18.75" customHeight="1">
      <c r="A13" s="224">
        <v>8</v>
      </c>
      <c r="B13" s="225" t="s">
        <v>626</v>
      </c>
      <c r="C13" s="226">
        <v>2</v>
      </c>
      <c r="D13" s="227" t="s">
        <v>211</v>
      </c>
      <c r="E13" s="228"/>
      <c r="F13" s="228"/>
      <c r="G13" s="228">
        <f t="shared" si="0"/>
        <v>0</v>
      </c>
      <c r="H13" s="228">
        <f t="shared" si="1"/>
        <v>0</v>
      </c>
    </row>
    <row r="14" spans="1:8" ht="18.75" customHeight="1">
      <c r="A14" s="224">
        <v>9</v>
      </c>
      <c r="B14" s="225" t="s">
        <v>627</v>
      </c>
      <c r="C14" s="226">
        <v>20</v>
      </c>
      <c r="D14" s="227" t="s">
        <v>293</v>
      </c>
      <c r="E14" s="228"/>
      <c r="F14" s="228"/>
      <c r="G14" s="228">
        <f t="shared" si="0"/>
        <v>0</v>
      </c>
      <c r="H14" s="228">
        <f t="shared" si="1"/>
        <v>0</v>
      </c>
    </row>
    <row r="15" spans="1:8" ht="18.75" customHeight="1">
      <c r="A15" s="224">
        <v>10</v>
      </c>
      <c r="B15" s="225" t="s">
        <v>628</v>
      </c>
      <c r="C15" s="226">
        <v>480</v>
      </c>
      <c r="D15" s="227" t="s">
        <v>293</v>
      </c>
      <c r="E15" s="228"/>
      <c r="F15" s="228"/>
      <c r="G15" s="228">
        <f t="shared" si="0"/>
        <v>0</v>
      </c>
      <c r="H15" s="228">
        <f t="shared" si="1"/>
        <v>0</v>
      </c>
    </row>
    <row r="16" spans="1:8" ht="18.75" customHeight="1">
      <c r="A16" s="224">
        <v>11</v>
      </c>
      <c r="B16" s="225" t="s">
        <v>629</v>
      </c>
      <c r="C16" s="226">
        <v>27</v>
      </c>
      <c r="D16" s="227" t="s">
        <v>211</v>
      </c>
      <c r="E16" s="228"/>
      <c r="F16" s="228"/>
      <c r="G16" s="228">
        <f t="shared" si="0"/>
        <v>0</v>
      </c>
      <c r="H16" s="228">
        <f t="shared" si="1"/>
        <v>0</v>
      </c>
    </row>
    <row r="17" spans="1:8" ht="18.75" customHeight="1">
      <c r="A17" s="224">
        <v>12</v>
      </c>
      <c r="B17" s="225" t="s">
        <v>630</v>
      </c>
      <c r="C17" s="226">
        <v>27</v>
      </c>
      <c r="D17" s="227" t="s">
        <v>211</v>
      </c>
      <c r="E17" s="228"/>
      <c r="F17" s="228"/>
      <c r="G17" s="228">
        <f t="shared" si="0"/>
        <v>0</v>
      </c>
      <c r="H17" s="228">
        <f t="shared" si="1"/>
        <v>0</v>
      </c>
    </row>
    <row r="18" spans="1:8" ht="18.75" customHeight="1">
      <c r="A18" s="224">
        <v>13</v>
      </c>
      <c r="B18" s="225" t="s">
        <v>631</v>
      </c>
      <c r="C18" s="226">
        <v>8</v>
      </c>
      <c r="D18" s="227" t="s">
        <v>211</v>
      </c>
      <c r="E18" s="228"/>
      <c r="F18" s="228"/>
      <c r="G18" s="228">
        <f t="shared" si="0"/>
        <v>0</v>
      </c>
      <c r="H18" s="228">
        <f t="shared" si="1"/>
        <v>0</v>
      </c>
    </row>
    <row r="19" spans="1:8" ht="18.75" customHeight="1">
      <c r="A19" s="224">
        <v>14</v>
      </c>
      <c r="B19" s="225" t="s">
        <v>632</v>
      </c>
      <c r="C19" s="226">
        <v>144</v>
      </c>
      <c r="D19" s="227" t="s">
        <v>211</v>
      </c>
      <c r="E19" s="228"/>
      <c r="F19" s="228"/>
      <c r="G19" s="228">
        <f t="shared" si="0"/>
        <v>0</v>
      </c>
      <c r="H19" s="228">
        <f t="shared" si="1"/>
        <v>0</v>
      </c>
    </row>
    <row r="20" spans="1:8" ht="18.75" customHeight="1">
      <c r="A20" s="224">
        <v>15</v>
      </c>
      <c r="B20" s="225" t="s">
        <v>633</v>
      </c>
      <c r="C20" s="226">
        <v>10</v>
      </c>
      <c r="D20" s="227" t="s">
        <v>211</v>
      </c>
      <c r="E20" s="228"/>
      <c r="F20" s="228"/>
      <c r="G20" s="228">
        <f t="shared" si="0"/>
        <v>0</v>
      </c>
      <c r="H20" s="228">
        <f t="shared" si="1"/>
        <v>0</v>
      </c>
    </row>
    <row r="21" spans="1:8" ht="18.75" customHeight="1">
      <c r="A21" s="224">
        <v>16</v>
      </c>
      <c r="B21" s="225" t="s">
        <v>634</v>
      </c>
      <c r="C21" s="226">
        <v>55</v>
      </c>
      <c r="D21" s="227" t="s">
        <v>211</v>
      </c>
      <c r="E21" s="228"/>
      <c r="F21" s="228"/>
      <c r="G21" s="228">
        <f t="shared" si="0"/>
        <v>0</v>
      </c>
      <c r="H21" s="228">
        <f t="shared" si="1"/>
        <v>0</v>
      </c>
    </row>
    <row r="22" spans="1:8" ht="18.75" customHeight="1">
      <c r="A22" s="224">
        <v>17</v>
      </c>
      <c r="B22" s="225" t="s">
        <v>635</v>
      </c>
      <c r="C22" s="226">
        <v>20</v>
      </c>
      <c r="D22" s="227" t="s">
        <v>211</v>
      </c>
      <c r="E22" s="228"/>
      <c r="F22" s="228"/>
      <c r="G22" s="228">
        <f t="shared" si="0"/>
        <v>0</v>
      </c>
      <c r="H22" s="228">
        <f t="shared" si="1"/>
        <v>0</v>
      </c>
    </row>
    <row r="23" spans="1:8" ht="18.75" customHeight="1">
      <c r="A23" s="224">
        <v>18</v>
      </c>
      <c r="B23" s="225" t="s">
        <v>636</v>
      </c>
      <c r="C23" s="226">
        <v>12</v>
      </c>
      <c r="D23" s="227" t="s">
        <v>211</v>
      </c>
      <c r="E23" s="228"/>
      <c r="F23" s="228"/>
      <c r="G23" s="228">
        <f t="shared" si="0"/>
        <v>0</v>
      </c>
      <c r="H23" s="228">
        <f t="shared" si="1"/>
        <v>0</v>
      </c>
    </row>
    <row r="24" spans="1:8" ht="18.75" customHeight="1">
      <c r="A24" s="224">
        <v>19</v>
      </c>
      <c r="B24" s="225" t="s">
        <v>637</v>
      </c>
      <c r="C24" s="226">
        <v>80</v>
      </c>
      <c r="D24" s="227" t="s">
        <v>211</v>
      </c>
      <c r="E24" s="228"/>
      <c r="F24" s="228"/>
      <c r="G24" s="228">
        <f t="shared" si="0"/>
        <v>0</v>
      </c>
      <c r="H24" s="228">
        <f t="shared" si="1"/>
        <v>0</v>
      </c>
    </row>
    <row r="25" spans="1:8" ht="18.75" customHeight="1">
      <c r="A25" s="224">
        <v>20</v>
      </c>
      <c r="B25" s="225" t="s">
        <v>638</v>
      </c>
      <c r="C25" s="226">
        <v>180</v>
      </c>
      <c r="D25" s="227" t="s">
        <v>211</v>
      </c>
      <c r="E25" s="228"/>
      <c r="F25" s="228"/>
      <c r="G25" s="228">
        <f t="shared" si="0"/>
        <v>0</v>
      </c>
      <c r="H25" s="228">
        <f t="shared" si="1"/>
        <v>0</v>
      </c>
    </row>
    <row r="26" spans="1:8" ht="18.75" customHeight="1">
      <c r="A26" s="224">
        <v>21</v>
      </c>
      <c r="B26" s="225" t="s">
        <v>639</v>
      </c>
      <c r="C26" s="226">
        <v>210</v>
      </c>
      <c r="D26" s="227" t="s">
        <v>211</v>
      </c>
      <c r="E26" s="228"/>
      <c r="F26" s="228"/>
      <c r="G26" s="228">
        <f t="shared" si="0"/>
        <v>0</v>
      </c>
      <c r="H26" s="228">
        <f t="shared" si="1"/>
        <v>0</v>
      </c>
    </row>
    <row r="27" spans="1:8" ht="18.75" customHeight="1">
      <c r="A27" s="224">
        <v>22</v>
      </c>
      <c r="B27" s="225" t="s">
        <v>640</v>
      </c>
      <c r="C27" s="226">
        <v>10</v>
      </c>
      <c r="D27" s="227" t="s">
        <v>211</v>
      </c>
      <c r="E27" s="228"/>
      <c r="F27" s="228"/>
      <c r="G27" s="228">
        <f t="shared" si="0"/>
        <v>0</v>
      </c>
      <c r="H27" s="228">
        <f t="shared" si="1"/>
        <v>0</v>
      </c>
    </row>
    <row r="28" spans="1:8" ht="18.75" customHeight="1">
      <c r="A28" s="224">
        <v>23</v>
      </c>
      <c r="B28" s="225" t="s">
        <v>641</v>
      </c>
      <c r="C28" s="226">
        <v>185</v>
      </c>
      <c r="D28" s="227" t="s">
        <v>293</v>
      </c>
      <c r="E28" s="228"/>
      <c r="F28" s="228"/>
      <c r="G28" s="228">
        <f t="shared" si="0"/>
        <v>0</v>
      </c>
      <c r="H28" s="228">
        <f t="shared" si="1"/>
        <v>0</v>
      </c>
    </row>
    <row r="29" spans="1:8" ht="18.75" customHeight="1">
      <c r="A29" s="224">
        <v>24</v>
      </c>
      <c r="B29" s="225" t="s">
        <v>642</v>
      </c>
      <c r="C29" s="226">
        <v>460</v>
      </c>
      <c r="D29" s="227" t="s">
        <v>293</v>
      </c>
      <c r="E29" s="228"/>
      <c r="F29" s="228"/>
      <c r="G29" s="228">
        <f t="shared" si="0"/>
        <v>0</v>
      </c>
      <c r="H29" s="228">
        <f t="shared" si="1"/>
        <v>0</v>
      </c>
    </row>
    <row r="30" spans="1:8" ht="18.75" customHeight="1">
      <c r="A30" s="224">
        <v>25</v>
      </c>
      <c r="B30" s="225" t="s">
        <v>643</v>
      </c>
      <c r="C30" s="226">
        <v>140</v>
      </c>
      <c r="D30" s="227" t="s">
        <v>293</v>
      </c>
      <c r="E30" s="228"/>
      <c r="F30" s="228"/>
      <c r="G30" s="228">
        <f t="shared" si="0"/>
        <v>0</v>
      </c>
      <c r="H30" s="228">
        <f t="shared" si="1"/>
        <v>0</v>
      </c>
    </row>
    <row r="31" spans="1:8" ht="18.75" customHeight="1">
      <c r="A31" s="224">
        <v>26</v>
      </c>
      <c r="B31" s="225" t="s">
        <v>644</v>
      </c>
      <c r="C31" s="226">
        <v>80</v>
      </c>
      <c r="D31" s="227" t="s">
        <v>293</v>
      </c>
      <c r="E31" s="228"/>
      <c r="F31" s="228"/>
      <c r="G31" s="228">
        <f t="shared" si="0"/>
        <v>0</v>
      </c>
      <c r="H31" s="228">
        <f t="shared" si="1"/>
        <v>0</v>
      </c>
    </row>
    <row r="32" spans="1:8" ht="18.75" customHeight="1">
      <c r="A32" s="224">
        <v>27</v>
      </c>
      <c r="B32" s="225" t="s">
        <v>645</v>
      </c>
      <c r="C32" s="226">
        <v>110</v>
      </c>
      <c r="D32" s="227" t="s">
        <v>293</v>
      </c>
      <c r="E32" s="228"/>
      <c r="F32" s="228"/>
      <c r="G32" s="228">
        <f t="shared" si="0"/>
        <v>0</v>
      </c>
      <c r="H32" s="228">
        <f t="shared" si="1"/>
        <v>0</v>
      </c>
    </row>
    <row r="33" spans="1:8" ht="18.75" customHeight="1">
      <c r="A33" s="224">
        <v>28</v>
      </c>
      <c r="B33" s="225" t="s">
        <v>646</v>
      </c>
      <c r="C33" s="226">
        <v>210</v>
      </c>
      <c r="D33" s="227" t="s">
        <v>293</v>
      </c>
      <c r="E33" s="228"/>
      <c r="F33" s="228"/>
      <c r="G33" s="228">
        <f t="shared" si="0"/>
        <v>0</v>
      </c>
      <c r="H33" s="228">
        <f t="shared" si="1"/>
        <v>0</v>
      </c>
    </row>
    <row r="34" spans="1:8" ht="18.75" customHeight="1">
      <c r="A34" s="224">
        <v>29</v>
      </c>
      <c r="B34" s="225" t="s">
        <v>647</v>
      </c>
      <c r="C34" s="226">
        <v>10</v>
      </c>
      <c r="D34" s="227" t="s">
        <v>293</v>
      </c>
      <c r="E34" s="228"/>
      <c r="F34" s="228"/>
      <c r="G34" s="228">
        <f t="shared" si="0"/>
        <v>0</v>
      </c>
      <c r="H34" s="228">
        <f t="shared" si="1"/>
        <v>0</v>
      </c>
    </row>
    <row r="35" spans="1:8" ht="18.75" customHeight="1">
      <c r="A35" s="224">
        <v>30</v>
      </c>
      <c r="B35" s="225" t="s">
        <v>648</v>
      </c>
      <c r="C35" s="226">
        <v>1</v>
      </c>
      <c r="D35" s="227" t="s">
        <v>211</v>
      </c>
      <c r="E35" s="228"/>
      <c r="F35" s="228"/>
      <c r="G35" s="228">
        <f t="shared" si="0"/>
        <v>0</v>
      </c>
      <c r="H35" s="228">
        <f t="shared" si="1"/>
        <v>0</v>
      </c>
    </row>
    <row r="36" spans="1:8" ht="18.75" customHeight="1">
      <c r="A36" s="224">
        <v>31</v>
      </c>
      <c r="B36" s="225" t="s">
        <v>649</v>
      </c>
      <c r="C36" s="226">
        <v>1</v>
      </c>
      <c r="D36" s="227" t="s">
        <v>211</v>
      </c>
      <c r="E36" s="228"/>
      <c r="F36" s="228"/>
      <c r="G36" s="228">
        <f t="shared" si="0"/>
        <v>0</v>
      </c>
      <c r="H36" s="228">
        <f t="shared" si="1"/>
        <v>0</v>
      </c>
    </row>
    <row r="37" spans="1:8" ht="18.75" customHeight="1">
      <c r="A37" s="224">
        <v>32</v>
      </c>
      <c r="B37" s="225" t="s">
        <v>650</v>
      </c>
      <c r="C37" s="226">
        <v>1</v>
      </c>
      <c r="D37" s="227" t="s">
        <v>211</v>
      </c>
      <c r="E37" s="228"/>
      <c r="F37" s="228"/>
      <c r="G37" s="228">
        <f t="shared" si="0"/>
        <v>0</v>
      </c>
      <c r="H37" s="228">
        <f t="shared" si="1"/>
        <v>0</v>
      </c>
    </row>
    <row r="38" spans="1:8" ht="18.75" customHeight="1">
      <c r="A38" s="224">
        <v>33</v>
      </c>
      <c r="B38" s="225" t="s">
        <v>651</v>
      </c>
      <c r="C38" s="226">
        <v>1</v>
      </c>
      <c r="D38" s="227" t="s">
        <v>211</v>
      </c>
      <c r="E38" s="228"/>
      <c r="F38" s="228"/>
      <c r="G38" s="228">
        <f t="shared" si="0"/>
        <v>0</v>
      </c>
      <c r="H38" s="228">
        <f t="shared" si="1"/>
        <v>0</v>
      </c>
    </row>
    <row r="39" spans="1:8" ht="18.75" customHeight="1">
      <c r="A39" s="224">
        <v>34</v>
      </c>
      <c r="B39" s="225" t="s">
        <v>652</v>
      </c>
      <c r="C39" s="226">
        <v>15</v>
      </c>
      <c r="D39" s="227" t="s">
        <v>653</v>
      </c>
      <c r="E39" s="228"/>
      <c r="F39" s="228"/>
      <c r="G39" s="228">
        <f t="shared" si="0"/>
        <v>0</v>
      </c>
      <c r="H39" s="228">
        <f t="shared" si="1"/>
        <v>0</v>
      </c>
    </row>
    <row r="40" spans="1:8" ht="18.75" customHeight="1">
      <c r="A40" s="224">
        <v>35</v>
      </c>
      <c r="B40" s="225" t="s">
        <v>654</v>
      </c>
      <c r="C40" s="226">
        <v>4</v>
      </c>
      <c r="D40" s="227" t="s">
        <v>188</v>
      </c>
      <c r="E40" s="228"/>
      <c r="F40" s="228"/>
      <c r="G40" s="228">
        <f t="shared" si="0"/>
        <v>0</v>
      </c>
      <c r="H40" s="228">
        <f t="shared" si="1"/>
        <v>0</v>
      </c>
    </row>
    <row r="41" spans="1:8" ht="18.75" customHeight="1">
      <c r="A41" s="224">
        <v>36</v>
      </c>
      <c r="B41" s="225" t="s">
        <v>655</v>
      </c>
      <c r="C41" s="226">
        <v>80</v>
      </c>
      <c r="D41" s="227" t="s">
        <v>653</v>
      </c>
      <c r="E41" s="228"/>
      <c r="F41" s="228"/>
      <c r="G41" s="228">
        <f t="shared" si="0"/>
        <v>0</v>
      </c>
      <c r="H41" s="228">
        <f t="shared" si="1"/>
        <v>0</v>
      </c>
    </row>
    <row r="42" spans="1:8" ht="18.75" customHeight="1">
      <c r="A42" s="224">
        <v>37</v>
      </c>
      <c r="B42" s="225" t="s">
        <v>656</v>
      </c>
      <c r="C42" s="226">
        <v>1</v>
      </c>
      <c r="D42" s="227" t="s">
        <v>211</v>
      </c>
      <c r="E42" s="228"/>
      <c r="F42" s="228"/>
      <c r="G42" s="228">
        <f t="shared" si="0"/>
        <v>0</v>
      </c>
      <c r="H42" s="228">
        <f t="shared" si="1"/>
        <v>0</v>
      </c>
    </row>
    <row r="43" spans="1:8" ht="18.75" customHeight="1">
      <c r="A43" s="224">
        <v>38</v>
      </c>
      <c r="B43" s="225" t="s">
        <v>657</v>
      </c>
      <c r="C43" s="226">
        <v>1</v>
      </c>
      <c r="D43" s="227" t="s">
        <v>211</v>
      </c>
      <c r="E43" s="228"/>
      <c r="F43" s="228"/>
      <c r="G43" s="228">
        <f t="shared" si="0"/>
        <v>0</v>
      </c>
      <c r="H43" s="228">
        <f t="shared" si="1"/>
        <v>0</v>
      </c>
    </row>
    <row r="44" spans="1:8" ht="18.75" customHeight="1">
      <c r="A44" s="219"/>
      <c r="B44" s="219"/>
      <c r="C44" s="219"/>
      <c r="D44" s="219"/>
      <c r="E44" s="219"/>
      <c r="F44" s="219"/>
      <c r="G44" s="219"/>
      <c r="H44" s="219"/>
    </row>
    <row r="45" spans="1:8" ht="18.75" customHeight="1">
      <c r="A45" s="219"/>
      <c r="B45" s="229" t="s">
        <v>658</v>
      </c>
      <c r="C45" s="230"/>
      <c r="D45" s="231"/>
      <c r="E45" s="232"/>
      <c r="F45" s="233"/>
      <c r="G45" s="234">
        <f>SUM(G6:G44)</f>
        <v>0</v>
      </c>
      <c r="H45" s="234">
        <f>SUM(H6:H44)</f>
        <v>0</v>
      </c>
    </row>
    <row r="46" spans="1:8" ht="18.75" customHeight="1">
      <c r="A46" s="219"/>
      <c r="B46" s="229" t="s">
        <v>659</v>
      </c>
      <c r="C46" s="230"/>
      <c r="D46" s="231"/>
      <c r="E46" s="232"/>
      <c r="F46" s="233"/>
      <c r="G46" s="234"/>
      <c r="H46" s="235">
        <f>G45+H45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Eliška</dc:creator>
  <cp:keywords/>
  <dc:description/>
  <cp:lastModifiedBy>Sádlová Ilona</cp:lastModifiedBy>
  <dcterms:created xsi:type="dcterms:W3CDTF">2019-01-24T10:13:59Z</dcterms:created>
  <dcterms:modified xsi:type="dcterms:W3CDTF">2019-02-07T11:35:54Z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