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  <sheet name="VORN" sheetId="3" r:id="rId3"/>
  </sheets>
  <definedNames>
    <definedName name="vorn_sum">'VORN'!$I$42:$I$42</definedName>
  </definedNames>
  <calcPr fullCalcOnLoad="1"/>
</workbook>
</file>

<file path=xl/sharedStrings.xml><?xml version="1.0" encoding="utf-8"?>
<sst xmlns="http://schemas.openxmlformats.org/spreadsheetml/2006/main" count="584" uniqueCount="268">
  <si>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</si>
  <si>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</si>
  <si>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</si>
  <si>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</si>
  <si>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</si>
  <si>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</si>
  <si>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</si>
  <si>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</si>
  <si>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</si>
  <si>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</si>
  <si>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</si>
  <si>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</si>
  <si>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</si>
  <si>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</si>
  <si>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</si>
  <si>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</si>
  <si>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</si>
  <si>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</si>
  <si>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</si>
  <si>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</si>
  <si>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</si>
  <si>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</si>
  <si>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</si>
  <si>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</si>
  <si>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</si>
  <si>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</si>
  <si>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</si>
  <si>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</si>
  <si>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</si>
  <si>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</si>
  <si>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</si>
  <si>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</si>
  <si>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</si>
  <si>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</si>
  <si>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</si>
  <si>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</si>
  <si>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</si>
  <si>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</si>
  <si>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</si>
  <si>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</si>
  <si>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</si>
  <si>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</si>
  <si>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</si>
  <si>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</si>
  <si>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</si>
  <si>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Poznámka:</t>
  </si>
  <si>
    <t>Objekt</t>
  </si>
  <si>
    <t>Kód</t>
  </si>
  <si>
    <t>113107143R00</t>
  </si>
  <si>
    <t>113108308R00</t>
  </si>
  <si>
    <t>139601102R00</t>
  </si>
  <si>
    <t>122201109R00</t>
  </si>
  <si>
    <t>166101101R00</t>
  </si>
  <si>
    <t>275311117R00</t>
  </si>
  <si>
    <t>56</t>
  </si>
  <si>
    <t>568111111R00</t>
  </si>
  <si>
    <t>564751111R00</t>
  </si>
  <si>
    <t>564851111RT2</t>
  </si>
  <si>
    <t>564811111RT2</t>
  </si>
  <si>
    <t>569903321R00</t>
  </si>
  <si>
    <t>57</t>
  </si>
  <si>
    <t>578141111R00</t>
  </si>
  <si>
    <t>573312211R00</t>
  </si>
  <si>
    <t>767</t>
  </si>
  <si>
    <t>767911140R00</t>
  </si>
  <si>
    <t>767912120RT1</t>
  </si>
  <si>
    <t>767915120R00</t>
  </si>
  <si>
    <t>767920250R00</t>
  </si>
  <si>
    <t>91</t>
  </si>
  <si>
    <t>917862111RT6</t>
  </si>
  <si>
    <t>592173362</t>
  </si>
  <si>
    <t>919412112R00</t>
  </si>
  <si>
    <t>919412113R00</t>
  </si>
  <si>
    <t>919413111R00</t>
  </si>
  <si>
    <t>919413211R00</t>
  </si>
  <si>
    <t>919441211R00</t>
  </si>
  <si>
    <t>919441221R00</t>
  </si>
  <si>
    <t>919442211R00</t>
  </si>
  <si>
    <t>919442212R00</t>
  </si>
  <si>
    <t>95</t>
  </si>
  <si>
    <t>953941311R00</t>
  </si>
  <si>
    <t>96</t>
  </si>
  <si>
    <t>962042334R00</t>
  </si>
  <si>
    <t>H22</t>
  </si>
  <si>
    <t>998225111R00</t>
  </si>
  <si>
    <t>S</t>
  </si>
  <si>
    <t>979081111R00</t>
  </si>
  <si>
    <t>979081121R00</t>
  </si>
  <si>
    <t>979082111R00</t>
  </si>
  <si>
    <t>979082121R00</t>
  </si>
  <si>
    <t>979086112R00</t>
  </si>
  <si>
    <t>979999999R00</t>
  </si>
  <si>
    <t>979990113R00</t>
  </si>
  <si>
    <t>979990101R00</t>
  </si>
  <si>
    <t>Oprava Sktepark</t>
  </si>
  <si>
    <t>Butovická, Praha 5</t>
  </si>
  <si>
    <t>Zkrácený popis</t>
  </si>
  <si>
    <t>Rozměry</t>
  </si>
  <si>
    <t>Přípravné a přidružené práce</t>
  </si>
  <si>
    <t>Odstranění podkladu pl.do 200 m2,  tl. 20 cm</t>
  </si>
  <si>
    <t>Odstranění asfaltové vrstvy  tl. 8 cm</t>
  </si>
  <si>
    <t>Odkopávky a prokopávky</t>
  </si>
  <si>
    <t>Ruční výkop jam, rýh a šachet v hornině tř. 3</t>
  </si>
  <si>
    <t>Příplatek za lepivost - odkopávky v hor. 3</t>
  </si>
  <si>
    <t>Přemístění výkopku</t>
  </si>
  <si>
    <t>Přehození výkopku z hor.1-4</t>
  </si>
  <si>
    <t>Základy</t>
  </si>
  <si>
    <t>Beton základ. patek prostý z cem. portlad. C 25/30</t>
  </si>
  <si>
    <t>Podkladní vrstvy komunikací a zpevněných ploch</t>
  </si>
  <si>
    <t>Zřízení vrstvy z geotextilie skl.do 1:5, š. do 3 m</t>
  </si>
  <si>
    <t>Podklad z kameniva drceného vel.32-63 mm,tl. 10 cm</t>
  </si>
  <si>
    <t>Podklad ze štěrkodrti po zhutnění tloušťky 15 cm</t>
  </si>
  <si>
    <t>Podklad ze štěrkodrti po zhutnění tloušťky 5 cm</t>
  </si>
  <si>
    <t>Hutnění podloží po vrstvách</t>
  </si>
  <si>
    <t>Kryty pozemních komunikací, letišť a ploch z kameniva nebo živičné</t>
  </si>
  <si>
    <t>Litý asfalt z kameniva jemnozrnný do 3 m tl. 4 cm</t>
  </si>
  <si>
    <t>Prolití podkladu z kameniva asfaltem, 3,5 kg/m2</t>
  </si>
  <si>
    <t>Konstrukce doplňkové stavební (zámečnické)</t>
  </si>
  <si>
    <t>Nové oplocení vč. demontáží</t>
  </si>
  <si>
    <t>Demontáže stávajících prvků</t>
  </si>
  <si>
    <t>Dodání a montáž sloupků</t>
  </si>
  <si>
    <t>Montáž vrat na ocelové sloupky, plochy do 10 m2</t>
  </si>
  <si>
    <t>Doplňující konstrukce a práce na pozemních komunikacích a zpevněných plochách</t>
  </si>
  <si>
    <t>Osazení stojat. obrub.bet. s opěrou,lože z C 12/15</t>
  </si>
  <si>
    <t>Obrubník 1000/100/200 mm</t>
  </si>
  <si>
    <t>flat Bank</t>
  </si>
  <si>
    <t>Rail B</t>
  </si>
  <si>
    <t>Rail S</t>
  </si>
  <si>
    <t>Bridge</t>
  </si>
  <si>
    <t>Ollie - Box</t>
  </si>
  <si>
    <t>fly over</t>
  </si>
  <si>
    <t>Bank</t>
  </si>
  <si>
    <t>Fun - Box</t>
  </si>
  <si>
    <t>Různé dokončovací konstrukce a práce na pozemních stavbách</t>
  </si>
  <si>
    <t>Osazení odpadkového koše</t>
  </si>
  <si>
    <t>Bourání konstrukcí</t>
  </si>
  <si>
    <t>Bourán ípatek z betonu prostého</t>
  </si>
  <si>
    <t>Komunikace pozemní a letiště</t>
  </si>
  <si>
    <t>Přesun hmot, pozemní komunikace, kryt živičný</t>
  </si>
  <si>
    <t>Přesuny sutí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</si>
  <si>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</si>
  <si>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</si>
  <si>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</si>
  <si>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</si>
  <si>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nebo překládání suti a vybouraných hmot</t>
  </si>
  <si>
    <t>Poplatek za skladku 10 % příměsí</t>
  </si>
  <si>
    <t>Poplatek za skládku suti-obal.kam-asfalt</t>
  </si>
  <si>
    <t>Poplatek za sklád.suti-zemina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</si>
  <si>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</si>
  <si>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</si>
  <si>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</si>
  <si>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</si>
  <si>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</si>
  <si>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</si>
  <si>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</si>
  <si>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</si>
  <si>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sbr</t>
  </si>
  <si>
    <t>kus</t>
  </si>
  <si>
    <t>t</t>
  </si>
  <si>
    <t>Množství</t>
  </si>
  <si>
    <t>04.06.2019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</si>
  <si>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</si>
  <si>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</si>
  <si>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</si>
  <si>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</si>
  <si>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</si>
  <si>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</si>
  <si>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</si>
  <si>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</si>
  <si>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</si>
  <si>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</si>
  <si>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MC Prahy 5, Nam. 14 rijna 4, Praha 5</t>
  </si>
  <si>
    <t>Celkem</t>
  </si>
  <si>
    <t>Hmotnost (t)</t>
  </si>
  <si>
    <t>Cenová</t>
  </si>
  <si>
    <t>soustava</t>
  </si>
  <si>
    <t>RTS II / 2013</t>
  </si>
  <si>
    <t>RTS I / 2018</t>
  </si>
  <si>
    <t>RTS II / 2017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</si>
  <si>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</si>
  <si>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</si>
  <si>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</si>
  <si>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</si>
  <si>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</si>
  <si>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</si>
  <si>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</si>
  <si>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</si>
  <si>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</si>
  <si>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</si>
  <si>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</si>
  <si>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</si>
  <si>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</si>
  <si>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27_</t>
  </si>
  <si>
    <t>56_</t>
  </si>
  <si>
    <t>57_</t>
  </si>
  <si>
    <t>767_</t>
  </si>
  <si>
    <t>91_</t>
  </si>
  <si>
    <t>95_</t>
  </si>
  <si>
    <t>96_</t>
  </si>
  <si>
    <t>H22_</t>
  </si>
  <si>
    <t>S_</t>
  </si>
  <si>
    <t>1_</t>
  </si>
  <si>
    <t>2_</t>
  </si>
  <si>
    <t>5_</t>
  </si>
  <si>
    <t>76_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</si>
  <si>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</si>
  <si>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</si>
  <si>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</si>
  <si>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</si>
  <si>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</si>
  <si>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</si>
  <si>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</si>
  <si>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</si>
  <si>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</si>
  <si>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</si>
  <si>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</si>
  <si>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</si>
  <si>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</si>
  <si>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</si>
  <si>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</si>
  <si>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</si>
  <si>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</si>
  <si>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</si>
  <si>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</si>
  <si>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Projekce</t>
  </si>
  <si>
    <t>Koordinace</t>
  </si>
  <si>
    <t>Doprava</t>
  </si>
  <si>
    <t>Kompletace</t>
  </si>
  <si>
    <t>Územní vlivy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</si>
  <si>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</si>
  <si>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</si>
  <si>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</si>
  <si>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</si>
  <si>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</si>
  <si>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</si>
  <si>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</si>
  <si>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</si>
  <si>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</si>
  <si>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</si>
  <si>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</si>
  <si>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</si>
  <si>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</si>
  <si>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</si>
  <si>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</si>
  <si>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</si>
  <si>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</si>
  <si>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</si>
  <si>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</si>
  <si>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</si>
  <si>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</si>
  <si>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</si>
  <si>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</si>
  <si>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063631/CZ00063631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</si>
  <si>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</si>
  <si>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</si>
  <si>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</si>
  <si>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</si>
  <si>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</si>
  <si>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</si>
  <si>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</si>
  <si>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Projektová</t>
  </si>
  <si>
    <t>Oplocení</t>
  </si>
  <si>
    <t>Geodetická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</si>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</sst>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right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4" borderId="47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56" xfId="0" applyNumberFormat="1" applyFont="1" applyFill="1" applyBorder="1" applyAlignment="1" applyProtection="1">
      <alignment horizontal="left" vertical="center"/>
      <protection/>
    </xf>
    <xf numFmtId="49" fontId="11" fillId="0" borderId="55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56" xfId="0" applyNumberFormat="1" applyFont="1" applyFill="1" applyBorder="1" applyAlignment="1" applyProtection="1">
      <alignment horizontal="left" vertical="center"/>
      <protection/>
    </xf>
    <xf numFmtId="4" fontId="11" fillId="0" borderId="55" xfId="0" applyNumberFormat="1" applyFont="1" applyFill="1" applyBorder="1" applyAlignment="1" applyProtection="1">
      <alignment horizontal="right" vertical="center"/>
      <protection/>
    </xf>
    <xf numFmtId="0" fontId="11" fillId="0" borderId="35" xfId="0" applyNumberFormat="1" applyFont="1" applyFill="1" applyBorder="1" applyAlignment="1" applyProtection="1">
      <alignment horizontal="right" vertical="center"/>
      <protection/>
    </xf>
    <xf numFmtId="0" fontId="11" fillId="0" borderId="56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5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12.75">
      <c r="A2" s="67" t="s">
        <v>1</v>
      </c>
      <c r="B2" s="68"/>
      <c r="C2" s="68"/>
      <c r="D2" s="71" t="s">
        <v>94</v>
      </c>
      <c r="E2" s="73" t="s">
        <v>148</v>
      </c>
      <c r="F2" s="68"/>
      <c r="G2" s="73" t="s">
        <v>6</v>
      </c>
      <c r="H2" s="68"/>
      <c r="I2" s="74" t="s">
        <v>166</v>
      </c>
      <c r="J2" s="74" t="s">
        <v>171</v>
      </c>
      <c r="K2" s="68"/>
      <c r="L2" s="68"/>
      <c r="M2" s="75"/>
      <c r="N2" s="31"/>
    </row>
    <row r="3" spans="1:14" ht="12.75">
      <c r="A3" s="69"/>
      <c r="B3" s="70"/>
      <c r="C3" s="70"/>
      <c r="D3" s="72"/>
      <c r="E3" s="70"/>
      <c r="F3" s="70"/>
      <c r="G3" s="70"/>
      <c r="H3" s="70"/>
      <c r="I3" s="70"/>
      <c r="J3" s="70"/>
      <c r="K3" s="70"/>
      <c r="L3" s="70"/>
      <c r="M3" s="76"/>
      <c r="N3" s="31"/>
    </row>
    <row r="4" spans="1:14" ht="12.75">
      <c r="A4" s="77" t="s">
        <v>2</v>
      </c>
      <c r="B4" s="70"/>
      <c r="C4" s="70"/>
      <c r="D4" s="78" t="s">
        <v>6</v>
      </c>
      <c r="E4" s="79" t="s">
        <v>149</v>
      </c>
      <c r="F4" s="70"/>
      <c r="G4" s="79" t="s">
        <v>6</v>
      </c>
      <c r="H4" s="70"/>
      <c r="I4" s="78" t="s">
        <v>167</v>
      </c>
      <c r="J4" s="78" t="s">
        <v>6</v>
      </c>
      <c r="K4" s="70"/>
      <c r="L4" s="70"/>
      <c r="M4" s="76"/>
      <c r="N4" s="31"/>
    </row>
    <row r="5" spans="1:14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31"/>
    </row>
    <row r="6" spans="1:14" ht="12.75">
      <c r="A6" s="77" t="s">
        <v>3</v>
      </c>
      <c r="B6" s="70"/>
      <c r="C6" s="70"/>
      <c r="D6" s="78" t="s">
        <v>95</v>
      </c>
      <c r="E6" s="79" t="s">
        <v>150</v>
      </c>
      <c r="F6" s="70"/>
      <c r="G6" s="79" t="s">
        <v>6</v>
      </c>
      <c r="H6" s="70"/>
      <c r="I6" s="78" t="s">
        <v>168</v>
      </c>
      <c r="J6" s="78" t="s">
        <v>6</v>
      </c>
      <c r="K6" s="70"/>
      <c r="L6" s="70"/>
      <c r="M6" s="76"/>
      <c r="N6" s="31"/>
    </row>
    <row r="7" spans="1:14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6"/>
      <c r="N7" s="31"/>
    </row>
    <row r="8" spans="1:14" ht="12.75">
      <c r="A8" s="77" t="s">
        <v>4</v>
      </c>
      <c r="B8" s="70"/>
      <c r="C8" s="70"/>
      <c r="D8" s="78" t="s">
        <v>6</v>
      </c>
      <c r="E8" s="79" t="s">
        <v>151</v>
      </c>
      <c r="F8" s="70"/>
      <c r="G8" s="79" t="s">
        <v>160</v>
      </c>
      <c r="H8" s="70"/>
      <c r="I8" s="78" t="s">
        <v>169</v>
      </c>
      <c r="J8" s="78" t="s">
        <v>6</v>
      </c>
      <c r="K8" s="70"/>
      <c r="L8" s="70"/>
      <c r="M8" s="76"/>
      <c r="N8" s="31"/>
    </row>
    <row r="9" spans="1:14" ht="12.7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31"/>
    </row>
    <row r="10" spans="1:14" ht="12.75">
      <c r="A10" s="1" t="s">
        <v>5</v>
      </c>
      <c r="B10" s="10" t="s">
        <v>46</v>
      </c>
      <c r="C10" s="10" t="s">
        <v>47</v>
      </c>
      <c r="D10" s="10" t="s">
        <v>96</v>
      </c>
      <c r="E10" s="10" t="s">
        <v>152</v>
      </c>
      <c r="F10" s="15" t="s">
        <v>159</v>
      </c>
      <c r="G10" s="19" t="s">
        <v>161</v>
      </c>
      <c r="H10" s="80" t="s">
        <v>163</v>
      </c>
      <c r="I10" s="81"/>
      <c r="J10" s="82"/>
      <c r="K10" s="80" t="s">
        <v>173</v>
      </c>
      <c r="L10" s="82"/>
      <c r="M10" s="26" t="s">
        <v>174</v>
      </c>
      <c r="N10" s="32"/>
    </row>
    <row r="11" spans="1:24" ht="12.75">
      <c r="A11" s="2" t="s">
        <v>6</v>
      </c>
      <c r="B11" s="11" t="s">
        <v>6</v>
      </c>
      <c r="C11" s="11" t="s">
        <v>6</v>
      </c>
      <c r="D11" s="14" t="s">
        <v>97</v>
      </c>
      <c r="E11" s="11" t="s">
        <v>6</v>
      </c>
      <c r="F11" s="11" t="s">
        <v>6</v>
      </c>
      <c r="G11" s="20" t="s">
        <v>162</v>
      </c>
      <c r="H11" s="21" t="s">
        <v>164</v>
      </c>
      <c r="I11" s="22" t="s">
        <v>170</v>
      </c>
      <c r="J11" s="23" t="s">
        <v>172</v>
      </c>
      <c r="K11" s="21" t="s">
        <v>161</v>
      </c>
      <c r="L11" s="23" t="s">
        <v>172</v>
      </c>
      <c r="M11" s="27" t="s">
        <v>175</v>
      </c>
      <c r="N11" s="32"/>
      <c r="P11" s="25" t="s">
        <v>180</v>
      </c>
      <c r="Q11" s="25" t="s">
        <v>181</v>
      </c>
      <c r="R11" s="25" t="s">
        <v>182</v>
      </c>
      <c r="S11" s="25" t="s">
        <v>183</v>
      </c>
      <c r="T11" s="25" t="s">
        <v>184</v>
      </c>
      <c r="U11" s="25" t="s">
        <v>185</v>
      </c>
      <c r="V11" s="25" t="s">
        <v>186</v>
      </c>
      <c r="W11" s="25" t="s">
        <v>187</v>
      </c>
      <c r="X11" s="25" t="s">
        <v>188</v>
      </c>
    </row>
    <row r="12" spans="1:37" ht="12.75">
      <c r="A12" s="3"/>
      <c r="B12" s="12"/>
      <c r="C12" s="12" t="s">
        <v>17</v>
      </c>
      <c r="D12" s="12" t="s">
        <v>98</v>
      </c>
      <c r="E12" s="3" t="s">
        <v>6</v>
      </c>
      <c r="F12" s="3" t="s">
        <v>6</v>
      </c>
      <c r="G12" s="3" t="s">
        <v>6</v>
      </c>
      <c r="H12" s="35">
        <f>SUM(H13:H14)</f>
        <v>0</v>
      </c>
      <c r="I12" s="35">
        <f>SUM(I13:I14)</f>
        <v>0</v>
      </c>
      <c r="J12" s="35">
        <f>H12+I12</f>
        <v>0</v>
      </c>
      <c r="K12" s="24"/>
      <c r="L12" s="35">
        <f>SUM(L13:L14)</f>
        <v>255.83999999999997</v>
      </c>
      <c r="M12" s="24"/>
      <c r="Y12" s="25"/>
      <c r="AI12" s="36">
        <f>SUM(Z13:Z14)</f>
        <v>0</v>
      </c>
      <c r="AJ12" s="36">
        <f>SUM(AA13:AA14)</f>
        <v>0</v>
      </c>
      <c r="AK12" s="36">
        <f>SUM(AB13:AB14)</f>
        <v>0</v>
      </c>
    </row>
    <row r="13" spans="1:48" ht="12.75">
      <c r="A13" s="4" t="s">
        <v>7</v>
      </c>
      <c r="B13" s="4"/>
      <c r="C13" s="4" t="s">
        <v>48</v>
      </c>
      <c r="D13" s="4" t="s">
        <v>99</v>
      </c>
      <c r="E13" s="4" t="s">
        <v>153</v>
      </c>
      <c r="F13" s="16">
        <v>520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0.316</v>
      </c>
      <c r="L13" s="16">
        <f>F13*K13</f>
        <v>164.32</v>
      </c>
      <c r="M13" s="28" t="s">
        <v>176</v>
      </c>
      <c r="P13" s="33">
        <f>IF(AG13="5",J13,0)</f>
        <v>0</v>
      </c>
      <c r="R13" s="33">
        <f>IF(AG13="1",H13,0)</f>
        <v>0</v>
      </c>
      <c r="S13" s="33">
        <f>IF(AG13="1",I13,0)</f>
        <v>0</v>
      </c>
      <c r="T13" s="33">
        <f>IF(AG13="7",H13,0)</f>
        <v>0</v>
      </c>
      <c r="U13" s="33">
        <f>IF(AG13="7",I13,0)</f>
        <v>0</v>
      </c>
      <c r="V13" s="33">
        <f>IF(AG13="2",H13,0)</f>
        <v>0</v>
      </c>
      <c r="W13" s="33">
        <f>IF(AG13="2",I13,0)</f>
        <v>0</v>
      </c>
      <c r="X13" s="33">
        <f>IF(AG13="0",J13,0)</f>
        <v>0</v>
      </c>
      <c r="Y13" s="25"/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3">
        <v>21</v>
      </c>
      <c r="AE13" s="33">
        <f>G13*0</f>
        <v>0</v>
      </c>
      <c r="AF13" s="33">
        <f>G13*(1-0)</f>
        <v>0</v>
      </c>
      <c r="AG13" s="28" t="s">
        <v>7</v>
      </c>
      <c r="AM13" s="33">
        <f>F13*AE13</f>
        <v>0</v>
      </c>
      <c r="AN13" s="33">
        <f>F13*AF13</f>
        <v>0</v>
      </c>
      <c r="AO13" s="34" t="s">
        <v>189</v>
      </c>
      <c r="AP13" s="34" t="s">
        <v>201</v>
      </c>
      <c r="AQ13" s="25" t="s">
        <v>206</v>
      </c>
      <c r="AS13" s="33">
        <f>AM13+AN13</f>
        <v>0</v>
      </c>
      <c r="AT13" s="33">
        <f>G13/(100-AU13)*100</f>
        <v>0</v>
      </c>
      <c r="AU13" s="33">
        <v>0</v>
      </c>
      <c r="AV13" s="33">
        <f>L13</f>
        <v>164.32</v>
      </c>
    </row>
    <row r="14" spans="1:48" ht="12.75">
      <c r="A14" s="4" t="s">
        <v>8</v>
      </c>
      <c r="B14" s="4"/>
      <c r="C14" s="4" t="s">
        <v>49</v>
      </c>
      <c r="D14" s="4" t="s">
        <v>100</v>
      </c>
      <c r="E14" s="4" t="s">
        <v>153</v>
      </c>
      <c r="F14" s="16">
        <v>520</v>
      </c>
      <c r="G14" s="16">
        <v>0</v>
      </c>
      <c r="H14" s="16">
        <f>F14*AE14</f>
        <v>0</v>
      </c>
      <c r="I14" s="16">
        <f>J14-H14</f>
        <v>0</v>
      </c>
      <c r="J14" s="16">
        <f>F14*G14</f>
        <v>0</v>
      </c>
      <c r="K14" s="16">
        <v>0.176</v>
      </c>
      <c r="L14" s="16">
        <f>F14*K14</f>
        <v>91.52</v>
      </c>
      <c r="M14" s="28" t="s">
        <v>177</v>
      </c>
      <c r="P14" s="33">
        <f>IF(AG14="5",J14,0)</f>
        <v>0</v>
      </c>
      <c r="R14" s="33">
        <f>IF(AG14="1",H14,0)</f>
        <v>0</v>
      </c>
      <c r="S14" s="33">
        <f>IF(AG14="1",I14,0)</f>
        <v>0</v>
      </c>
      <c r="T14" s="33">
        <f>IF(AG14="7",H14,0)</f>
        <v>0</v>
      </c>
      <c r="U14" s="33">
        <f>IF(AG14="7",I14,0)</f>
        <v>0</v>
      </c>
      <c r="V14" s="33">
        <f>IF(AG14="2",H14,0)</f>
        <v>0</v>
      </c>
      <c r="W14" s="33">
        <f>IF(AG14="2",I14,0)</f>
        <v>0</v>
      </c>
      <c r="X14" s="33">
        <f>IF(AG14="0",J14,0)</f>
        <v>0</v>
      </c>
      <c r="Y14" s="25"/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3">
        <v>21</v>
      </c>
      <c r="AE14" s="33">
        <f>G14*0</f>
        <v>0</v>
      </c>
      <c r="AF14" s="33">
        <f>G14*(1-0)</f>
        <v>0</v>
      </c>
      <c r="AG14" s="28" t="s">
        <v>7</v>
      </c>
      <c r="AM14" s="33">
        <f>F14*AE14</f>
        <v>0</v>
      </c>
      <c r="AN14" s="33">
        <f>F14*AF14</f>
        <v>0</v>
      </c>
      <c r="AO14" s="34" t="s">
        <v>189</v>
      </c>
      <c r="AP14" s="34" t="s">
        <v>201</v>
      </c>
      <c r="AQ14" s="25" t="s">
        <v>206</v>
      </c>
      <c r="AS14" s="33">
        <f>AM14+AN14</f>
        <v>0</v>
      </c>
      <c r="AT14" s="33">
        <f>G14/(100-AU14)*100</f>
        <v>0</v>
      </c>
      <c r="AU14" s="33">
        <v>0</v>
      </c>
      <c r="AV14" s="33">
        <f>L14</f>
        <v>91.52</v>
      </c>
    </row>
    <row r="15" spans="1:37" ht="12.75">
      <c r="A15" s="5"/>
      <c r="B15" s="13"/>
      <c r="C15" s="13" t="s">
        <v>18</v>
      </c>
      <c r="D15" s="13" t="s">
        <v>101</v>
      </c>
      <c r="E15" s="5" t="s">
        <v>6</v>
      </c>
      <c r="F15" s="5" t="s">
        <v>6</v>
      </c>
      <c r="G15" s="5" t="s">
        <v>6</v>
      </c>
      <c r="H15" s="36">
        <f>SUM(H16:H17)</f>
        <v>0</v>
      </c>
      <c r="I15" s="36">
        <f>SUM(I16:I17)</f>
        <v>0</v>
      </c>
      <c r="J15" s="36">
        <f>H15+I15</f>
        <v>0</v>
      </c>
      <c r="K15" s="25"/>
      <c r="L15" s="36">
        <f>SUM(L16:L17)</f>
        <v>0</v>
      </c>
      <c r="M15" s="25"/>
      <c r="Y15" s="25"/>
      <c r="AI15" s="36">
        <f>SUM(Z16:Z17)</f>
        <v>0</v>
      </c>
      <c r="AJ15" s="36">
        <f>SUM(AA16:AA17)</f>
        <v>0</v>
      </c>
      <c r="AK15" s="36">
        <f>SUM(AB16:AB17)</f>
        <v>0</v>
      </c>
    </row>
    <row r="16" spans="1:48" ht="12.75">
      <c r="A16" s="4" t="s">
        <v>9</v>
      </c>
      <c r="B16" s="4"/>
      <c r="C16" s="4" t="s">
        <v>50</v>
      </c>
      <c r="D16" s="4" t="s">
        <v>102</v>
      </c>
      <c r="E16" s="4" t="s">
        <v>154</v>
      </c>
      <c r="F16" s="16">
        <v>16</v>
      </c>
      <c r="G16" s="16">
        <v>0</v>
      </c>
      <c r="H16" s="16">
        <f>F16*AE16</f>
        <v>0</v>
      </c>
      <c r="I16" s="16">
        <f>J16-H16</f>
        <v>0</v>
      </c>
      <c r="J16" s="16">
        <f>F16*G16</f>
        <v>0</v>
      </c>
      <c r="K16" s="16">
        <v>0</v>
      </c>
      <c r="L16" s="16">
        <f>F16*K16</f>
        <v>0</v>
      </c>
      <c r="M16" s="28" t="s">
        <v>176</v>
      </c>
      <c r="P16" s="33">
        <f>IF(AG16="5",J16,0)</f>
        <v>0</v>
      </c>
      <c r="R16" s="33">
        <f>IF(AG16="1",H16,0)</f>
        <v>0</v>
      </c>
      <c r="S16" s="33">
        <f>IF(AG16="1",I16,0)</f>
        <v>0</v>
      </c>
      <c r="T16" s="33">
        <f>IF(AG16="7",H16,0)</f>
        <v>0</v>
      </c>
      <c r="U16" s="33">
        <f>IF(AG16="7",I16,0)</f>
        <v>0</v>
      </c>
      <c r="V16" s="33">
        <f>IF(AG16="2",H16,0)</f>
        <v>0</v>
      </c>
      <c r="W16" s="33">
        <f>IF(AG16="2",I16,0)</f>
        <v>0</v>
      </c>
      <c r="X16" s="33">
        <f>IF(AG16="0",J16,0)</f>
        <v>0</v>
      </c>
      <c r="Y16" s="25"/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3">
        <v>21</v>
      </c>
      <c r="AE16" s="33">
        <f>G16*0</f>
        <v>0</v>
      </c>
      <c r="AF16" s="33">
        <f>G16*(1-0)</f>
        <v>0</v>
      </c>
      <c r="AG16" s="28" t="s">
        <v>7</v>
      </c>
      <c r="AM16" s="33">
        <f>F16*AE16</f>
        <v>0</v>
      </c>
      <c r="AN16" s="33">
        <f>F16*AF16</f>
        <v>0</v>
      </c>
      <c r="AO16" s="34" t="s">
        <v>190</v>
      </c>
      <c r="AP16" s="34" t="s">
        <v>201</v>
      </c>
      <c r="AQ16" s="25" t="s">
        <v>206</v>
      </c>
      <c r="AS16" s="33">
        <f>AM16+AN16</f>
        <v>0</v>
      </c>
      <c r="AT16" s="33">
        <f>G16/(100-AU16)*100</f>
        <v>0</v>
      </c>
      <c r="AU16" s="33">
        <v>0</v>
      </c>
      <c r="AV16" s="33">
        <f>L16</f>
        <v>0</v>
      </c>
    </row>
    <row r="17" spans="1:48" ht="12.75">
      <c r="A17" s="4" t="s">
        <v>10</v>
      </c>
      <c r="B17" s="4"/>
      <c r="C17" s="4" t="s">
        <v>51</v>
      </c>
      <c r="D17" s="4" t="s">
        <v>103</v>
      </c>
      <c r="E17" s="4" t="s">
        <v>154</v>
      </c>
      <c r="F17" s="16">
        <v>16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</v>
      </c>
      <c r="L17" s="16">
        <f>F17*K17</f>
        <v>0</v>
      </c>
      <c r="M17" s="28" t="s">
        <v>176</v>
      </c>
      <c r="P17" s="33">
        <f>IF(AG17="5",J17,0)</f>
        <v>0</v>
      </c>
      <c r="R17" s="33">
        <f>IF(AG17="1",H17,0)</f>
        <v>0</v>
      </c>
      <c r="S17" s="33">
        <f>IF(AG17="1",I17,0)</f>
        <v>0</v>
      </c>
      <c r="T17" s="33">
        <f>IF(AG17="7",H17,0)</f>
        <v>0</v>
      </c>
      <c r="U17" s="33">
        <f>IF(AG17="7",I17,0)</f>
        <v>0</v>
      </c>
      <c r="V17" s="33">
        <f>IF(AG17="2",H17,0)</f>
        <v>0</v>
      </c>
      <c r="W17" s="33">
        <f>IF(AG17="2",I17,0)</f>
        <v>0</v>
      </c>
      <c r="X17" s="33">
        <f>IF(AG17="0",J17,0)</f>
        <v>0</v>
      </c>
      <c r="Y17" s="25"/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3">
        <v>21</v>
      </c>
      <c r="AE17" s="33">
        <f>G17*0</f>
        <v>0</v>
      </c>
      <c r="AF17" s="33">
        <f>G17*(1-0)</f>
        <v>0</v>
      </c>
      <c r="AG17" s="28" t="s">
        <v>7</v>
      </c>
      <c r="AM17" s="33">
        <f>F17*AE17</f>
        <v>0</v>
      </c>
      <c r="AN17" s="33">
        <f>F17*AF17</f>
        <v>0</v>
      </c>
      <c r="AO17" s="34" t="s">
        <v>190</v>
      </c>
      <c r="AP17" s="34" t="s">
        <v>201</v>
      </c>
      <c r="AQ17" s="25" t="s">
        <v>206</v>
      </c>
      <c r="AS17" s="33">
        <f>AM17+AN17</f>
        <v>0</v>
      </c>
      <c r="AT17" s="33">
        <f>G17/(100-AU17)*100</f>
        <v>0</v>
      </c>
      <c r="AU17" s="33">
        <v>0</v>
      </c>
      <c r="AV17" s="33">
        <f>L17</f>
        <v>0</v>
      </c>
    </row>
    <row r="18" spans="1:37" ht="12.75">
      <c r="A18" s="5"/>
      <c r="B18" s="13"/>
      <c r="C18" s="13" t="s">
        <v>22</v>
      </c>
      <c r="D18" s="13" t="s">
        <v>104</v>
      </c>
      <c r="E18" s="5" t="s">
        <v>6</v>
      </c>
      <c r="F18" s="5" t="s">
        <v>6</v>
      </c>
      <c r="G18" s="5" t="s">
        <v>6</v>
      </c>
      <c r="H18" s="36">
        <f>SUM(H19:H19)</f>
        <v>0</v>
      </c>
      <c r="I18" s="36">
        <f>SUM(I19:I19)</f>
        <v>0</v>
      </c>
      <c r="J18" s="36">
        <f>H18+I18</f>
        <v>0</v>
      </c>
      <c r="K18" s="25"/>
      <c r="L18" s="36">
        <f>SUM(L19:L19)</f>
        <v>0</v>
      </c>
      <c r="M18" s="25"/>
      <c r="Y18" s="25"/>
      <c r="AI18" s="36">
        <f>SUM(Z19:Z19)</f>
        <v>0</v>
      </c>
      <c r="AJ18" s="36">
        <f>SUM(AA19:AA19)</f>
        <v>0</v>
      </c>
      <c r="AK18" s="36">
        <f>SUM(AB19:AB19)</f>
        <v>0</v>
      </c>
    </row>
    <row r="19" spans="1:48" ht="12.75">
      <c r="A19" s="4" t="s">
        <v>11</v>
      </c>
      <c r="B19" s="4"/>
      <c r="C19" s="4" t="s">
        <v>52</v>
      </c>
      <c r="D19" s="4" t="s">
        <v>105</v>
      </c>
      <c r="E19" s="4" t="s">
        <v>154</v>
      </c>
      <c r="F19" s="16">
        <v>16</v>
      </c>
      <c r="G19" s="16">
        <v>0</v>
      </c>
      <c r="H19" s="16">
        <f>F19*AE19</f>
        <v>0</v>
      </c>
      <c r="I19" s="16">
        <f>J19-H19</f>
        <v>0</v>
      </c>
      <c r="J19" s="16">
        <f>F19*G19</f>
        <v>0</v>
      </c>
      <c r="K19" s="16">
        <v>0</v>
      </c>
      <c r="L19" s="16">
        <f>F19*K19</f>
        <v>0</v>
      </c>
      <c r="M19" s="28" t="s">
        <v>176</v>
      </c>
      <c r="P19" s="33">
        <f>IF(AG19="5",J19,0)</f>
        <v>0</v>
      </c>
      <c r="R19" s="33">
        <f>IF(AG19="1",H19,0)</f>
        <v>0</v>
      </c>
      <c r="S19" s="33">
        <f>IF(AG19="1",I19,0)</f>
        <v>0</v>
      </c>
      <c r="T19" s="33">
        <f>IF(AG19="7",H19,0)</f>
        <v>0</v>
      </c>
      <c r="U19" s="33">
        <f>IF(AG19="7",I19,0)</f>
        <v>0</v>
      </c>
      <c r="V19" s="33">
        <f>IF(AG19="2",H19,0)</f>
        <v>0</v>
      </c>
      <c r="W19" s="33">
        <f>IF(AG19="2",I19,0)</f>
        <v>0</v>
      </c>
      <c r="X19" s="33">
        <f>IF(AG19="0",J19,0)</f>
        <v>0</v>
      </c>
      <c r="Y19" s="25"/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3">
        <v>21</v>
      </c>
      <c r="AE19" s="33">
        <f>G19*0</f>
        <v>0</v>
      </c>
      <c r="AF19" s="33">
        <f>G19*(1-0)</f>
        <v>0</v>
      </c>
      <c r="AG19" s="28" t="s">
        <v>7</v>
      </c>
      <c r="AM19" s="33">
        <f>F19*AE19</f>
        <v>0</v>
      </c>
      <c r="AN19" s="33">
        <f>F19*AF19</f>
        <v>0</v>
      </c>
      <c r="AO19" s="34" t="s">
        <v>191</v>
      </c>
      <c r="AP19" s="34" t="s">
        <v>201</v>
      </c>
      <c r="AQ19" s="25" t="s">
        <v>206</v>
      </c>
      <c r="AS19" s="33">
        <f>AM19+AN19</f>
        <v>0</v>
      </c>
      <c r="AT19" s="33">
        <f>G19/(100-AU19)*100</f>
        <v>0</v>
      </c>
      <c r="AU19" s="33">
        <v>0</v>
      </c>
      <c r="AV19" s="33">
        <f>L19</f>
        <v>0</v>
      </c>
    </row>
    <row r="20" spans="1:37" ht="12.75">
      <c r="A20" s="5"/>
      <c r="B20" s="13"/>
      <c r="C20" s="13" t="s">
        <v>33</v>
      </c>
      <c r="D20" s="13" t="s">
        <v>106</v>
      </c>
      <c r="E20" s="5" t="s">
        <v>6</v>
      </c>
      <c r="F20" s="5" t="s">
        <v>6</v>
      </c>
      <c r="G20" s="5" t="s">
        <v>6</v>
      </c>
      <c r="H20" s="36">
        <f>SUM(H21:H21)</f>
        <v>0</v>
      </c>
      <c r="I20" s="36">
        <f>SUM(I21:I21)</f>
        <v>0</v>
      </c>
      <c r="J20" s="36">
        <f>H20+I20</f>
        <v>0</v>
      </c>
      <c r="K20" s="25"/>
      <c r="L20" s="36">
        <f>SUM(L21:L21)</f>
        <v>20.6848</v>
      </c>
      <c r="M20" s="25"/>
      <c r="Y20" s="25"/>
      <c r="AI20" s="36">
        <f>SUM(Z21:Z21)</f>
        <v>0</v>
      </c>
      <c r="AJ20" s="36">
        <f>SUM(AA21:AA21)</f>
        <v>0</v>
      </c>
      <c r="AK20" s="36">
        <f>SUM(AB21:AB21)</f>
        <v>0</v>
      </c>
    </row>
    <row r="21" spans="1:48" ht="12.75">
      <c r="A21" s="4" t="s">
        <v>12</v>
      </c>
      <c r="B21" s="4"/>
      <c r="C21" s="4" t="s">
        <v>53</v>
      </c>
      <c r="D21" s="4" t="s">
        <v>107</v>
      </c>
      <c r="E21" s="4" t="s">
        <v>154</v>
      </c>
      <c r="F21" s="16">
        <v>8</v>
      </c>
      <c r="G21" s="16">
        <v>0</v>
      </c>
      <c r="H21" s="16">
        <f>F21*AE21</f>
        <v>0</v>
      </c>
      <c r="I21" s="16">
        <f>J21-H21</f>
        <v>0</v>
      </c>
      <c r="J21" s="16">
        <f>F21*G21</f>
        <v>0</v>
      </c>
      <c r="K21" s="16">
        <v>2.5856</v>
      </c>
      <c r="L21" s="16">
        <f>F21*K21</f>
        <v>20.6848</v>
      </c>
      <c r="M21" s="28" t="s">
        <v>178</v>
      </c>
      <c r="P21" s="33">
        <f>IF(AG21="5",J21,0)</f>
        <v>0</v>
      </c>
      <c r="R21" s="33">
        <f>IF(AG21="1",H21,0)</f>
        <v>0</v>
      </c>
      <c r="S21" s="33">
        <f>IF(AG21="1",I21,0)</f>
        <v>0</v>
      </c>
      <c r="T21" s="33">
        <f>IF(AG21="7",H21,0)</f>
        <v>0</v>
      </c>
      <c r="U21" s="33">
        <f>IF(AG21="7",I21,0)</f>
        <v>0</v>
      </c>
      <c r="V21" s="33">
        <f>IF(AG21="2",H21,0)</f>
        <v>0</v>
      </c>
      <c r="W21" s="33">
        <f>IF(AG21="2",I21,0)</f>
        <v>0</v>
      </c>
      <c r="X21" s="33">
        <f>IF(AG21="0",J21,0)</f>
        <v>0</v>
      </c>
      <c r="Y21" s="25"/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3">
        <v>21</v>
      </c>
      <c r="AE21" s="33">
        <f>G21*0.5397</f>
        <v>0</v>
      </c>
      <c r="AF21" s="33">
        <f>G21*(1-0.5397)</f>
        <v>0</v>
      </c>
      <c r="AG21" s="28" t="s">
        <v>7</v>
      </c>
      <c r="AM21" s="33">
        <f>F21*AE21</f>
        <v>0</v>
      </c>
      <c r="AN21" s="33">
        <f>F21*AF21</f>
        <v>0</v>
      </c>
      <c r="AO21" s="34" t="s">
        <v>192</v>
      </c>
      <c r="AP21" s="34" t="s">
        <v>202</v>
      </c>
      <c r="AQ21" s="25" t="s">
        <v>206</v>
      </c>
      <c r="AS21" s="33">
        <f>AM21+AN21</f>
        <v>0</v>
      </c>
      <c r="AT21" s="33">
        <f>G21/(100-AU21)*100</f>
        <v>0</v>
      </c>
      <c r="AU21" s="33">
        <v>0</v>
      </c>
      <c r="AV21" s="33">
        <f>L21</f>
        <v>20.6848</v>
      </c>
    </row>
    <row r="22" spans="1:37" ht="12.75">
      <c r="A22" s="5"/>
      <c r="B22" s="13"/>
      <c r="C22" s="13" t="s">
        <v>54</v>
      </c>
      <c r="D22" s="13" t="s">
        <v>108</v>
      </c>
      <c r="E22" s="5" t="s">
        <v>6</v>
      </c>
      <c r="F22" s="5" t="s">
        <v>6</v>
      </c>
      <c r="G22" s="5" t="s">
        <v>6</v>
      </c>
      <c r="H22" s="36">
        <f>SUM(H23:H27)</f>
        <v>0</v>
      </c>
      <c r="I22" s="36">
        <f>SUM(I23:I27)</f>
        <v>0</v>
      </c>
      <c r="J22" s="36">
        <f>H22+I22</f>
        <v>0</v>
      </c>
      <c r="K22" s="25"/>
      <c r="L22" s="36">
        <f>SUM(L23:L27)</f>
        <v>429.78</v>
      </c>
      <c r="M22" s="25"/>
      <c r="Y22" s="25"/>
      <c r="AI22" s="36">
        <f>SUM(Z23:Z27)</f>
        <v>0</v>
      </c>
      <c r="AJ22" s="36">
        <f>SUM(AA23:AA27)</f>
        <v>0</v>
      </c>
      <c r="AK22" s="36">
        <f>SUM(AB23:AB27)</f>
        <v>0</v>
      </c>
    </row>
    <row r="23" spans="1:48" ht="12.75">
      <c r="A23" s="4" t="s">
        <v>13</v>
      </c>
      <c r="B23" s="4"/>
      <c r="C23" s="4" t="s">
        <v>55</v>
      </c>
      <c r="D23" s="4" t="s">
        <v>109</v>
      </c>
      <c r="E23" s="4" t="s">
        <v>153</v>
      </c>
      <c r="F23" s="16">
        <v>520</v>
      </c>
      <c r="G23" s="16">
        <v>0</v>
      </c>
      <c r="H23" s="16">
        <f>F23*AE23</f>
        <v>0</v>
      </c>
      <c r="I23" s="16">
        <f>J23-H23</f>
        <v>0</v>
      </c>
      <c r="J23" s="16">
        <f>F23*G23</f>
        <v>0</v>
      </c>
      <c r="K23" s="16">
        <v>0</v>
      </c>
      <c r="L23" s="16">
        <f>F23*K23</f>
        <v>0</v>
      </c>
      <c r="M23" s="28" t="s">
        <v>176</v>
      </c>
      <c r="P23" s="33">
        <f>IF(AG23="5",J23,0)</f>
        <v>0</v>
      </c>
      <c r="R23" s="33">
        <f>IF(AG23="1",H23,0)</f>
        <v>0</v>
      </c>
      <c r="S23" s="33">
        <f>IF(AG23="1",I23,0)</f>
        <v>0</v>
      </c>
      <c r="T23" s="33">
        <f>IF(AG23="7",H23,0)</f>
        <v>0</v>
      </c>
      <c r="U23" s="33">
        <f>IF(AG23="7",I23,0)</f>
        <v>0</v>
      </c>
      <c r="V23" s="33">
        <f>IF(AG23="2",H23,0)</f>
        <v>0</v>
      </c>
      <c r="W23" s="33">
        <f>IF(AG23="2",I23,0)</f>
        <v>0</v>
      </c>
      <c r="X23" s="33">
        <f>IF(AG23="0",J23,0)</f>
        <v>0</v>
      </c>
      <c r="Y23" s="25"/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3">
        <v>21</v>
      </c>
      <c r="AE23" s="33">
        <f>G23*0</f>
        <v>0</v>
      </c>
      <c r="AF23" s="33">
        <f>G23*(1-0)</f>
        <v>0</v>
      </c>
      <c r="AG23" s="28" t="s">
        <v>7</v>
      </c>
      <c r="AM23" s="33">
        <f>F23*AE23</f>
        <v>0</v>
      </c>
      <c r="AN23" s="33">
        <f>F23*AF23</f>
        <v>0</v>
      </c>
      <c r="AO23" s="34" t="s">
        <v>193</v>
      </c>
      <c r="AP23" s="34" t="s">
        <v>203</v>
      </c>
      <c r="AQ23" s="25" t="s">
        <v>206</v>
      </c>
      <c r="AS23" s="33">
        <f>AM23+AN23</f>
        <v>0</v>
      </c>
      <c r="AT23" s="33">
        <f>G23/(100-AU23)*100</f>
        <v>0</v>
      </c>
      <c r="AU23" s="33">
        <v>0</v>
      </c>
      <c r="AV23" s="33">
        <f>L23</f>
        <v>0</v>
      </c>
    </row>
    <row r="24" spans="1:48" ht="12.75">
      <c r="A24" s="4" t="s">
        <v>14</v>
      </c>
      <c r="B24" s="4"/>
      <c r="C24" s="4" t="s">
        <v>56</v>
      </c>
      <c r="D24" s="4" t="s">
        <v>110</v>
      </c>
      <c r="E24" s="4" t="s">
        <v>153</v>
      </c>
      <c r="F24" s="16">
        <v>520</v>
      </c>
      <c r="G24" s="16">
        <v>0</v>
      </c>
      <c r="H24" s="16">
        <f>F24*AE24</f>
        <v>0</v>
      </c>
      <c r="I24" s="16">
        <f>J24-H24</f>
        <v>0</v>
      </c>
      <c r="J24" s="16">
        <f>F24*G24</f>
        <v>0</v>
      </c>
      <c r="K24" s="16">
        <v>0.3225</v>
      </c>
      <c r="L24" s="16">
        <f>F24*K24</f>
        <v>167.70000000000002</v>
      </c>
      <c r="M24" s="28" t="s">
        <v>177</v>
      </c>
      <c r="P24" s="33">
        <f>IF(AG24="5",J24,0)</f>
        <v>0</v>
      </c>
      <c r="R24" s="33">
        <f>IF(AG24="1",H24,0)</f>
        <v>0</v>
      </c>
      <c r="S24" s="33">
        <f>IF(AG24="1",I24,0)</f>
        <v>0</v>
      </c>
      <c r="T24" s="33">
        <f>IF(AG24="7",H24,0)</f>
        <v>0</v>
      </c>
      <c r="U24" s="33">
        <f>IF(AG24="7",I24,0)</f>
        <v>0</v>
      </c>
      <c r="V24" s="33">
        <f>IF(AG24="2",H24,0)</f>
        <v>0</v>
      </c>
      <c r="W24" s="33">
        <f>IF(AG24="2",I24,0)</f>
        <v>0</v>
      </c>
      <c r="X24" s="33">
        <f>IF(AG24="0",J24,0)</f>
        <v>0</v>
      </c>
      <c r="Y24" s="25"/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3">
        <v>21</v>
      </c>
      <c r="AE24" s="33">
        <f>G24*0.839233449477352</f>
        <v>0</v>
      </c>
      <c r="AF24" s="33">
        <f>G24*(1-0.839233449477352)</f>
        <v>0</v>
      </c>
      <c r="AG24" s="28" t="s">
        <v>7</v>
      </c>
      <c r="AM24" s="33">
        <f>F24*AE24</f>
        <v>0</v>
      </c>
      <c r="AN24" s="33">
        <f>F24*AF24</f>
        <v>0</v>
      </c>
      <c r="AO24" s="34" t="s">
        <v>193</v>
      </c>
      <c r="AP24" s="34" t="s">
        <v>203</v>
      </c>
      <c r="AQ24" s="25" t="s">
        <v>206</v>
      </c>
      <c r="AS24" s="33">
        <f>AM24+AN24</f>
        <v>0</v>
      </c>
      <c r="AT24" s="33">
        <f>G24/(100-AU24)*100</f>
        <v>0</v>
      </c>
      <c r="AU24" s="33">
        <v>0</v>
      </c>
      <c r="AV24" s="33">
        <f>L24</f>
        <v>167.70000000000002</v>
      </c>
    </row>
    <row r="25" spans="1:48" ht="12.75">
      <c r="A25" s="4" t="s">
        <v>15</v>
      </c>
      <c r="B25" s="4"/>
      <c r="C25" s="4" t="s">
        <v>57</v>
      </c>
      <c r="D25" s="4" t="s">
        <v>111</v>
      </c>
      <c r="E25" s="4" t="s">
        <v>153</v>
      </c>
      <c r="F25" s="16">
        <v>520</v>
      </c>
      <c r="G25" s="16">
        <v>0</v>
      </c>
      <c r="H25" s="16">
        <f>F25*AE25</f>
        <v>0</v>
      </c>
      <c r="I25" s="16">
        <f>J25-H25</f>
        <v>0</v>
      </c>
      <c r="J25" s="16">
        <f>F25*G25</f>
        <v>0</v>
      </c>
      <c r="K25" s="16">
        <v>0.378</v>
      </c>
      <c r="L25" s="16">
        <f>F25*K25</f>
        <v>196.56</v>
      </c>
      <c r="M25" s="28" t="s">
        <v>177</v>
      </c>
      <c r="P25" s="33">
        <f>IF(AG25="5",J25,0)</f>
        <v>0</v>
      </c>
      <c r="R25" s="33">
        <f>IF(AG25="1",H25,0)</f>
        <v>0</v>
      </c>
      <c r="S25" s="33">
        <f>IF(AG25="1",I25,0)</f>
        <v>0</v>
      </c>
      <c r="T25" s="33">
        <f>IF(AG25="7",H25,0)</f>
        <v>0</v>
      </c>
      <c r="U25" s="33">
        <f>IF(AG25="7",I25,0)</f>
        <v>0</v>
      </c>
      <c r="V25" s="33">
        <f>IF(AG25="2",H25,0)</f>
        <v>0</v>
      </c>
      <c r="W25" s="33">
        <f>IF(AG25="2",I25,0)</f>
        <v>0</v>
      </c>
      <c r="X25" s="33">
        <f>IF(AG25="0",J25,0)</f>
        <v>0</v>
      </c>
      <c r="Y25" s="25"/>
      <c r="Z25" s="16">
        <f>IF(AD25=0,J25,0)</f>
        <v>0</v>
      </c>
      <c r="AA25" s="16">
        <f>IF(AD25=15,J25,0)</f>
        <v>0</v>
      </c>
      <c r="AB25" s="16">
        <f>IF(AD25=21,J25,0)</f>
        <v>0</v>
      </c>
      <c r="AD25" s="33">
        <v>21</v>
      </c>
      <c r="AE25" s="33">
        <f>G25*0.856567962039762</f>
        <v>0</v>
      </c>
      <c r="AF25" s="33">
        <f>G25*(1-0.856567962039762)</f>
        <v>0</v>
      </c>
      <c r="AG25" s="28" t="s">
        <v>7</v>
      </c>
      <c r="AM25" s="33">
        <f>F25*AE25</f>
        <v>0</v>
      </c>
      <c r="AN25" s="33">
        <f>F25*AF25</f>
        <v>0</v>
      </c>
      <c r="AO25" s="34" t="s">
        <v>193</v>
      </c>
      <c r="AP25" s="34" t="s">
        <v>203</v>
      </c>
      <c r="AQ25" s="25" t="s">
        <v>206</v>
      </c>
      <c r="AS25" s="33">
        <f>AM25+AN25</f>
        <v>0</v>
      </c>
      <c r="AT25" s="33">
        <f>G25/(100-AU25)*100</f>
        <v>0</v>
      </c>
      <c r="AU25" s="33">
        <v>0</v>
      </c>
      <c r="AV25" s="33">
        <f>L25</f>
        <v>196.56</v>
      </c>
    </row>
    <row r="26" spans="1:48" ht="12.75">
      <c r="A26" s="4" t="s">
        <v>16</v>
      </c>
      <c r="B26" s="4"/>
      <c r="C26" s="4" t="s">
        <v>58</v>
      </c>
      <c r="D26" s="4" t="s">
        <v>112</v>
      </c>
      <c r="E26" s="4" t="s">
        <v>153</v>
      </c>
      <c r="F26" s="16">
        <v>520</v>
      </c>
      <c r="G26" s="16">
        <v>0</v>
      </c>
      <c r="H26" s="16">
        <f>F26*AE26</f>
        <v>0</v>
      </c>
      <c r="I26" s="16">
        <f>J26-H26</f>
        <v>0</v>
      </c>
      <c r="J26" s="16">
        <f>F26*G26</f>
        <v>0</v>
      </c>
      <c r="K26" s="16">
        <v>0.126</v>
      </c>
      <c r="L26" s="16">
        <f>F26*K26</f>
        <v>65.52</v>
      </c>
      <c r="M26" s="28" t="s">
        <v>177</v>
      </c>
      <c r="P26" s="33">
        <f>IF(AG26="5",J26,0)</f>
        <v>0</v>
      </c>
      <c r="R26" s="33">
        <f>IF(AG26="1",H26,0)</f>
        <v>0</v>
      </c>
      <c r="S26" s="33">
        <f>IF(AG26="1",I26,0)</f>
        <v>0</v>
      </c>
      <c r="T26" s="33">
        <f>IF(AG26="7",H26,0)</f>
        <v>0</v>
      </c>
      <c r="U26" s="33">
        <f>IF(AG26="7",I26,0)</f>
        <v>0</v>
      </c>
      <c r="V26" s="33">
        <f>IF(AG26="2",H26,0)</f>
        <v>0</v>
      </c>
      <c r="W26" s="33">
        <f>IF(AG26="2",I26,0)</f>
        <v>0</v>
      </c>
      <c r="X26" s="33">
        <f>IF(AG26="0",J26,0)</f>
        <v>0</v>
      </c>
      <c r="Y26" s="25"/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3">
        <v>21</v>
      </c>
      <c r="AE26" s="33">
        <f>G26*0.725038167938931</f>
        <v>0</v>
      </c>
      <c r="AF26" s="33">
        <f>G26*(1-0.725038167938931)</f>
        <v>0</v>
      </c>
      <c r="AG26" s="28" t="s">
        <v>7</v>
      </c>
      <c r="AM26" s="33">
        <f>F26*AE26</f>
        <v>0</v>
      </c>
      <c r="AN26" s="33">
        <f>F26*AF26</f>
        <v>0</v>
      </c>
      <c r="AO26" s="34" t="s">
        <v>193</v>
      </c>
      <c r="AP26" s="34" t="s">
        <v>203</v>
      </c>
      <c r="AQ26" s="25" t="s">
        <v>206</v>
      </c>
      <c r="AS26" s="33">
        <f>AM26+AN26</f>
        <v>0</v>
      </c>
      <c r="AT26" s="33">
        <f>G26/(100-AU26)*100</f>
        <v>0</v>
      </c>
      <c r="AU26" s="33">
        <v>0</v>
      </c>
      <c r="AV26" s="33">
        <f>L26</f>
        <v>65.52</v>
      </c>
    </row>
    <row r="27" spans="1:48" ht="12.75">
      <c r="A27" s="4" t="s">
        <v>17</v>
      </c>
      <c r="B27" s="4"/>
      <c r="C27" s="4" t="s">
        <v>59</v>
      </c>
      <c r="D27" s="4" t="s">
        <v>113</v>
      </c>
      <c r="E27" s="4" t="s">
        <v>153</v>
      </c>
      <c r="F27" s="16">
        <v>520</v>
      </c>
      <c r="G27" s="16">
        <v>0</v>
      </c>
      <c r="H27" s="16">
        <f>F27*AE27</f>
        <v>0</v>
      </c>
      <c r="I27" s="16">
        <f>J27-H27</f>
        <v>0</v>
      </c>
      <c r="J27" s="16">
        <f>F27*G27</f>
        <v>0</v>
      </c>
      <c r="K27" s="16">
        <v>0</v>
      </c>
      <c r="L27" s="16">
        <f>F27*K27</f>
        <v>0</v>
      </c>
      <c r="M27" s="28" t="s">
        <v>177</v>
      </c>
      <c r="P27" s="33">
        <f>IF(AG27="5",J27,0)</f>
        <v>0</v>
      </c>
      <c r="R27" s="33">
        <f>IF(AG27="1",H27,0)</f>
        <v>0</v>
      </c>
      <c r="S27" s="33">
        <f>IF(AG27="1",I27,0)</f>
        <v>0</v>
      </c>
      <c r="T27" s="33">
        <f>IF(AG27="7",H27,0)</f>
        <v>0</v>
      </c>
      <c r="U27" s="33">
        <f>IF(AG27="7",I27,0)</f>
        <v>0</v>
      </c>
      <c r="V27" s="33">
        <f>IF(AG27="2",H27,0)</f>
        <v>0</v>
      </c>
      <c r="W27" s="33">
        <f>IF(AG27="2",I27,0)</f>
        <v>0</v>
      </c>
      <c r="X27" s="33">
        <f>IF(AG27="0",J27,0)</f>
        <v>0</v>
      </c>
      <c r="Y27" s="25"/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3">
        <v>21</v>
      </c>
      <c r="AE27" s="33">
        <f>G27*0</f>
        <v>0</v>
      </c>
      <c r="AF27" s="33">
        <f>G27*(1-0)</f>
        <v>0</v>
      </c>
      <c r="AG27" s="28" t="s">
        <v>7</v>
      </c>
      <c r="AM27" s="33">
        <f>F27*AE27</f>
        <v>0</v>
      </c>
      <c r="AN27" s="33">
        <f>F27*AF27</f>
        <v>0</v>
      </c>
      <c r="AO27" s="34" t="s">
        <v>193</v>
      </c>
      <c r="AP27" s="34" t="s">
        <v>203</v>
      </c>
      <c r="AQ27" s="25" t="s">
        <v>206</v>
      </c>
      <c r="AS27" s="33">
        <f>AM27+AN27</f>
        <v>0</v>
      </c>
      <c r="AT27" s="33">
        <f>G27/(100-AU27)*100</f>
        <v>0</v>
      </c>
      <c r="AU27" s="33">
        <v>0</v>
      </c>
      <c r="AV27" s="33">
        <f>L27</f>
        <v>0</v>
      </c>
    </row>
    <row r="28" spans="1:37" ht="12.75">
      <c r="A28" s="5"/>
      <c r="B28" s="13"/>
      <c r="C28" s="13" t="s">
        <v>60</v>
      </c>
      <c r="D28" s="13" t="s">
        <v>114</v>
      </c>
      <c r="E28" s="5" t="s">
        <v>6</v>
      </c>
      <c r="F28" s="5" t="s">
        <v>6</v>
      </c>
      <c r="G28" s="5" t="s">
        <v>6</v>
      </c>
      <c r="H28" s="36">
        <f>SUM(H29:H30)</f>
        <v>0</v>
      </c>
      <c r="I28" s="36">
        <f>SUM(I29:I30)</f>
        <v>0</v>
      </c>
      <c r="J28" s="36">
        <f>H28+I28</f>
        <v>0</v>
      </c>
      <c r="K28" s="25"/>
      <c r="L28" s="36">
        <f>SUM(L29:L30)</f>
        <v>52.7852</v>
      </c>
      <c r="M28" s="25"/>
      <c r="Y28" s="25"/>
      <c r="AI28" s="36">
        <f>SUM(Z29:Z30)</f>
        <v>0</v>
      </c>
      <c r="AJ28" s="36">
        <f>SUM(AA29:AA30)</f>
        <v>0</v>
      </c>
      <c r="AK28" s="36">
        <f>SUM(AB29:AB30)</f>
        <v>0</v>
      </c>
    </row>
    <row r="29" spans="1:48" ht="12.75">
      <c r="A29" s="4" t="s">
        <v>18</v>
      </c>
      <c r="B29" s="4"/>
      <c r="C29" s="4" t="s">
        <v>61</v>
      </c>
      <c r="D29" s="4" t="s">
        <v>115</v>
      </c>
      <c r="E29" s="4" t="s">
        <v>153</v>
      </c>
      <c r="F29" s="16">
        <v>520</v>
      </c>
      <c r="G29" s="16">
        <v>0</v>
      </c>
      <c r="H29" s="16">
        <f>F29*AE29</f>
        <v>0</v>
      </c>
      <c r="I29" s="16">
        <f>J29-H29</f>
        <v>0</v>
      </c>
      <c r="J29" s="16">
        <f>F29*G29</f>
        <v>0</v>
      </c>
      <c r="K29" s="16">
        <v>0.09797</v>
      </c>
      <c r="L29" s="16">
        <f>F29*K29</f>
        <v>50.9444</v>
      </c>
      <c r="M29" s="28" t="s">
        <v>177</v>
      </c>
      <c r="P29" s="33">
        <f>IF(AG29="5",J29,0)</f>
        <v>0</v>
      </c>
      <c r="R29" s="33">
        <f>IF(AG29="1",H29,0)</f>
        <v>0</v>
      </c>
      <c r="S29" s="33">
        <f>IF(AG29="1",I29,0)</f>
        <v>0</v>
      </c>
      <c r="T29" s="33">
        <f>IF(AG29="7",H29,0)</f>
        <v>0</v>
      </c>
      <c r="U29" s="33">
        <f>IF(AG29="7",I29,0)</f>
        <v>0</v>
      </c>
      <c r="V29" s="33">
        <f>IF(AG29="2",H29,0)</f>
        <v>0</v>
      </c>
      <c r="W29" s="33">
        <f>IF(AG29="2",I29,0)</f>
        <v>0</v>
      </c>
      <c r="X29" s="33">
        <f>IF(AG29="0",J29,0)</f>
        <v>0</v>
      </c>
      <c r="Y29" s="25"/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3">
        <v>21</v>
      </c>
      <c r="AE29" s="33">
        <f>G29*0.560827385030165</f>
        <v>0</v>
      </c>
      <c r="AF29" s="33">
        <f>G29*(1-0.560827385030165)</f>
        <v>0</v>
      </c>
      <c r="AG29" s="28" t="s">
        <v>7</v>
      </c>
      <c r="AM29" s="33">
        <f>F29*AE29</f>
        <v>0</v>
      </c>
      <c r="AN29" s="33">
        <f>F29*AF29</f>
        <v>0</v>
      </c>
      <c r="AO29" s="34" t="s">
        <v>194</v>
      </c>
      <c r="AP29" s="34" t="s">
        <v>203</v>
      </c>
      <c r="AQ29" s="25" t="s">
        <v>206</v>
      </c>
      <c r="AS29" s="33">
        <f>AM29+AN29</f>
        <v>0</v>
      </c>
      <c r="AT29" s="33">
        <f>G29/(100-AU29)*100</f>
        <v>0</v>
      </c>
      <c r="AU29" s="33">
        <v>0</v>
      </c>
      <c r="AV29" s="33">
        <f>L29</f>
        <v>50.9444</v>
      </c>
    </row>
    <row r="30" spans="1:48" ht="12.75">
      <c r="A30" s="4" t="s">
        <v>19</v>
      </c>
      <c r="B30" s="4"/>
      <c r="C30" s="4" t="s">
        <v>62</v>
      </c>
      <c r="D30" s="4" t="s">
        <v>116</v>
      </c>
      <c r="E30" s="4" t="s">
        <v>153</v>
      </c>
      <c r="F30" s="16">
        <v>520</v>
      </c>
      <c r="G30" s="16">
        <v>0</v>
      </c>
      <c r="H30" s="16">
        <f>F30*AE30</f>
        <v>0</v>
      </c>
      <c r="I30" s="16">
        <f>J30-H30</f>
        <v>0</v>
      </c>
      <c r="J30" s="16">
        <f>F30*G30</f>
        <v>0</v>
      </c>
      <c r="K30" s="16">
        <v>0.00354</v>
      </c>
      <c r="L30" s="16">
        <f>F30*K30</f>
        <v>1.8408</v>
      </c>
      <c r="M30" s="28" t="s">
        <v>177</v>
      </c>
      <c r="P30" s="33">
        <f>IF(AG30="5",J30,0)</f>
        <v>0</v>
      </c>
      <c r="R30" s="33">
        <f>IF(AG30="1",H30,0)</f>
        <v>0</v>
      </c>
      <c r="S30" s="33">
        <f>IF(AG30="1",I30,0)</f>
        <v>0</v>
      </c>
      <c r="T30" s="33">
        <f>IF(AG30="7",H30,0)</f>
        <v>0</v>
      </c>
      <c r="U30" s="33">
        <f>IF(AG30="7",I30,0)</f>
        <v>0</v>
      </c>
      <c r="V30" s="33">
        <f>IF(AG30="2",H30,0)</f>
        <v>0</v>
      </c>
      <c r="W30" s="33">
        <f>IF(AG30="2",I30,0)</f>
        <v>0</v>
      </c>
      <c r="X30" s="33">
        <f>IF(AG30="0",J30,0)</f>
        <v>0</v>
      </c>
      <c r="Y30" s="25"/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3">
        <v>21</v>
      </c>
      <c r="AE30" s="33">
        <f>G30*0.986431478968793</f>
        <v>0</v>
      </c>
      <c r="AF30" s="33">
        <f>G30*(1-0.986431478968793)</f>
        <v>0</v>
      </c>
      <c r="AG30" s="28" t="s">
        <v>7</v>
      </c>
      <c r="AM30" s="33">
        <f>F30*AE30</f>
        <v>0</v>
      </c>
      <c r="AN30" s="33">
        <f>F30*AF30</f>
        <v>0</v>
      </c>
      <c r="AO30" s="34" t="s">
        <v>194</v>
      </c>
      <c r="AP30" s="34" t="s">
        <v>203</v>
      </c>
      <c r="AQ30" s="25" t="s">
        <v>206</v>
      </c>
      <c r="AS30" s="33">
        <f>AM30+AN30</f>
        <v>0</v>
      </c>
      <c r="AT30" s="33">
        <f>G30/(100-AU30)*100</f>
        <v>0</v>
      </c>
      <c r="AU30" s="33">
        <v>0</v>
      </c>
      <c r="AV30" s="33">
        <f>L30</f>
        <v>1.8408</v>
      </c>
    </row>
    <row r="31" spans="1:37" ht="12.75">
      <c r="A31" s="5"/>
      <c r="B31" s="13"/>
      <c r="C31" s="13" t="s">
        <v>63</v>
      </c>
      <c r="D31" s="13" t="s">
        <v>117</v>
      </c>
      <c r="E31" s="5" t="s">
        <v>6</v>
      </c>
      <c r="F31" s="5" t="s">
        <v>6</v>
      </c>
      <c r="G31" s="5" t="s">
        <v>6</v>
      </c>
      <c r="H31" s="36">
        <f>SUM(H32:H35)</f>
        <v>0</v>
      </c>
      <c r="I31" s="36">
        <f>SUM(I32:I35)</f>
        <v>0</v>
      </c>
      <c r="J31" s="36">
        <f>H31+I31</f>
        <v>0</v>
      </c>
      <c r="K31" s="25"/>
      <c r="L31" s="36">
        <f>SUM(L32:L35)</f>
        <v>0</v>
      </c>
      <c r="M31" s="25"/>
      <c r="Y31" s="25"/>
      <c r="AI31" s="36">
        <f>SUM(Z32:Z35)</f>
        <v>0</v>
      </c>
      <c r="AJ31" s="36">
        <f>SUM(AA32:AA35)</f>
        <v>0</v>
      </c>
      <c r="AK31" s="36">
        <f>SUM(AB32:AB35)</f>
        <v>0</v>
      </c>
    </row>
    <row r="32" spans="1:48" ht="12.75">
      <c r="A32" s="4" t="s">
        <v>20</v>
      </c>
      <c r="B32" s="4"/>
      <c r="C32" s="4" t="s">
        <v>64</v>
      </c>
      <c r="D32" s="4" t="s">
        <v>118</v>
      </c>
      <c r="E32" s="4" t="s">
        <v>155</v>
      </c>
      <c r="F32" s="16">
        <v>120</v>
      </c>
      <c r="G32" s="16">
        <v>0</v>
      </c>
      <c r="H32" s="16">
        <f>F32*AE32</f>
        <v>0</v>
      </c>
      <c r="I32" s="16">
        <f>J32-H32</f>
        <v>0</v>
      </c>
      <c r="J32" s="16">
        <f>F32*G32</f>
        <v>0</v>
      </c>
      <c r="K32" s="16">
        <v>0</v>
      </c>
      <c r="L32" s="16">
        <f>F32*K32</f>
        <v>0</v>
      </c>
      <c r="M32" s="28" t="s">
        <v>179</v>
      </c>
      <c r="P32" s="33">
        <f>IF(AG32="5",J32,0)</f>
        <v>0</v>
      </c>
      <c r="R32" s="33">
        <f>IF(AG32="1",H32,0)</f>
        <v>0</v>
      </c>
      <c r="S32" s="33">
        <f>IF(AG32="1",I32,0)</f>
        <v>0</v>
      </c>
      <c r="T32" s="33">
        <f>IF(AG32="7",H32,0)</f>
        <v>0</v>
      </c>
      <c r="U32" s="33">
        <f>IF(AG32="7",I32,0)</f>
        <v>0</v>
      </c>
      <c r="V32" s="33">
        <f>IF(AG32="2",H32,0)</f>
        <v>0</v>
      </c>
      <c r="W32" s="33">
        <f>IF(AG32="2",I32,0)</f>
        <v>0</v>
      </c>
      <c r="X32" s="33">
        <f>IF(AG32="0",J32,0)</f>
        <v>0</v>
      </c>
      <c r="Y32" s="25"/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3">
        <v>21</v>
      </c>
      <c r="AE32" s="33">
        <f>G32*0.680433898766801</f>
        <v>0</v>
      </c>
      <c r="AF32" s="33">
        <f>G32*(1-0.680433898766801)</f>
        <v>0</v>
      </c>
      <c r="AG32" s="28" t="s">
        <v>13</v>
      </c>
      <c r="AM32" s="33">
        <f>F32*AE32</f>
        <v>0</v>
      </c>
      <c r="AN32" s="33">
        <f>F32*AF32</f>
        <v>0</v>
      </c>
      <c r="AO32" s="34" t="s">
        <v>195</v>
      </c>
      <c r="AP32" s="34" t="s">
        <v>204</v>
      </c>
      <c r="AQ32" s="25" t="s">
        <v>206</v>
      </c>
      <c r="AS32" s="33">
        <f>AM32+AN32</f>
        <v>0</v>
      </c>
      <c r="AT32" s="33">
        <f>G32/(100-AU32)*100</f>
        <v>0</v>
      </c>
      <c r="AU32" s="33">
        <v>0</v>
      </c>
      <c r="AV32" s="33">
        <f>L32</f>
        <v>0</v>
      </c>
    </row>
    <row r="33" spans="1:48" ht="12.75">
      <c r="A33" s="4" t="s">
        <v>21</v>
      </c>
      <c r="B33" s="4"/>
      <c r="C33" s="4" t="s">
        <v>65</v>
      </c>
      <c r="D33" s="4" t="s">
        <v>119</v>
      </c>
      <c r="E33" s="4" t="s">
        <v>156</v>
      </c>
      <c r="F33" s="16">
        <v>1</v>
      </c>
      <c r="G33" s="16">
        <v>0</v>
      </c>
      <c r="H33" s="16">
        <f>F33*AE33</f>
        <v>0</v>
      </c>
      <c r="I33" s="16">
        <f>J33-H33</f>
        <v>0</v>
      </c>
      <c r="J33" s="16">
        <f>F33*G33</f>
        <v>0</v>
      </c>
      <c r="K33" s="16">
        <v>0</v>
      </c>
      <c r="L33" s="16">
        <f>F33*K33</f>
        <v>0</v>
      </c>
      <c r="M33" s="28" t="s">
        <v>179</v>
      </c>
      <c r="P33" s="33">
        <f>IF(AG33="5",J33,0)</f>
        <v>0</v>
      </c>
      <c r="R33" s="33">
        <f>IF(AG33="1",H33,0)</f>
        <v>0</v>
      </c>
      <c r="S33" s="33">
        <f>IF(AG33="1",I33,0)</f>
        <v>0</v>
      </c>
      <c r="T33" s="33">
        <f>IF(AG33="7",H33,0)</f>
        <v>0</v>
      </c>
      <c r="U33" s="33">
        <f>IF(AG33="7",I33,0)</f>
        <v>0</v>
      </c>
      <c r="V33" s="33">
        <f>IF(AG33="2",H33,0)</f>
        <v>0</v>
      </c>
      <c r="W33" s="33">
        <f>IF(AG33="2",I33,0)</f>
        <v>0</v>
      </c>
      <c r="X33" s="33">
        <f>IF(AG33="0",J33,0)</f>
        <v>0</v>
      </c>
      <c r="Y33" s="25"/>
      <c r="Z33" s="16">
        <f>IF(AD33=0,J33,0)</f>
        <v>0</v>
      </c>
      <c r="AA33" s="16">
        <f>IF(AD33=15,J33,0)</f>
        <v>0</v>
      </c>
      <c r="AB33" s="16">
        <f>IF(AD33=21,J33,0)</f>
        <v>0</v>
      </c>
      <c r="AD33" s="33">
        <v>21</v>
      </c>
      <c r="AE33" s="33">
        <f>G33*0.000306046710926478</f>
        <v>0</v>
      </c>
      <c r="AF33" s="33">
        <f>G33*(1-0.000306046710926478)</f>
        <v>0</v>
      </c>
      <c r="AG33" s="28" t="s">
        <v>13</v>
      </c>
      <c r="AM33" s="33">
        <f>F33*AE33</f>
        <v>0</v>
      </c>
      <c r="AN33" s="33">
        <f>F33*AF33</f>
        <v>0</v>
      </c>
      <c r="AO33" s="34" t="s">
        <v>195</v>
      </c>
      <c r="AP33" s="34" t="s">
        <v>204</v>
      </c>
      <c r="AQ33" s="25" t="s">
        <v>206</v>
      </c>
      <c r="AS33" s="33">
        <f>AM33+AN33</f>
        <v>0</v>
      </c>
      <c r="AT33" s="33">
        <f>G33/(100-AU33)*100</f>
        <v>0</v>
      </c>
      <c r="AU33" s="33">
        <v>0</v>
      </c>
      <c r="AV33" s="33">
        <f>L33</f>
        <v>0</v>
      </c>
    </row>
    <row r="34" spans="1:48" ht="12.75">
      <c r="A34" s="4" t="s">
        <v>22</v>
      </c>
      <c r="B34" s="4"/>
      <c r="C34" s="4" t="s">
        <v>66</v>
      </c>
      <c r="D34" s="4" t="s">
        <v>120</v>
      </c>
      <c r="E34" s="4" t="s">
        <v>156</v>
      </c>
      <c r="F34" s="16">
        <v>40</v>
      </c>
      <c r="G34" s="16">
        <v>0</v>
      </c>
      <c r="H34" s="16">
        <f>F34*AE34</f>
        <v>0</v>
      </c>
      <c r="I34" s="16">
        <f>J34-H34</f>
        <v>0</v>
      </c>
      <c r="J34" s="16">
        <f>F34*G34</f>
        <v>0</v>
      </c>
      <c r="K34" s="16">
        <v>0</v>
      </c>
      <c r="L34" s="16">
        <f>F34*K34</f>
        <v>0</v>
      </c>
      <c r="M34" s="28" t="s">
        <v>178</v>
      </c>
      <c r="P34" s="33">
        <f>IF(AG34="5",J34,0)</f>
        <v>0</v>
      </c>
      <c r="R34" s="33">
        <f>IF(AG34="1",H34,0)</f>
        <v>0</v>
      </c>
      <c r="S34" s="33">
        <f>IF(AG34="1",I34,0)</f>
        <v>0</v>
      </c>
      <c r="T34" s="33">
        <f>IF(AG34="7",H34,0)</f>
        <v>0</v>
      </c>
      <c r="U34" s="33">
        <f>IF(AG34="7",I34,0)</f>
        <v>0</v>
      </c>
      <c r="V34" s="33">
        <f>IF(AG34="2",H34,0)</f>
        <v>0</v>
      </c>
      <c r="W34" s="33">
        <f>IF(AG34="2",I34,0)</f>
        <v>0</v>
      </c>
      <c r="X34" s="33">
        <f>IF(AG34="0",J34,0)</f>
        <v>0</v>
      </c>
      <c r="Y34" s="25"/>
      <c r="Z34" s="16">
        <f>IF(AD34=0,J34,0)</f>
        <v>0</v>
      </c>
      <c r="AA34" s="16">
        <f>IF(AD34=15,J34,0)</f>
        <v>0</v>
      </c>
      <c r="AB34" s="16">
        <f>IF(AD34=21,J34,0)</f>
        <v>0</v>
      </c>
      <c r="AD34" s="33">
        <v>21</v>
      </c>
      <c r="AE34" s="33">
        <f>G34*0.608804246019357</f>
        <v>0</v>
      </c>
      <c r="AF34" s="33">
        <f>G34*(1-0.608804246019357)</f>
        <v>0</v>
      </c>
      <c r="AG34" s="28" t="s">
        <v>13</v>
      </c>
      <c r="AM34" s="33">
        <f>F34*AE34</f>
        <v>0</v>
      </c>
      <c r="AN34" s="33">
        <f>F34*AF34</f>
        <v>0</v>
      </c>
      <c r="AO34" s="34" t="s">
        <v>195</v>
      </c>
      <c r="AP34" s="34" t="s">
        <v>204</v>
      </c>
      <c r="AQ34" s="25" t="s">
        <v>206</v>
      </c>
      <c r="AS34" s="33">
        <f>AM34+AN34</f>
        <v>0</v>
      </c>
      <c r="AT34" s="33">
        <f>G34/(100-AU34)*100</f>
        <v>0</v>
      </c>
      <c r="AU34" s="33">
        <v>0</v>
      </c>
      <c r="AV34" s="33">
        <f>L34</f>
        <v>0</v>
      </c>
    </row>
    <row r="35" spans="1:48" ht="12.75">
      <c r="A35" s="4" t="s">
        <v>23</v>
      </c>
      <c r="B35" s="4"/>
      <c r="C35" s="4" t="s">
        <v>67</v>
      </c>
      <c r="D35" s="4" t="s">
        <v>121</v>
      </c>
      <c r="E35" s="4" t="s">
        <v>157</v>
      </c>
      <c r="F35" s="16">
        <v>1</v>
      </c>
      <c r="G35" s="16">
        <v>0</v>
      </c>
      <c r="H35" s="16">
        <f>F35*AE35</f>
        <v>0</v>
      </c>
      <c r="I35" s="16">
        <f>J35-H35</f>
        <v>0</v>
      </c>
      <c r="J35" s="16">
        <f>F35*G35</f>
        <v>0</v>
      </c>
      <c r="K35" s="16">
        <v>0</v>
      </c>
      <c r="L35" s="16">
        <f>F35*K35</f>
        <v>0</v>
      </c>
      <c r="M35" s="28" t="s">
        <v>177</v>
      </c>
      <c r="P35" s="33">
        <f>IF(AG35="5",J35,0)</f>
        <v>0</v>
      </c>
      <c r="R35" s="33">
        <f>IF(AG35="1",H35,0)</f>
        <v>0</v>
      </c>
      <c r="S35" s="33">
        <f>IF(AG35="1",I35,0)</f>
        <v>0</v>
      </c>
      <c r="T35" s="33">
        <f>IF(AG35="7",H35,0)</f>
        <v>0</v>
      </c>
      <c r="U35" s="33">
        <f>IF(AG35="7",I35,0)</f>
        <v>0</v>
      </c>
      <c r="V35" s="33">
        <f>IF(AG35="2",H35,0)</f>
        <v>0</v>
      </c>
      <c r="W35" s="33">
        <f>IF(AG35="2",I35,0)</f>
        <v>0</v>
      </c>
      <c r="X35" s="33">
        <f>IF(AG35="0",J35,0)</f>
        <v>0</v>
      </c>
      <c r="Y35" s="25"/>
      <c r="Z35" s="16">
        <f>IF(AD35=0,J35,0)</f>
        <v>0</v>
      </c>
      <c r="AA35" s="16">
        <f>IF(AD35=15,J35,0)</f>
        <v>0</v>
      </c>
      <c r="AB35" s="16">
        <f>IF(AD35=21,J35,0)</f>
        <v>0</v>
      </c>
      <c r="AD35" s="33">
        <v>21</v>
      </c>
      <c r="AE35" s="33">
        <f>G35*0.780031869873541</f>
        <v>0</v>
      </c>
      <c r="AF35" s="33">
        <f>G35*(1-0.780031869873541)</f>
        <v>0</v>
      </c>
      <c r="AG35" s="28" t="s">
        <v>13</v>
      </c>
      <c r="AM35" s="33">
        <f>F35*AE35</f>
        <v>0</v>
      </c>
      <c r="AN35" s="33">
        <f>F35*AF35</f>
        <v>0</v>
      </c>
      <c r="AO35" s="34" t="s">
        <v>195</v>
      </c>
      <c r="AP35" s="34" t="s">
        <v>204</v>
      </c>
      <c r="AQ35" s="25" t="s">
        <v>206</v>
      </c>
      <c r="AS35" s="33">
        <f>AM35+AN35</f>
        <v>0</v>
      </c>
      <c r="AT35" s="33">
        <f>G35/(100-AU35)*100</f>
        <v>0</v>
      </c>
      <c r="AU35" s="33">
        <v>0</v>
      </c>
      <c r="AV35" s="33">
        <f>L35</f>
        <v>0</v>
      </c>
    </row>
    <row r="36" spans="1:37" ht="12.75">
      <c r="A36" s="5"/>
      <c r="B36" s="13"/>
      <c r="C36" s="13" t="s">
        <v>68</v>
      </c>
      <c r="D36" s="13" t="s">
        <v>122</v>
      </c>
      <c r="E36" s="5" t="s">
        <v>6</v>
      </c>
      <c r="F36" s="5" t="s">
        <v>6</v>
      </c>
      <c r="G36" s="5" t="s">
        <v>6</v>
      </c>
      <c r="H36" s="36">
        <f>SUM(H37:H46)</f>
        <v>0</v>
      </c>
      <c r="I36" s="36">
        <f>SUM(I37:I46)</f>
        <v>0</v>
      </c>
      <c r="J36" s="36">
        <f>H36+I36</f>
        <v>0</v>
      </c>
      <c r="K36" s="25"/>
      <c r="L36" s="36">
        <f>SUM(L37:L46)</f>
        <v>119.62222000000001</v>
      </c>
      <c r="M36" s="25"/>
      <c r="Y36" s="25"/>
      <c r="AI36" s="36">
        <f>SUM(Z37:Z46)</f>
        <v>0</v>
      </c>
      <c r="AJ36" s="36">
        <f>SUM(AA37:AA46)</f>
        <v>0</v>
      </c>
      <c r="AK36" s="36">
        <f>SUM(AB37:AB46)</f>
        <v>0</v>
      </c>
    </row>
    <row r="37" spans="1:48" ht="12.75">
      <c r="A37" s="4" t="s">
        <v>24</v>
      </c>
      <c r="B37" s="4"/>
      <c r="C37" s="4" t="s">
        <v>69</v>
      </c>
      <c r="D37" s="4" t="s">
        <v>123</v>
      </c>
      <c r="E37" s="4" t="s">
        <v>155</v>
      </c>
      <c r="F37" s="16">
        <v>120</v>
      </c>
      <c r="G37" s="16">
        <v>0</v>
      </c>
      <c r="H37" s="16">
        <f aca="true" t="shared" si="0" ref="H37:H46">F37*AE37</f>
        <v>0</v>
      </c>
      <c r="I37" s="16">
        <f aca="true" t="shared" si="1" ref="I37:I46">J37-H37</f>
        <v>0</v>
      </c>
      <c r="J37" s="16">
        <f aca="true" t="shared" si="2" ref="J37:J46">F37*G37</f>
        <v>0</v>
      </c>
      <c r="K37" s="16">
        <v>0.22487</v>
      </c>
      <c r="L37" s="16">
        <f aca="true" t="shared" si="3" ref="L37:L46">F37*K37</f>
        <v>26.984399999999997</v>
      </c>
      <c r="M37" s="28" t="s">
        <v>176</v>
      </c>
      <c r="P37" s="33">
        <f aca="true" t="shared" si="4" ref="P37:P46">IF(AG37="5",J37,0)</f>
        <v>0</v>
      </c>
      <c r="R37" s="33">
        <f aca="true" t="shared" si="5" ref="R37:R46">IF(AG37="1",H37,0)</f>
        <v>0</v>
      </c>
      <c r="S37" s="33">
        <f aca="true" t="shared" si="6" ref="S37:S46">IF(AG37="1",I37,0)</f>
        <v>0</v>
      </c>
      <c r="T37" s="33">
        <f aca="true" t="shared" si="7" ref="T37:T46">IF(AG37="7",H37,0)</f>
        <v>0</v>
      </c>
      <c r="U37" s="33">
        <f aca="true" t="shared" si="8" ref="U37:U46">IF(AG37="7",I37,0)</f>
        <v>0</v>
      </c>
      <c r="V37" s="33">
        <f aca="true" t="shared" si="9" ref="V37:V46">IF(AG37="2",H37,0)</f>
        <v>0</v>
      </c>
      <c r="W37" s="33">
        <f aca="true" t="shared" si="10" ref="W37:W46">IF(AG37="2",I37,0)</f>
        <v>0</v>
      </c>
      <c r="X37" s="33">
        <f aca="true" t="shared" si="11" ref="X37:X46">IF(AG37="0",J37,0)</f>
        <v>0</v>
      </c>
      <c r="Y37" s="25"/>
      <c r="Z37" s="16">
        <f aca="true" t="shared" si="12" ref="Z37:Z46">IF(AD37=0,J37,0)</f>
        <v>0</v>
      </c>
      <c r="AA37" s="16">
        <f aca="true" t="shared" si="13" ref="AA37:AA46">IF(AD37=15,J37,0)</f>
        <v>0</v>
      </c>
      <c r="AB37" s="16">
        <f aca="true" t="shared" si="14" ref="AB37:AB46">IF(AD37=21,J37,0)</f>
        <v>0</v>
      </c>
      <c r="AD37" s="33">
        <v>21</v>
      </c>
      <c r="AE37" s="33">
        <f>G37*0.676</f>
        <v>0</v>
      </c>
      <c r="AF37" s="33">
        <f>G37*(1-0.676)</f>
        <v>0</v>
      </c>
      <c r="AG37" s="28" t="s">
        <v>7</v>
      </c>
      <c r="AM37" s="33">
        <f aca="true" t="shared" si="15" ref="AM37:AM46">F37*AE37</f>
        <v>0</v>
      </c>
      <c r="AN37" s="33">
        <f aca="true" t="shared" si="16" ref="AN37:AN46">F37*AF37</f>
        <v>0</v>
      </c>
      <c r="AO37" s="34" t="s">
        <v>196</v>
      </c>
      <c r="AP37" s="34" t="s">
        <v>205</v>
      </c>
      <c r="AQ37" s="25" t="s">
        <v>206</v>
      </c>
      <c r="AS37" s="33">
        <f aca="true" t="shared" si="17" ref="AS37:AS46">AM37+AN37</f>
        <v>0</v>
      </c>
      <c r="AT37" s="33">
        <f aca="true" t="shared" si="18" ref="AT37:AT46">G37/(100-AU37)*100</f>
        <v>0</v>
      </c>
      <c r="AU37" s="33">
        <v>0</v>
      </c>
      <c r="AV37" s="33">
        <f aca="true" t="shared" si="19" ref="AV37:AV46">L37</f>
        <v>26.984399999999997</v>
      </c>
    </row>
    <row r="38" spans="1:48" ht="12.75">
      <c r="A38" s="6" t="s">
        <v>25</v>
      </c>
      <c r="B38" s="6"/>
      <c r="C38" s="6" t="s">
        <v>70</v>
      </c>
      <c r="D38" s="6" t="s">
        <v>124</v>
      </c>
      <c r="E38" s="6" t="s">
        <v>157</v>
      </c>
      <c r="F38" s="17">
        <v>120</v>
      </c>
      <c r="G38" s="17">
        <v>0</v>
      </c>
      <c r="H38" s="17">
        <f t="shared" si="0"/>
        <v>0</v>
      </c>
      <c r="I38" s="17">
        <f t="shared" si="1"/>
        <v>0</v>
      </c>
      <c r="J38" s="17">
        <f t="shared" si="2"/>
        <v>0</v>
      </c>
      <c r="K38" s="17">
        <v>0.011</v>
      </c>
      <c r="L38" s="17">
        <f t="shared" si="3"/>
        <v>1.3199999999999998</v>
      </c>
      <c r="M38" s="29" t="s">
        <v>176</v>
      </c>
      <c r="P38" s="33">
        <f t="shared" si="4"/>
        <v>0</v>
      </c>
      <c r="R38" s="33">
        <f t="shared" si="5"/>
        <v>0</v>
      </c>
      <c r="S38" s="33">
        <f t="shared" si="6"/>
        <v>0</v>
      </c>
      <c r="T38" s="33">
        <f t="shared" si="7"/>
        <v>0</v>
      </c>
      <c r="U38" s="33">
        <f t="shared" si="8"/>
        <v>0</v>
      </c>
      <c r="V38" s="33">
        <f t="shared" si="9"/>
        <v>0</v>
      </c>
      <c r="W38" s="33">
        <f t="shared" si="10"/>
        <v>0</v>
      </c>
      <c r="X38" s="33">
        <f t="shared" si="11"/>
        <v>0</v>
      </c>
      <c r="Y38" s="25"/>
      <c r="Z38" s="17">
        <f t="shared" si="12"/>
        <v>0</v>
      </c>
      <c r="AA38" s="17">
        <f t="shared" si="13"/>
        <v>0</v>
      </c>
      <c r="AB38" s="17">
        <f t="shared" si="14"/>
        <v>0</v>
      </c>
      <c r="AD38" s="33">
        <v>21</v>
      </c>
      <c r="AE38" s="33">
        <f>G38*1</f>
        <v>0</v>
      </c>
      <c r="AF38" s="33">
        <f>G38*(1-1)</f>
        <v>0</v>
      </c>
      <c r="AG38" s="29" t="s">
        <v>7</v>
      </c>
      <c r="AM38" s="33">
        <f t="shared" si="15"/>
        <v>0</v>
      </c>
      <c r="AN38" s="33">
        <f t="shared" si="16"/>
        <v>0</v>
      </c>
      <c r="AO38" s="34" t="s">
        <v>196</v>
      </c>
      <c r="AP38" s="34" t="s">
        <v>205</v>
      </c>
      <c r="AQ38" s="25" t="s">
        <v>206</v>
      </c>
      <c r="AS38" s="33">
        <f t="shared" si="17"/>
        <v>0</v>
      </c>
      <c r="AT38" s="33">
        <f t="shared" si="18"/>
        <v>0</v>
      </c>
      <c r="AU38" s="33">
        <v>0</v>
      </c>
      <c r="AV38" s="33">
        <f t="shared" si="19"/>
        <v>1.3199999999999998</v>
      </c>
    </row>
    <row r="39" spans="1:48" ht="12.75">
      <c r="A39" s="4" t="s">
        <v>26</v>
      </c>
      <c r="B39" s="4"/>
      <c r="C39" s="4" t="s">
        <v>71</v>
      </c>
      <c r="D39" s="4" t="s">
        <v>125</v>
      </c>
      <c r="E39" s="4" t="s">
        <v>157</v>
      </c>
      <c r="F39" s="16">
        <v>1</v>
      </c>
      <c r="G39" s="16">
        <v>0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16">
        <v>8.1303</v>
      </c>
      <c r="L39" s="16">
        <f t="shared" si="3"/>
        <v>8.1303</v>
      </c>
      <c r="M39" s="28" t="s">
        <v>179</v>
      </c>
      <c r="P39" s="33">
        <f t="shared" si="4"/>
        <v>0</v>
      </c>
      <c r="R39" s="33">
        <f t="shared" si="5"/>
        <v>0</v>
      </c>
      <c r="S39" s="33">
        <f t="shared" si="6"/>
        <v>0</v>
      </c>
      <c r="T39" s="33">
        <f t="shared" si="7"/>
        <v>0</v>
      </c>
      <c r="U39" s="33">
        <f t="shared" si="8"/>
        <v>0</v>
      </c>
      <c r="V39" s="33">
        <f t="shared" si="9"/>
        <v>0</v>
      </c>
      <c r="W39" s="33">
        <f t="shared" si="10"/>
        <v>0</v>
      </c>
      <c r="X39" s="33">
        <f t="shared" si="11"/>
        <v>0</v>
      </c>
      <c r="Y39" s="25"/>
      <c r="Z39" s="16">
        <f t="shared" si="12"/>
        <v>0</v>
      </c>
      <c r="AA39" s="16">
        <f t="shared" si="13"/>
        <v>0</v>
      </c>
      <c r="AB39" s="16">
        <f t="shared" si="14"/>
        <v>0</v>
      </c>
      <c r="AD39" s="33">
        <v>21</v>
      </c>
      <c r="AE39" s="33">
        <f>G39*0.661443029709435</f>
        <v>0</v>
      </c>
      <c r="AF39" s="33">
        <f>G39*(1-0.661443029709435)</f>
        <v>0</v>
      </c>
      <c r="AG39" s="28" t="s">
        <v>7</v>
      </c>
      <c r="AM39" s="33">
        <f t="shared" si="15"/>
        <v>0</v>
      </c>
      <c r="AN39" s="33">
        <f t="shared" si="16"/>
        <v>0</v>
      </c>
      <c r="AO39" s="34" t="s">
        <v>196</v>
      </c>
      <c r="AP39" s="34" t="s">
        <v>205</v>
      </c>
      <c r="AQ39" s="25" t="s">
        <v>206</v>
      </c>
      <c r="AS39" s="33">
        <f t="shared" si="17"/>
        <v>0</v>
      </c>
      <c r="AT39" s="33">
        <f t="shared" si="18"/>
        <v>0</v>
      </c>
      <c r="AU39" s="33">
        <v>0</v>
      </c>
      <c r="AV39" s="33">
        <f t="shared" si="19"/>
        <v>8.1303</v>
      </c>
    </row>
    <row r="40" spans="1:48" ht="12.75">
      <c r="A40" s="4" t="s">
        <v>27</v>
      </c>
      <c r="B40" s="4"/>
      <c r="C40" s="4" t="s">
        <v>72</v>
      </c>
      <c r="D40" s="4" t="s">
        <v>126</v>
      </c>
      <c r="E40" s="4" t="s">
        <v>157</v>
      </c>
      <c r="F40" s="16">
        <v>1</v>
      </c>
      <c r="G40" s="16">
        <v>0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16">
        <v>9.15927</v>
      </c>
      <c r="L40" s="16">
        <f t="shared" si="3"/>
        <v>9.15927</v>
      </c>
      <c r="M40" s="28" t="s">
        <v>179</v>
      </c>
      <c r="P40" s="33">
        <f t="shared" si="4"/>
        <v>0</v>
      </c>
      <c r="R40" s="33">
        <f t="shared" si="5"/>
        <v>0</v>
      </c>
      <c r="S40" s="33">
        <f t="shared" si="6"/>
        <v>0</v>
      </c>
      <c r="T40" s="33">
        <f t="shared" si="7"/>
        <v>0</v>
      </c>
      <c r="U40" s="33">
        <f t="shared" si="8"/>
        <v>0</v>
      </c>
      <c r="V40" s="33">
        <f t="shared" si="9"/>
        <v>0</v>
      </c>
      <c r="W40" s="33">
        <f t="shared" si="10"/>
        <v>0</v>
      </c>
      <c r="X40" s="33">
        <f t="shared" si="11"/>
        <v>0</v>
      </c>
      <c r="Y40" s="25"/>
      <c r="Z40" s="16">
        <f t="shared" si="12"/>
        <v>0</v>
      </c>
      <c r="AA40" s="16">
        <f t="shared" si="13"/>
        <v>0</v>
      </c>
      <c r="AB40" s="16">
        <f t="shared" si="14"/>
        <v>0</v>
      </c>
      <c r="AD40" s="33">
        <v>21</v>
      </c>
      <c r="AE40" s="33">
        <f>G40*0.612247729653603</f>
        <v>0</v>
      </c>
      <c r="AF40" s="33">
        <f>G40*(1-0.612247729653603)</f>
        <v>0</v>
      </c>
      <c r="AG40" s="28" t="s">
        <v>7</v>
      </c>
      <c r="AM40" s="33">
        <f t="shared" si="15"/>
        <v>0</v>
      </c>
      <c r="AN40" s="33">
        <f t="shared" si="16"/>
        <v>0</v>
      </c>
      <c r="AO40" s="34" t="s">
        <v>196</v>
      </c>
      <c r="AP40" s="34" t="s">
        <v>205</v>
      </c>
      <c r="AQ40" s="25" t="s">
        <v>206</v>
      </c>
      <c r="AS40" s="33">
        <f t="shared" si="17"/>
        <v>0</v>
      </c>
      <c r="AT40" s="33">
        <f t="shared" si="18"/>
        <v>0</v>
      </c>
      <c r="AU40" s="33">
        <v>0</v>
      </c>
      <c r="AV40" s="33">
        <f t="shared" si="19"/>
        <v>9.15927</v>
      </c>
    </row>
    <row r="41" spans="1:48" ht="12.75">
      <c r="A41" s="4" t="s">
        <v>28</v>
      </c>
      <c r="B41" s="4"/>
      <c r="C41" s="4" t="s">
        <v>73</v>
      </c>
      <c r="D41" s="4" t="s">
        <v>127</v>
      </c>
      <c r="E41" s="4" t="s">
        <v>157</v>
      </c>
      <c r="F41" s="16">
        <v>1</v>
      </c>
      <c r="G41" s="16">
        <v>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16">
        <v>10.1193</v>
      </c>
      <c r="L41" s="16">
        <f t="shared" si="3"/>
        <v>10.1193</v>
      </c>
      <c r="M41" s="28" t="s">
        <v>179</v>
      </c>
      <c r="P41" s="33">
        <f t="shared" si="4"/>
        <v>0</v>
      </c>
      <c r="R41" s="33">
        <f t="shared" si="5"/>
        <v>0</v>
      </c>
      <c r="S41" s="33">
        <f t="shared" si="6"/>
        <v>0</v>
      </c>
      <c r="T41" s="33">
        <f t="shared" si="7"/>
        <v>0</v>
      </c>
      <c r="U41" s="33">
        <f t="shared" si="8"/>
        <v>0</v>
      </c>
      <c r="V41" s="33">
        <f t="shared" si="9"/>
        <v>0</v>
      </c>
      <c r="W41" s="33">
        <f t="shared" si="10"/>
        <v>0</v>
      </c>
      <c r="X41" s="33">
        <f t="shared" si="11"/>
        <v>0</v>
      </c>
      <c r="Y41" s="25"/>
      <c r="Z41" s="16">
        <f t="shared" si="12"/>
        <v>0</v>
      </c>
      <c r="AA41" s="16">
        <f t="shared" si="13"/>
        <v>0</v>
      </c>
      <c r="AB41" s="16">
        <f t="shared" si="14"/>
        <v>0</v>
      </c>
      <c r="AD41" s="33">
        <v>21</v>
      </c>
      <c r="AE41" s="33">
        <f>G41*0.612249099330932</f>
        <v>0</v>
      </c>
      <c r="AF41" s="33">
        <f>G41*(1-0.612249099330932)</f>
        <v>0</v>
      </c>
      <c r="AG41" s="28" t="s">
        <v>7</v>
      </c>
      <c r="AM41" s="33">
        <f t="shared" si="15"/>
        <v>0</v>
      </c>
      <c r="AN41" s="33">
        <f t="shared" si="16"/>
        <v>0</v>
      </c>
      <c r="AO41" s="34" t="s">
        <v>196</v>
      </c>
      <c r="AP41" s="34" t="s">
        <v>205</v>
      </c>
      <c r="AQ41" s="25" t="s">
        <v>206</v>
      </c>
      <c r="AS41" s="33">
        <f t="shared" si="17"/>
        <v>0</v>
      </c>
      <c r="AT41" s="33">
        <f t="shared" si="18"/>
        <v>0</v>
      </c>
      <c r="AU41" s="33">
        <v>0</v>
      </c>
      <c r="AV41" s="33">
        <f t="shared" si="19"/>
        <v>10.1193</v>
      </c>
    </row>
    <row r="42" spans="1:48" ht="12.75">
      <c r="A42" s="4" t="s">
        <v>29</v>
      </c>
      <c r="B42" s="4"/>
      <c r="C42" s="4" t="s">
        <v>74</v>
      </c>
      <c r="D42" s="4" t="s">
        <v>128</v>
      </c>
      <c r="E42" s="4" t="s">
        <v>157</v>
      </c>
      <c r="F42" s="16">
        <v>1</v>
      </c>
      <c r="G42" s="16">
        <v>0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16">
        <v>23.79472</v>
      </c>
      <c r="L42" s="16">
        <f t="shared" si="3"/>
        <v>23.79472</v>
      </c>
      <c r="M42" s="28" t="s">
        <v>179</v>
      </c>
      <c r="P42" s="33">
        <f t="shared" si="4"/>
        <v>0</v>
      </c>
      <c r="R42" s="33">
        <f t="shared" si="5"/>
        <v>0</v>
      </c>
      <c r="S42" s="33">
        <f t="shared" si="6"/>
        <v>0</v>
      </c>
      <c r="T42" s="33">
        <f t="shared" si="7"/>
        <v>0</v>
      </c>
      <c r="U42" s="33">
        <f t="shared" si="8"/>
        <v>0</v>
      </c>
      <c r="V42" s="33">
        <f t="shared" si="9"/>
        <v>0</v>
      </c>
      <c r="W42" s="33">
        <f t="shared" si="10"/>
        <v>0</v>
      </c>
      <c r="X42" s="33">
        <f t="shared" si="11"/>
        <v>0</v>
      </c>
      <c r="Y42" s="25"/>
      <c r="Z42" s="16">
        <f t="shared" si="12"/>
        <v>0</v>
      </c>
      <c r="AA42" s="16">
        <f t="shared" si="13"/>
        <v>0</v>
      </c>
      <c r="AB42" s="16">
        <f t="shared" si="14"/>
        <v>0</v>
      </c>
      <c r="AD42" s="33">
        <v>21</v>
      </c>
      <c r="AE42" s="33">
        <f>G42*0.665434755094292</f>
        <v>0</v>
      </c>
      <c r="AF42" s="33">
        <f>G42*(1-0.665434755094292)</f>
        <v>0</v>
      </c>
      <c r="AG42" s="28" t="s">
        <v>7</v>
      </c>
      <c r="AM42" s="33">
        <f t="shared" si="15"/>
        <v>0</v>
      </c>
      <c r="AN42" s="33">
        <f t="shared" si="16"/>
        <v>0</v>
      </c>
      <c r="AO42" s="34" t="s">
        <v>196</v>
      </c>
      <c r="AP42" s="34" t="s">
        <v>205</v>
      </c>
      <c r="AQ42" s="25" t="s">
        <v>206</v>
      </c>
      <c r="AS42" s="33">
        <f t="shared" si="17"/>
        <v>0</v>
      </c>
      <c r="AT42" s="33">
        <f t="shared" si="18"/>
        <v>0</v>
      </c>
      <c r="AU42" s="33">
        <v>0</v>
      </c>
      <c r="AV42" s="33">
        <f t="shared" si="19"/>
        <v>23.79472</v>
      </c>
    </row>
    <row r="43" spans="1:48" ht="12.75">
      <c r="A43" s="4" t="s">
        <v>30</v>
      </c>
      <c r="B43" s="4"/>
      <c r="C43" s="4" t="s">
        <v>75</v>
      </c>
      <c r="D43" s="4" t="s">
        <v>129</v>
      </c>
      <c r="E43" s="4" t="s">
        <v>157</v>
      </c>
      <c r="F43" s="16">
        <v>1</v>
      </c>
      <c r="G43" s="16">
        <v>0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16">
        <v>7.0275</v>
      </c>
      <c r="L43" s="16">
        <f t="shared" si="3"/>
        <v>7.0275</v>
      </c>
      <c r="M43" s="28" t="s">
        <v>179</v>
      </c>
      <c r="P43" s="33">
        <f t="shared" si="4"/>
        <v>0</v>
      </c>
      <c r="R43" s="33">
        <f t="shared" si="5"/>
        <v>0</v>
      </c>
      <c r="S43" s="33">
        <f t="shared" si="6"/>
        <v>0</v>
      </c>
      <c r="T43" s="33">
        <f t="shared" si="7"/>
        <v>0</v>
      </c>
      <c r="U43" s="33">
        <f t="shared" si="8"/>
        <v>0</v>
      </c>
      <c r="V43" s="33">
        <f t="shared" si="9"/>
        <v>0</v>
      </c>
      <c r="W43" s="33">
        <f t="shared" si="10"/>
        <v>0</v>
      </c>
      <c r="X43" s="33">
        <f t="shared" si="11"/>
        <v>0</v>
      </c>
      <c r="Y43" s="25"/>
      <c r="Z43" s="16">
        <f t="shared" si="12"/>
        <v>0</v>
      </c>
      <c r="AA43" s="16">
        <f t="shared" si="13"/>
        <v>0</v>
      </c>
      <c r="AB43" s="16">
        <f t="shared" si="14"/>
        <v>0</v>
      </c>
      <c r="AD43" s="33">
        <v>21</v>
      </c>
      <c r="AE43" s="33">
        <f>G43*0.583501925210468</f>
        <v>0</v>
      </c>
      <c r="AF43" s="33">
        <f>G43*(1-0.583501925210468)</f>
        <v>0</v>
      </c>
      <c r="AG43" s="28" t="s">
        <v>7</v>
      </c>
      <c r="AM43" s="33">
        <f t="shared" si="15"/>
        <v>0</v>
      </c>
      <c r="AN43" s="33">
        <f t="shared" si="16"/>
        <v>0</v>
      </c>
      <c r="AO43" s="34" t="s">
        <v>196</v>
      </c>
      <c r="AP43" s="34" t="s">
        <v>205</v>
      </c>
      <c r="AQ43" s="25" t="s">
        <v>206</v>
      </c>
      <c r="AS43" s="33">
        <f t="shared" si="17"/>
        <v>0</v>
      </c>
      <c r="AT43" s="33">
        <f t="shared" si="18"/>
        <v>0</v>
      </c>
      <c r="AU43" s="33">
        <v>0</v>
      </c>
      <c r="AV43" s="33">
        <f t="shared" si="19"/>
        <v>7.0275</v>
      </c>
    </row>
    <row r="44" spans="1:48" ht="12.75">
      <c r="A44" s="4" t="s">
        <v>31</v>
      </c>
      <c r="B44" s="4"/>
      <c r="C44" s="4" t="s">
        <v>76</v>
      </c>
      <c r="D44" s="4" t="s">
        <v>130</v>
      </c>
      <c r="E44" s="4" t="s">
        <v>157</v>
      </c>
      <c r="F44" s="16">
        <v>1</v>
      </c>
      <c r="G44" s="16">
        <v>0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16">
        <v>16.78787</v>
      </c>
      <c r="L44" s="16">
        <f t="shared" si="3"/>
        <v>16.78787</v>
      </c>
      <c r="M44" s="28" t="s">
        <v>179</v>
      </c>
      <c r="P44" s="33">
        <f t="shared" si="4"/>
        <v>0</v>
      </c>
      <c r="R44" s="33">
        <f t="shared" si="5"/>
        <v>0</v>
      </c>
      <c r="S44" s="33">
        <f t="shared" si="6"/>
        <v>0</v>
      </c>
      <c r="T44" s="33">
        <f t="shared" si="7"/>
        <v>0</v>
      </c>
      <c r="U44" s="33">
        <f t="shared" si="8"/>
        <v>0</v>
      </c>
      <c r="V44" s="33">
        <f t="shared" si="9"/>
        <v>0</v>
      </c>
      <c r="W44" s="33">
        <f t="shared" si="10"/>
        <v>0</v>
      </c>
      <c r="X44" s="33">
        <f t="shared" si="11"/>
        <v>0</v>
      </c>
      <c r="Y44" s="25"/>
      <c r="Z44" s="16">
        <f t="shared" si="12"/>
        <v>0</v>
      </c>
      <c r="AA44" s="16">
        <f t="shared" si="13"/>
        <v>0</v>
      </c>
      <c r="AB44" s="16">
        <f t="shared" si="14"/>
        <v>0</v>
      </c>
      <c r="AD44" s="33">
        <v>21</v>
      </c>
      <c r="AE44" s="33">
        <f>G44*0.53921568627451</f>
        <v>0</v>
      </c>
      <c r="AF44" s="33">
        <f>G44*(1-0.53921568627451)</f>
        <v>0</v>
      </c>
      <c r="AG44" s="28" t="s">
        <v>7</v>
      </c>
      <c r="AM44" s="33">
        <f t="shared" si="15"/>
        <v>0</v>
      </c>
      <c r="AN44" s="33">
        <f t="shared" si="16"/>
        <v>0</v>
      </c>
      <c r="AO44" s="34" t="s">
        <v>196</v>
      </c>
      <c r="AP44" s="34" t="s">
        <v>205</v>
      </c>
      <c r="AQ44" s="25" t="s">
        <v>206</v>
      </c>
      <c r="AS44" s="33">
        <f t="shared" si="17"/>
        <v>0</v>
      </c>
      <c r="AT44" s="33">
        <f t="shared" si="18"/>
        <v>0</v>
      </c>
      <c r="AU44" s="33">
        <v>0</v>
      </c>
      <c r="AV44" s="33">
        <f t="shared" si="19"/>
        <v>16.78787</v>
      </c>
    </row>
    <row r="45" spans="1:48" ht="12.75">
      <c r="A45" s="4" t="s">
        <v>32</v>
      </c>
      <c r="B45" s="4"/>
      <c r="C45" s="4" t="s">
        <v>77</v>
      </c>
      <c r="D45" s="4" t="s">
        <v>131</v>
      </c>
      <c r="E45" s="4" t="s">
        <v>157</v>
      </c>
      <c r="F45" s="16">
        <v>1</v>
      </c>
      <c r="G45" s="16">
        <v>0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16">
        <v>7.88339</v>
      </c>
      <c r="L45" s="16">
        <f t="shared" si="3"/>
        <v>7.88339</v>
      </c>
      <c r="M45" s="28" t="s">
        <v>179</v>
      </c>
      <c r="P45" s="33">
        <f t="shared" si="4"/>
        <v>0</v>
      </c>
      <c r="R45" s="33">
        <f t="shared" si="5"/>
        <v>0</v>
      </c>
      <c r="S45" s="33">
        <f t="shared" si="6"/>
        <v>0</v>
      </c>
      <c r="T45" s="33">
        <f t="shared" si="7"/>
        <v>0</v>
      </c>
      <c r="U45" s="33">
        <f t="shared" si="8"/>
        <v>0</v>
      </c>
      <c r="V45" s="33">
        <f t="shared" si="9"/>
        <v>0</v>
      </c>
      <c r="W45" s="33">
        <f t="shared" si="10"/>
        <v>0</v>
      </c>
      <c r="X45" s="33">
        <f t="shared" si="11"/>
        <v>0</v>
      </c>
      <c r="Y45" s="25"/>
      <c r="Z45" s="16">
        <f t="shared" si="12"/>
        <v>0</v>
      </c>
      <c r="AA45" s="16">
        <f t="shared" si="13"/>
        <v>0</v>
      </c>
      <c r="AB45" s="16">
        <f t="shared" si="14"/>
        <v>0</v>
      </c>
      <c r="AD45" s="33">
        <v>21</v>
      </c>
      <c r="AE45" s="33">
        <f>G45*0.519607843137255</f>
        <v>0</v>
      </c>
      <c r="AF45" s="33">
        <f>G45*(1-0.519607843137255)</f>
        <v>0</v>
      </c>
      <c r="AG45" s="28" t="s">
        <v>7</v>
      </c>
      <c r="AM45" s="33">
        <f t="shared" si="15"/>
        <v>0</v>
      </c>
      <c r="AN45" s="33">
        <f t="shared" si="16"/>
        <v>0</v>
      </c>
      <c r="AO45" s="34" t="s">
        <v>196</v>
      </c>
      <c r="AP45" s="34" t="s">
        <v>205</v>
      </c>
      <c r="AQ45" s="25" t="s">
        <v>206</v>
      </c>
      <c r="AS45" s="33">
        <f t="shared" si="17"/>
        <v>0</v>
      </c>
      <c r="AT45" s="33">
        <f t="shared" si="18"/>
        <v>0</v>
      </c>
      <c r="AU45" s="33">
        <v>0</v>
      </c>
      <c r="AV45" s="33">
        <f t="shared" si="19"/>
        <v>7.88339</v>
      </c>
    </row>
    <row r="46" spans="1:48" ht="12.75">
      <c r="A46" s="4" t="s">
        <v>33</v>
      </c>
      <c r="B46" s="4"/>
      <c r="C46" s="4" t="s">
        <v>78</v>
      </c>
      <c r="D46" s="4" t="s">
        <v>132</v>
      </c>
      <c r="E46" s="4" t="s">
        <v>157</v>
      </c>
      <c r="F46" s="16">
        <v>1</v>
      </c>
      <c r="G46" s="16">
        <v>0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16">
        <v>8.41547</v>
      </c>
      <c r="L46" s="16">
        <f t="shared" si="3"/>
        <v>8.41547</v>
      </c>
      <c r="M46" s="28" t="s">
        <v>179</v>
      </c>
      <c r="P46" s="33">
        <f t="shared" si="4"/>
        <v>0</v>
      </c>
      <c r="R46" s="33">
        <f t="shared" si="5"/>
        <v>0</v>
      </c>
      <c r="S46" s="33">
        <f t="shared" si="6"/>
        <v>0</v>
      </c>
      <c r="T46" s="33">
        <f t="shared" si="7"/>
        <v>0</v>
      </c>
      <c r="U46" s="33">
        <f t="shared" si="8"/>
        <v>0</v>
      </c>
      <c r="V46" s="33">
        <f t="shared" si="9"/>
        <v>0</v>
      </c>
      <c r="W46" s="33">
        <f t="shared" si="10"/>
        <v>0</v>
      </c>
      <c r="X46" s="33">
        <f t="shared" si="11"/>
        <v>0</v>
      </c>
      <c r="Y46" s="25"/>
      <c r="Z46" s="16">
        <f t="shared" si="12"/>
        <v>0</v>
      </c>
      <c r="AA46" s="16">
        <f t="shared" si="13"/>
        <v>0</v>
      </c>
      <c r="AB46" s="16">
        <f t="shared" si="14"/>
        <v>0</v>
      </c>
      <c r="AD46" s="33">
        <v>21</v>
      </c>
      <c r="AE46" s="33">
        <f>G46*0.56</f>
        <v>0</v>
      </c>
      <c r="AF46" s="33">
        <f>G46*(1-0.56)</f>
        <v>0</v>
      </c>
      <c r="AG46" s="28" t="s">
        <v>7</v>
      </c>
      <c r="AM46" s="33">
        <f t="shared" si="15"/>
        <v>0</v>
      </c>
      <c r="AN46" s="33">
        <f t="shared" si="16"/>
        <v>0</v>
      </c>
      <c r="AO46" s="34" t="s">
        <v>196</v>
      </c>
      <c r="AP46" s="34" t="s">
        <v>205</v>
      </c>
      <c r="AQ46" s="25" t="s">
        <v>206</v>
      </c>
      <c r="AS46" s="33">
        <f t="shared" si="17"/>
        <v>0</v>
      </c>
      <c r="AT46" s="33">
        <f t="shared" si="18"/>
        <v>0</v>
      </c>
      <c r="AU46" s="33">
        <v>0</v>
      </c>
      <c r="AV46" s="33">
        <f t="shared" si="19"/>
        <v>8.41547</v>
      </c>
    </row>
    <row r="47" spans="1:37" ht="12.75">
      <c r="A47" s="5"/>
      <c r="B47" s="13"/>
      <c r="C47" s="13" t="s">
        <v>79</v>
      </c>
      <c r="D47" s="13" t="s">
        <v>133</v>
      </c>
      <c r="E47" s="5" t="s">
        <v>6</v>
      </c>
      <c r="F47" s="5" t="s">
        <v>6</v>
      </c>
      <c r="G47" s="5" t="s">
        <v>6</v>
      </c>
      <c r="H47" s="36">
        <f>SUM(H48:H48)</f>
        <v>0</v>
      </c>
      <c r="I47" s="36">
        <f>SUM(I48:I48)</f>
        <v>0</v>
      </c>
      <c r="J47" s="36">
        <f>H47+I47</f>
        <v>0</v>
      </c>
      <c r="K47" s="25"/>
      <c r="L47" s="36">
        <f>SUM(L48:L48)</f>
        <v>0.06084</v>
      </c>
      <c r="M47" s="25"/>
      <c r="Y47" s="25"/>
      <c r="AI47" s="36">
        <f>SUM(Z48:Z48)</f>
        <v>0</v>
      </c>
      <c r="AJ47" s="36">
        <f>SUM(AA48:AA48)</f>
        <v>0</v>
      </c>
      <c r="AK47" s="36">
        <f>SUM(AB48:AB48)</f>
        <v>0</v>
      </c>
    </row>
    <row r="48" spans="1:48" ht="12.75">
      <c r="A48" s="4" t="s">
        <v>34</v>
      </c>
      <c r="B48" s="4"/>
      <c r="C48" s="4" t="s">
        <v>80</v>
      </c>
      <c r="D48" s="4" t="s">
        <v>134</v>
      </c>
      <c r="E48" s="4" t="s">
        <v>157</v>
      </c>
      <c r="F48" s="16">
        <v>2</v>
      </c>
      <c r="G48" s="16">
        <v>0</v>
      </c>
      <c r="H48" s="16">
        <f>F48*AE48</f>
        <v>0</v>
      </c>
      <c r="I48" s="16">
        <f>J48-H48</f>
        <v>0</v>
      </c>
      <c r="J48" s="16">
        <f>F48*G48</f>
        <v>0</v>
      </c>
      <c r="K48" s="16">
        <v>0.03042</v>
      </c>
      <c r="L48" s="16">
        <f>F48*K48</f>
        <v>0.06084</v>
      </c>
      <c r="M48" s="28" t="s">
        <v>179</v>
      </c>
      <c r="P48" s="33">
        <f>IF(AG48="5",J48,0)</f>
        <v>0</v>
      </c>
      <c r="R48" s="33">
        <f>IF(AG48="1",H48,0)</f>
        <v>0</v>
      </c>
      <c r="S48" s="33">
        <f>IF(AG48="1",I48,0)</f>
        <v>0</v>
      </c>
      <c r="T48" s="33">
        <f>IF(AG48="7",H48,0)</f>
        <v>0</v>
      </c>
      <c r="U48" s="33">
        <f>IF(AG48="7",I48,0)</f>
        <v>0</v>
      </c>
      <c r="V48" s="33">
        <f>IF(AG48="2",H48,0)</f>
        <v>0</v>
      </c>
      <c r="W48" s="33">
        <f>IF(AG48="2",I48,0)</f>
        <v>0</v>
      </c>
      <c r="X48" s="33">
        <f>IF(AG48="0",J48,0)</f>
        <v>0</v>
      </c>
      <c r="Y48" s="25"/>
      <c r="Z48" s="16">
        <f>IF(AD48=0,J48,0)</f>
        <v>0</v>
      </c>
      <c r="AA48" s="16">
        <f>IF(AD48=15,J48,0)</f>
        <v>0</v>
      </c>
      <c r="AB48" s="16">
        <f>IF(AD48=21,J48,0)</f>
        <v>0</v>
      </c>
      <c r="AD48" s="33">
        <v>21</v>
      </c>
      <c r="AE48" s="33">
        <f>G48*0.361</f>
        <v>0</v>
      </c>
      <c r="AF48" s="33">
        <f>G48*(1-0.361)</f>
        <v>0</v>
      </c>
      <c r="AG48" s="28" t="s">
        <v>7</v>
      </c>
      <c r="AM48" s="33">
        <f>F48*AE48</f>
        <v>0</v>
      </c>
      <c r="AN48" s="33">
        <f>F48*AF48</f>
        <v>0</v>
      </c>
      <c r="AO48" s="34" t="s">
        <v>197</v>
      </c>
      <c r="AP48" s="34" t="s">
        <v>205</v>
      </c>
      <c r="AQ48" s="25" t="s">
        <v>206</v>
      </c>
      <c r="AS48" s="33">
        <f>AM48+AN48</f>
        <v>0</v>
      </c>
      <c r="AT48" s="33">
        <f>G48/(100-AU48)*100</f>
        <v>0</v>
      </c>
      <c r="AU48" s="33">
        <v>0</v>
      </c>
      <c r="AV48" s="33">
        <f>L48</f>
        <v>0.06084</v>
      </c>
    </row>
    <row r="49" spans="1:37" ht="12.75">
      <c r="A49" s="5"/>
      <c r="B49" s="13"/>
      <c r="C49" s="13" t="s">
        <v>81</v>
      </c>
      <c r="D49" s="13" t="s">
        <v>135</v>
      </c>
      <c r="E49" s="5" t="s">
        <v>6</v>
      </c>
      <c r="F49" s="5" t="s">
        <v>6</v>
      </c>
      <c r="G49" s="5" t="s">
        <v>6</v>
      </c>
      <c r="H49" s="36">
        <f>SUM(H50:H50)</f>
        <v>0</v>
      </c>
      <c r="I49" s="36">
        <f>SUM(I50:I50)</f>
        <v>0</v>
      </c>
      <c r="J49" s="36">
        <f>H49+I49</f>
        <v>0</v>
      </c>
      <c r="K49" s="25"/>
      <c r="L49" s="36">
        <f>SUM(L50:L50)</f>
        <v>17.7</v>
      </c>
      <c r="M49" s="25"/>
      <c r="Y49" s="25"/>
      <c r="AI49" s="36">
        <f>SUM(Z50:Z50)</f>
        <v>0</v>
      </c>
      <c r="AJ49" s="36">
        <f>SUM(AA50:AA50)</f>
        <v>0</v>
      </c>
      <c r="AK49" s="36">
        <f>SUM(AB50:AB50)</f>
        <v>0</v>
      </c>
    </row>
    <row r="50" spans="1:48" ht="12.75">
      <c r="A50" s="4" t="s">
        <v>35</v>
      </c>
      <c r="B50" s="4"/>
      <c r="C50" s="4" t="s">
        <v>82</v>
      </c>
      <c r="D50" s="4" t="s">
        <v>136</v>
      </c>
      <c r="E50" s="4" t="s">
        <v>154</v>
      </c>
      <c r="F50" s="16">
        <v>8</v>
      </c>
      <c r="G50" s="16">
        <v>0</v>
      </c>
      <c r="H50" s="16">
        <f>F50*AE50</f>
        <v>0</v>
      </c>
      <c r="I50" s="16">
        <f>J50-H50</f>
        <v>0</v>
      </c>
      <c r="J50" s="16">
        <f>F50*G50</f>
        <v>0</v>
      </c>
      <c r="K50" s="16">
        <v>2.2125</v>
      </c>
      <c r="L50" s="16">
        <f>F50*K50</f>
        <v>17.7</v>
      </c>
      <c r="M50" s="28" t="s">
        <v>177</v>
      </c>
      <c r="P50" s="33">
        <f>IF(AG50="5",J50,0)</f>
        <v>0</v>
      </c>
      <c r="R50" s="33">
        <f>IF(AG50="1",H50,0)</f>
        <v>0</v>
      </c>
      <c r="S50" s="33">
        <f>IF(AG50="1",I50,0)</f>
        <v>0</v>
      </c>
      <c r="T50" s="33">
        <f>IF(AG50="7",H50,0)</f>
        <v>0</v>
      </c>
      <c r="U50" s="33">
        <f>IF(AG50="7",I50,0)</f>
        <v>0</v>
      </c>
      <c r="V50" s="33">
        <f>IF(AG50="2",H50,0)</f>
        <v>0</v>
      </c>
      <c r="W50" s="33">
        <f>IF(AG50="2",I50,0)</f>
        <v>0</v>
      </c>
      <c r="X50" s="33">
        <f>IF(AG50="0",J50,0)</f>
        <v>0</v>
      </c>
      <c r="Y50" s="25"/>
      <c r="Z50" s="16">
        <f>IF(AD50=0,J50,0)</f>
        <v>0</v>
      </c>
      <c r="AA50" s="16">
        <f>IF(AD50=15,J50,0)</f>
        <v>0</v>
      </c>
      <c r="AB50" s="16">
        <f>IF(AD50=21,J50,0)</f>
        <v>0</v>
      </c>
      <c r="AD50" s="33">
        <v>21</v>
      </c>
      <c r="AE50" s="33">
        <f>G50*0.109290441176471</f>
        <v>0</v>
      </c>
      <c r="AF50" s="33">
        <f>G50*(1-0.109290441176471)</f>
        <v>0</v>
      </c>
      <c r="AG50" s="28" t="s">
        <v>7</v>
      </c>
      <c r="AM50" s="33">
        <f>F50*AE50</f>
        <v>0</v>
      </c>
      <c r="AN50" s="33">
        <f>F50*AF50</f>
        <v>0</v>
      </c>
      <c r="AO50" s="34" t="s">
        <v>198</v>
      </c>
      <c r="AP50" s="34" t="s">
        <v>205</v>
      </c>
      <c r="AQ50" s="25" t="s">
        <v>206</v>
      </c>
      <c r="AS50" s="33">
        <f>AM50+AN50</f>
        <v>0</v>
      </c>
      <c r="AT50" s="33">
        <f>G50/(100-AU50)*100</f>
        <v>0</v>
      </c>
      <c r="AU50" s="33">
        <v>0</v>
      </c>
      <c r="AV50" s="33">
        <f>L50</f>
        <v>17.7</v>
      </c>
    </row>
    <row r="51" spans="1:37" ht="12.75">
      <c r="A51" s="5"/>
      <c r="B51" s="13"/>
      <c r="C51" s="13" t="s">
        <v>83</v>
      </c>
      <c r="D51" s="13" t="s">
        <v>137</v>
      </c>
      <c r="E51" s="5" t="s">
        <v>6</v>
      </c>
      <c r="F51" s="5" t="s">
        <v>6</v>
      </c>
      <c r="G51" s="5" t="s">
        <v>6</v>
      </c>
      <c r="H51" s="36">
        <f>SUM(H52:H52)</f>
        <v>0</v>
      </c>
      <c r="I51" s="36">
        <f>SUM(I52:I52)</f>
        <v>0</v>
      </c>
      <c r="J51" s="36">
        <f>H51+I51</f>
        <v>0</v>
      </c>
      <c r="K51" s="25"/>
      <c r="L51" s="36">
        <f>SUM(L52:L52)</f>
        <v>0</v>
      </c>
      <c r="M51" s="25"/>
      <c r="Y51" s="25"/>
      <c r="AI51" s="36">
        <f>SUM(Z52:Z52)</f>
        <v>0</v>
      </c>
      <c r="AJ51" s="36">
        <f>SUM(AA52:AA52)</f>
        <v>0</v>
      </c>
      <c r="AK51" s="36">
        <f>SUM(AB52:AB52)</f>
        <v>0</v>
      </c>
    </row>
    <row r="52" spans="1:48" ht="12.75">
      <c r="A52" s="4" t="s">
        <v>36</v>
      </c>
      <c r="B52" s="4"/>
      <c r="C52" s="4" t="s">
        <v>84</v>
      </c>
      <c r="D52" s="4" t="s">
        <v>138</v>
      </c>
      <c r="E52" s="4" t="s">
        <v>158</v>
      </c>
      <c r="F52" s="16">
        <v>641</v>
      </c>
      <c r="G52" s="16">
        <v>0</v>
      </c>
      <c r="H52" s="16">
        <f>F52*AE52</f>
        <v>0</v>
      </c>
      <c r="I52" s="16">
        <f>J52-H52</f>
        <v>0</v>
      </c>
      <c r="J52" s="16">
        <f>F52*G52</f>
        <v>0</v>
      </c>
      <c r="K52" s="16">
        <v>0</v>
      </c>
      <c r="L52" s="16">
        <f>F52*K52</f>
        <v>0</v>
      </c>
      <c r="M52" s="28" t="s">
        <v>176</v>
      </c>
      <c r="P52" s="33">
        <f>IF(AG52="5",J52,0)</f>
        <v>0</v>
      </c>
      <c r="R52" s="33">
        <f>IF(AG52="1",H52,0)</f>
        <v>0</v>
      </c>
      <c r="S52" s="33">
        <f>IF(AG52="1",I52,0)</f>
        <v>0</v>
      </c>
      <c r="T52" s="33">
        <f>IF(AG52="7",H52,0)</f>
        <v>0</v>
      </c>
      <c r="U52" s="33">
        <f>IF(AG52="7",I52,0)</f>
        <v>0</v>
      </c>
      <c r="V52" s="33">
        <f>IF(AG52="2",H52,0)</f>
        <v>0</v>
      </c>
      <c r="W52" s="33">
        <f>IF(AG52="2",I52,0)</f>
        <v>0</v>
      </c>
      <c r="X52" s="33">
        <f>IF(AG52="0",J52,0)</f>
        <v>0</v>
      </c>
      <c r="Y52" s="25"/>
      <c r="Z52" s="16">
        <f>IF(AD52=0,J52,0)</f>
        <v>0</v>
      </c>
      <c r="AA52" s="16">
        <f>IF(AD52=15,J52,0)</f>
        <v>0</v>
      </c>
      <c r="AB52" s="16">
        <f>IF(AD52=21,J52,0)</f>
        <v>0</v>
      </c>
      <c r="AD52" s="33">
        <v>21</v>
      </c>
      <c r="AE52" s="33">
        <f>G52*0</f>
        <v>0</v>
      </c>
      <c r="AF52" s="33">
        <f>G52*(1-0)</f>
        <v>0</v>
      </c>
      <c r="AG52" s="28" t="s">
        <v>11</v>
      </c>
      <c r="AM52" s="33">
        <f>F52*AE52</f>
        <v>0</v>
      </c>
      <c r="AN52" s="33">
        <f>F52*AF52</f>
        <v>0</v>
      </c>
      <c r="AO52" s="34" t="s">
        <v>199</v>
      </c>
      <c r="AP52" s="34" t="s">
        <v>205</v>
      </c>
      <c r="AQ52" s="25" t="s">
        <v>206</v>
      </c>
      <c r="AS52" s="33">
        <f>AM52+AN52</f>
        <v>0</v>
      </c>
      <c r="AT52" s="33">
        <f>G52/(100-AU52)*100</f>
        <v>0</v>
      </c>
      <c r="AU52" s="33">
        <v>0</v>
      </c>
      <c r="AV52" s="33">
        <f>L52</f>
        <v>0</v>
      </c>
    </row>
    <row r="53" spans="1:37" ht="12.75">
      <c r="A53" s="5"/>
      <c r="B53" s="13"/>
      <c r="C53" s="13" t="s">
        <v>85</v>
      </c>
      <c r="D53" s="13" t="s">
        <v>139</v>
      </c>
      <c r="E53" s="5" t="s">
        <v>6</v>
      </c>
      <c r="F53" s="5" t="s">
        <v>6</v>
      </c>
      <c r="G53" s="5" t="s">
        <v>6</v>
      </c>
      <c r="H53" s="36">
        <f>SUM(H54:H61)</f>
        <v>0</v>
      </c>
      <c r="I53" s="36">
        <f>SUM(I54:I61)</f>
        <v>0</v>
      </c>
      <c r="J53" s="36">
        <f>H53+I53</f>
        <v>0</v>
      </c>
      <c r="K53" s="25"/>
      <c r="L53" s="36">
        <f>SUM(L54:L61)</f>
        <v>0</v>
      </c>
      <c r="M53" s="25"/>
      <c r="Y53" s="25"/>
      <c r="AI53" s="36">
        <f>SUM(Z54:Z61)</f>
        <v>0</v>
      </c>
      <c r="AJ53" s="36">
        <f>SUM(AA54:AA61)</f>
        <v>0</v>
      </c>
      <c r="AK53" s="36">
        <f>SUM(AB54:AB61)</f>
        <v>0</v>
      </c>
    </row>
    <row r="54" spans="1:48" ht="12.75">
      <c r="A54" s="4" t="s">
        <v>37</v>
      </c>
      <c r="B54" s="4"/>
      <c r="C54" s="4" t="s">
        <v>86</v>
      </c>
      <c r="D54" s="4" t="s">
        <v>140</v>
      </c>
      <c r="E54" s="4" t="s">
        <v>158</v>
      </c>
      <c r="F54" s="16">
        <v>256.1328</v>
      </c>
      <c r="G54" s="16">
        <v>0</v>
      </c>
      <c r="H54" s="16">
        <f aca="true" t="shared" si="20" ref="H54:H61">F54*AE54</f>
        <v>0</v>
      </c>
      <c r="I54" s="16">
        <f aca="true" t="shared" si="21" ref="I54:I61">J54-H54</f>
        <v>0</v>
      </c>
      <c r="J54" s="16">
        <f aca="true" t="shared" si="22" ref="J54:J61">F54*G54</f>
        <v>0</v>
      </c>
      <c r="K54" s="16">
        <v>0</v>
      </c>
      <c r="L54" s="16">
        <f aca="true" t="shared" si="23" ref="L54:L61">F54*K54</f>
        <v>0</v>
      </c>
      <c r="M54" s="28" t="s">
        <v>179</v>
      </c>
      <c r="P54" s="33">
        <f aca="true" t="shared" si="24" ref="P54:P61">IF(AG54="5",J54,0)</f>
        <v>0</v>
      </c>
      <c r="R54" s="33">
        <f aca="true" t="shared" si="25" ref="R54:R61">IF(AG54="1",H54,0)</f>
        <v>0</v>
      </c>
      <c r="S54" s="33">
        <f aca="true" t="shared" si="26" ref="S54:S61">IF(AG54="1",I54,0)</f>
        <v>0</v>
      </c>
      <c r="T54" s="33">
        <f aca="true" t="shared" si="27" ref="T54:T61">IF(AG54="7",H54,0)</f>
        <v>0</v>
      </c>
      <c r="U54" s="33">
        <f aca="true" t="shared" si="28" ref="U54:U61">IF(AG54="7",I54,0)</f>
        <v>0</v>
      </c>
      <c r="V54" s="33">
        <f aca="true" t="shared" si="29" ref="V54:V61">IF(AG54="2",H54,0)</f>
        <v>0</v>
      </c>
      <c r="W54" s="33">
        <f aca="true" t="shared" si="30" ref="W54:W61">IF(AG54="2",I54,0)</f>
        <v>0</v>
      </c>
      <c r="X54" s="33">
        <f aca="true" t="shared" si="31" ref="X54:X61">IF(AG54="0",J54,0)</f>
        <v>0</v>
      </c>
      <c r="Y54" s="25"/>
      <c r="Z54" s="16">
        <f aca="true" t="shared" si="32" ref="Z54:Z61">IF(AD54=0,J54,0)</f>
        <v>0</v>
      </c>
      <c r="AA54" s="16">
        <f aca="true" t="shared" si="33" ref="AA54:AA61">IF(AD54=15,J54,0)</f>
        <v>0</v>
      </c>
      <c r="AB54" s="16">
        <f aca="true" t="shared" si="34" ref="AB54:AB61">IF(AD54=21,J54,0)</f>
        <v>0</v>
      </c>
      <c r="AD54" s="33">
        <v>21</v>
      </c>
      <c r="AE54" s="33">
        <f aca="true" t="shared" si="35" ref="AE54:AE61">G54*0</f>
        <v>0</v>
      </c>
      <c r="AF54" s="33">
        <f aca="true" t="shared" si="36" ref="AF54:AF61">G54*(1-0)</f>
        <v>0</v>
      </c>
      <c r="AG54" s="28" t="s">
        <v>11</v>
      </c>
      <c r="AM54" s="33">
        <f aca="true" t="shared" si="37" ref="AM54:AM61">F54*AE54</f>
        <v>0</v>
      </c>
      <c r="AN54" s="33">
        <f aca="true" t="shared" si="38" ref="AN54:AN61">F54*AF54</f>
        <v>0</v>
      </c>
      <c r="AO54" s="34" t="s">
        <v>200</v>
      </c>
      <c r="AP54" s="34" t="s">
        <v>205</v>
      </c>
      <c r="AQ54" s="25" t="s">
        <v>206</v>
      </c>
      <c r="AS54" s="33">
        <f aca="true" t="shared" si="39" ref="AS54:AS61">AM54+AN54</f>
        <v>0</v>
      </c>
      <c r="AT54" s="33">
        <f aca="true" t="shared" si="40" ref="AT54:AT61">G54/(100-AU54)*100</f>
        <v>0</v>
      </c>
      <c r="AU54" s="33">
        <v>0</v>
      </c>
      <c r="AV54" s="33">
        <f aca="true" t="shared" si="41" ref="AV54:AV61">L54</f>
        <v>0</v>
      </c>
    </row>
    <row r="55" spans="1:48" ht="12.75">
      <c r="A55" s="4" t="s">
        <v>38</v>
      </c>
      <c r="B55" s="4"/>
      <c r="C55" s="4" t="s">
        <v>87</v>
      </c>
      <c r="D55" s="4" t="s">
        <v>141</v>
      </c>
      <c r="E55" s="4" t="s">
        <v>158</v>
      </c>
      <c r="F55" s="16">
        <v>10245.312</v>
      </c>
      <c r="G55" s="16">
        <v>0</v>
      </c>
      <c r="H55" s="16">
        <f t="shared" si="20"/>
        <v>0</v>
      </c>
      <c r="I55" s="16">
        <f t="shared" si="21"/>
        <v>0</v>
      </c>
      <c r="J55" s="16">
        <f t="shared" si="22"/>
        <v>0</v>
      </c>
      <c r="K55" s="16">
        <v>0</v>
      </c>
      <c r="L55" s="16">
        <f t="shared" si="23"/>
        <v>0</v>
      </c>
      <c r="M55" s="28" t="s">
        <v>176</v>
      </c>
      <c r="P55" s="33">
        <f t="shared" si="24"/>
        <v>0</v>
      </c>
      <c r="R55" s="33">
        <f t="shared" si="25"/>
        <v>0</v>
      </c>
      <c r="S55" s="33">
        <f t="shared" si="26"/>
        <v>0</v>
      </c>
      <c r="T55" s="33">
        <f t="shared" si="27"/>
        <v>0</v>
      </c>
      <c r="U55" s="33">
        <f t="shared" si="28"/>
        <v>0</v>
      </c>
      <c r="V55" s="33">
        <f t="shared" si="29"/>
        <v>0</v>
      </c>
      <c r="W55" s="33">
        <f t="shared" si="30"/>
        <v>0</v>
      </c>
      <c r="X55" s="33">
        <f t="shared" si="31"/>
        <v>0</v>
      </c>
      <c r="Y55" s="25"/>
      <c r="Z55" s="16">
        <f t="shared" si="32"/>
        <v>0</v>
      </c>
      <c r="AA55" s="16">
        <f t="shared" si="33"/>
        <v>0</v>
      </c>
      <c r="AB55" s="16">
        <f t="shared" si="34"/>
        <v>0</v>
      </c>
      <c r="AD55" s="33">
        <v>21</v>
      </c>
      <c r="AE55" s="33">
        <f t="shared" si="35"/>
        <v>0</v>
      </c>
      <c r="AF55" s="33">
        <f t="shared" si="36"/>
        <v>0</v>
      </c>
      <c r="AG55" s="28" t="s">
        <v>11</v>
      </c>
      <c r="AM55" s="33">
        <f t="shared" si="37"/>
        <v>0</v>
      </c>
      <c r="AN55" s="33">
        <f t="shared" si="38"/>
        <v>0</v>
      </c>
      <c r="AO55" s="34" t="s">
        <v>200</v>
      </c>
      <c r="AP55" s="34" t="s">
        <v>205</v>
      </c>
      <c r="AQ55" s="25" t="s">
        <v>206</v>
      </c>
      <c r="AS55" s="33">
        <f t="shared" si="39"/>
        <v>0</v>
      </c>
      <c r="AT55" s="33">
        <f t="shared" si="40"/>
        <v>0</v>
      </c>
      <c r="AU55" s="33">
        <v>0</v>
      </c>
      <c r="AV55" s="33">
        <f t="shared" si="41"/>
        <v>0</v>
      </c>
    </row>
    <row r="56" spans="1:48" ht="12.75">
      <c r="A56" s="4" t="s">
        <v>39</v>
      </c>
      <c r="B56" s="4"/>
      <c r="C56" s="4" t="s">
        <v>88</v>
      </c>
      <c r="D56" s="4" t="s">
        <v>142</v>
      </c>
      <c r="E56" s="4" t="s">
        <v>158</v>
      </c>
      <c r="F56" s="16">
        <v>256.1328</v>
      </c>
      <c r="G56" s="16">
        <v>0</v>
      </c>
      <c r="H56" s="16">
        <f t="shared" si="20"/>
        <v>0</v>
      </c>
      <c r="I56" s="16">
        <f t="shared" si="21"/>
        <v>0</v>
      </c>
      <c r="J56" s="16">
        <f t="shared" si="22"/>
        <v>0</v>
      </c>
      <c r="K56" s="16">
        <v>0</v>
      </c>
      <c r="L56" s="16">
        <f t="shared" si="23"/>
        <v>0</v>
      </c>
      <c r="M56" s="28" t="s">
        <v>176</v>
      </c>
      <c r="P56" s="33">
        <f t="shared" si="24"/>
        <v>0</v>
      </c>
      <c r="R56" s="33">
        <f t="shared" si="25"/>
        <v>0</v>
      </c>
      <c r="S56" s="33">
        <f t="shared" si="26"/>
        <v>0</v>
      </c>
      <c r="T56" s="33">
        <f t="shared" si="27"/>
        <v>0</v>
      </c>
      <c r="U56" s="33">
        <f t="shared" si="28"/>
        <v>0</v>
      </c>
      <c r="V56" s="33">
        <f t="shared" si="29"/>
        <v>0</v>
      </c>
      <c r="W56" s="33">
        <f t="shared" si="30"/>
        <v>0</v>
      </c>
      <c r="X56" s="33">
        <f t="shared" si="31"/>
        <v>0</v>
      </c>
      <c r="Y56" s="25"/>
      <c r="Z56" s="16">
        <f t="shared" si="32"/>
        <v>0</v>
      </c>
      <c r="AA56" s="16">
        <f t="shared" si="33"/>
        <v>0</v>
      </c>
      <c r="AB56" s="16">
        <f t="shared" si="34"/>
        <v>0</v>
      </c>
      <c r="AD56" s="33">
        <v>21</v>
      </c>
      <c r="AE56" s="33">
        <f t="shared" si="35"/>
        <v>0</v>
      </c>
      <c r="AF56" s="33">
        <f t="shared" si="36"/>
        <v>0</v>
      </c>
      <c r="AG56" s="28" t="s">
        <v>11</v>
      </c>
      <c r="AM56" s="33">
        <f t="shared" si="37"/>
        <v>0</v>
      </c>
      <c r="AN56" s="33">
        <f t="shared" si="38"/>
        <v>0</v>
      </c>
      <c r="AO56" s="34" t="s">
        <v>200</v>
      </c>
      <c r="AP56" s="34" t="s">
        <v>205</v>
      </c>
      <c r="AQ56" s="25" t="s">
        <v>206</v>
      </c>
      <c r="AS56" s="33">
        <f t="shared" si="39"/>
        <v>0</v>
      </c>
      <c r="AT56" s="33">
        <f t="shared" si="40"/>
        <v>0</v>
      </c>
      <c r="AU56" s="33">
        <v>0</v>
      </c>
      <c r="AV56" s="33">
        <f t="shared" si="41"/>
        <v>0</v>
      </c>
    </row>
    <row r="57" spans="1:48" ht="12.75">
      <c r="A57" s="4" t="s">
        <v>40</v>
      </c>
      <c r="B57" s="4"/>
      <c r="C57" s="4" t="s">
        <v>89</v>
      </c>
      <c r="D57" s="4" t="s">
        <v>143</v>
      </c>
      <c r="E57" s="4" t="s">
        <v>158</v>
      </c>
      <c r="F57" s="16">
        <v>2561.328</v>
      </c>
      <c r="G57" s="16">
        <v>0</v>
      </c>
      <c r="H57" s="16">
        <f t="shared" si="20"/>
        <v>0</v>
      </c>
      <c r="I57" s="16">
        <f t="shared" si="21"/>
        <v>0</v>
      </c>
      <c r="J57" s="16">
        <f t="shared" si="22"/>
        <v>0</v>
      </c>
      <c r="K57" s="16">
        <v>0</v>
      </c>
      <c r="L57" s="16">
        <f t="shared" si="23"/>
        <v>0</v>
      </c>
      <c r="M57" s="28" t="s">
        <v>176</v>
      </c>
      <c r="P57" s="33">
        <f t="shared" si="24"/>
        <v>0</v>
      </c>
      <c r="R57" s="33">
        <f t="shared" si="25"/>
        <v>0</v>
      </c>
      <c r="S57" s="33">
        <f t="shared" si="26"/>
        <v>0</v>
      </c>
      <c r="T57" s="33">
        <f t="shared" si="27"/>
        <v>0</v>
      </c>
      <c r="U57" s="33">
        <f t="shared" si="28"/>
        <v>0</v>
      </c>
      <c r="V57" s="33">
        <f t="shared" si="29"/>
        <v>0</v>
      </c>
      <c r="W57" s="33">
        <f t="shared" si="30"/>
        <v>0</v>
      </c>
      <c r="X57" s="33">
        <f t="shared" si="31"/>
        <v>0</v>
      </c>
      <c r="Y57" s="25"/>
      <c r="Z57" s="16">
        <f t="shared" si="32"/>
        <v>0</v>
      </c>
      <c r="AA57" s="16">
        <f t="shared" si="33"/>
        <v>0</v>
      </c>
      <c r="AB57" s="16">
        <f t="shared" si="34"/>
        <v>0</v>
      </c>
      <c r="AD57" s="33">
        <v>21</v>
      </c>
      <c r="AE57" s="33">
        <f t="shared" si="35"/>
        <v>0</v>
      </c>
      <c r="AF57" s="33">
        <f t="shared" si="36"/>
        <v>0</v>
      </c>
      <c r="AG57" s="28" t="s">
        <v>11</v>
      </c>
      <c r="AM57" s="33">
        <f t="shared" si="37"/>
        <v>0</v>
      </c>
      <c r="AN57" s="33">
        <f t="shared" si="38"/>
        <v>0</v>
      </c>
      <c r="AO57" s="34" t="s">
        <v>200</v>
      </c>
      <c r="AP57" s="34" t="s">
        <v>205</v>
      </c>
      <c r="AQ57" s="25" t="s">
        <v>206</v>
      </c>
      <c r="AS57" s="33">
        <f t="shared" si="39"/>
        <v>0</v>
      </c>
      <c r="AT57" s="33">
        <f t="shared" si="40"/>
        <v>0</v>
      </c>
      <c r="AU57" s="33">
        <v>0</v>
      </c>
      <c r="AV57" s="33">
        <f t="shared" si="41"/>
        <v>0</v>
      </c>
    </row>
    <row r="58" spans="1:48" ht="12.75">
      <c r="A58" s="4" t="s">
        <v>41</v>
      </c>
      <c r="B58" s="4"/>
      <c r="C58" s="4" t="s">
        <v>90</v>
      </c>
      <c r="D58" s="4" t="s">
        <v>144</v>
      </c>
      <c r="E58" s="4" t="s">
        <v>158</v>
      </c>
      <c r="F58" s="16">
        <v>256.1328</v>
      </c>
      <c r="G58" s="16">
        <v>0</v>
      </c>
      <c r="H58" s="16">
        <f t="shared" si="20"/>
        <v>0</v>
      </c>
      <c r="I58" s="16">
        <f t="shared" si="21"/>
        <v>0</v>
      </c>
      <c r="J58" s="16">
        <f t="shared" si="22"/>
        <v>0</v>
      </c>
      <c r="K58" s="16">
        <v>0</v>
      </c>
      <c r="L58" s="16">
        <f t="shared" si="23"/>
        <v>0</v>
      </c>
      <c r="M58" s="28" t="s">
        <v>176</v>
      </c>
      <c r="P58" s="33">
        <f t="shared" si="24"/>
        <v>0</v>
      </c>
      <c r="R58" s="33">
        <f t="shared" si="25"/>
        <v>0</v>
      </c>
      <c r="S58" s="33">
        <f t="shared" si="26"/>
        <v>0</v>
      </c>
      <c r="T58" s="33">
        <f t="shared" si="27"/>
        <v>0</v>
      </c>
      <c r="U58" s="33">
        <f t="shared" si="28"/>
        <v>0</v>
      </c>
      <c r="V58" s="33">
        <f t="shared" si="29"/>
        <v>0</v>
      </c>
      <c r="W58" s="33">
        <f t="shared" si="30"/>
        <v>0</v>
      </c>
      <c r="X58" s="33">
        <f t="shared" si="31"/>
        <v>0</v>
      </c>
      <c r="Y58" s="25"/>
      <c r="Z58" s="16">
        <f t="shared" si="32"/>
        <v>0</v>
      </c>
      <c r="AA58" s="16">
        <f t="shared" si="33"/>
        <v>0</v>
      </c>
      <c r="AB58" s="16">
        <f t="shared" si="34"/>
        <v>0</v>
      </c>
      <c r="AD58" s="33">
        <v>21</v>
      </c>
      <c r="AE58" s="33">
        <f t="shared" si="35"/>
        <v>0</v>
      </c>
      <c r="AF58" s="33">
        <f t="shared" si="36"/>
        <v>0</v>
      </c>
      <c r="AG58" s="28" t="s">
        <v>11</v>
      </c>
      <c r="AM58" s="33">
        <f t="shared" si="37"/>
        <v>0</v>
      </c>
      <c r="AN58" s="33">
        <f t="shared" si="38"/>
        <v>0</v>
      </c>
      <c r="AO58" s="34" t="s">
        <v>200</v>
      </c>
      <c r="AP58" s="34" t="s">
        <v>205</v>
      </c>
      <c r="AQ58" s="25" t="s">
        <v>206</v>
      </c>
      <c r="AS58" s="33">
        <f t="shared" si="39"/>
        <v>0</v>
      </c>
      <c r="AT58" s="33">
        <f t="shared" si="40"/>
        <v>0</v>
      </c>
      <c r="AU58" s="33">
        <v>0</v>
      </c>
      <c r="AV58" s="33">
        <f t="shared" si="41"/>
        <v>0</v>
      </c>
    </row>
    <row r="59" spans="1:48" ht="12.75">
      <c r="A59" s="4" t="s">
        <v>42</v>
      </c>
      <c r="B59" s="4"/>
      <c r="C59" s="4" t="s">
        <v>91</v>
      </c>
      <c r="D59" s="4" t="s">
        <v>145</v>
      </c>
      <c r="E59" s="4" t="s">
        <v>158</v>
      </c>
      <c r="F59" s="16">
        <v>164</v>
      </c>
      <c r="G59" s="16">
        <v>0</v>
      </c>
      <c r="H59" s="16">
        <f t="shared" si="20"/>
        <v>0</v>
      </c>
      <c r="I59" s="16">
        <f t="shared" si="21"/>
        <v>0</v>
      </c>
      <c r="J59" s="16">
        <f t="shared" si="22"/>
        <v>0</v>
      </c>
      <c r="K59" s="16">
        <v>0</v>
      </c>
      <c r="L59" s="16">
        <f t="shared" si="23"/>
        <v>0</v>
      </c>
      <c r="M59" s="28" t="s">
        <v>176</v>
      </c>
      <c r="P59" s="33">
        <f t="shared" si="24"/>
        <v>0</v>
      </c>
      <c r="R59" s="33">
        <f t="shared" si="25"/>
        <v>0</v>
      </c>
      <c r="S59" s="33">
        <f t="shared" si="26"/>
        <v>0</v>
      </c>
      <c r="T59" s="33">
        <f t="shared" si="27"/>
        <v>0</v>
      </c>
      <c r="U59" s="33">
        <f t="shared" si="28"/>
        <v>0</v>
      </c>
      <c r="V59" s="33">
        <f t="shared" si="29"/>
        <v>0</v>
      </c>
      <c r="W59" s="33">
        <f t="shared" si="30"/>
        <v>0</v>
      </c>
      <c r="X59" s="33">
        <f t="shared" si="31"/>
        <v>0</v>
      </c>
      <c r="Y59" s="25"/>
      <c r="Z59" s="16">
        <f t="shared" si="32"/>
        <v>0</v>
      </c>
      <c r="AA59" s="16">
        <f t="shared" si="33"/>
        <v>0</v>
      </c>
      <c r="AB59" s="16">
        <f t="shared" si="34"/>
        <v>0</v>
      </c>
      <c r="AD59" s="33">
        <v>21</v>
      </c>
      <c r="AE59" s="33">
        <f t="shared" si="35"/>
        <v>0</v>
      </c>
      <c r="AF59" s="33">
        <f t="shared" si="36"/>
        <v>0</v>
      </c>
      <c r="AG59" s="28" t="s">
        <v>11</v>
      </c>
      <c r="AM59" s="33">
        <f t="shared" si="37"/>
        <v>0</v>
      </c>
      <c r="AN59" s="33">
        <f t="shared" si="38"/>
        <v>0</v>
      </c>
      <c r="AO59" s="34" t="s">
        <v>200</v>
      </c>
      <c r="AP59" s="34" t="s">
        <v>205</v>
      </c>
      <c r="AQ59" s="25" t="s">
        <v>206</v>
      </c>
      <c r="AS59" s="33">
        <f t="shared" si="39"/>
        <v>0</v>
      </c>
      <c r="AT59" s="33">
        <f t="shared" si="40"/>
        <v>0</v>
      </c>
      <c r="AU59" s="33">
        <v>0</v>
      </c>
      <c r="AV59" s="33">
        <f t="shared" si="41"/>
        <v>0</v>
      </c>
    </row>
    <row r="60" spans="1:48" ht="12.75">
      <c r="A60" s="4" t="s">
        <v>43</v>
      </c>
      <c r="B60" s="4"/>
      <c r="C60" s="4" t="s">
        <v>92</v>
      </c>
      <c r="D60" s="4" t="s">
        <v>146</v>
      </c>
      <c r="E60" s="4" t="s">
        <v>158</v>
      </c>
      <c r="F60" s="16">
        <v>92</v>
      </c>
      <c r="G60" s="16">
        <v>0</v>
      </c>
      <c r="H60" s="16">
        <f t="shared" si="20"/>
        <v>0</v>
      </c>
      <c r="I60" s="16">
        <f t="shared" si="21"/>
        <v>0</v>
      </c>
      <c r="J60" s="16">
        <f t="shared" si="22"/>
        <v>0</v>
      </c>
      <c r="K60" s="16">
        <v>0</v>
      </c>
      <c r="L60" s="16">
        <f t="shared" si="23"/>
        <v>0</v>
      </c>
      <c r="M60" s="28" t="s">
        <v>177</v>
      </c>
      <c r="P60" s="33">
        <f t="shared" si="24"/>
        <v>0</v>
      </c>
      <c r="R60" s="33">
        <f t="shared" si="25"/>
        <v>0</v>
      </c>
      <c r="S60" s="33">
        <f t="shared" si="26"/>
        <v>0</v>
      </c>
      <c r="T60" s="33">
        <f t="shared" si="27"/>
        <v>0</v>
      </c>
      <c r="U60" s="33">
        <f t="shared" si="28"/>
        <v>0</v>
      </c>
      <c r="V60" s="33">
        <f t="shared" si="29"/>
        <v>0</v>
      </c>
      <c r="W60" s="33">
        <f t="shared" si="30"/>
        <v>0</v>
      </c>
      <c r="X60" s="33">
        <f t="shared" si="31"/>
        <v>0</v>
      </c>
      <c r="Y60" s="25"/>
      <c r="Z60" s="16">
        <f t="shared" si="32"/>
        <v>0</v>
      </c>
      <c r="AA60" s="16">
        <f t="shared" si="33"/>
        <v>0</v>
      </c>
      <c r="AB60" s="16">
        <f t="shared" si="34"/>
        <v>0</v>
      </c>
      <c r="AD60" s="33">
        <v>21</v>
      </c>
      <c r="AE60" s="33">
        <f t="shared" si="35"/>
        <v>0</v>
      </c>
      <c r="AF60" s="33">
        <f t="shared" si="36"/>
        <v>0</v>
      </c>
      <c r="AG60" s="28" t="s">
        <v>11</v>
      </c>
      <c r="AM60" s="33">
        <f t="shared" si="37"/>
        <v>0</v>
      </c>
      <c r="AN60" s="33">
        <f t="shared" si="38"/>
        <v>0</v>
      </c>
      <c r="AO60" s="34" t="s">
        <v>200</v>
      </c>
      <c r="AP60" s="34" t="s">
        <v>205</v>
      </c>
      <c r="AQ60" s="25" t="s">
        <v>206</v>
      </c>
      <c r="AS60" s="33">
        <f t="shared" si="39"/>
        <v>0</v>
      </c>
      <c r="AT60" s="33">
        <f t="shared" si="40"/>
        <v>0</v>
      </c>
      <c r="AU60" s="33">
        <v>0</v>
      </c>
      <c r="AV60" s="33">
        <f t="shared" si="41"/>
        <v>0</v>
      </c>
    </row>
    <row r="61" spans="1:48" ht="12.75">
      <c r="A61" s="7" t="s">
        <v>44</v>
      </c>
      <c r="B61" s="7"/>
      <c r="C61" s="7" t="s">
        <v>93</v>
      </c>
      <c r="D61" s="7" t="s">
        <v>147</v>
      </c>
      <c r="E61" s="7" t="s">
        <v>158</v>
      </c>
      <c r="F61" s="18">
        <v>22</v>
      </c>
      <c r="G61" s="18">
        <v>0</v>
      </c>
      <c r="H61" s="18">
        <f t="shared" si="20"/>
        <v>0</v>
      </c>
      <c r="I61" s="18">
        <f t="shared" si="21"/>
        <v>0</v>
      </c>
      <c r="J61" s="18">
        <f t="shared" si="22"/>
        <v>0</v>
      </c>
      <c r="K61" s="18">
        <v>0</v>
      </c>
      <c r="L61" s="18">
        <f t="shared" si="23"/>
        <v>0</v>
      </c>
      <c r="M61" s="30" t="s">
        <v>177</v>
      </c>
      <c r="P61" s="33">
        <f t="shared" si="24"/>
        <v>0</v>
      </c>
      <c r="R61" s="33">
        <f t="shared" si="25"/>
        <v>0</v>
      </c>
      <c r="S61" s="33">
        <f t="shared" si="26"/>
        <v>0</v>
      </c>
      <c r="T61" s="33">
        <f t="shared" si="27"/>
        <v>0</v>
      </c>
      <c r="U61" s="33">
        <f t="shared" si="28"/>
        <v>0</v>
      </c>
      <c r="V61" s="33">
        <f t="shared" si="29"/>
        <v>0</v>
      </c>
      <c r="W61" s="33">
        <f t="shared" si="30"/>
        <v>0</v>
      </c>
      <c r="X61" s="33">
        <f t="shared" si="31"/>
        <v>0</v>
      </c>
      <c r="Y61" s="25"/>
      <c r="Z61" s="16">
        <f t="shared" si="32"/>
        <v>0</v>
      </c>
      <c r="AA61" s="16">
        <f t="shared" si="33"/>
        <v>0</v>
      </c>
      <c r="AB61" s="16">
        <f t="shared" si="34"/>
        <v>0</v>
      </c>
      <c r="AD61" s="33">
        <v>21</v>
      </c>
      <c r="AE61" s="33">
        <f t="shared" si="35"/>
        <v>0</v>
      </c>
      <c r="AF61" s="33">
        <f t="shared" si="36"/>
        <v>0</v>
      </c>
      <c r="AG61" s="28" t="s">
        <v>11</v>
      </c>
      <c r="AM61" s="33">
        <f t="shared" si="37"/>
        <v>0</v>
      </c>
      <c r="AN61" s="33">
        <f t="shared" si="38"/>
        <v>0</v>
      </c>
      <c r="AO61" s="34" t="s">
        <v>200</v>
      </c>
      <c r="AP61" s="34" t="s">
        <v>205</v>
      </c>
      <c r="AQ61" s="25" t="s">
        <v>206</v>
      </c>
      <c r="AS61" s="33">
        <f t="shared" si="39"/>
        <v>0</v>
      </c>
      <c r="AT61" s="33">
        <f t="shared" si="40"/>
        <v>0</v>
      </c>
      <c r="AU61" s="33">
        <v>0</v>
      </c>
      <c r="AV61" s="33">
        <f t="shared" si="41"/>
        <v>0</v>
      </c>
    </row>
    <row r="62" spans="1:13" ht="12.75">
      <c r="A62" s="8"/>
      <c r="B62" s="8"/>
      <c r="C62" s="8"/>
      <c r="D62" s="8"/>
      <c r="E62" s="8"/>
      <c r="F62" s="8"/>
      <c r="G62" s="8"/>
      <c r="H62" s="83" t="s">
        <v>165</v>
      </c>
      <c r="I62" s="84"/>
      <c r="J62" s="37">
        <f>ROUND(J12+J15+J18+J20+J22+J28+J31+J36+J47+J49+J51+J53,0)</f>
        <v>0</v>
      </c>
      <c r="K62" s="8"/>
      <c r="L62" s="8"/>
      <c r="M62" s="8"/>
    </row>
    <row r="63" ht="11.25" customHeight="1">
      <c r="A63" s="9" t="s">
        <v>45</v>
      </c>
    </row>
    <row r="64" spans="1:13" ht="12.75">
      <c r="A64" s="78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</sheetData>
  <sheetProtection/>
  <mergeCells count="29">
    <mergeCell ref="H10:J10"/>
    <mergeCell ref="K10:L10"/>
    <mergeCell ref="H62:I62"/>
    <mergeCell ref="A64:M64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38"/>
      <c r="C1" s="88" t="s">
        <v>222</v>
      </c>
      <c r="D1" s="66"/>
      <c r="E1" s="66"/>
      <c r="F1" s="66"/>
      <c r="G1" s="66"/>
      <c r="H1" s="66"/>
      <c r="I1" s="66"/>
    </row>
    <row r="2" spans="1:10" ht="12.75">
      <c r="A2" s="67" t="s">
        <v>1</v>
      </c>
      <c r="B2" s="68"/>
      <c r="C2" s="71" t="str">
        <f>'Stavební rozpočet'!D2</f>
        <v>Oprava Sktepark</v>
      </c>
      <c r="D2" s="84"/>
      <c r="E2" s="74" t="s">
        <v>166</v>
      </c>
      <c r="F2" s="74" t="str">
        <f>'Stavební rozpočet'!J2</f>
        <v>MC Prahy 5, Nam. 14 rijna 4, Praha 5</v>
      </c>
      <c r="G2" s="68"/>
      <c r="H2" s="74" t="s">
        <v>248</v>
      </c>
      <c r="I2" s="89" t="s">
        <v>252</v>
      </c>
      <c r="J2" s="31"/>
    </row>
    <row r="3" spans="1:10" ht="12.75">
      <c r="A3" s="69"/>
      <c r="B3" s="70"/>
      <c r="C3" s="72"/>
      <c r="D3" s="72"/>
      <c r="E3" s="70"/>
      <c r="F3" s="70"/>
      <c r="G3" s="70"/>
      <c r="H3" s="70"/>
      <c r="I3" s="76"/>
      <c r="J3" s="31"/>
    </row>
    <row r="4" spans="1:10" ht="12.75">
      <c r="A4" s="77" t="s">
        <v>2</v>
      </c>
      <c r="B4" s="70"/>
      <c r="C4" s="78" t="str">
        <f>'Stavební rozpočet'!D4</f>
        <v> </v>
      </c>
      <c r="D4" s="70"/>
      <c r="E4" s="78" t="s">
        <v>167</v>
      </c>
      <c r="F4" s="78" t="str">
        <f>'Stavební rozpočet'!J4</f>
        <v> </v>
      </c>
      <c r="G4" s="70"/>
      <c r="H4" s="78" t="s">
        <v>248</v>
      </c>
      <c r="I4" s="90"/>
      <c r="J4" s="31"/>
    </row>
    <row r="5" spans="1:10" ht="12.75">
      <c r="A5" s="69"/>
      <c r="B5" s="70"/>
      <c r="C5" s="70"/>
      <c r="D5" s="70"/>
      <c r="E5" s="70"/>
      <c r="F5" s="70"/>
      <c r="G5" s="70"/>
      <c r="H5" s="70"/>
      <c r="I5" s="76"/>
      <c r="J5" s="31"/>
    </row>
    <row r="6" spans="1:10" ht="12.75">
      <c r="A6" s="77" t="s">
        <v>3</v>
      </c>
      <c r="B6" s="70"/>
      <c r="C6" s="78" t="str">
        <f>'Stavební rozpočet'!D6</f>
        <v>Butovická, Praha 5</v>
      </c>
      <c r="D6" s="70"/>
      <c r="E6" s="78" t="s">
        <v>168</v>
      </c>
      <c r="F6" s="78" t="str">
        <f>'Stavební rozpočet'!J6</f>
        <v> </v>
      </c>
      <c r="G6" s="70"/>
      <c r="H6" s="78" t="s">
        <v>248</v>
      </c>
      <c r="I6" s="90"/>
      <c r="J6" s="31"/>
    </row>
    <row r="7" spans="1:10" ht="12.75">
      <c r="A7" s="69"/>
      <c r="B7" s="70"/>
      <c r="C7" s="70"/>
      <c r="D7" s="70"/>
      <c r="E7" s="70"/>
      <c r="F7" s="70"/>
      <c r="G7" s="70"/>
      <c r="H7" s="70"/>
      <c r="I7" s="76"/>
      <c r="J7" s="31"/>
    </row>
    <row r="8" spans="1:10" ht="12.75">
      <c r="A8" s="77" t="s">
        <v>149</v>
      </c>
      <c r="B8" s="70"/>
      <c r="C8" s="78" t="str">
        <f>'Stavební rozpočet'!G4</f>
        <v> </v>
      </c>
      <c r="D8" s="70"/>
      <c r="E8" s="78" t="s">
        <v>150</v>
      </c>
      <c r="F8" s="78" t="str">
        <f>'Stavební rozpočet'!G6</f>
        <v> </v>
      </c>
      <c r="G8" s="70"/>
      <c r="H8" s="79" t="s">
        <v>249</v>
      </c>
      <c r="I8" s="90" t="s">
        <v>44</v>
      </c>
      <c r="J8" s="31"/>
    </row>
    <row r="9" spans="1:10" ht="12.75">
      <c r="A9" s="69"/>
      <c r="B9" s="70"/>
      <c r="C9" s="70"/>
      <c r="D9" s="70"/>
      <c r="E9" s="70"/>
      <c r="F9" s="70"/>
      <c r="G9" s="70"/>
      <c r="H9" s="70"/>
      <c r="I9" s="76"/>
      <c r="J9" s="31"/>
    </row>
    <row r="10" spans="1:10" ht="12.75">
      <c r="A10" s="77" t="s">
        <v>4</v>
      </c>
      <c r="B10" s="70"/>
      <c r="C10" s="78" t="str">
        <f>'Stavební rozpočet'!D8</f>
        <v> </v>
      </c>
      <c r="D10" s="70"/>
      <c r="E10" s="78" t="s">
        <v>169</v>
      </c>
      <c r="F10" s="78" t="str">
        <f>'Stavební rozpočet'!J8</f>
        <v> </v>
      </c>
      <c r="G10" s="70"/>
      <c r="H10" s="79" t="s">
        <v>250</v>
      </c>
      <c r="I10" s="93" t="str">
        <f>'Stavební rozpočet'!G8</f>
        <v>04.06.2019</v>
      </c>
      <c r="J10" s="31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4"/>
      <c r="J11" s="31"/>
    </row>
    <row r="12" spans="1:9" ht="23.25" customHeight="1">
      <c r="A12" s="95" t="s">
        <v>207</v>
      </c>
      <c r="B12" s="96"/>
      <c r="C12" s="96"/>
      <c r="D12" s="96"/>
      <c r="E12" s="96"/>
      <c r="F12" s="96"/>
      <c r="G12" s="96"/>
      <c r="H12" s="96"/>
      <c r="I12" s="96"/>
    </row>
    <row r="13" spans="1:10" ht="26.25" customHeight="1">
      <c r="A13" s="39" t="s">
        <v>208</v>
      </c>
      <c r="B13" s="97" t="s">
        <v>220</v>
      </c>
      <c r="C13" s="98"/>
      <c r="D13" s="39" t="s">
        <v>223</v>
      </c>
      <c r="E13" s="97" t="s">
        <v>234</v>
      </c>
      <c r="F13" s="98"/>
      <c r="G13" s="39" t="s">
        <v>235</v>
      </c>
      <c r="H13" s="97" t="s">
        <v>251</v>
      </c>
      <c r="I13" s="98"/>
      <c r="J13" s="31"/>
    </row>
    <row r="14" spans="1:10" ht="15" customHeight="1">
      <c r="A14" s="40" t="s">
        <v>209</v>
      </c>
      <c r="B14" s="44" t="s">
        <v>221</v>
      </c>
      <c r="C14" s="48">
        <f>SUM('Stavební rozpočet'!R12:R61)</f>
        <v>0</v>
      </c>
      <c r="D14" s="99" t="s">
        <v>224</v>
      </c>
      <c r="E14" s="100"/>
      <c r="F14" s="48">
        <f>VORN!I15</f>
        <v>0</v>
      </c>
      <c r="G14" s="99" t="s">
        <v>236</v>
      </c>
      <c r="H14" s="100"/>
      <c r="I14" s="48">
        <f>VORN!I23</f>
        <v>0</v>
      </c>
      <c r="J14" s="31"/>
    </row>
    <row r="15" spans="1:10" ht="15" customHeight="1">
      <c r="A15" s="41"/>
      <c r="B15" s="44" t="s">
        <v>170</v>
      </c>
      <c r="C15" s="48">
        <f>SUM('Stavební rozpočet'!S12:S61)</f>
        <v>0</v>
      </c>
      <c r="D15" s="99" t="s">
        <v>225</v>
      </c>
      <c r="E15" s="100"/>
      <c r="F15" s="48">
        <f>VORN!I16</f>
        <v>0</v>
      </c>
      <c r="G15" s="99" t="s">
        <v>237</v>
      </c>
      <c r="H15" s="100"/>
      <c r="I15" s="48">
        <f>VORN!I24</f>
        <v>0</v>
      </c>
      <c r="J15" s="31"/>
    </row>
    <row r="16" spans="1:10" ht="15" customHeight="1">
      <c r="A16" s="40" t="s">
        <v>210</v>
      </c>
      <c r="B16" s="44" t="s">
        <v>221</v>
      </c>
      <c r="C16" s="48">
        <f>SUM('Stavební rozpočet'!T12:T61)</f>
        <v>0</v>
      </c>
      <c r="D16" s="99" t="s">
        <v>226</v>
      </c>
      <c r="E16" s="100"/>
      <c r="F16" s="48">
        <f>VORN!I17</f>
        <v>0</v>
      </c>
      <c r="G16" s="99" t="s">
        <v>228</v>
      </c>
      <c r="H16" s="100"/>
      <c r="I16" s="48">
        <f>VORN!I25</f>
        <v>0</v>
      </c>
      <c r="J16" s="31"/>
    </row>
    <row r="17" spans="1:10" ht="15" customHeight="1">
      <c r="A17" s="41"/>
      <c r="B17" s="44" t="s">
        <v>170</v>
      </c>
      <c r="C17" s="48">
        <f>SUM('Stavební rozpočet'!U12:U61)</f>
        <v>0</v>
      </c>
      <c r="D17" s="99" t="s">
        <v>227</v>
      </c>
      <c r="E17" s="100"/>
      <c r="F17" s="48">
        <f>VORN!I18</f>
        <v>0</v>
      </c>
      <c r="G17" s="99" t="s">
        <v>238</v>
      </c>
      <c r="H17" s="100"/>
      <c r="I17" s="48">
        <f>VORN!I26</f>
        <v>0</v>
      </c>
      <c r="J17" s="31"/>
    </row>
    <row r="18" spans="1:10" ht="15" customHeight="1">
      <c r="A18" s="40" t="s">
        <v>211</v>
      </c>
      <c r="B18" s="44" t="s">
        <v>221</v>
      </c>
      <c r="C18" s="48">
        <f>SUM('Stavební rozpočet'!V12:V61)</f>
        <v>0</v>
      </c>
      <c r="D18" s="99" t="s">
        <v>228</v>
      </c>
      <c r="E18" s="100"/>
      <c r="F18" s="48">
        <f>VORN!I19</f>
        <v>0</v>
      </c>
      <c r="G18" s="99" t="s">
        <v>239</v>
      </c>
      <c r="H18" s="100"/>
      <c r="I18" s="48">
        <f>VORN!I27</f>
        <v>0</v>
      </c>
      <c r="J18" s="31"/>
    </row>
    <row r="19" spans="1:10" ht="15" customHeight="1">
      <c r="A19" s="41"/>
      <c r="B19" s="44" t="s">
        <v>170</v>
      </c>
      <c r="C19" s="48">
        <f>SUM('Stavební rozpočet'!W12:W61)</f>
        <v>0</v>
      </c>
      <c r="D19" s="99"/>
      <c r="E19" s="100"/>
      <c r="F19" s="49"/>
      <c r="G19" s="99" t="s">
        <v>240</v>
      </c>
      <c r="H19" s="100"/>
      <c r="I19" s="48">
        <f>VORN!I28</f>
        <v>0</v>
      </c>
      <c r="J19" s="31"/>
    </row>
    <row r="20" spans="1:10" ht="15" customHeight="1">
      <c r="A20" s="101" t="s">
        <v>212</v>
      </c>
      <c r="B20" s="102"/>
      <c r="C20" s="48">
        <f>SUM('Stavební rozpočet'!X12:X61)</f>
        <v>0</v>
      </c>
      <c r="D20" s="99"/>
      <c r="E20" s="100"/>
      <c r="F20" s="49"/>
      <c r="G20" s="99"/>
      <c r="H20" s="100"/>
      <c r="I20" s="49"/>
      <c r="J20" s="31"/>
    </row>
    <row r="21" spans="1:10" ht="15" customHeight="1">
      <c r="A21" s="101" t="s">
        <v>213</v>
      </c>
      <c r="B21" s="102"/>
      <c r="C21" s="48">
        <f>SUM('Stavební rozpočet'!P12:P61)</f>
        <v>0</v>
      </c>
      <c r="D21" s="99"/>
      <c r="E21" s="100"/>
      <c r="F21" s="49"/>
      <c r="G21" s="99"/>
      <c r="H21" s="100"/>
      <c r="I21" s="49"/>
      <c r="J21" s="31"/>
    </row>
    <row r="22" spans="1:10" ht="16.5" customHeight="1">
      <c r="A22" s="101" t="s">
        <v>214</v>
      </c>
      <c r="B22" s="102"/>
      <c r="C22" s="48">
        <f>ROUND(SUM(C14:C21),0)</f>
        <v>0</v>
      </c>
      <c r="D22" s="101" t="s">
        <v>229</v>
      </c>
      <c r="E22" s="102"/>
      <c r="F22" s="48">
        <f>SUM(F14:F21)</f>
        <v>0</v>
      </c>
      <c r="G22" s="101" t="s">
        <v>241</v>
      </c>
      <c r="H22" s="102"/>
      <c r="I22" s="48">
        <f>SUM(I14:I21)</f>
        <v>0</v>
      </c>
      <c r="J22" s="31"/>
    </row>
    <row r="23" spans="1:10" ht="15" customHeight="1">
      <c r="A23" s="8"/>
      <c r="B23" s="8"/>
      <c r="C23" s="46"/>
      <c r="D23" s="101" t="s">
        <v>230</v>
      </c>
      <c r="E23" s="102"/>
      <c r="F23" s="50">
        <v>0</v>
      </c>
      <c r="G23" s="101" t="s">
        <v>242</v>
      </c>
      <c r="H23" s="102"/>
      <c r="I23" s="48">
        <v>0</v>
      </c>
      <c r="J23" s="31"/>
    </row>
    <row r="24" spans="4:10" ht="15" customHeight="1">
      <c r="D24" s="8"/>
      <c r="E24" s="8"/>
      <c r="F24" s="51"/>
      <c r="G24" s="101" t="s">
        <v>243</v>
      </c>
      <c r="H24" s="102"/>
      <c r="I24" s="48">
        <f>vorn_sum</f>
        <v>0</v>
      </c>
      <c r="J24" s="31"/>
    </row>
    <row r="25" spans="6:10" ht="15" customHeight="1">
      <c r="F25" s="52"/>
      <c r="G25" s="101" t="s">
        <v>244</v>
      </c>
      <c r="H25" s="102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103" t="s">
        <v>215</v>
      </c>
      <c r="B27" s="104"/>
      <c r="C27" s="53">
        <f>ROUND(SUM('Stavební rozpočet'!Z12:Z61),0)</f>
        <v>0</v>
      </c>
      <c r="D27" s="47"/>
      <c r="E27" s="38"/>
      <c r="F27" s="38"/>
      <c r="G27" s="38"/>
      <c r="H27" s="38"/>
      <c r="I27" s="38"/>
    </row>
    <row r="28" spans="1:10" ht="15" customHeight="1">
      <c r="A28" s="103" t="s">
        <v>216</v>
      </c>
      <c r="B28" s="104"/>
      <c r="C28" s="53">
        <f>ROUND(SUM('Stavební rozpočet'!AA12:AA61),0)</f>
        <v>0</v>
      </c>
      <c r="D28" s="103" t="s">
        <v>231</v>
      </c>
      <c r="E28" s="104"/>
      <c r="F28" s="53">
        <f>ROUND(C28*(15/100),2)</f>
        <v>0</v>
      </c>
      <c r="G28" s="103" t="s">
        <v>245</v>
      </c>
      <c r="H28" s="104"/>
      <c r="I28" s="53">
        <f>ROUND(SUM(C27:C29),0)</f>
        <v>0</v>
      </c>
      <c r="J28" s="31"/>
    </row>
    <row r="29" spans="1:10" ht="15" customHeight="1">
      <c r="A29" s="103" t="s">
        <v>217</v>
      </c>
      <c r="B29" s="104"/>
      <c r="C29" s="53">
        <f>ROUND(SUM('Stavební rozpočet'!AB12:AB61)+(F22+I22+F23+I23+I24+I25),0)</f>
        <v>0</v>
      </c>
      <c r="D29" s="103" t="s">
        <v>232</v>
      </c>
      <c r="E29" s="104"/>
      <c r="F29" s="53">
        <f>ROUND(C29*(21/100),2)</f>
        <v>0</v>
      </c>
      <c r="G29" s="103" t="s">
        <v>246</v>
      </c>
      <c r="H29" s="104"/>
      <c r="I29" s="53">
        <f>ROUND(SUM(F28:F29)+I28,0)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105" t="s">
        <v>218</v>
      </c>
      <c r="B31" s="106"/>
      <c r="C31" s="107"/>
      <c r="D31" s="105" t="s">
        <v>233</v>
      </c>
      <c r="E31" s="106"/>
      <c r="F31" s="107"/>
      <c r="G31" s="105" t="s">
        <v>247</v>
      </c>
      <c r="H31" s="106"/>
      <c r="I31" s="107"/>
      <c r="J31" s="32"/>
    </row>
    <row r="32" spans="1:10" ht="14.25" customHeight="1">
      <c r="A32" s="108"/>
      <c r="B32" s="109"/>
      <c r="C32" s="110"/>
      <c r="D32" s="108"/>
      <c r="E32" s="109"/>
      <c r="F32" s="110"/>
      <c r="G32" s="108"/>
      <c r="H32" s="109"/>
      <c r="I32" s="110"/>
      <c r="J32" s="32"/>
    </row>
    <row r="33" spans="1:10" ht="14.25" customHeight="1">
      <c r="A33" s="108"/>
      <c r="B33" s="109"/>
      <c r="C33" s="110"/>
      <c r="D33" s="108"/>
      <c r="E33" s="109"/>
      <c r="F33" s="110"/>
      <c r="G33" s="108"/>
      <c r="H33" s="109"/>
      <c r="I33" s="110"/>
      <c r="J33" s="32"/>
    </row>
    <row r="34" spans="1:10" ht="14.25" customHeight="1">
      <c r="A34" s="108"/>
      <c r="B34" s="109"/>
      <c r="C34" s="110"/>
      <c r="D34" s="108"/>
      <c r="E34" s="109"/>
      <c r="F34" s="110"/>
      <c r="G34" s="108"/>
      <c r="H34" s="109"/>
      <c r="I34" s="110"/>
      <c r="J34" s="32"/>
    </row>
    <row r="35" spans="1:10" ht="14.25" customHeight="1">
      <c r="A35" s="111" t="s">
        <v>219</v>
      </c>
      <c r="B35" s="112"/>
      <c r="C35" s="113"/>
      <c r="D35" s="111" t="s">
        <v>219</v>
      </c>
      <c r="E35" s="112"/>
      <c r="F35" s="113"/>
      <c r="G35" s="111" t="s">
        <v>219</v>
      </c>
      <c r="H35" s="112"/>
      <c r="I35" s="113"/>
      <c r="J35" s="32"/>
    </row>
    <row r="36" spans="1:9" ht="11.25" customHeight="1">
      <c r="A36" s="43" t="s">
        <v>45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78"/>
      <c r="B37" s="70"/>
      <c r="C37" s="70"/>
      <c r="D37" s="70"/>
      <c r="E37" s="70"/>
      <c r="F37" s="70"/>
      <c r="G37" s="70"/>
      <c r="H37" s="70"/>
      <c r="I37" s="7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7">
      <selection activeCell="G42" sqref="G4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64"/>
      <c r="B1" s="38"/>
      <c r="C1" s="88" t="s">
        <v>264</v>
      </c>
      <c r="D1" s="66"/>
      <c r="E1" s="66"/>
      <c r="F1" s="66"/>
      <c r="G1" s="66"/>
      <c r="H1" s="66"/>
      <c r="I1" s="66"/>
    </row>
    <row r="2" spans="1:10" ht="12.75">
      <c r="A2" s="67" t="s">
        <v>1</v>
      </c>
      <c r="B2" s="68"/>
      <c r="C2" s="71" t="str">
        <f>'Stavební rozpočet'!D2</f>
        <v>Oprava Sktepark</v>
      </c>
      <c r="D2" s="84"/>
      <c r="E2" s="74" t="s">
        <v>166</v>
      </c>
      <c r="F2" s="74" t="str">
        <f>'Stavební rozpočet'!J2</f>
        <v>MC Prahy 5, Nam. 14 rijna 4, Praha 5</v>
      </c>
      <c r="G2" s="68"/>
      <c r="H2" s="74" t="s">
        <v>248</v>
      </c>
      <c r="I2" s="89" t="s">
        <v>252</v>
      </c>
      <c r="J2" s="31"/>
    </row>
    <row r="3" spans="1:10" ht="12.75">
      <c r="A3" s="69"/>
      <c r="B3" s="70"/>
      <c r="C3" s="72"/>
      <c r="D3" s="72"/>
      <c r="E3" s="70"/>
      <c r="F3" s="70"/>
      <c r="G3" s="70"/>
      <c r="H3" s="70"/>
      <c r="I3" s="76"/>
      <c r="J3" s="31"/>
    </row>
    <row r="4" spans="1:10" ht="12.75">
      <c r="A4" s="77" t="s">
        <v>2</v>
      </c>
      <c r="B4" s="70"/>
      <c r="C4" s="78" t="str">
        <f>'Stavební rozpočet'!D4</f>
        <v> </v>
      </c>
      <c r="D4" s="70"/>
      <c r="E4" s="78" t="s">
        <v>167</v>
      </c>
      <c r="F4" s="78" t="str">
        <f>'Stavební rozpočet'!J4</f>
        <v> </v>
      </c>
      <c r="G4" s="70"/>
      <c r="H4" s="78" t="s">
        <v>248</v>
      </c>
      <c r="I4" s="90"/>
      <c r="J4" s="31"/>
    </row>
    <row r="5" spans="1:10" ht="12.75">
      <c r="A5" s="69"/>
      <c r="B5" s="70"/>
      <c r="C5" s="70"/>
      <c r="D5" s="70"/>
      <c r="E5" s="70"/>
      <c r="F5" s="70"/>
      <c r="G5" s="70"/>
      <c r="H5" s="70"/>
      <c r="I5" s="76"/>
      <c r="J5" s="31"/>
    </row>
    <row r="6" spans="1:10" ht="12.75">
      <c r="A6" s="77" t="s">
        <v>3</v>
      </c>
      <c r="B6" s="70"/>
      <c r="C6" s="78" t="str">
        <f>'Stavební rozpočet'!D6</f>
        <v>Butovická, Praha 5</v>
      </c>
      <c r="D6" s="70"/>
      <c r="E6" s="78" t="s">
        <v>168</v>
      </c>
      <c r="F6" s="78" t="str">
        <f>'Stavební rozpočet'!J6</f>
        <v> </v>
      </c>
      <c r="G6" s="70"/>
      <c r="H6" s="78" t="s">
        <v>248</v>
      </c>
      <c r="I6" s="90"/>
      <c r="J6" s="31"/>
    </row>
    <row r="7" spans="1:10" ht="12.75">
      <c r="A7" s="69"/>
      <c r="B7" s="70"/>
      <c r="C7" s="70"/>
      <c r="D7" s="70"/>
      <c r="E7" s="70"/>
      <c r="F7" s="70"/>
      <c r="G7" s="70"/>
      <c r="H7" s="70"/>
      <c r="I7" s="76"/>
      <c r="J7" s="31"/>
    </row>
    <row r="8" spans="1:10" ht="12.75">
      <c r="A8" s="77" t="s">
        <v>149</v>
      </c>
      <c r="B8" s="70"/>
      <c r="C8" s="78" t="str">
        <f>'Stavební rozpočet'!G4</f>
        <v> </v>
      </c>
      <c r="D8" s="70"/>
      <c r="E8" s="78" t="s">
        <v>150</v>
      </c>
      <c r="F8" s="78" t="str">
        <f>'Stavební rozpočet'!G6</f>
        <v> </v>
      </c>
      <c r="G8" s="70"/>
      <c r="H8" s="79" t="s">
        <v>249</v>
      </c>
      <c r="I8" s="90" t="s">
        <v>44</v>
      </c>
      <c r="J8" s="31"/>
    </row>
    <row r="9" spans="1:10" ht="12.75">
      <c r="A9" s="69"/>
      <c r="B9" s="70"/>
      <c r="C9" s="70"/>
      <c r="D9" s="70"/>
      <c r="E9" s="70"/>
      <c r="F9" s="70"/>
      <c r="G9" s="70"/>
      <c r="H9" s="70"/>
      <c r="I9" s="76"/>
      <c r="J9" s="31"/>
    </row>
    <row r="10" spans="1:10" ht="12.75">
      <c r="A10" s="77" t="s">
        <v>4</v>
      </c>
      <c r="B10" s="70"/>
      <c r="C10" s="78" t="str">
        <f>'Stavební rozpočet'!D8</f>
        <v> </v>
      </c>
      <c r="D10" s="70"/>
      <c r="E10" s="78" t="s">
        <v>169</v>
      </c>
      <c r="F10" s="78" t="str">
        <f>'Stavební rozpočet'!J8</f>
        <v> </v>
      </c>
      <c r="G10" s="70"/>
      <c r="H10" s="79" t="s">
        <v>250</v>
      </c>
      <c r="I10" s="93" t="str">
        <f>'Stavební rozpočet'!G8</f>
        <v>04.06.2019</v>
      </c>
      <c r="J10" s="31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4"/>
      <c r="J11" s="31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14" t="s">
        <v>253</v>
      </c>
      <c r="B13" s="115"/>
      <c r="C13" s="115"/>
      <c r="D13" s="115"/>
      <c r="E13" s="115"/>
      <c r="F13" s="55"/>
      <c r="G13" s="55"/>
      <c r="H13" s="55"/>
      <c r="I13" s="55"/>
    </row>
    <row r="14" spans="1:10" ht="12.75">
      <c r="A14" s="116" t="s">
        <v>254</v>
      </c>
      <c r="B14" s="117"/>
      <c r="C14" s="117"/>
      <c r="D14" s="117"/>
      <c r="E14" s="118"/>
      <c r="F14" s="56" t="s">
        <v>265</v>
      </c>
      <c r="G14" s="56" t="s">
        <v>266</v>
      </c>
      <c r="H14" s="56" t="s">
        <v>267</v>
      </c>
      <c r="I14" s="56" t="s">
        <v>265</v>
      </c>
      <c r="J14" s="32"/>
    </row>
    <row r="15" spans="1:10" ht="12.75">
      <c r="A15" s="119" t="s">
        <v>224</v>
      </c>
      <c r="B15" s="120"/>
      <c r="C15" s="120"/>
      <c r="D15" s="120"/>
      <c r="E15" s="121"/>
      <c r="F15" s="57">
        <v>0</v>
      </c>
      <c r="G15" s="60"/>
      <c r="H15" s="60"/>
      <c r="I15" s="57">
        <f>F15</f>
        <v>0</v>
      </c>
      <c r="J15" s="31"/>
    </row>
    <row r="16" spans="1:10" ht="12.75">
      <c r="A16" s="119" t="s">
        <v>225</v>
      </c>
      <c r="B16" s="120"/>
      <c r="C16" s="120"/>
      <c r="D16" s="120"/>
      <c r="E16" s="121"/>
      <c r="F16" s="57">
        <v>0</v>
      </c>
      <c r="G16" s="60"/>
      <c r="H16" s="60"/>
      <c r="I16" s="57">
        <f>F16</f>
        <v>0</v>
      </c>
      <c r="J16" s="31"/>
    </row>
    <row r="17" spans="1:10" ht="12.75">
      <c r="A17" s="119" t="s">
        <v>226</v>
      </c>
      <c r="B17" s="120"/>
      <c r="C17" s="120"/>
      <c r="D17" s="120"/>
      <c r="E17" s="121"/>
      <c r="F17" s="57">
        <v>0</v>
      </c>
      <c r="G17" s="60"/>
      <c r="H17" s="60"/>
      <c r="I17" s="57">
        <f>F17</f>
        <v>0</v>
      </c>
      <c r="J17" s="31"/>
    </row>
    <row r="18" spans="1:10" ht="12.75">
      <c r="A18" s="119" t="s">
        <v>227</v>
      </c>
      <c r="B18" s="120"/>
      <c r="C18" s="120"/>
      <c r="D18" s="120"/>
      <c r="E18" s="121"/>
      <c r="F18" s="57">
        <v>0</v>
      </c>
      <c r="G18" s="60"/>
      <c r="H18" s="60"/>
      <c r="I18" s="57">
        <f>F18</f>
        <v>0</v>
      </c>
      <c r="J18" s="31"/>
    </row>
    <row r="19" spans="1:10" ht="12.75">
      <c r="A19" s="122" t="s">
        <v>228</v>
      </c>
      <c r="B19" s="123"/>
      <c r="C19" s="123"/>
      <c r="D19" s="123"/>
      <c r="E19" s="124"/>
      <c r="F19" s="58">
        <v>0</v>
      </c>
      <c r="G19" s="61"/>
      <c r="H19" s="61"/>
      <c r="I19" s="58">
        <f>F19</f>
        <v>0</v>
      </c>
      <c r="J19" s="31"/>
    </row>
    <row r="20" spans="1:10" ht="12.75">
      <c r="A20" s="125" t="s">
        <v>255</v>
      </c>
      <c r="B20" s="126"/>
      <c r="C20" s="126"/>
      <c r="D20" s="126"/>
      <c r="E20" s="127"/>
      <c r="F20" s="59"/>
      <c r="G20" s="62"/>
      <c r="H20" s="62"/>
      <c r="I20" s="63">
        <f>SUM(I15:I19)</f>
        <v>0</v>
      </c>
      <c r="J20" s="32"/>
    </row>
    <row r="21" spans="1:9" ht="12.75">
      <c r="A21" s="54"/>
      <c r="B21" s="54"/>
      <c r="C21" s="54"/>
      <c r="D21" s="54"/>
      <c r="E21" s="54"/>
      <c r="F21" s="54"/>
      <c r="G21" s="54"/>
      <c r="H21" s="54"/>
      <c r="I21" s="54"/>
    </row>
    <row r="22" spans="1:10" ht="12.75">
      <c r="A22" s="116" t="s">
        <v>251</v>
      </c>
      <c r="B22" s="117"/>
      <c r="C22" s="117"/>
      <c r="D22" s="117"/>
      <c r="E22" s="118"/>
      <c r="F22" s="56" t="s">
        <v>265</v>
      </c>
      <c r="G22" s="56" t="s">
        <v>266</v>
      </c>
      <c r="H22" s="56" t="s">
        <v>267</v>
      </c>
      <c r="I22" s="56" t="s">
        <v>265</v>
      </c>
      <c r="J22" s="32"/>
    </row>
    <row r="23" spans="1:10" ht="12.75">
      <c r="A23" s="119" t="s">
        <v>236</v>
      </c>
      <c r="B23" s="120"/>
      <c r="C23" s="120"/>
      <c r="D23" s="120"/>
      <c r="E23" s="121"/>
      <c r="F23" s="60"/>
      <c r="G23" s="57">
        <v>3</v>
      </c>
      <c r="H23" s="57">
        <f>'Krycí list rozpočtu'!C22</f>
        <v>0</v>
      </c>
      <c r="I23" s="57">
        <f>(G23/100)*H23</f>
        <v>0</v>
      </c>
      <c r="J23" s="31"/>
    </row>
    <row r="24" spans="1:10" ht="12.75">
      <c r="A24" s="119" t="s">
        <v>237</v>
      </c>
      <c r="B24" s="120"/>
      <c r="C24" s="120"/>
      <c r="D24" s="120"/>
      <c r="E24" s="121"/>
      <c r="F24" s="57">
        <v>0</v>
      </c>
      <c r="G24" s="60"/>
      <c r="H24" s="60"/>
      <c r="I24" s="57">
        <f>F24</f>
        <v>0</v>
      </c>
      <c r="J24" s="31"/>
    </row>
    <row r="25" spans="1:10" ht="12.75">
      <c r="A25" s="119" t="s">
        <v>228</v>
      </c>
      <c r="B25" s="120"/>
      <c r="C25" s="120"/>
      <c r="D25" s="120"/>
      <c r="E25" s="121"/>
      <c r="F25" s="57">
        <v>0</v>
      </c>
      <c r="G25" s="60"/>
      <c r="H25" s="60"/>
      <c r="I25" s="57">
        <f>F25</f>
        <v>0</v>
      </c>
      <c r="J25" s="31"/>
    </row>
    <row r="26" spans="1:10" ht="12.75">
      <c r="A26" s="119" t="s">
        <v>238</v>
      </c>
      <c r="B26" s="120"/>
      <c r="C26" s="120"/>
      <c r="D26" s="120"/>
      <c r="E26" s="121"/>
      <c r="F26" s="57">
        <v>0</v>
      </c>
      <c r="G26" s="60"/>
      <c r="H26" s="60"/>
      <c r="I26" s="57">
        <f>F26</f>
        <v>0</v>
      </c>
      <c r="J26" s="31"/>
    </row>
    <row r="27" spans="1:10" ht="12.75">
      <c r="A27" s="119" t="s">
        <v>239</v>
      </c>
      <c r="B27" s="120"/>
      <c r="C27" s="120"/>
      <c r="D27" s="120"/>
      <c r="E27" s="121"/>
      <c r="F27" s="57">
        <v>0</v>
      </c>
      <c r="G27" s="60"/>
      <c r="H27" s="60"/>
      <c r="I27" s="57">
        <f>F27</f>
        <v>0</v>
      </c>
      <c r="J27" s="31"/>
    </row>
    <row r="28" spans="1:10" ht="12.75">
      <c r="A28" s="122" t="s">
        <v>240</v>
      </c>
      <c r="B28" s="123"/>
      <c r="C28" s="123"/>
      <c r="D28" s="123"/>
      <c r="E28" s="124"/>
      <c r="F28" s="58">
        <v>0</v>
      </c>
      <c r="G28" s="61"/>
      <c r="H28" s="61"/>
      <c r="I28" s="58">
        <f>F28</f>
        <v>0</v>
      </c>
      <c r="J28" s="31"/>
    </row>
    <row r="29" spans="1:10" ht="12.75">
      <c r="A29" s="125" t="s">
        <v>256</v>
      </c>
      <c r="B29" s="126"/>
      <c r="C29" s="126"/>
      <c r="D29" s="126"/>
      <c r="E29" s="127"/>
      <c r="F29" s="59"/>
      <c r="G29" s="62"/>
      <c r="H29" s="62"/>
      <c r="I29" s="63">
        <f>SUM(I23:I28)</f>
        <v>0</v>
      </c>
      <c r="J29" s="32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5" customHeight="1">
      <c r="A31" s="128" t="s">
        <v>257</v>
      </c>
      <c r="B31" s="129"/>
      <c r="C31" s="129"/>
      <c r="D31" s="129"/>
      <c r="E31" s="130"/>
      <c r="F31" s="131">
        <f>I20+I29</f>
        <v>0</v>
      </c>
      <c r="G31" s="132"/>
      <c r="H31" s="132"/>
      <c r="I31" s="133"/>
      <c r="J31" s="32"/>
    </row>
    <row r="32" spans="1:9" ht="12.75">
      <c r="A32" s="45"/>
      <c r="B32" s="45"/>
      <c r="C32" s="45"/>
      <c r="D32" s="45"/>
      <c r="E32" s="45"/>
      <c r="F32" s="45"/>
      <c r="G32" s="45"/>
      <c r="H32" s="45"/>
      <c r="I32" s="45"/>
    </row>
    <row r="35" spans="1:9" ht="15" customHeight="1">
      <c r="A35" s="114" t="s">
        <v>258</v>
      </c>
      <c r="B35" s="115"/>
      <c r="C35" s="115"/>
      <c r="D35" s="115"/>
      <c r="E35" s="115"/>
      <c r="F35" s="55"/>
      <c r="G35" s="55"/>
      <c r="H35" s="55"/>
      <c r="I35" s="55"/>
    </row>
    <row r="36" spans="1:10" ht="12.75">
      <c r="A36" s="116" t="s">
        <v>259</v>
      </c>
      <c r="B36" s="117"/>
      <c r="C36" s="117"/>
      <c r="D36" s="117"/>
      <c r="E36" s="118"/>
      <c r="F36" s="56" t="s">
        <v>265</v>
      </c>
      <c r="G36" s="56" t="s">
        <v>266</v>
      </c>
      <c r="H36" s="56" t="s">
        <v>267</v>
      </c>
      <c r="I36" s="56" t="s">
        <v>265</v>
      </c>
      <c r="J36" s="32"/>
    </row>
    <row r="37" spans="1:10" ht="12.75">
      <c r="A37" s="119" t="s">
        <v>260</v>
      </c>
      <c r="B37" s="120"/>
      <c r="C37" s="120"/>
      <c r="D37" s="120"/>
      <c r="E37" s="121"/>
      <c r="F37" s="60"/>
      <c r="G37" s="57">
        <v>1</v>
      </c>
      <c r="H37" s="57">
        <f>'Krycí list rozpočtu'!C22</f>
        <v>0</v>
      </c>
      <c r="I37" s="57">
        <f>(G37/100)*H37</f>
        <v>0</v>
      </c>
      <c r="J37" s="31"/>
    </row>
    <row r="38" spans="1:10" ht="12.75">
      <c r="A38" s="119" t="s">
        <v>225</v>
      </c>
      <c r="B38" s="120"/>
      <c r="C38" s="120"/>
      <c r="D38" s="120"/>
      <c r="E38" s="121"/>
      <c r="F38" s="60"/>
      <c r="G38" s="57">
        <v>1</v>
      </c>
      <c r="H38" s="57">
        <f>'Krycí list rozpočtu'!C22</f>
        <v>0</v>
      </c>
      <c r="I38" s="57">
        <f>(G38/100)*H38</f>
        <v>0</v>
      </c>
      <c r="J38" s="31"/>
    </row>
    <row r="39" spans="1:10" ht="12.75">
      <c r="A39" s="119" t="s">
        <v>261</v>
      </c>
      <c r="B39" s="120"/>
      <c r="C39" s="120"/>
      <c r="D39" s="120"/>
      <c r="E39" s="121"/>
      <c r="F39" s="60"/>
      <c r="G39" s="57">
        <v>5</v>
      </c>
      <c r="H39" s="57">
        <f>'Krycí list rozpočtu'!C22</f>
        <v>0</v>
      </c>
      <c r="I39" s="57">
        <f>(G39/100)*H39</f>
        <v>0</v>
      </c>
      <c r="J39" s="31"/>
    </row>
    <row r="40" spans="1:10" ht="12.75">
      <c r="A40" s="119" t="s">
        <v>226</v>
      </c>
      <c r="B40" s="120"/>
      <c r="C40" s="120"/>
      <c r="D40" s="120"/>
      <c r="E40" s="121"/>
      <c r="F40" s="60"/>
      <c r="G40" s="57">
        <v>10</v>
      </c>
      <c r="H40" s="57">
        <f>'Krycí list rozpočtu'!C22</f>
        <v>0</v>
      </c>
      <c r="I40" s="57">
        <f>(G40/100)*H40</f>
        <v>0</v>
      </c>
      <c r="J40" s="31"/>
    </row>
    <row r="41" spans="1:10" ht="12.75">
      <c r="A41" s="122" t="s">
        <v>262</v>
      </c>
      <c r="B41" s="123"/>
      <c r="C41" s="123"/>
      <c r="D41" s="123"/>
      <c r="E41" s="124"/>
      <c r="F41" s="61"/>
      <c r="G41" s="58">
        <v>0.5</v>
      </c>
      <c r="H41" s="58">
        <f>'Krycí list rozpočtu'!C22</f>
        <v>0</v>
      </c>
      <c r="I41" s="58">
        <f>(G41/100)*H41</f>
        <v>0</v>
      </c>
      <c r="J41" s="31"/>
    </row>
    <row r="42" spans="1:10" ht="12.75">
      <c r="A42" s="125" t="s">
        <v>263</v>
      </c>
      <c r="B42" s="126"/>
      <c r="C42" s="126"/>
      <c r="D42" s="126"/>
      <c r="E42" s="127"/>
      <c r="F42" s="59"/>
      <c r="G42" s="62"/>
      <c r="H42" s="62"/>
      <c r="I42" s="63">
        <f>SUM(I37:I41)</f>
        <v>0</v>
      </c>
      <c r="J42" s="32"/>
    </row>
    <row r="43" spans="1:9" ht="12.75">
      <c r="A43" s="45"/>
      <c r="B43" s="45"/>
      <c r="C43" s="45"/>
      <c r="D43" s="45"/>
      <c r="E43" s="45"/>
      <c r="F43" s="45"/>
      <c r="G43" s="45"/>
      <c r="H43" s="45"/>
      <c r="I43" s="45"/>
    </row>
  </sheetData>
  <sheetProtection/>
  <mergeCells count="57">
    <mergeCell ref="A41:E41"/>
    <mergeCell ref="A42:E42"/>
    <mergeCell ref="A35:E35"/>
    <mergeCell ref="A36:E36"/>
    <mergeCell ref="A37:E37"/>
    <mergeCell ref="A38:E38"/>
    <mergeCell ref="A39:E39"/>
    <mergeCell ref="A40:E40"/>
    <mergeCell ref="A26:E26"/>
    <mergeCell ref="A27:E27"/>
    <mergeCell ref="A28:E28"/>
    <mergeCell ref="A29:E29"/>
    <mergeCell ref="A31:E31"/>
    <mergeCell ref="F31:I31"/>
    <mergeCell ref="A19:E19"/>
    <mergeCell ref="A20:E20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Šimek</dc:creator>
  <cp:keywords/>
  <dc:description/>
  <cp:lastModifiedBy>Topič Petr</cp:lastModifiedBy>
  <dcterms:created xsi:type="dcterms:W3CDTF">2019-06-12T11:13:19Z</dcterms:created>
  <dcterms:modified xsi:type="dcterms:W3CDTF">2019-12-11T13:41:59Z</dcterms:modified>
  <cp:category/>
  <cp:version/>
  <cp:contentType/>
  <cp:contentStatus/>
</cp:coreProperties>
</file>