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1"/>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NÁKLADY'!$G$117</definedName>
    <definedName name="Cena_2a">'OBJEKT_CELKOVÉ NÁKLADY'!$G$129</definedName>
    <definedName name="Cena_2b">'OBJEKT_CELKOVÉ NÁKLADY'!$G$142</definedName>
    <definedName name="Cena_2c">'OBJEKT_CELKOVÉ NÁKLADY'!$G$184</definedName>
    <definedName name="Cena_2d">'OBJEKT_CELKOVÉ NÁKLADY'!$G$214</definedName>
    <definedName name="Cena_2e">'OBJEKT_CELKOVÉ NÁKLADY'!$G$230</definedName>
    <definedName name="Cena_2f">'OBJEKT_CELKOVÉ NÁKLADY'!$G$275</definedName>
    <definedName name="Cena_2g">'OBJEKT_CELKOVÉ NÁKLADY'!$G$281</definedName>
    <definedName name="Cena_2h">'OBJEKT_CELKOVÉ NÁKLADY'!$G$288</definedName>
    <definedName name="Cena_2i">'OBJEKT_CELKOVÉ NÁKLADY'!$G$305</definedName>
    <definedName name="Cena_2j">'OBJEKT_CELKOVÉ NÁKLADY'!$G$359</definedName>
    <definedName name="Cena_2k">'OBJEKT_CELKOVÉ NÁKLADY'!$G$368</definedName>
    <definedName name="Cena_2l">'OBJEKT_CELKOVÉ NÁKLADY'!$G$397</definedName>
    <definedName name="Cena_2m">'OBJEKT_CELKOVÉ NÁKLADY'!$G$418</definedName>
    <definedName name="Cena_3a">'OBJEKT_CELKOVÉ NÁKLADY'!$G$281</definedName>
    <definedName name="Cena_3b">'OBJEKT_CELKOVÉ NÁKLADY'!$G$288</definedName>
    <definedName name="Cena_3c">'OBJEKT_CELKOVÉ NÁKLADY'!$G$305</definedName>
    <definedName name="Cena_3d">'OBJEKT_CELKOVÉ NÁKLADY'!$G$359</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NÁKLADY'!$G$424</definedName>
    <definedName name="Cena_doplňky_dodavatele">'OBJEKT_CELKOVÉ NÁKLADY'!$G$441</definedName>
    <definedName name="Dokoncovaci_prace">'OBJEKT_CELKOVÉ NÁKLADY'!$C$420</definedName>
    <definedName name="Doplňky_dodavatele">'OBJEKT_CELKOVÉ NÁKLADY'!$C$426</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NÁKLADY'!$C$81</definedName>
    <definedName name="Kapitola_2">'OBJEKT_CELKOVÉ NÁKLADY'!$C$119</definedName>
    <definedName name="Kapitola_2a">'OBJEKT_CELKOVÉ NÁKLADY'!$C$120</definedName>
    <definedName name="Kapitola_2b">'OBJEKT_CELKOVÉ NÁKLADY'!$C$131</definedName>
    <definedName name="Kapitola_2c">'OBJEKT_CELKOVÉ NÁKLADY'!$C$144</definedName>
    <definedName name="Kapitola_2d">'OBJEKT_CELKOVÉ NÁKLADY'!$C$186</definedName>
    <definedName name="Kapitola_2e">'OBJEKT_CELKOVÉ NÁKLADY'!$C$216</definedName>
    <definedName name="Kapitola_2f">'OBJEKT_CELKOVÉ NÁKLADY'!$C$255</definedName>
    <definedName name="Kapitola_2g">'OBJEKT_CELKOVÉ NÁKLADY'!$C$277</definedName>
    <definedName name="Kapitola_2h">'OBJEKT_CELKOVÉ NÁKLADY'!$C$283</definedName>
    <definedName name="Kapitola_2i">'OBJEKT_CELKOVÉ NÁKLADY'!$C$290</definedName>
    <definedName name="Kapitola_2j">'OBJEKT_CELKOVÉ NÁKLADY'!$C$332</definedName>
    <definedName name="Kapitola_2k">'OBJEKT_CELKOVÉ NÁKLADY'!$C$361</definedName>
    <definedName name="Kapitola_2l">'OBJEKT_CELKOVÉ NÁKLADY'!$C$376</definedName>
    <definedName name="Kapitola_2m">'OBJEKT_CELKOVÉ NÁKLADY'!$C$399</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NÁKLADY'!$A$1:$G$434</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NÁKLADY'!$C$27</definedName>
    <definedName name="Rekapitulace_2m">'OBJEKT_CELKOVÉ NÁKLADY'!$C$28</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NÁKLADY'!$C$29</definedName>
    <definedName name="Rekapitulace_Doplňky_dodavatele">'OBJEKT_CELKOVÉ NÁKLADY'!$C$30</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<sst xmlns="http://schemas.openxmlformats.org/spreadsheetml/2006/main" count="1210" uniqueCount="486">
  <si>
    <t>Dřez jednoduchý nerezový (400x500) se zápachovou uzávěrkou, specifikace dle PD</t>
  </si>
  <si>
    <t>Koleno HTB, úhel 45°, DN 75</t>
  </si>
  <si>
    <t>Izolace návleková  tl. stěny 20 mm vnitřní průměr 32 mm</t>
  </si>
  <si>
    <t>počet mj</t>
  </si>
  <si>
    <t>cena mj</t>
  </si>
  <si>
    <t>cena celkem</t>
  </si>
  <si>
    <t>Rekapitulace</t>
  </si>
  <si>
    <t>Doplňky dodavatele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</si>
  <si>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</si>
  <si>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</si>
  <si>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</si>
  <si>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</si>
  <si>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</si>
  <si>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</si>
  <si>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</si>
  <si>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</si>
  <si>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</si>
  <si>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</si>
  <si>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</si>
  <si>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</si>
  <si>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</si>
  <si>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</si>
  <si>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</si>
  <si>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</si>
  <si>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</si>
  <si>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</si>
  <si>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</si>
  <si>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</si>
  <si>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</si>
  <si>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</si>
  <si>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</si>
  <si>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</si>
  <si>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</si>
  <si>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</si>
  <si>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</si>
  <si>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</si>
  <si>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</si>
  <si>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</si>
  <si>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</si>
  <si>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</si>
  <si>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</si>
  <si>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</si>
  <si>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</si>
  <si>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</si>
  <si>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</si>
  <si>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</si>
  <si>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</si>
  <si>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</si>
  <si>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</si>
  <si>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</si>
  <si>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</si>
  <si>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</si>
  <si>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</si>
  <si>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</si>
  <si>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</si>
  <si>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</si>
  <si>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</si>
  <si>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</si>
  <si>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4</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</si>
  <si>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</si>
  <si>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</si>
  <si>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</si>
  <si>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</si>
  <si>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</si>
  <si>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</si>
  <si>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</si>
  <si>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</si>
  <si>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</si>
  <si>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</si>
  <si>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</si>
  <si>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</si>
  <si>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svislé ploše za studena vč. systémových prvků</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</si>
  <si>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</si>
  <si>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</si>
  <si>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</si>
  <si>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</si>
  <si>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</si>
  <si>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</si>
  <si>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</si>
  <si>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</si>
  <si>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Umyvadlový sifon plastový</t>
  </si>
  <si>
    <t>Potrubí kanalizační z PP připojovací systém HT DN 40</t>
  </si>
  <si>
    <t>Potrubí kanalizační z PP připojovací systém HT DN 50</t>
  </si>
  <si>
    <t>Potrubí kanalizační z PP připojovací systém HT DN 75</t>
  </si>
  <si>
    <t>Potrubí kanalizační z PP připojovací systém HT DN 110</t>
  </si>
  <si>
    <t>Redukce nesouosá HTR, DN 75/50</t>
  </si>
  <si>
    <t>Redukce nesouosá HTR, DN 50/40</t>
  </si>
  <si>
    <t>Odbočka HTEA, úhel 45°, DN 75/50</t>
  </si>
  <si>
    <t>Koleno HTB, úhel 87°, DN 40</t>
  </si>
  <si>
    <t>Koleno HTB, úhel 87°, DN 75</t>
  </si>
  <si>
    <t>Koleno HTB, úhel 45°, DN 50</t>
  </si>
  <si>
    <t>Zkouška těsnosti potrubí kanalizace vodou do DN 125</t>
  </si>
  <si>
    <t>Zkouška těsnosti vodovodního potrubí hrdlového nebo přírubového do DN 100</t>
  </si>
  <si>
    <t>Proplach a dezinfekce vodovodního potrubí do DN 80</t>
  </si>
  <si>
    <t>Nástěnka závitová plastová PPR PN 20 DN 20 x G 1/2</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</si>
  <si>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</si>
  <si>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</si>
  <si>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</si>
  <si>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</si>
  <si>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</si>
  <si>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</si>
  <si>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</si>
  <si>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</si>
  <si>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</si>
  <si>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Al ukončovací lišta profilu L10mm, vč. prořezu 10%</t>
  </si>
  <si>
    <t>Závěrečné omytí schodišť a vstupních prostor</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</si>
  <si>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</si>
  <si>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</si>
  <si>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</si>
  <si>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</si>
  <si>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</si>
  <si>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</si>
  <si>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</si>
  <si>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</si>
  <si>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</si>
  <si>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</si>
  <si>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</si>
  <si>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</si>
  <si>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</si>
  <si>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</si>
  <si>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</si>
  <si>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Dodávka a montáž kuchyňské linky - bez spotřebičů</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</si>
  <si>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</si>
  <si>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</si>
  <si>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</si>
  <si>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</si>
  <si>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</si>
  <si>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</si>
  <si>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Dodatky zhotovitele</t>
  </si>
  <si>
    <t>soubor</t>
  </si>
  <si>
    <t>Montáž - stanoveno procentní sazbou z dodávky</t>
  </si>
  <si>
    <t>Kompletace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</si>
  <si>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</si>
  <si>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</si>
  <si>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</si>
  <si>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Potrubí vodovodní plastové PPR svar polyfuze PN 20 DN 16 vč.zed.výpom.</t>
  </si>
  <si>
    <t>Potrubí vodovodní plastové PPR svar polyfuze PN 20 DN 20 vč.zed.výpom.</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</si>
  <si>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</si>
  <si>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</si>
  <si>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</si>
  <si>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</si>
  <si>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</si>
  <si>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</si>
  <si>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</si>
  <si>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</si>
  <si>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</si>
  <si>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</si>
  <si>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</si>
  <si>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</si>
  <si>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</si>
  <si>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</si>
  <si>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</si>
  <si>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</si>
  <si>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</si>
  <si>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</si>
  <si>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</si>
  <si>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</si>
  <si>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</si>
  <si>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</si>
  <si>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</si>
  <si>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</si>
  <si>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</si>
  <si>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</si>
  <si>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</si>
  <si>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</si>
  <si>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</si>
  <si>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</si>
  <si>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</si>
  <si>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</si>
  <si>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</si>
  <si>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</si>
  <si>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</si>
  <si>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Dokumentace skutečného provedení (2 vyhotovení)</t>
  </si>
  <si>
    <t xml:space="preserve">Celkem </t>
  </si>
  <si>
    <t xml:space="preserve">zde uvést případné další položky, které jsou dle zhotovitele nutné k provedení díla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</si>
  <si>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</si>
  <si>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</si>
  <si>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</si>
  <si>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</si>
  <si>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</si>
  <si>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</si>
  <si>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</si>
  <si>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</si>
  <si>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</si>
  <si>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</si>
  <si>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</si>
  <si>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</si>
  <si>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</si>
  <si>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</si>
  <si>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</si>
  <si>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</si>
  <si>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</si>
  <si>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</si>
  <si>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</si>
  <si>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</si>
  <si>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</si>
  <si>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</si>
  <si>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Dodatky zhotovitele ESI+ESA</t>
  </si>
  <si>
    <t>Kompletační činnost včetně pravidelného úklidu staveniště</t>
  </si>
  <si>
    <t>Penetrace podkladu vnitřních stěn vč. dodání</t>
  </si>
  <si>
    <t>SK1-D</t>
  </si>
  <si>
    <t>Koleno HTB, úhel 87°, DN 110</t>
  </si>
  <si>
    <t>Koleno HTB, úhel 45°, DN 110</t>
  </si>
  <si>
    <t>Odbočka HTEA, úhel 45°, DN 50/50</t>
  </si>
  <si>
    <t>SOK2-D</t>
  </si>
  <si>
    <t>SOK2-M</t>
  </si>
  <si>
    <t>Odbočka HTEA, úhel 45°, DN 110/50</t>
  </si>
  <si>
    <t>Odbočka HTEA, úhel 45°, DN 100/100</t>
  </si>
  <si>
    <t>Redukce nesouosá HTR, DN 110/50</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</si>
  <si>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</si>
  <si>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</si>
  <si>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</si>
  <si>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</si>
  <si>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</si>
  <si>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</si>
  <si>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</si>
  <si>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</si>
  <si>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</si>
  <si>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</si>
  <si>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</si>
  <si>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</si>
  <si>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</si>
  <si>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</si>
  <si>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</si>
  <si>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</si>
  <si>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</si>
  <si>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</si>
  <si>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</si>
  <si>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Obklad soklíků keram.rovných, tmel,výška 80 mm vč. úpravy horní hrany v návaznosti na omítku</t>
  </si>
  <si>
    <t xml:space="preserve">Tmelení akrylátovým tmelem </t>
  </si>
  <si>
    <t>Úpravy povrchů vnitřní (stěny, stropy)</t>
  </si>
  <si>
    <t>Rezerva na případné dobetonování popř. požární utěsnění prostupů stoupaček vody, kanalizace a vzt, bude účtováno dle skutečnosti, oceněna jen jedn. cena</t>
  </si>
  <si>
    <t xml:space="preserve">Stavební přípomoce </t>
  </si>
  <si>
    <t>Hydroizolační koutová těsnící páska vč. rohových tvarovek (svislé stěny)</t>
  </si>
  <si>
    <t>Hydroizolační koutová těsnící páska vč. rohových tvarovek (vororovné plochy)</t>
  </si>
  <si>
    <t>Vytmelení spár dlažby a soklu spárovacími tmely vč. dodávky tmelů</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</si>
  <si>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</si>
  <si>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</si>
  <si>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</si>
  <si>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</si>
  <si>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</si>
  <si>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</si>
  <si>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</si>
  <si>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</si>
  <si>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</si>
  <si>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</si>
  <si>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Dveře dřevěné vnitřní 1křídlové 80x197 cm včetně obložkové zárubně dle specifikace v PD</t>
  </si>
  <si>
    <t>T01</t>
  </si>
  <si>
    <t xml:space="preserve"> </t>
  </si>
  <si>
    <t>Vybourání podezdívky vany z cihel</t>
  </si>
  <si>
    <t>Demontáž vany</t>
  </si>
  <si>
    <t>Z01</t>
  </si>
  <si>
    <t>V2</t>
  </si>
  <si>
    <t>DU4</t>
  </si>
  <si>
    <t>D3-D</t>
  </si>
  <si>
    <t>Montáž podlah keram.,režné hladké, včetně lepícího tmelu, 33x33cm</t>
  </si>
  <si>
    <t>KD(I)1</t>
  </si>
  <si>
    <t xml:space="preserve">Tmelení spár u obkladu, soklu a dlažby (svislé + vodorovné), tmelení návazností na zárubně, zařizovací předměty </t>
  </si>
  <si>
    <t xml:space="preserve">Montáž dřevěné soklové podlahové lišty </t>
  </si>
  <si>
    <t>Příplatek k mazanině tl do 80 mm za stržení povrchu spodní vrstvy před vložením výztuže</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</si>
  <si>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</si>
  <si>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</si>
  <si>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</si>
  <si>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</si>
  <si>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</si>
  <si>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</si>
  <si>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V4</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</si>
  <si>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</si>
  <si>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</si>
  <si>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</si>
  <si>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</si>
  <si>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</si>
  <si>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Potrubí ocelové závitové černé svařované DN 15</t>
  </si>
  <si>
    <t>Chránička DN50, vč. požárního utěsnění</t>
  </si>
  <si>
    <t>Zkouška plynu dle ČSN, zkouška pevnosti a těsnosti</t>
  </si>
  <si>
    <t>Provedení revize plynovodu</t>
  </si>
  <si>
    <t>Poplatek za připojení plynoměru vč. zaplombování (hradí žadatel o připojení)</t>
  </si>
  <si>
    <t xml:space="preserve">Větrací plastová mřížka do SDK podhledu, rozměr 100/100mm nebo průměr 100mm (větrání plynu)  včetně kotvícího materiálu </t>
  </si>
  <si>
    <t xml:space="preserve">Elektroinstalace - silnoproud </t>
  </si>
  <si>
    <t>Elektroinstalace - slaboproud</t>
  </si>
  <si>
    <t>Montáž izolace tepelné podlah volně kladenými rohožemi, pásy, dílci, deskami 1 vrstva - včetně okrajových pásků v.40mm a tl. 5mm</t>
  </si>
  <si>
    <r>
      <rPr>
        <i/>
        <sz val="10"/>
        <rFont val="Arial CE"/>
        <family val="2"/>
      </rPr>
      <t>Investor:</t>
    </r>
    <r>
      <rPr>
        <sz val="14"/>
        <rFont val="Arial CE"/>
        <family val="2"/>
      </rPr>
      <t xml:space="preserve"> Městská Část Praha 5 zastoupená firmou Centra a.s.</t>
    </r>
  </si>
  <si>
    <t>Penetrace podkladu vnitřních stěn před prováděním obkladů vč. dodání</t>
  </si>
  <si>
    <t>A – svítidlo  nástěnné LED , 16W, IP20</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</si>
  <si>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</si>
  <si>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</si>
  <si>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</si>
  <si>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</si>
  <si>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</si>
  <si>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</si>
  <si>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</si>
  <si>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</si>
  <si>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</si>
  <si>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</si>
  <si>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</si>
  <si>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</si>
  <si>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</si>
  <si>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</si>
  <si>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Vápenocementová dvouvrstvá omítka se sádrovým štukem nanášená ručně na stropy, vč. zbroušení v návaznosti na stávající omítku (v místě drážek šířky do 100 mm)</t>
  </si>
  <si>
    <t xml:space="preserve">přesun hmot, doprava </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</si>
  <si>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</si>
  <si>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</si>
  <si>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</si>
  <si>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</si>
  <si>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</si>
  <si>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Příčka z tvárnic porobet. tl. 100 mm hlad. P2,5-450 vč. spražení s zděnou stěnou (navrtané trny nebo pásovina do každé třetí spáry po cca 1,0 m</t>
  </si>
  <si>
    <t>PR1</t>
  </si>
  <si>
    <t>Baterie umyvadlová směšovací stojánková páková vč.flexo hadiček</t>
  </si>
  <si>
    <t>Baterie dřezová stojánková páková směšovací, chrom,  vč.flexo hadiček - specifikace dle PD</t>
  </si>
  <si>
    <t>Baterie vanová nástěnná páková včetně sprchového setu a příslušenství - specifikace dle PD</t>
  </si>
  <si>
    <t>Vana smaltovaná 1600/700mm vč. sifonu a vanového odtokového setu s otočným ovladačem - specifikace dle PD</t>
  </si>
  <si>
    <t>Osazení ocelových uhelníků L 50/50/3mm</t>
  </si>
  <si>
    <t>Úhelník rovnoramenný L jakost S235   50x 50x 3 mm</t>
  </si>
  <si>
    <t>Mazanina tl do 60 mm z betonu bez zvýšených nároků na prostředí tř. C 12/15</t>
  </si>
  <si>
    <t>KD(I) 1 - D</t>
  </si>
  <si>
    <t>KD(I) 1 - M</t>
  </si>
  <si>
    <t>KD(I) 1</t>
  </si>
  <si>
    <t>Koleno HTB, úhel 45°, DN 40</t>
  </si>
  <si>
    <t>Nátěr syntetický potrubí do DN 50 mm základní+ barevný 2x (nátěr stávajícího potrubí viz DU4)</t>
  </si>
  <si>
    <t>Demontáž krytiny z PVC vč. likvidace</t>
  </si>
  <si>
    <t xml:space="preserve">opravy </t>
  </si>
  <si>
    <t xml:space="preserve">investice </t>
  </si>
  <si>
    <t xml:space="preserve">kontrola </t>
  </si>
  <si>
    <t>Demontáž plynových spotřebičů (plyn. kotel, sporák) a likvidace</t>
  </si>
  <si>
    <t>Demontáž ocelových článkových těles vč. potrubí</t>
  </si>
  <si>
    <t>Bourání betonové mazaniny včetně do tl 80mm</t>
  </si>
  <si>
    <t>Vybourání dř. hranolů - polštářů 40/80 (odhad)</t>
  </si>
  <si>
    <t>příčky komora (1,24+0,9)*2,45</t>
  </si>
  <si>
    <t>koupelna, WC (2,935+1,37+1,65)*2,45</t>
  </si>
  <si>
    <t>Vybourání dřevěných oken</t>
  </si>
  <si>
    <t>Příčka z tvárnic porobet. tl. 75 mm hlad. P2,5-450 vč. spražení s zděnou stěnou (navrtané trny nebo pásovina do každé třetí spáry po cca 1,0 m</t>
  </si>
  <si>
    <t>Překlad nenosný z pórobetonu 125 x 25 x 7,5 cm</t>
  </si>
  <si>
    <t>SK2-D</t>
  </si>
  <si>
    <t>Sádrokartonová deska, vč. prořezu 10%</t>
  </si>
  <si>
    <t>SK1,2-M</t>
  </si>
  <si>
    <t>Montáž výztužné sítě (perlinky) do stěrky - vnit.stěny včetně výztužné sítě a stěrkového tmelu</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</si>
  <si>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</si>
  <si>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</si>
  <si>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202.01 =  10,27*2,45-3*0,9*2,05-2*0,8*2,05</t>
  </si>
  <si>
    <t>202.02 =  6,17*2,45-0,8*2,05-0,57*1,39</t>
  </si>
  <si>
    <t>202.03 =  0</t>
  </si>
  <si>
    <t>202.04 =  15,5*2,45-0,9*2,05-1,3*1,65</t>
  </si>
  <si>
    <t>202.07 =  15,5*2,45-0,9*2,05-1,3*1,65+14,6</t>
  </si>
  <si>
    <t>DU5</t>
  </si>
  <si>
    <t>Demontáž potrubí plynu</t>
  </si>
  <si>
    <t>Obkládání stěn vnitř.keram. do tmele do 200x400 mm vč. spárování</t>
  </si>
  <si>
    <t>Odbočka HTDA,  DN100/75/67° napojená na litinové potrubí</t>
  </si>
  <si>
    <t>Potrubí ocelové závitové černé svařované DN 20</t>
  </si>
  <si>
    <t>Plynové kotel, specifikace dle PD část D14</t>
  </si>
  <si>
    <t>Zápachová uzávěrka podomítková pro myčku DN 40/50</t>
  </si>
  <si>
    <t>Klozet závěsný s hlubokým splachováním odpad vodorovný, vč. sedátka  - specifikace dle PD</t>
  </si>
  <si>
    <t>Předstěnový systém pro závěsné WC pro zazdění, h=108cm, přední ovládání Sigma</t>
  </si>
  <si>
    <t>Tlačítko ovládací plastové dvojčinné, Sigma 20/bílá/chrom/bíla</t>
  </si>
  <si>
    <t>Zápachová uzávěrka - nástěnný kondenzační sifons kuličnou DN32</t>
  </si>
  <si>
    <t>Dveře dřevěné vnitřní 1křídlové prosklené 80x197 cm včetně obložkové zárubně dle specifikace v PD</t>
  </si>
  <si>
    <t>Dveře dřevěné vnitřní 1křídlové 70x197 cm včetně obložkové zárubně dle specifikace v PD</t>
  </si>
  <si>
    <t>Dveře dřevěné vstupní 1křídlové 80x197 cm, s požární odlností EI30DP3, včetně ocelové zárubně dle specifikace v PD</t>
  </si>
  <si>
    <t>Práh dřevěný d. 800 mm, š.150mm, vč. povrchové úpravy a kotvení</t>
  </si>
  <si>
    <t>D1-4-M</t>
  </si>
  <si>
    <t>D5-M</t>
  </si>
  <si>
    <t xml:space="preserve">Montáž dveří do ocelové zárubně </t>
  </si>
  <si>
    <t>Osazení ocelové zárubně dodatečně, do 2,5m2</t>
  </si>
  <si>
    <t>Protipožární zárubeň ocelová 800/1970 do hotového otvoru, ústí do 150mm dle specifikace v PD, včetně povrchové úpravy</t>
  </si>
  <si>
    <t>Okna komplet.otvíravá do rámů, 1kříd.nad 0,81 m2</t>
  </si>
  <si>
    <t>Okna komplet.otvíravá do rámů, 1kříd.do 0,81 m2</t>
  </si>
  <si>
    <t>Okno plastové jednodílné 132/136 cm, specifikace dle PD, (v jedn. ceně zohledněny i další prvky uvedené v části technické parametry výplní otvorů)</t>
  </si>
  <si>
    <t>Okno plastové jednodílné 590/1380 cm, specifikace dle PD, (v jedn. ceně zohledněny i další prvky uvedené v části technické parametry výplní otvorů)</t>
  </si>
  <si>
    <t>Deska z minerálních vláken, kročejová 40mm</t>
  </si>
  <si>
    <t>Montáž kročejové izolace podlah volně kladenými rohožemi, pásy, dílci, deskami 1 vrstva - včetně okrajových pásků v.40mm a tl. 5mm</t>
  </si>
  <si>
    <t>Mazanina tl do 55 mm z betonu bez zvýšených nároků na prostředí tř. C 12/15</t>
  </si>
  <si>
    <t>Podlahy dřevěné a povlakové</t>
  </si>
  <si>
    <t>Lepení pásů povlakových podlah, linoleum</t>
  </si>
  <si>
    <t>P1</t>
  </si>
  <si>
    <t>Vyrovnání podkladu samonivelační stěrkou tl. 5 mm pevnosti 15 Mpa</t>
  </si>
  <si>
    <t>Krytina podlahová na bázi PVC včetně lepdila, specifikace dle PD, vč. prořezu 10%</t>
  </si>
  <si>
    <t>W01,02-M</t>
  </si>
  <si>
    <t>W03-M</t>
  </si>
  <si>
    <t>W01-D</t>
  </si>
  <si>
    <t>W02-D</t>
  </si>
  <si>
    <t>W03-D</t>
  </si>
  <si>
    <t>Lišta hliníková přechodová, různý typ podlahové krytiny. Podrobně viz tabulka prvků PSV</t>
  </si>
  <si>
    <t>Stavební úpravy bytové jednotky č.4, Na Šmukýřce 934/1, 150 00 Praha 5</t>
  </si>
  <si>
    <t>Repase nátěru stávajícího zábradlí fr. okna, odstranění rzi, základní nátěr, 2x  finální nátěr, kontrola případně úprava kotvení</t>
  </si>
  <si>
    <t>Etážové topení</t>
  </si>
  <si>
    <t>Kapitola topení jednotky a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</si>
  <si>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2o</t>
  </si>
  <si>
    <t>Nadstřěšní větrací hlavice</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</si>
  <si>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</si>
  <si>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Zpětná klapka pro ploché potrubí 60/204 mm</t>
  </si>
  <si>
    <t>Oblouk horizontální 90°</t>
  </si>
  <si>
    <t>Oblouk vertikální 90°</t>
  </si>
  <si>
    <t>Kruhové vzt. potrubí nerezové flexi ø120mm</t>
  </si>
  <si>
    <t>Hladké potrubí průměru 120mm</t>
  </si>
  <si>
    <t>VZT potrubí plastové ploché obdelníkové potrubí 60/204mm včetně spojek a upevňovacích spon</t>
  </si>
  <si>
    <t>chodba 0,92*2,45-0,9*2,05</t>
  </si>
  <si>
    <t>0,92*2,47-0,8*2,05</t>
  </si>
  <si>
    <t>Montáž SDK podhledu jednoduše opláštěného s MW na jednoúrovňový rošt s parotěsnou zábranou, vč dodávky nosných profilů a malby 2x</t>
  </si>
  <si>
    <t>DU3</t>
  </si>
  <si>
    <t>Okno francouzké plastové jednodílné 132/136 + 85/222 cm, specifikace dle PD, (v jedn. ceně zohledněny i další prvky uvedené v části technické parametry výplní otvorů)</t>
  </si>
  <si>
    <t>Demontáž dřevěné podlahy - opatrná demontáž vlysů a uskladnění</t>
  </si>
  <si>
    <t>Vyspravení omítky po osazení okna na fasádě</t>
  </si>
  <si>
    <t xml:space="preserve">Tmelení návazností oken a fasády - PU tmel </t>
  </si>
  <si>
    <t>E01</t>
  </si>
  <si>
    <t>2p</t>
  </si>
  <si>
    <t>Konstrukce klempířské</t>
  </si>
  <si>
    <t>plochy prvků jsou uvedeny bez prořezu, v jednotkové ceně bude zohledněna dodávka, montáž vč. kotevních prvků, podrobný popis klempířských prvků uveden v PD v tabulce PSV</t>
  </si>
  <si>
    <t>K01</t>
  </si>
  <si>
    <t>Stavební přípomoce (drážky pro potrubí ve stěně, prostupy) vč. zakrytí drážky vápenocementovou omítkou</t>
  </si>
  <si>
    <t>Bourání nového prostupu pro plyn těsně pod stropem, tl stěny 300mm</t>
  </si>
  <si>
    <t>Univerzální redukce Redukce z 100/120/125mm</t>
  </si>
  <si>
    <t>Podezdívka vany (š.700mm, l.1,6m) výšky do 600 mm  tl. 125 mm vč.provedení revizního otvoru pro obklad (200/400mm) na silikon</t>
  </si>
  <si>
    <t>Úprava polohy vodoměru a uzávěru vody</t>
  </si>
  <si>
    <t xml:space="preserve">Montáž dveří a obložkové zárubně </t>
  </si>
  <si>
    <t>Okenní připojovací profil s integrovanou armovací tkaninou a těsnící páskou, podrobně uvedeno v PD technické parametry výplní otvorů</t>
  </si>
  <si>
    <t>Komprimační páska pro šířku těsněné spáry 8-15mm, šířka pásky 20mm (osazovací spára okna), podrobně uvedeno v PD technické parametry výplní otvorů</t>
  </si>
  <si>
    <t>Vodotěsná samolepící exteriérová páska s butylovým polepem, podrobně uvedeno v PD technické parametry výplní otvorů</t>
  </si>
  <si>
    <t>Parotěsná samolepící intériérová páska s butylovým polepem, podrobně uvedeno v PD technické parametry výplní otvorů</t>
  </si>
  <si>
    <t>Úprava otvoru vstupních dveří po osazení ocelové zárubně pro dodatečnou montáž</t>
  </si>
  <si>
    <t>Deska varná vestavná plynová ref. výrobek MORA VDP 645 GB3</t>
  </si>
  <si>
    <t>Vestavná el. trouba ref. vyýrobek MORA VT 433 BX</t>
  </si>
  <si>
    <t>Vestavná nerezová digestoř fer. Výrobek FABER MAXIMA TOUCH EV8 X A60, vč. montáže</t>
  </si>
  <si>
    <t xml:space="preserve">Dodávka a montáž vnějších krycího plechu parapetů před okny, r.š. 100mm, Al lakovaný plech tl. 0,7 mm vč.  Klempířského zapravení a kotvení </t>
  </si>
  <si>
    <t>Sádrový štuk nanášen ručně na stávající stěny s omítkou a na drážky v betonovém stropu, vč. zbroušení v návaznosti na stávající omítku  (v místě drážek osvětlení šířky do 150 mm), vč. penetrace</t>
  </si>
  <si>
    <t>Průchodka s plochého 60/204 na kruhové prům 120mm</t>
  </si>
  <si>
    <t>drážky =  (1,73+2+1,45*2)*0,25</t>
  </si>
  <si>
    <t>Stavební úpravy bytové jednotky 4, Na Šmukýřce 934/1, Praha 5 - Košíře</t>
  </si>
  <si>
    <t>svítidlo  pod linku s vypínačem</t>
  </si>
  <si>
    <t>pokojový termostat</t>
  </si>
  <si>
    <t>CYKYLo 3Cx1,5</t>
  </si>
  <si>
    <t>zapojení digestoře</t>
  </si>
  <si>
    <t>rozvaděč provedení na povrch, IP30,18 modulů</t>
  </si>
  <si>
    <t>krabice s víčkem ( STA)</t>
  </si>
  <si>
    <t>https://www.vodateplo.cz/vaillant-plynovy-kondenzacni-kotel-vui-2465-5-ecotec-plus-zavesny-zasobnik-10021882</t>
  </si>
  <si>
    <t>Další potřebné příslušenství pro napojené plynového kotle</t>
  </si>
  <si>
    <t>Set k odvodu kondenzátu</t>
  </si>
  <si>
    <t>Revizní kus na potrubí nad kotlem - kocentrické potrubí DN 80/125mm</t>
  </si>
  <si>
    <t>Potrubí kocentrické DN 80/125mm</t>
  </si>
  <si>
    <t>Patní koleno DN 80/125mm</t>
  </si>
  <si>
    <t>Koleno DN 80/125mm</t>
  </si>
  <si>
    <t>Základní sada pro odvod spalin pružnou trubkou DN83 vsazenou do komína, plast PP (ohebná trubka, rozpěrné držáky, trubka vyústění, kryt komínové šachty)</t>
  </si>
  <si>
    <t>Demontáž truhlářských konstrukcí - skříně kuchňské linky, police</t>
  </si>
  <si>
    <t>Bourání cihel, škváry podlahy</t>
  </si>
  <si>
    <t>parapety 0,88*1,32</t>
  </si>
  <si>
    <t>(2,35+3,58+1,37)*2,47-2*0,8*2,05+0,65*2,47</t>
  </si>
  <si>
    <t>SK2</t>
  </si>
  <si>
    <t>Montáž kapotáže sdk vzt potrubí v pokoji a u digestoře</t>
  </si>
  <si>
    <t>5,2+6,2</t>
  </si>
  <si>
    <t>202.02 =  (2,135+0,95)*2,45-0,8*2,05</t>
  </si>
  <si>
    <t>202.03 =  2,55*2,45+2,135*2,45+1,37*2,45</t>
  </si>
  <si>
    <t>202.01 =  3,18*2,45-2*0,8*2,05+0,95*2,45-0,9*2,05</t>
  </si>
  <si>
    <t>202.05 =  0,95*2,45-0,9*2,05</t>
  </si>
  <si>
    <t>202.04 =  0</t>
  </si>
  <si>
    <t>202.06 =  0</t>
  </si>
  <si>
    <t>202.06 =  20,14*2,45-2*0,9*2,05-0,865*2,02-0,885*2,22-1,335*1,36+22,8</t>
  </si>
  <si>
    <t>202.01-05 = 20,48*2,45-2*0,9*2,05-0,85*2,1-3*0,57*1,39-1,32*1,35+1,47*2,45+3,25*(2,45-1,39)+9,48+2</t>
  </si>
  <si>
    <t>V6</t>
  </si>
  <si>
    <t>Revizní sdk dvířka pro obklad s tlačným zámkem a závesy 200/400mm (pod kotlem), včetně kotvícího materiálu</t>
  </si>
  <si>
    <t>(0,35+0,15)*4,17+0,4+1,1</t>
  </si>
  <si>
    <t>202.06 =  19,85*2,45-2*0,9*2,05-0,865*2,02-0,9*2,03-1,335*1,36</t>
  </si>
  <si>
    <t>202.05 =  14,83*2,45-1,32*1,35-0,9*2,05-3,44*0,6-0,865*2,02</t>
  </si>
  <si>
    <t>Plynový kouhout 1/2" rohový, montáž pod omítku s integrovaným protipožárním ventilem (připojení kotel)</t>
  </si>
  <si>
    <t>Patní koleno s podpěrou DN 120, PP</t>
  </si>
  <si>
    <t>I</t>
  </si>
  <si>
    <t>Potrubí měděné polotvrdé spojované měkkým pájením D 15x1</t>
  </si>
  <si>
    <t>Potrubí měděné polotvrdé spojované měkkým pájením D 18x1</t>
  </si>
  <si>
    <t>Potrubí měděné polotvrdé spojované měkkým pájením D 22x1</t>
  </si>
  <si>
    <t>Zkouška těsnosti potrubí měděné do D 35x1,5</t>
  </si>
  <si>
    <t>Ventily uzavírací kulové Giacomini R 250 D, G1</t>
  </si>
  <si>
    <t>Kulový uzavírací ventil s filtrem Pettinaroli 51 F, G1</t>
  </si>
  <si>
    <t>Kohouty plnící a vypouštěcí ČSN 13 7061, G1/2</t>
  </si>
  <si>
    <t>Ventily odvzdušňovací radiátorové V 4320, G1/4</t>
  </si>
  <si>
    <t>Termostatické hlavice Heimeier K s vestavěným čidlem</t>
  </si>
  <si>
    <t>Radiátorové šroubení Heimeier Vekolux, G1/2</t>
  </si>
  <si>
    <t>Ocelové deskové tělesa Korado Radik ventil kompakt  33VK600/1100</t>
  </si>
  <si>
    <t>Montáž ocelového deskového tělesa</t>
  </si>
  <si>
    <t>Tepelná izolace Armaflex ACE (vnější průměr potrubí/tloušťka izolace  15/8</t>
  </si>
  <si>
    <t>Tepelná izolace Armaflex ACE (vnější průměr potrubí/tloušťka izolace 18/11,5</t>
  </si>
  <si>
    <t>Tepelná izolace Armaflex ACE (vnější průměr potrubí/tloušťka izolace  22/14,5</t>
  </si>
  <si>
    <t>Napuštění topného systému včetně odvzdušnění</t>
  </si>
  <si>
    <t>Stavební přípomoce - drážky, prostupy, zapravení</t>
  </si>
  <si>
    <t>Ocelové deskové tělesa Korado Radik ventil kompakt  22VK600/1100</t>
  </si>
  <si>
    <t>Ocelové deskové tělesa Korado Radik ventil kompakt  22VK600/800</t>
  </si>
  <si>
    <t>Ocelové deskové tělesa Korado Radik ventil kompakt  21VK600/1000</t>
  </si>
  <si>
    <t>D5-D</t>
  </si>
  <si>
    <t>DP1,P1- D</t>
  </si>
  <si>
    <t>DP1-M</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</si>
</sst>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s>
  <fonts count="64">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10"/>
      <color indexed="4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8"/>
      <color indexed="10"/>
      <name val="Arial"/>
      <family val="2"/>
    </font>
    <font>
      <b/>
      <sz val="8"/>
      <color indexed="10"/>
      <name val="Arial"/>
      <family val="2"/>
    </font>
    <font>
      <sz val="10"/>
      <color rgb="FF00B0F0"/>
      <name val="Arial"/>
      <family val="2"/>
    </font>
    <font>
      <sz val="10"/>
      <color theme="1"/>
      <name val="Arial CE"/>
      <family val="2"/>
    </font>
    <font>
      <b/>
      <sz val="10"/>
      <color theme="1"/>
      <name val="Arial CE"/>
      <family val="2"/>
    </font>
    <font>
      <sz val="7"/>
      <color theme="1"/>
      <name val="Arial CE"/>
      <family val="2"/>
    </font>
    <font>
      <sz val="11"/>
      <color theme="1"/>
      <name val="Arial CE"/>
      <family val="2"/>
    </font>
    <font>
      <sz val="10"/>
      <color rgb="FFFF0000"/>
      <name val="Arial CE"/>
      <family val="2"/>
    </font>
    <font>
      <b/>
      <sz val="10"/>
      <color rgb="FFFF0000"/>
      <name val="Arial CE"/>
      <family val="2"/>
    </font>
    <font>
      <sz val="7"/>
      <color rgb="FFFF0000"/>
      <name val="Arial CE"/>
      <family val="2"/>
    </font>
    <font>
      <sz val="11"/>
      <color rgb="FFFF0000"/>
      <name val="Arial CE"/>
      <family val="2"/>
    </font>
    <font>
      <i/>
      <sz val="10"/>
      <color rgb="FF0070C0"/>
      <name val="Arial"/>
      <family val="2"/>
    </font>
    <font>
      <sz val="8"/>
      <color rgb="FFFF0000"/>
      <name val="Arial"/>
      <family val="2"/>
    </font>
    <font>
      <b/>
      <sz val="8"/>
      <color rgb="FFFF0000"/>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color indexed="63"/>
      </top>
      <bottom style="hair">
        <color indexed="8"/>
      </bottom>
    </border>
    <border>
      <left style="thin"/>
      <right style="thin"/>
      <top style="thin"/>
      <bottom style="thin"/>
    </border>
    <border>
      <left style="hair">
        <color indexed="8"/>
      </left>
      <right style="hair">
        <color indexed="8"/>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19" fillId="0" borderId="9" xfId="0" applyFont="1" applyBorder="1" applyAlignment="1">
      <alignment horizontal="right"/>
    </xf>
    <xf numFmtId="0" fontId="0" fillId="0" borderId="10" xfId="0" applyFont="1" applyBorder="1" applyAlignment="1">
      <alignment/>
    </xf>
    <xf numFmtId="0" fontId="20" fillId="0" borderId="0" xfId="0" applyFont="1" applyAlignment="1">
      <alignment/>
    </xf>
    <xf numFmtId="0" fontId="20" fillId="0" borderId="0" xfId="0" applyFont="1" applyAlignment="1">
      <alignment vertical="center"/>
    </xf>
    <xf numFmtId="0" fontId="0" fillId="0" borderId="0" xfId="0" applyFont="1" applyFill="1" applyAlignment="1">
      <alignment/>
    </xf>
    <xf numFmtId="3" fontId="0" fillId="2" borderId="0" xfId="0" applyNumberFormat="1" applyFont="1" applyFill="1" applyBorder="1" applyAlignment="1">
      <alignment vertical="center"/>
    </xf>
    <xf numFmtId="0" fontId="29" fillId="0" borderId="0" xfId="0" applyFont="1" applyAlignment="1">
      <alignment/>
    </xf>
    <xf numFmtId="0" fontId="29" fillId="0" borderId="0" xfId="0" applyFont="1" applyAlignment="1">
      <alignment vertical="center"/>
    </xf>
    <xf numFmtId="0" fontId="30" fillId="0" borderId="0" xfId="0" applyFont="1" applyAlignment="1">
      <alignment/>
    </xf>
    <xf numFmtId="0" fontId="0" fillId="0" borderId="0" xfId="66" applyFont="1" applyFill="1" applyBorder="1" applyAlignment="1">
      <alignment vertical="center"/>
      <protection/>
    </xf>
    <xf numFmtId="0" fontId="0" fillId="0" borderId="0" xfId="66" applyFont="1" applyFill="1" applyBorder="1" applyAlignment="1">
      <alignment vertical="center" wrapText="1"/>
      <protection/>
    </xf>
    <xf numFmtId="0" fontId="0" fillId="0" borderId="0" xfId="66" applyFont="1" applyFill="1" applyBorder="1">
      <alignment/>
      <protection/>
    </xf>
    <xf numFmtId="3" fontId="0" fillId="0" borderId="0" xfId="0" applyNumberFormat="1" applyFont="1" applyBorder="1" applyAlignment="1">
      <alignment/>
    </xf>
    <xf numFmtId="167" fontId="0" fillId="0" borderId="0" xfId="0" applyNumberFormat="1" applyFont="1" applyAlignment="1">
      <alignment/>
    </xf>
    <xf numFmtId="167" fontId="19" fillId="0" borderId="9" xfId="0" applyNumberFormat="1" applyFont="1" applyBorder="1" applyAlignment="1">
      <alignment horizontal="right"/>
    </xf>
    <xf numFmtId="167" fontId="0" fillId="0" borderId="10" xfId="0" applyNumberFormat="1" applyFont="1" applyBorder="1" applyAlignment="1">
      <alignment/>
    </xf>
    <xf numFmtId="167" fontId="29" fillId="0" borderId="0" xfId="0" applyNumberFormat="1" applyFont="1" applyAlignment="1">
      <alignment/>
    </xf>
    <xf numFmtId="167" fontId="0" fillId="0" borderId="0" xfId="0" applyNumberFormat="1" applyFont="1" applyBorder="1" applyAlignment="1">
      <alignment/>
    </xf>
    <xf numFmtId="167" fontId="0" fillId="0" borderId="0" xfId="0" applyNumberFormat="1"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vertical="center"/>
    </xf>
    <xf numFmtId="0" fontId="0" fillId="0" borderId="0" xfId="0" applyFont="1" applyBorder="1" applyAlignment="1">
      <alignment/>
    </xf>
    <xf numFmtId="4" fontId="0" fillId="0" borderId="0" xfId="0" applyNumberFormat="1" applyFont="1" applyBorder="1" applyAlignment="1">
      <alignment/>
    </xf>
    <xf numFmtId="0" fontId="1" fillId="0" borderId="0" xfId="66" applyFont="1" applyFill="1" applyBorder="1" applyAlignment="1">
      <alignment vertical="center"/>
      <protection/>
    </xf>
    <xf numFmtId="3" fontId="1" fillId="0" borderId="0" xfId="0" applyNumberFormat="1" applyFont="1" applyFill="1" applyBorder="1" applyAlignment="1">
      <alignment horizontal="center" vertical="center"/>
    </xf>
    <xf numFmtId="177" fontId="1" fillId="0" borderId="0" xfId="0" applyNumberFormat="1" applyFont="1" applyFill="1" applyBorder="1" applyAlignment="1">
      <alignment vertical="center"/>
    </xf>
    <xf numFmtId="167"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left" vertical="center" wrapText="1"/>
    </xf>
    <xf numFmtId="0" fontId="30" fillId="0" borderId="0" xfId="66" applyFont="1" applyFill="1" applyBorder="1" applyAlignment="1">
      <alignment vertical="center"/>
      <protection/>
    </xf>
    <xf numFmtId="3" fontId="1" fillId="0" borderId="11" xfId="0" applyNumberFormat="1" applyFont="1" applyFill="1" applyBorder="1" applyAlignment="1">
      <alignment horizontal="left" vertical="center" wrapText="1"/>
    </xf>
    <xf numFmtId="3" fontId="1" fillId="0" borderId="11" xfId="0" applyNumberFormat="1" applyFont="1" applyFill="1" applyBorder="1" applyAlignment="1">
      <alignment horizontal="left" vertical="center"/>
    </xf>
    <xf numFmtId="167" fontId="1" fillId="0" borderId="11" xfId="0" applyNumberFormat="1" applyFont="1" applyFill="1" applyBorder="1" applyAlignment="1">
      <alignment horizontal="right" vertical="center"/>
    </xf>
    <xf numFmtId="177" fontId="1" fillId="0" borderId="11" xfId="0" applyNumberFormat="1" applyFont="1" applyFill="1" applyBorder="1" applyAlignment="1">
      <alignment vertical="center"/>
    </xf>
    <xf numFmtId="0" fontId="20" fillId="0" borderId="0" xfId="0" applyFont="1" applyBorder="1" applyAlignment="1">
      <alignment/>
    </xf>
    <xf numFmtId="0" fontId="29" fillId="0" borderId="0" xfId="0" applyFont="1" applyBorder="1" applyAlignment="1">
      <alignment/>
    </xf>
    <xf numFmtId="0" fontId="31" fillId="6" borderId="12" xfId="66" applyFont="1" applyFill="1" applyBorder="1" applyAlignment="1">
      <alignment vertical="center" wrapText="1"/>
      <protection/>
    </xf>
    <xf numFmtId="0" fontId="1" fillId="6" borderId="13" xfId="66" applyFont="1" applyFill="1" applyBorder="1">
      <alignment/>
      <protection/>
    </xf>
    <xf numFmtId="167" fontId="1" fillId="6" borderId="13" xfId="0" applyNumberFormat="1" applyFont="1" applyFill="1" applyBorder="1" applyAlignment="1">
      <alignment/>
    </xf>
    <xf numFmtId="177" fontId="1" fillId="6" borderId="13" xfId="0" applyNumberFormat="1" applyFont="1" applyFill="1" applyBorder="1" applyAlignment="1">
      <alignment/>
    </xf>
    <xf numFmtId="177" fontId="1" fillId="6" borderId="14" xfId="0" applyNumberFormat="1" applyFont="1" applyFill="1" applyBorder="1" applyAlignment="1">
      <alignment/>
    </xf>
    <xf numFmtId="0" fontId="20" fillId="6" borderId="12" xfId="66" applyFont="1" applyFill="1" applyBorder="1" applyAlignment="1">
      <alignment vertical="center" wrapText="1"/>
      <protection/>
    </xf>
    <xf numFmtId="0" fontId="0" fillId="6" borderId="13" xfId="66" applyFont="1" applyFill="1" applyBorder="1">
      <alignment/>
      <protection/>
    </xf>
    <xf numFmtId="167" fontId="0" fillId="6" borderId="13" xfId="0" applyNumberFormat="1" applyFont="1" applyFill="1" applyBorder="1" applyAlignment="1">
      <alignment/>
    </xf>
    <xf numFmtId="3" fontId="0" fillId="6" borderId="14" xfId="0" applyNumberFormat="1" applyFont="1" applyFill="1" applyBorder="1" applyAlignment="1">
      <alignment/>
    </xf>
    <xf numFmtId="0" fontId="21" fillId="0" borderId="15" xfId="0" applyFont="1" applyBorder="1" applyAlignment="1">
      <alignment vertical="center"/>
    </xf>
    <xf numFmtId="0" fontId="21" fillId="0" borderId="16" xfId="0" applyFont="1" applyBorder="1" applyAlignment="1">
      <alignment horizontal="right"/>
    </xf>
    <xf numFmtId="0" fontId="23" fillId="0" borderId="17" xfId="0" applyFont="1" applyBorder="1" applyAlignment="1">
      <alignment vertical="center"/>
    </xf>
    <xf numFmtId="0" fontId="0" fillId="0" borderId="18" xfId="0" applyFont="1" applyBorder="1" applyAlignment="1">
      <alignment/>
    </xf>
    <xf numFmtId="167" fontId="0" fillId="0" borderId="18" xfId="0" applyNumberFormat="1" applyFont="1" applyBorder="1" applyAlignment="1">
      <alignment/>
    </xf>
    <xf numFmtId="0" fontId="24" fillId="0" borderId="19" xfId="0" applyFont="1" applyBorder="1" applyAlignment="1">
      <alignment horizontal="right"/>
    </xf>
    <xf numFmtId="0" fontId="27" fillId="0" borderId="20" xfId="0" applyFont="1" applyBorder="1" applyAlignment="1">
      <alignment vertical="center"/>
    </xf>
    <xf numFmtId="0" fontId="0" fillId="0" borderId="20" xfId="0" applyFont="1" applyBorder="1" applyAlignment="1">
      <alignment/>
    </xf>
    <xf numFmtId="167" fontId="0" fillId="0" borderId="20" xfId="0" applyNumberFormat="1" applyFont="1" applyBorder="1" applyAlignment="1">
      <alignment/>
    </xf>
    <xf numFmtId="0" fontId="0" fillId="0" borderId="20" xfId="0" applyFont="1" applyBorder="1" applyAlignment="1">
      <alignment vertical="center"/>
    </xf>
    <xf numFmtId="0" fontId="20" fillId="16" borderId="11" xfId="0" applyFont="1" applyFill="1" applyBorder="1" applyAlignment="1">
      <alignment/>
    </xf>
    <xf numFmtId="167" fontId="20" fillId="0" borderId="11" xfId="0" applyNumberFormat="1" applyFont="1" applyBorder="1" applyAlignment="1">
      <alignment/>
    </xf>
    <xf numFmtId="0" fontId="0" fillId="0" borderId="21" xfId="0" applyFont="1" applyBorder="1" applyAlignment="1">
      <alignment/>
    </xf>
    <xf numFmtId="0" fontId="26"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0" xfId="66" applyNumberFormat="1" applyFont="1" applyFill="1" applyBorder="1" applyAlignment="1">
      <alignment horizontal="left" vertical="center"/>
      <protection/>
    </xf>
    <xf numFmtId="49" fontId="0" fillId="0" borderId="0" xfId="66" applyNumberFormat="1" applyFont="1" applyFill="1" applyBorder="1" applyAlignment="1">
      <alignment vertical="center"/>
      <protection/>
    </xf>
    <xf numFmtId="0" fontId="29" fillId="0" borderId="0" xfId="0" applyFont="1" applyFill="1" applyBorder="1" applyAlignment="1">
      <alignment horizontal="center"/>
    </xf>
    <xf numFmtId="49" fontId="3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ill="1" applyAlignment="1">
      <alignment/>
    </xf>
    <xf numFmtId="0" fontId="26" fillId="0" borderId="0" xfId="0" applyNumberFormat="1" applyFont="1" applyFill="1" applyBorder="1" applyAlignment="1">
      <alignment horizontal="center" vertical="center"/>
    </xf>
    <xf numFmtId="176" fontId="20" fillId="0" borderId="11" xfId="0" applyNumberFormat="1" applyFont="1" applyBorder="1" applyAlignment="1">
      <alignment/>
    </xf>
    <xf numFmtId="176" fontId="0" fillId="0" borderId="0" xfId="0" applyNumberFormat="1" applyFont="1" applyBorder="1" applyAlignment="1">
      <alignment/>
    </xf>
    <xf numFmtId="0" fontId="0" fillId="0" borderId="0" xfId="66" applyNumberFormat="1" applyFont="1" applyFill="1" applyBorder="1" applyAlignment="1">
      <alignment horizontal="left" vertical="center" indent="1"/>
      <protection/>
    </xf>
    <xf numFmtId="0" fontId="0" fillId="0" borderId="22" xfId="66" applyFont="1" applyFill="1" applyBorder="1" applyAlignment="1">
      <alignment vertical="center" wrapText="1"/>
      <protection/>
    </xf>
    <xf numFmtId="3" fontId="37" fillId="0" borderId="0" xfId="0" applyNumberFormat="1" applyFont="1" applyFill="1" applyBorder="1" applyAlignment="1">
      <alignment horizontal="center" vertical="center"/>
    </xf>
    <xf numFmtId="3" fontId="37" fillId="0" borderId="11" xfId="0" applyNumberFormat="1" applyFont="1" applyFill="1" applyBorder="1" applyAlignment="1">
      <alignment horizontal="left" vertical="center" wrapText="1"/>
    </xf>
    <xf numFmtId="3" fontId="37" fillId="0" borderId="11" xfId="0" applyNumberFormat="1" applyFont="1" applyFill="1" applyBorder="1" applyAlignment="1">
      <alignment horizontal="left" vertical="center"/>
    </xf>
    <xf numFmtId="167" fontId="37" fillId="0" borderId="11" xfId="0" applyNumberFormat="1" applyFont="1" applyFill="1" applyBorder="1" applyAlignment="1">
      <alignment horizontal="right" vertical="center"/>
    </xf>
    <xf numFmtId="177" fontId="37" fillId="0" borderId="11" xfId="0" applyNumberFormat="1" applyFont="1" applyFill="1" applyBorder="1" applyAlignment="1">
      <alignment vertical="center"/>
    </xf>
    <xf numFmtId="4" fontId="0" fillId="0" borderId="0" xfId="66" applyNumberFormat="1" applyFont="1" applyFill="1" applyBorder="1">
      <alignment/>
      <protection/>
    </xf>
    <xf numFmtId="167" fontId="0" fillId="0" borderId="0" xfId="66" applyNumberFormat="1" applyFont="1" applyFill="1" applyBorder="1">
      <alignment/>
      <protection/>
    </xf>
    <xf numFmtId="177" fontId="1" fillId="17" borderId="11" xfId="0" applyNumberFormat="1" applyFont="1" applyFill="1" applyBorder="1" applyAlignment="1" applyProtection="1">
      <alignment vertical="center"/>
      <protection locked="0"/>
    </xf>
    <xf numFmtId="177" fontId="37" fillId="17" borderId="11" xfId="0" applyNumberFormat="1" applyFont="1" applyFill="1" applyBorder="1" applyAlignment="1" applyProtection="1">
      <alignment vertical="center"/>
      <protection locked="0"/>
    </xf>
    <xf numFmtId="166" fontId="1" fillId="17" borderId="0" xfId="0" applyNumberFormat="1" applyFont="1" applyFill="1" applyBorder="1" applyAlignment="1" applyProtection="1">
      <alignment vertical="center"/>
      <protection locked="0"/>
    </xf>
    <xf numFmtId="166" fontId="1" fillId="17" borderId="11" xfId="0" applyNumberFormat="1" applyFont="1" applyFill="1" applyBorder="1" applyAlignment="1" applyProtection="1">
      <alignment vertical="center"/>
      <protection locked="0"/>
    </xf>
    <xf numFmtId="3" fontId="1" fillId="17" borderId="11" xfId="0" applyNumberFormat="1" applyFont="1" applyFill="1" applyBorder="1" applyAlignment="1" applyProtection="1">
      <alignment horizontal="left" vertical="center" wrapText="1"/>
      <protection locked="0"/>
    </xf>
    <xf numFmtId="3" fontId="1" fillId="17" borderId="11" xfId="0" applyNumberFormat="1" applyFont="1" applyFill="1" applyBorder="1" applyAlignment="1" applyProtection="1">
      <alignment horizontal="left" vertical="center"/>
      <protection locked="0"/>
    </xf>
    <xf numFmtId="167" fontId="1" fillId="17" borderId="11" xfId="0" applyNumberFormat="1" applyFont="1" applyFill="1" applyBorder="1" applyAlignment="1" applyProtection="1">
      <alignment horizontal="right" vertical="center"/>
      <protection locked="0"/>
    </xf>
    <xf numFmtId="0" fontId="25" fillId="16" borderId="11" xfId="54" applyNumberFormat="1" applyFill="1" applyBorder="1" applyAlignment="1" applyProtection="1">
      <alignment horizontal="left" vertical="center"/>
      <protection locked="0"/>
    </xf>
    <xf numFmtId="0" fontId="30" fillId="0" borderId="0" xfId="0" applyFont="1" applyFill="1" applyAlignment="1">
      <alignment/>
    </xf>
    <xf numFmtId="0" fontId="25" fillId="18" borderId="21" xfId="54" applyNumberFormat="1" applyFill="1" applyBorder="1" applyAlignment="1" applyProtection="1">
      <alignment vertical="center"/>
      <protection locked="0"/>
    </xf>
    <xf numFmtId="167" fontId="0" fillId="0" borderId="0" xfId="0" applyNumberFormat="1" applyFont="1" applyFill="1" applyBorder="1" applyAlignment="1">
      <alignment horizontal="left" vertical="top" wrapText="1"/>
    </xf>
    <xf numFmtId="170" fontId="0" fillId="0" borderId="0" xfId="0" applyNumberFormat="1" applyFont="1" applyAlignment="1">
      <alignment/>
    </xf>
    <xf numFmtId="170" fontId="20" fillId="0" borderId="0" xfId="0" applyNumberFormat="1" applyFont="1" applyAlignment="1">
      <alignment/>
    </xf>
    <xf numFmtId="0" fontId="0" fillId="0" borderId="0" xfId="0" applyAlignment="1">
      <alignment horizontal="center"/>
    </xf>
    <xf numFmtId="0" fontId="20" fillId="0" borderId="0" xfId="0" applyFont="1" applyAlignment="1">
      <alignment/>
    </xf>
    <xf numFmtId="0" fontId="0" fillId="0" borderId="22" xfId="66" applyFont="1" applyFill="1" applyBorder="1" applyAlignment="1">
      <alignment vertical="center" wrapText="1"/>
      <protection/>
    </xf>
    <xf numFmtId="0" fontId="29" fillId="0" borderId="0" xfId="0" applyFont="1" applyFill="1" applyAlignment="1">
      <alignment/>
    </xf>
    <xf numFmtId="177" fontId="52" fillId="17" borderId="11" xfId="0" applyNumberFormat="1" applyFont="1" applyFill="1" applyBorder="1" applyAlignment="1" applyProtection="1">
      <alignment vertical="center"/>
      <protection locked="0"/>
    </xf>
    <xf numFmtId="170" fontId="0" fillId="0" borderId="0" xfId="0" applyNumberFormat="1" applyFont="1" applyFill="1" applyAlignment="1">
      <alignment/>
    </xf>
    <xf numFmtId="0" fontId="38" fillId="0" borderId="0" xfId="0" applyFont="1" applyFill="1" applyBorder="1" applyAlignment="1">
      <alignment horizontal="left"/>
    </xf>
    <xf numFmtId="0" fontId="39" fillId="0" borderId="0" xfId="0" applyFont="1" applyFill="1" applyBorder="1" applyAlignment="1">
      <alignment horizontal="left"/>
    </xf>
    <xf numFmtId="182" fontId="39" fillId="0" borderId="0" xfId="0" applyNumberFormat="1" applyFont="1" applyAlignment="1">
      <alignment/>
    </xf>
    <xf numFmtId="183" fontId="20" fillId="0" borderId="0" xfId="0" applyNumberFormat="1" applyFont="1" applyAlignment="1">
      <alignment/>
    </xf>
    <xf numFmtId="0" fontId="26" fillId="0" borderId="23" xfId="0" applyFont="1" applyBorder="1" applyAlignment="1">
      <alignment vertical="center"/>
    </xf>
    <xf numFmtId="0" fontId="0" fillId="0" borderId="23" xfId="0" applyFont="1" applyBorder="1" applyAlignment="1">
      <alignment/>
    </xf>
    <xf numFmtId="176" fontId="27" fillId="0" borderId="23" xfId="0" applyNumberFormat="1" applyFont="1" applyBorder="1" applyAlignment="1">
      <alignment/>
    </xf>
    <xf numFmtId="0" fontId="0" fillId="0" borderId="23" xfId="0" applyFont="1" applyBorder="1" applyAlignment="1">
      <alignment vertical="center"/>
    </xf>
    <xf numFmtId="167" fontId="0" fillId="0" borderId="23" xfId="0" applyNumberFormat="1" applyFont="1" applyBorder="1" applyAlignment="1">
      <alignment/>
    </xf>
    <xf numFmtId="3" fontId="20" fillId="0" borderId="23" xfId="0" applyNumberFormat="1" applyFont="1" applyBorder="1" applyAlignment="1">
      <alignment/>
    </xf>
    <xf numFmtId="0" fontId="20" fillId="0" borderId="23" xfId="0" applyFont="1" applyBorder="1" applyAlignment="1">
      <alignment vertical="center"/>
    </xf>
    <xf numFmtId="3" fontId="0" fillId="0" borderId="23" xfId="0" applyNumberFormat="1" applyFont="1" applyBorder="1" applyAlignment="1">
      <alignment horizontal="right"/>
    </xf>
    <xf numFmtId="176" fontId="0" fillId="0" borderId="23" xfId="0" applyNumberFormat="1" applyFont="1" applyBorder="1" applyAlignment="1">
      <alignment/>
    </xf>
    <xf numFmtId="9" fontId="0" fillId="0" borderId="23" xfId="69" applyFill="1" applyBorder="1" applyAlignment="1" applyProtection="1">
      <alignment/>
      <protection/>
    </xf>
    <xf numFmtId="176" fontId="20" fillId="0" borderId="23" xfId="0" applyNumberFormat="1" applyFont="1" applyBorder="1" applyAlignment="1">
      <alignment/>
    </xf>
    <xf numFmtId="167" fontId="53" fillId="0" borderId="0" xfId="0" applyNumberFormat="1" applyFont="1" applyFill="1" applyBorder="1" applyAlignment="1">
      <alignment horizontal="center" vertical="center"/>
    </xf>
    <xf numFmtId="176" fontId="20" fillId="0" borderId="0" xfId="0" applyNumberFormat="1" applyFont="1" applyAlignment="1">
      <alignment/>
    </xf>
    <xf numFmtId="0" fontId="53" fillId="0" borderId="0" xfId="0" applyFont="1" applyAlignment="1">
      <alignment horizontal="center" vertical="center"/>
    </xf>
    <xf numFmtId="0" fontId="54" fillId="0" borderId="0" xfId="0" applyFont="1" applyAlignment="1">
      <alignment horizontal="center" vertical="center"/>
    </xf>
    <xf numFmtId="0" fontId="53" fillId="0" borderId="0" xfId="0" applyFont="1" applyFill="1" applyAlignment="1">
      <alignment horizontal="center" vertical="center"/>
    </xf>
    <xf numFmtId="9" fontId="53" fillId="0" borderId="0" xfId="0" applyNumberFormat="1" applyFont="1" applyAlignment="1">
      <alignment horizontal="center" vertical="center"/>
    </xf>
    <xf numFmtId="0" fontId="55"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167" fontId="57" fillId="0" borderId="0" xfId="0" applyNumberFormat="1" applyFont="1" applyBorder="1" applyAlignment="1">
      <alignment/>
    </xf>
    <xf numFmtId="0" fontId="57" fillId="0" borderId="0" xfId="0" applyFont="1" applyFill="1" applyAlignment="1">
      <alignment/>
    </xf>
    <xf numFmtId="0" fontId="0" fillId="0" borderId="0" xfId="66" applyNumberFormat="1" applyFont="1" applyFill="1" applyBorder="1" applyAlignment="1">
      <alignment horizontal="left" vertical="center" indent="1"/>
      <protection/>
    </xf>
    <xf numFmtId="0" fontId="0" fillId="19" borderId="0" xfId="0" applyFont="1" applyFill="1" applyAlignment="1">
      <alignment vertical="center"/>
    </xf>
    <xf numFmtId="0" fontId="1" fillId="0" borderId="0" xfId="66" applyFont="1" applyAlignment="1">
      <alignment vertical="center"/>
      <protection/>
    </xf>
    <xf numFmtId="0" fontId="26" fillId="0" borderId="0" xfId="0" applyFont="1" applyAlignment="1">
      <alignment horizontal="center" vertical="center"/>
    </xf>
    <xf numFmtId="0" fontId="26" fillId="0" borderId="0" xfId="0" applyFont="1" applyAlignment="1">
      <alignment horizontal="center" vertical="center"/>
    </xf>
    <xf numFmtId="3" fontId="1" fillId="0" borderId="0" xfId="0" applyNumberFormat="1" applyFont="1" applyAlignment="1">
      <alignment horizontal="center" vertical="center"/>
    </xf>
    <xf numFmtId="0" fontId="0" fillId="0" borderId="22" xfId="66" applyFont="1" applyBorder="1" applyAlignment="1">
      <alignment vertical="center" wrapText="1"/>
      <protection/>
    </xf>
    <xf numFmtId="3" fontId="1" fillId="0" borderId="11" xfId="0" applyNumberFormat="1" applyFont="1" applyBorder="1" applyAlignment="1">
      <alignment horizontal="left" vertical="center"/>
    </xf>
    <xf numFmtId="167" fontId="1" fillId="0" borderId="11" xfId="0" applyNumberFormat="1" applyFont="1" applyBorder="1" applyAlignment="1">
      <alignment horizontal="right" vertical="center"/>
    </xf>
    <xf numFmtId="177" fontId="1" fillId="0" borderId="11" xfId="0" applyNumberFormat="1" applyFont="1" applyBorder="1" applyAlignment="1">
      <alignment vertical="center"/>
    </xf>
    <xf numFmtId="3" fontId="1" fillId="0" borderId="11" xfId="0" applyNumberFormat="1" applyFont="1" applyBorder="1" applyAlignment="1">
      <alignment horizontal="left" vertical="center" wrapText="1"/>
    </xf>
    <xf numFmtId="3" fontId="1" fillId="0" borderId="0" xfId="0" applyNumberFormat="1" applyFont="1" applyAlignment="1">
      <alignment horizontal="left" vertical="center"/>
    </xf>
    <xf numFmtId="177" fontId="1" fillId="0" borderId="0" xfId="0" applyNumberFormat="1" applyFont="1" applyAlignment="1">
      <alignment vertical="center"/>
    </xf>
    <xf numFmtId="167" fontId="0" fillId="6" borderId="13" xfId="0" applyNumberFormat="1" applyFill="1" applyBorder="1" applyAlignment="1">
      <alignment/>
    </xf>
    <xf numFmtId="167" fontId="61" fillId="0" borderId="11" xfId="0" applyNumberFormat="1" applyFont="1" applyFill="1" applyBorder="1" applyAlignment="1">
      <alignment horizontal="left" vertical="center"/>
    </xf>
    <xf numFmtId="9" fontId="0" fillId="17" borderId="11" xfId="69" applyFill="1" applyBorder="1" applyAlignment="1" applyProtection="1">
      <alignment vertical="center"/>
      <protection locked="0"/>
    </xf>
    <xf numFmtId="0" fontId="19" fillId="0" borderId="24" xfId="0" applyFont="1" applyBorder="1" applyAlignment="1">
      <alignment horizontal="right"/>
    </xf>
    <xf numFmtId="0" fontId="0" fillId="0" borderId="0" xfId="0" applyFont="1" applyAlignment="1">
      <alignment/>
    </xf>
    <xf numFmtId="183" fontId="1" fillId="0" borderId="0" xfId="57" applyNumberFormat="1" applyAlignment="1">
      <alignment/>
    </xf>
    <xf numFmtId="183" fontId="0" fillId="0" borderId="0" xfId="0" applyNumberFormat="1" applyFont="1" applyAlignment="1">
      <alignment/>
    </xf>
    <xf numFmtId="183" fontId="0" fillId="0" borderId="0" xfId="0" applyNumberFormat="1" applyFont="1" applyAlignment="1">
      <alignment/>
    </xf>
    <xf numFmtId="0" fontId="0" fillId="0" borderId="25" xfId="0" applyFont="1" applyBorder="1" applyAlignment="1">
      <alignment vertical="center"/>
    </xf>
    <xf numFmtId="0" fontId="0" fillId="0" borderId="25" xfId="0" applyFont="1" applyBorder="1" applyAlignment="1">
      <alignment/>
    </xf>
    <xf numFmtId="167" fontId="0" fillId="0" borderId="25" xfId="0" applyNumberFormat="1" applyFont="1" applyBorder="1" applyAlignment="1">
      <alignment/>
    </xf>
    <xf numFmtId="0" fontId="0" fillId="0" borderId="26" xfId="0" applyFont="1" applyBorder="1" applyAlignment="1">
      <alignment vertical="center"/>
    </xf>
    <xf numFmtId="0" fontId="0" fillId="0" borderId="26" xfId="0" applyFont="1" applyBorder="1" applyAlignment="1">
      <alignment/>
    </xf>
    <xf numFmtId="167" fontId="0" fillId="0" borderId="26" xfId="0" applyNumberFormat="1" applyFont="1" applyBorder="1" applyAlignment="1">
      <alignment/>
    </xf>
    <xf numFmtId="0" fontId="26" fillId="0" borderId="27" xfId="0" applyFont="1" applyBorder="1" applyAlignment="1">
      <alignment vertical="center"/>
    </xf>
    <xf numFmtId="0" fontId="0" fillId="0" borderId="28" xfId="0" applyFont="1" applyBorder="1" applyAlignment="1">
      <alignment/>
    </xf>
    <xf numFmtId="167" fontId="0" fillId="0" borderId="28" xfId="0" applyNumberFormat="1" applyFont="1" applyBorder="1" applyAlignment="1">
      <alignment/>
    </xf>
    <xf numFmtId="176" fontId="20" fillId="0" borderId="14" xfId="0" applyNumberFormat="1" applyFont="1" applyBorder="1" applyAlignment="1">
      <alignment/>
    </xf>
    <xf numFmtId="10" fontId="0" fillId="0" borderId="25" xfId="69" applyNumberFormat="1" applyFill="1" applyBorder="1" applyAlignment="1" applyProtection="1">
      <alignment vertical="center"/>
      <protection locked="0"/>
    </xf>
    <xf numFmtId="166" fontId="1" fillId="17" borderId="0" xfId="0" applyNumberFormat="1" applyFont="1" applyFill="1" applyAlignment="1" applyProtection="1">
      <alignment vertical="center"/>
      <protection locked="0"/>
    </xf>
    <xf numFmtId="0" fontId="20" fillId="0" borderId="0" xfId="66" applyFont="1" applyFill="1" applyBorder="1" applyAlignment="1">
      <alignment vertical="center" wrapText="1"/>
      <protection/>
    </xf>
    <xf numFmtId="177" fontId="1" fillId="0" borderId="0" xfId="0" applyNumberFormat="1" applyFont="1" applyFill="1" applyBorder="1" applyAlignment="1">
      <alignment/>
    </xf>
    <xf numFmtId="0" fontId="0" fillId="0" borderId="0" xfId="66" applyFont="1" applyAlignment="1">
      <alignment horizontal="left" vertical="center" indent="1"/>
      <protection/>
    </xf>
    <xf numFmtId="0" fontId="25" fillId="16" borderId="11" xfId="54" applyFill="1" applyBorder="1" applyAlignment="1" applyProtection="1">
      <alignment horizontal="left" vertical="center"/>
      <protection locked="0"/>
    </xf>
    <xf numFmtId="0" fontId="1" fillId="0" borderId="0" xfId="65">
      <alignment/>
      <protection/>
    </xf>
    <xf numFmtId="0" fontId="35" fillId="0" borderId="0" xfId="65" applyFont="1" applyAlignment="1">
      <alignment horizontal="center"/>
      <protection/>
    </xf>
    <xf numFmtId="0" fontId="35" fillId="0" borderId="0" xfId="65" applyFont="1">
      <alignment/>
      <protection/>
    </xf>
    <xf numFmtId="0" fontId="36" fillId="0" borderId="0" xfId="65" applyFont="1">
      <alignment/>
      <protection/>
    </xf>
    <xf numFmtId="4" fontId="35" fillId="0" borderId="0" xfId="65" applyNumberFormat="1" applyFont="1">
      <alignment/>
      <protection/>
    </xf>
    <xf numFmtId="4" fontId="36" fillId="0" borderId="0" xfId="65" applyNumberFormat="1" applyFont="1">
      <alignment/>
      <protection/>
    </xf>
    <xf numFmtId="0" fontId="19" fillId="0" borderId="0" xfId="65" applyFont="1" applyBorder="1">
      <alignment/>
      <protection/>
    </xf>
    <xf numFmtId="2" fontId="19" fillId="0" borderId="0" xfId="65" applyNumberFormat="1" applyFont="1" applyBorder="1">
      <alignment/>
      <protection/>
    </xf>
    <xf numFmtId="0" fontId="35" fillId="0" borderId="0" xfId="65" applyFont="1" applyBorder="1">
      <alignment/>
      <protection/>
    </xf>
    <xf numFmtId="0" fontId="19" fillId="0" borderId="0" xfId="65" applyNumberFormat="1" applyFont="1" applyBorder="1">
      <alignment/>
      <protection/>
    </xf>
    <xf numFmtId="0" fontId="62" fillId="0" borderId="0" xfId="65" applyFont="1">
      <alignment/>
      <protection/>
    </xf>
    <xf numFmtId="9" fontId="35" fillId="0" borderId="0" xfId="70" applyFont="1" applyAlignment="1">
      <alignment/>
    </xf>
    <xf numFmtId="0" fontId="62" fillId="0" borderId="0" xfId="65" applyFont="1" applyAlignment="1">
      <alignment horizontal="center"/>
      <protection/>
    </xf>
    <xf numFmtId="4" fontId="62" fillId="0" borderId="0" xfId="65" applyNumberFormat="1" applyFont="1">
      <alignment/>
      <protection/>
    </xf>
    <xf numFmtId="0" fontId="63" fillId="0" borderId="0" xfId="65" applyFont="1">
      <alignment/>
      <protection/>
    </xf>
    <xf numFmtId="4" fontId="63" fillId="0" borderId="0" xfId="65" applyNumberFormat="1" applyFont="1">
      <alignment/>
      <protection/>
    </xf>
    <xf numFmtId="0" fontId="34" fillId="0" borderId="0" xfId="65" applyFont="1">
      <alignment/>
      <protection/>
    </xf>
    <xf numFmtId="0" fontId="34" fillId="0" borderId="29" xfId="65" applyFont="1" applyBorder="1">
      <alignment/>
      <protection/>
    </xf>
    <xf numFmtId="0" fontId="35" fillId="0" borderId="0" xfId="65" applyFont="1" applyAlignment="1">
      <alignment wrapText="1"/>
      <protection/>
    </xf>
    <xf numFmtId="9" fontId="36" fillId="0" borderId="0" xfId="70" applyFont="1" applyAlignment="1">
      <alignment/>
    </xf>
    <xf numFmtId="0" fontId="36" fillId="0" borderId="29" xfId="65" applyFont="1" applyBorder="1">
      <alignment/>
      <protection/>
    </xf>
    <xf numFmtId="0" fontId="35" fillId="0" borderId="29" xfId="65" applyFont="1" applyBorder="1">
      <alignment/>
      <protection/>
    </xf>
    <xf numFmtId="4" fontId="36" fillId="0" borderId="29" xfId="65" applyNumberFormat="1" applyFont="1" applyBorder="1">
      <alignment/>
      <protection/>
    </xf>
    <xf numFmtId="0" fontId="36" fillId="0" borderId="0" xfId="65" applyFont="1" applyBorder="1">
      <alignment/>
      <protection/>
    </xf>
    <xf numFmtId="4" fontId="36" fillId="0" borderId="0" xfId="65" applyNumberFormat="1" applyFont="1" applyBorder="1">
      <alignment/>
      <protection/>
    </xf>
    <xf numFmtId="0" fontId="1" fillId="0" borderId="0" xfId="65" applyAlignment="1">
      <alignment horizontal="left" vertical="center" wrapText="1"/>
      <protection/>
    </xf>
    <xf numFmtId="0" fontId="34" fillId="0" borderId="0" xfId="65" applyFont="1" applyAlignment="1" applyProtection="1">
      <alignment/>
      <protection locked="0"/>
    </xf>
    <xf numFmtId="3" fontId="1" fillId="0" borderId="0" xfId="65" applyNumberFormat="1" applyFont="1" applyFill="1" applyBorder="1" applyAlignment="1">
      <alignment horizontal="left" vertical="center"/>
      <protection/>
    </xf>
    <xf numFmtId="4" fontId="35" fillId="20" borderId="0" xfId="65" applyNumberFormat="1" applyFont="1" applyFill="1">
      <alignment/>
      <protection/>
    </xf>
    <xf numFmtId="4" fontId="35" fillId="20" borderId="0" xfId="65" applyNumberFormat="1" applyFont="1" applyFill="1" applyBorder="1">
      <alignment/>
      <protection/>
    </xf>
    <xf numFmtId="2" fontId="19" fillId="20" borderId="0" xfId="65" applyNumberFormat="1" applyFont="1" applyFill="1" applyBorder="1">
      <alignment/>
      <protection/>
    </xf>
    <xf numFmtId="2" fontId="35" fillId="20" borderId="0" xfId="65" applyNumberFormat="1" applyFont="1" applyFill="1">
      <alignment/>
      <protection/>
    </xf>
    <xf numFmtId="0" fontId="62" fillId="20" borderId="0" xfId="65" applyFont="1" applyFill="1">
      <alignment/>
      <protection/>
    </xf>
    <xf numFmtId="0" fontId="35" fillId="20" borderId="0" xfId="65" applyFont="1" applyFill="1">
      <alignment/>
      <protection/>
    </xf>
    <xf numFmtId="4" fontId="62" fillId="20" borderId="0" xfId="65" applyNumberFormat="1" applyFont="1" applyFill="1">
      <alignment/>
      <protection/>
    </xf>
    <xf numFmtId="0" fontId="0" fillId="0" borderId="22" xfId="66" applyBorder="1" applyAlignment="1">
      <alignment vertical="center" wrapText="1"/>
      <protection/>
    </xf>
    <xf numFmtId="167" fontId="61" fillId="0" borderId="11" xfId="0" applyNumberFormat="1" applyFont="1" applyBorder="1" applyAlignment="1">
      <alignment horizontal="left" vertical="center"/>
    </xf>
    <xf numFmtId="3" fontId="37" fillId="0" borderId="0" xfId="0" applyNumberFormat="1" applyFont="1" applyAlignment="1">
      <alignment horizontal="center" vertical="center"/>
    </xf>
    <xf numFmtId="3" fontId="37" fillId="0" borderId="11" xfId="0" applyNumberFormat="1" applyFont="1" applyBorder="1" applyAlignment="1">
      <alignment horizontal="left" vertical="center" wrapText="1"/>
    </xf>
    <xf numFmtId="3" fontId="37" fillId="0" borderId="11" xfId="0" applyNumberFormat="1" applyFont="1" applyBorder="1" applyAlignment="1">
      <alignment horizontal="left" vertical="center"/>
    </xf>
    <xf numFmtId="167" fontId="37" fillId="0" borderId="11" xfId="0" applyNumberFormat="1" applyFont="1" applyBorder="1" applyAlignment="1">
      <alignment horizontal="right" vertical="center"/>
    </xf>
    <xf numFmtId="177" fontId="37" fillId="0" borderId="11" xfId="0" applyNumberFormat="1" applyFont="1" applyBorder="1" applyAlignment="1">
      <alignment vertical="center"/>
    </xf>
    <xf numFmtId="177" fontId="1" fillId="0" borderId="11" xfId="0" applyNumberFormat="1" applyFont="1" applyFill="1" applyBorder="1" applyAlignment="1" applyProtection="1">
      <alignment vertical="center"/>
      <protection/>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167" fontId="0" fillId="0" borderId="0" xfId="0" applyNumberFormat="1" applyFill="1" applyBorder="1" applyAlignment="1">
      <alignment horizontal="left" vertical="top" wrapText="1"/>
    </xf>
    <xf numFmtId="167" fontId="0" fillId="0" borderId="0" xfId="0" applyNumberFormat="1" applyFont="1" applyFill="1" applyBorder="1" applyAlignment="1">
      <alignment horizontal="left" vertical="top" wrapText="1"/>
    </xf>
    <xf numFmtId="167" fontId="0" fillId="0" borderId="0" xfId="0" applyNumberFormat="1" applyFont="1" applyFill="1" applyBorder="1" applyAlignment="1">
      <alignment horizontal="left" vertical="top"/>
    </xf>
    <xf numFmtId="176" fontId="27" fillId="0" borderId="23" xfId="0" applyNumberFormat="1" applyFont="1" applyBorder="1" applyAlignment="1">
      <alignment horizontal="right"/>
    </xf>
    <xf numFmtId="0" fontId="25" fillId="18" borderId="21" xfId="54" applyFill="1" applyBorder="1" applyAlignment="1" applyProtection="1">
      <alignment vertical="center"/>
      <protection locked="0"/>
    </xf>
    <xf numFmtId="3" fontId="33" fillId="21" borderId="21" xfId="0" applyNumberFormat="1" applyFont="1" applyFill="1" applyBorder="1" applyAlignment="1">
      <alignment horizontal="left" vertical="center" wrapText="1"/>
    </xf>
    <xf numFmtId="3" fontId="1" fillId="22" borderId="21" xfId="0" applyNumberFormat="1" applyFont="1" applyFill="1" applyBorder="1" applyAlignment="1">
      <alignment horizontal="left" vertical="center" wrapText="1"/>
    </xf>
    <xf numFmtId="176" fontId="27" fillId="0" borderId="13" xfId="0" applyNumberFormat="1" applyFont="1" applyBorder="1" applyAlignment="1">
      <alignment horizontal="right"/>
    </xf>
    <xf numFmtId="0" fontId="25" fillId="18" borderId="21" xfId="54" applyNumberFormat="1" applyFill="1" applyBorder="1" applyAlignment="1" applyProtection="1">
      <alignment vertical="center"/>
      <protection locked="0"/>
    </xf>
    <xf numFmtId="3" fontId="33" fillId="22" borderId="33" xfId="0" applyNumberFormat="1" applyFont="1" applyFill="1" applyBorder="1" applyAlignment="1">
      <alignment horizontal="left" vertical="center" wrapText="1"/>
    </xf>
    <xf numFmtId="3" fontId="0" fillId="0" borderId="0" xfId="0" applyNumberForma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1" fillId="0" borderId="0" xfId="0" applyFont="1" applyAlignment="1">
      <alignment horizontal="justify"/>
    </xf>
    <xf numFmtId="0" fontId="21" fillId="2" borderId="34" xfId="0" applyFont="1" applyFill="1" applyBorder="1" applyAlignment="1">
      <alignment vertical="top" wrapText="1"/>
    </xf>
    <xf numFmtId="0" fontId="21" fillId="2" borderId="35" xfId="0" applyFont="1" applyFill="1" applyBorder="1" applyAlignment="1">
      <alignment vertical="top" wrapText="1"/>
    </xf>
    <xf numFmtId="0" fontId="21" fillId="2" borderId="36" xfId="0" applyFont="1" applyFill="1" applyBorder="1" applyAlignment="1">
      <alignment vertical="top" wrapText="1"/>
    </xf>
    <xf numFmtId="3" fontId="33" fillId="21" borderId="11" xfId="0" applyNumberFormat="1" applyFont="1" applyFill="1" applyBorder="1" applyAlignment="1">
      <alignment horizontal="left" vertical="center" wrapText="1"/>
    </xf>
    <xf numFmtId="167" fontId="1" fillId="0" borderId="0" xfId="65" applyNumberFormat="1" applyFont="1" applyFill="1" applyBorder="1" applyAlignment="1">
      <alignment horizontal="left" vertical="top" wrapText="1"/>
      <protection/>
    </xf>
    <xf numFmtId="167" fontId="1" fillId="0" borderId="0" xfId="65" applyNumberFormat="1" applyFill="1" applyBorder="1" applyAlignment="1">
      <alignment horizontal="left" vertical="top" wrapText="1"/>
      <protection/>
    </xf>
    <xf numFmtId="167" fontId="1" fillId="0" borderId="0" xfId="65" applyNumberFormat="1" applyFill="1" applyBorder="1" applyAlignment="1">
      <alignment vertical="top" wrapText="1"/>
      <protection/>
    </xf>
    <xf numFmtId="0" fontId="1" fillId="0" borderId="0" xfId="65" applyAlignment="1">
      <alignment/>
      <protection/>
    </xf>
    <xf numFmtId="0" fontId="34" fillId="0" borderId="0" xfId="65" applyFont="1" applyAlignment="1" applyProtection="1">
      <alignment/>
      <protection locked="0"/>
    </xf>
    <xf numFmtId="0" fontId="62" fillId="0" borderId="0" xfId="65" applyFont="1" applyAlignment="1">
      <alignment horizontal="left"/>
      <protection/>
    </xf>
    <xf numFmtId="0" fontId="1" fillId="0" borderId="0" xfId="65" applyAlignment="1">
      <alignment horizontal="left" vertical="center" wrapText="1"/>
      <protection/>
    </xf>
    <xf numFmtId="3" fontId="1" fillId="2" borderId="0" xfId="65" applyNumberFormat="1" applyFont="1" applyFill="1" applyBorder="1" applyAlignment="1">
      <alignment horizontal="left" vertical="center"/>
      <protection/>
    </xf>
    <xf numFmtId="167" fontId="1" fillId="0" borderId="0" xfId="65" applyNumberFormat="1" applyFont="1" applyFill="1" applyBorder="1" applyAlignment="1">
      <alignment horizontal="left" vertical="top"/>
      <protection/>
    </xf>
    <xf numFmtId="3" fontId="1" fillId="0" borderId="0" xfId="65" applyNumberFormat="1" applyFont="1" applyFill="1" applyBorder="1" applyAlignment="1">
      <alignment horizontal="left" vertical="center"/>
      <protection/>
    </xf>
    <xf numFmtId="167" fontId="61" fillId="0" borderId="11" xfId="0" applyNumberFormat="1" applyFont="1" applyFill="1" applyBorder="1" applyAlignment="1" applyProtection="1">
      <alignment horizontal="left" vertical="center" wrapText="1"/>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3">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kB2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1"/>
  <sheetViews>
    <sheetView showGridLines="0" zoomScaleSheetLayoutView="55" workbookViewId="0" topLeftCell="A37">
      <selection activeCell="F421" sqref="F421:F423"/>
    </sheetView>
  </sheetViews>
  <sheetFormatPr defaultColWidth="9.00390625" defaultRowHeight="12.75"/>
  <cols>
    <col min="1" max="1" width="4.375" style="26" customWidth="1"/>
    <col min="2" max="2" width="12.875" style="64" customWidth="1"/>
    <col min="3" max="3" width="54.625" style="2" customWidth="1"/>
    <col min="4" max="4" width="6.875" style="1" customWidth="1"/>
    <col min="5" max="5" width="9.625" style="16" customWidth="1"/>
    <col min="6" max="6" width="12.625" style="16" customWidth="1"/>
    <col min="7" max="7" width="15.375" style="1" customWidth="1"/>
    <col min="8" max="8" width="17.00390625" style="119" customWidth="1"/>
    <col min="9" max="9" width="9.125" style="125" customWidth="1"/>
    <col min="10" max="10" width="12.125" style="7" customWidth="1"/>
    <col min="11" max="11" width="13.25390625" style="1" customWidth="1"/>
    <col min="12" max="12" width="16.00390625" style="1" customWidth="1"/>
    <col min="13" max="13" width="10.00390625" style="1" customWidth="1"/>
    <col min="14" max="17" width="9.125" style="1" customWidth="1"/>
    <col min="18" max="16384" width="9.125" style="1" customWidth="1"/>
  </cols>
  <sheetData>
    <row r="2" spans="3:12" ht="12.75">
      <c r="C2" s="132"/>
      <c r="E2" s="17" t="s">
        <v>3</v>
      </c>
      <c r="F2" s="17" t="s">
        <v>4</v>
      </c>
      <c r="G2" s="3" t="s">
        <v>5</v>
      </c>
      <c r="J2" s="147" t="s">
        <v>320</v>
      </c>
      <c r="K2" s="147" t="s">
        <v>321</v>
      </c>
      <c r="L2" s="147" t="s">
        <v>322</v>
      </c>
    </row>
    <row r="3" spans="3:12" ht="12.75">
      <c r="C3" s="132"/>
      <c r="J3" s="148"/>
      <c r="K3" s="148"/>
      <c r="L3" s="97"/>
    </row>
    <row r="4" spans="10:12" ht="12.75">
      <c r="J4" s="148"/>
      <c r="K4" s="148"/>
      <c r="L4" s="97"/>
    </row>
    <row r="5" spans="3:12" ht="44.25" customHeight="1">
      <c r="C5" s="211" t="s">
        <v>381</v>
      </c>
      <c r="D5" s="212"/>
      <c r="E5" s="212"/>
      <c r="F5" s="212"/>
      <c r="G5" s="213"/>
      <c r="J5" s="148"/>
      <c r="K5" s="148"/>
      <c r="L5" s="97"/>
    </row>
    <row r="6" spans="3:12" ht="37.5" customHeight="1">
      <c r="C6" s="214" t="s">
        <v>281</v>
      </c>
      <c r="D6" s="215"/>
      <c r="E6" s="215"/>
      <c r="F6" s="215"/>
      <c r="G6" s="216"/>
      <c r="J6" s="148"/>
      <c r="K6" s="148"/>
      <c r="L6" s="97"/>
    </row>
    <row r="7" spans="3:12" ht="12.75">
      <c r="C7" s="50"/>
      <c r="D7" s="4"/>
      <c r="E7" s="18"/>
      <c r="F7" s="18"/>
      <c r="G7" s="51"/>
      <c r="J7" s="148"/>
      <c r="K7" s="148"/>
      <c r="L7" s="97"/>
    </row>
    <row r="8" spans="3:12" ht="23.25">
      <c r="C8" s="52" t="s">
        <v>6</v>
      </c>
      <c r="D8" s="53"/>
      <c r="E8" s="54"/>
      <c r="F8" s="54"/>
      <c r="G8" s="55"/>
      <c r="J8" s="148"/>
      <c r="K8" s="148"/>
      <c r="L8" s="97"/>
    </row>
    <row r="9" spans="10:12" ht="12.75">
      <c r="J9" s="148"/>
      <c r="K9" s="148"/>
      <c r="L9" s="97"/>
    </row>
    <row r="10" spans="10:12" ht="12.75">
      <c r="J10" s="5"/>
      <c r="K10" s="5"/>
      <c r="L10" s="97"/>
    </row>
    <row r="11" spans="1:12" s="5" customFormat="1" ht="16.5">
      <c r="A11" s="39"/>
      <c r="B11" s="65">
        <v>1</v>
      </c>
      <c r="C11" s="90" t="str">
        <f>Kapitola_1</f>
        <v>Přípravné a bourací práce</v>
      </c>
      <c r="D11" s="60"/>
      <c r="E11" s="61"/>
      <c r="F11" s="72"/>
      <c r="G11" s="72">
        <f>+Cena_1</f>
        <v>0</v>
      </c>
      <c r="H11" s="120"/>
      <c r="I11" s="126"/>
      <c r="J11" s="149">
        <f>SUMIF(H$82:H$116,"O",G$82:G$116)</f>
        <v>0</v>
      </c>
      <c r="K11" s="149">
        <f>SUMIF(H$82:H$116,"i",G$82:G$116)</f>
        <v>0</v>
      </c>
      <c r="L11" s="150">
        <f>SUM(J11:K11)</f>
        <v>0</v>
      </c>
    </row>
    <row r="12" spans="1:9" s="5" customFormat="1" ht="16.5">
      <c r="A12" s="39"/>
      <c r="B12" s="65">
        <v>2</v>
      </c>
      <c r="C12" s="90" t="str">
        <f>Kapitola_2</f>
        <v>Stavební úpravy bytové jednotky</v>
      </c>
      <c r="D12" s="60"/>
      <c r="E12" s="61"/>
      <c r="F12" s="72"/>
      <c r="G12" s="72">
        <f>SUM(F13:F28)</f>
        <v>0</v>
      </c>
      <c r="H12" s="120"/>
      <c r="I12" s="126"/>
    </row>
    <row r="13" spans="1:12" s="5" customFormat="1" ht="16.5">
      <c r="A13" s="39"/>
      <c r="B13" s="74" t="s">
        <v>40</v>
      </c>
      <c r="C13" s="90" t="str">
        <f>Kapitola_2a</f>
        <v>Stěny a příčky</v>
      </c>
      <c r="D13" s="60"/>
      <c r="E13" s="61"/>
      <c r="F13" s="72">
        <f>+Cena_2a</f>
        <v>0</v>
      </c>
      <c r="G13" s="72"/>
      <c r="H13" s="120"/>
      <c r="I13" s="126"/>
      <c r="J13" s="149">
        <f>SUMIF(H$121:H$128,"O",G$121:G$128)</f>
        <v>0</v>
      </c>
      <c r="K13" s="149">
        <f>SUMIF(H$121:H$128,"i",G$121:G$128)</f>
        <v>0</v>
      </c>
      <c r="L13" s="150">
        <f aca="true" t="shared" si="0" ref="L13:L29">SUM(J13:K13)</f>
        <v>0</v>
      </c>
    </row>
    <row r="14" spans="1:12" s="5" customFormat="1" ht="16.5">
      <c r="A14" s="39"/>
      <c r="B14" s="74" t="s">
        <v>41</v>
      </c>
      <c r="C14" s="90" t="str">
        <f>Kapitola_2b</f>
        <v>Stropy a stropní konstrukce</v>
      </c>
      <c r="D14" s="60"/>
      <c r="E14" s="61"/>
      <c r="F14" s="72">
        <f>+Cena_2b</f>
        <v>0</v>
      </c>
      <c r="G14" s="72"/>
      <c r="H14" s="120"/>
      <c r="I14" s="126"/>
      <c r="J14" s="149">
        <f>SUMIF(H$133:H$141,"O",G$133:G$141)</f>
        <v>0</v>
      </c>
      <c r="K14" s="149">
        <f>SUMIF(H$133:H$141,"i",G$133:G$141)</f>
        <v>0</v>
      </c>
      <c r="L14" s="150">
        <f t="shared" si="0"/>
        <v>0</v>
      </c>
    </row>
    <row r="15" spans="1:12" s="5" customFormat="1" ht="16.5">
      <c r="A15" s="39"/>
      <c r="B15" s="74" t="s">
        <v>42</v>
      </c>
      <c r="C15" s="90" t="str">
        <f>Kapitola_2c</f>
        <v>Úpravy povrchů vnitřní (stěny, stropy)</v>
      </c>
      <c r="D15" s="60"/>
      <c r="E15" s="61"/>
      <c r="F15" s="72">
        <f>+Cena_2c</f>
        <v>0</v>
      </c>
      <c r="G15" s="72"/>
      <c r="H15" s="120"/>
      <c r="I15" s="126"/>
      <c r="J15" s="149">
        <f>SUMIF(H$146:H$183,"O",G$146:G$183)</f>
        <v>0</v>
      </c>
      <c r="K15" s="149">
        <f>SUMIF(H$146:H$183,"i",G$146:G$183)</f>
        <v>0</v>
      </c>
      <c r="L15" s="150">
        <f t="shared" si="0"/>
        <v>0</v>
      </c>
    </row>
    <row r="16" spans="1:12" s="5" customFormat="1" ht="16.5">
      <c r="A16" s="39"/>
      <c r="B16" s="74" t="s">
        <v>43</v>
      </c>
      <c r="C16" s="90" t="str">
        <f>Kapitola_2d</f>
        <v>Zdravotechnika - vnitřní kanalizace</v>
      </c>
      <c r="D16" s="60"/>
      <c r="E16" s="61"/>
      <c r="F16" s="72">
        <f>+Cena_2d</f>
        <v>0</v>
      </c>
      <c r="G16" s="72"/>
      <c r="H16" s="120"/>
      <c r="I16" s="126"/>
      <c r="J16" s="149">
        <f>SUMIF(H$188:H$213,"O",G$188:G$213)</f>
        <v>0</v>
      </c>
      <c r="K16" s="149">
        <f>SUMIF(H$188:H$213,"i",G$188:G$213)</f>
        <v>0</v>
      </c>
      <c r="L16" s="150">
        <f t="shared" si="0"/>
        <v>0</v>
      </c>
    </row>
    <row r="17" spans="1:12" s="5" customFormat="1" ht="16.5">
      <c r="A17" s="39"/>
      <c r="B17" s="74" t="s">
        <v>44</v>
      </c>
      <c r="C17" s="90" t="str">
        <f>Kapitola_2e</f>
        <v>Zdravotechnika - vnitřní vodovod</v>
      </c>
      <c r="D17" s="60"/>
      <c r="E17" s="61"/>
      <c r="F17" s="72">
        <f>+Cena_2e</f>
        <v>0</v>
      </c>
      <c r="G17" s="72"/>
      <c r="H17" s="120"/>
      <c r="I17" s="126"/>
      <c r="J17" s="149">
        <f>SUMIF(H$218:H$229,"O",G$218:G$229)</f>
        <v>0</v>
      </c>
      <c r="K17" s="149">
        <f>SUMIF(H$218:H$229,"i",G$218:G$229)</f>
        <v>0</v>
      </c>
      <c r="L17" s="150">
        <f t="shared" si="0"/>
        <v>0</v>
      </c>
    </row>
    <row r="18" spans="1:12" s="5" customFormat="1" ht="16.5">
      <c r="A18" s="39"/>
      <c r="B18" s="74" t="s">
        <v>45</v>
      </c>
      <c r="C18" s="90" t="str">
        <f>+C232</f>
        <v>Plynovod</v>
      </c>
      <c r="D18" s="60"/>
      <c r="E18" s="61"/>
      <c r="F18" s="72">
        <f>+G253</f>
        <v>0</v>
      </c>
      <c r="G18" s="72"/>
      <c r="H18" s="120"/>
      <c r="I18" s="126"/>
      <c r="J18" s="149">
        <f>SUMIF(H$234:H$252,"O",G$234:G$252)</f>
        <v>0</v>
      </c>
      <c r="K18" s="149">
        <f>SUMIF(H$234:H$252,"i",G$234:G$252)</f>
        <v>0</v>
      </c>
      <c r="L18" s="150">
        <f>SUM(J18:K18)</f>
        <v>0</v>
      </c>
    </row>
    <row r="19" spans="1:12" s="5" customFormat="1" ht="16.5">
      <c r="A19" s="39"/>
      <c r="B19" s="74" t="s">
        <v>46</v>
      </c>
      <c r="C19" s="90" t="str">
        <f>Kapitola_2f</f>
        <v>Zdravotechnika - zařizovací předměty, armatury </v>
      </c>
      <c r="D19" s="60"/>
      <c r="E19" s="61"/>
      <c r="F19" s="72">
        <f>+Cena_2f</f>
        <v>0</v>
      </c>
      <c r="G19" s="72"/>
      <c r="H19" s="120"/>
      <c r="I19" s="126"/>
      <c r="J19" s="149">
        <f>SUMIF(H$257:H$274,"O",G$257:G$274)</f>
        <v>0</v>
      </c>
      <c r="K19" s="149">
        <f>SUMIF(H$257:H$274,"i",G$257:G$274)</f>
        <v>0</v>
      </c>
      <c r="L19" s="150">
        <f>SUM(J19:K19)</f>
        <v>0</v>
      </c>
    </row>
    <row r="20" spans="1:12" s="5" customFormat="1" ht="16.5">
      <c r="A20" s="39"/>
      <c r="B20" s="74" t="s">
        <v>57</v>
      </c>
      <c r="C20" s="90" t="str">
        <f>Kapitola_2g</f>
        <v>Elektroinstalace - silnoproud </v>
      </c>
      <c r="D20" s="60"/>
      <c r="E20" s="61"/>
      <c r="F20" s="72">
        <f>+Cena_2g</f>
        <v>0</v>
      </c>
      <c r="G20" s="72"/>
      <c r="H20" s="120"/>
      <c r="I20" s="126"/>
      <c r="J20" s="149">
        <f>SUMIF(H$279:H$280,"O",G$279:G$280)</f>
        <v>0</v>
      </c>
      <c r="K20" s="149">
        <f>SUMIF(H$279:H$280,"i",G$279:G$280)</f>
        <v>0</v>
      </c>
      <c r="L20" s="150">
        <f t="shared" si="0"/>
        <v>0</v>
      </c>
    </row>
    <row r="21" spans="1:12" s="5" customFormat="1" ht="16.5">
      <c r="A21" s="39"/>
      <c r="B21" s="74" t="s">
        <v>115</v>
      </c>
      <c r="C21" s="90" t="str">
        <f>Kapitola_2h</f>
        <v>Elektroinstalace - slaboproud</v>
      </c>
      <c r="D21" s="60"/>
      <c r="E21" s="61"/>
      <c r="F21" s="72">
        <f>+Cena_2h</f>
        <v>0</v>
      </c>
      <c r="G21" s="72"/>
      <c r="H21" s="120"/>
      <c r="I21" s="126"/>
      <c r="J21" s="149">
        <f>SUMIF(H$285:H$287,"O",G$285:G$287)</f>
        <v>0</v>
      </c>
      <c r="K21" s="149">
        <f>SUMIF(H$285:H$287,"i",G$285:G$287)</f>
        <v>0</v>
      </c>
      <c r="L21" s="150">
        <f t="shared" si="0"/>
        <v>0</v>
      </c>
    </row>
    <row r="22" spans="1:12" s="5" customFormat="1" ht="16.5">
      <c r="A22" s="39"/>
      <c r="B22" s="131" t="s">
        <v>116</v>
      </c>
      <c r="C22" s="90" t="str">
        <f>Kapitola_2i</f>
        <v>Vzduchotechnika</v>
      </c>
      <c r="D22" s="60"/>
      <c r="E22" s="61"/>
      <c r="F22" s="72">
        <f>+Cena_2i</f>
        <v>0</v>
      </c>
      <c r="G22" s="72"/>
      <c r="H22" s="120"/>
      <c r="I22" s="126"/>
      <c r="J22" s="149">
        <f>SUMIF(H$292:H$304,"O",G$292:G$304)</f>
        <v>0</v>
      </c>
      <c r="K22" s="149">
        <f>SUMIF(H$292:H$304,"i",G$292:G$304)</f>
        <v>0</v>
      </c>
      <c r="L22" s="150">
        <f t="shared" si="0"/>
        <v>0</v>
      </c>
    </row>
    <row r="23" spans="1:12" s="5" customFormat="1" ht="16.5">
      <c r="A23" s="39"/>
      <c r="B23" s="131" t="s">
        <v>117</v>
      </c>
      <c r="C23" s="90" t="str">
        <f>+C307</f>
        <v>Etážové topení</v>
      </c>
      <c r="D23" s="60"/>
      <c r="E23" s="61"/>
      <c r="F23" s="72">
        <f>+G330</f>
        <v>0</v>
      </c>
      <c r="G23" s="72"/>
      <c r="H23" s="120"/>
      <c r="I23" s="126"/>
      <c r="J23" s="149">
        <f>SUMIF(H$309:H$329,"O",G$309:G$329)</f>
        <v>0</v>
      </c>
      <c r="K23" s="149">
        <f>SUMIF(H$309:H$329,"i",G$309:G$329)</f>
        <v>0</v>
      </c>
      <c r="L23" s="150">
        <f>SUM(J23:K23)</f>
        <v>0</v>
      </c>
    </row>
    <row r="24" spans="1:12" s="5" customFormat="1" ht="16.5">
      <c r="A24" s="39"/>
      <c r="B24" s="131" t="s">
        <v>118</v>
      </c>
      <c r="C24" s="90" t="str">
        <f>Kapitola_2j</f>
        <v>Konstrukce truhlářské</v>
      </c>
      <c r="D24" s="60"/>
      <c r="E24" s="61"/>
      <c r="F24" s="72">
        <f>+Cena_2j</f>
        <v>0</v>
      </c>
      <c r="G24" s="72"/>
      <c r="H24" s="120"/>
      <c r="I24" s="126"/>
      <c r="J24" s="149">
        <f>SUMIF(H$334:H$358,"O",G$334:G$358)</f>
        <v>0</v>
      </c>
      <c r="K24" s="149">
        <f>SUMIF(H$334:H$358,"i",G$334:G$358)</f>
        <v>0</v>
      </c>
      <c r="L24" s="150">
        <f t="shared" si="0"/>
        <v>0</v>
      </c>
    </row>
    <row r="25" spans="1:12" s="5" customFormat="1" ht="16.5">
      <c r="A25" s="39"/>
      <c r="B25" s="131" t="s">
        <v>119</v>
      </c>
      <c r="C25" s="90" t="str">
        <f>Kapitola_2k</f>
        <v>Konstrukce zámečnické</v>
      </c>
      <c r="D25" s="60"/>
      <c r="E25" s="61"/>
      <c r="F25" s="72">
        <f>+Cena_2k</f>
        <v>0</v>
      </c>
      <c r="G25" s="72"/>
      <c r="H25" s="120"/>
      <c r="I25" s="126"/>
      <c r="J25" s="149">
        <f>SUMIF(H$363:H$367,"O",G$363:G$367)</f>
        <v>0</v>
      </c>
      <c r="K25" s="149">
        <f>SUMIF(H$363:H$367,"i",G$363:G$367)</f>
        <v>0</v>
      </c>
      <c r="L25" s="150">
        <f t="shared" si="0"/>
        <v>0</v>
      </c>
    </row>
    <row r="26" spans="2:12" s="5" customFormat="1" ht="16.5">
      <c r="B26" s="166" t="s">
        <v>225</v>
      </c>
      <c r="C26" s="167" t="str">
        <f>+C370</f>
        <v>Konstrukce klempířské</v>
      </c>
      <c r="D26" s="60"/>
      <c r="E26" s="61"/>
      <c r="F26" s="72">
        <f>+G374</f>
        <v>0</v>
      </c>
      <c r="G26" s="72"/>
      <c r="H26" s="120"/>
      <c r="I26" s="126"/>
      <c r="J26" s="149">
        <f>SUMIF(H$372:H$373,"O",G$372:G$373)</f>
        <v>0</v>
      </c>
      <c r="K26" s="149">
        <f>SUMIF(H$372:H$373,"i",G$372:G$373)</f>
        <v>0</v>
      </c>
      <c r="L26" s="150">
        <f t="shared" si="0"/>
        <v>0</v>
      </c>
    </row>
    <row r="27" spans="1:12" s="5" customFormat="1" ht="16.5">
      <c r="A27" s="39"/>
      <c r="B27" s="131" t="s">
        <v>385</v>
      </c>
      <c r="C27" s="90" t="str">
        <f>Kapitola_2l</f>
        <v>Podlahy z dlaždic</v>
      </c>
      <c r="D27" s="60"/>
      <c r="E27" s="61"/>
      <c r="F27" s="72">
        <f>+Cena_2l</f>
        <v>0</v>
      </c>
      <c r="G27" s="72"/>
      <c r="H27" s="120"/>
      <c r="I27" s="126"/>
      <c r="J27" s="149">
        <f>SUMIF(H$378:H$396,"O",G$378:G$396)</f>
        <v>0</v>
      </c>
      <c r="K27" s="149">
        <f>SUMIF(H$378:H$396,"i",G$378:G$396)</f>
        <v>0</v>
      </c>
      <c r="L27" s="150">
        <f t="shared" si="0"/>
        <v>0</v>
      </c>
    </row>
    <row r="28" spans="1:12" s="5" customFormat="1" ht="16.5">
      <c r="A28" s="39"/>
      <c r="B28" s="131" t="s">
        <v>403</v>
      </c>
      <c r="C28" s="90" t="str">
        <f>Kapitola_2m</f>
        <v>Podlahy dřevěné a povlakové</v>
      </c>
      <c r="D28" s="60"/>
      <c r="E28" s="61"/>
      <c r="F28" s="72">
        <f>+Cena_2m</f>
        <v>0</v>
      </c>
      <c r="G28" s="72"/>
      <c r="H28" s="120"/>
      <c r="I28" s="126"/>
      <c r="J28" s="149">
        <f>SUMIF(H$401:H$417,"O",G$401:G$417)</f>
        <v>0</v>
      </c>
      <c r="K28" s="149">
        <f>SUMIF(H$401:H$417,"i",G$401:G$417)</f>
        <v>0</v>
      </c>
      <c r="L28" s="150">
        <f t="shared" si="0"/>
        <v>0</v>
      </c>
    </row>
    <row r="29" spans="1:12" s="5" customFormat="1" ht="16.5">
      <c r="A29" s="39"/>
      <c r="B29" s="65">
        <v>3</v>
      </c>
      <c r="C29" s="90" t="str">
        <f>Dokoncovaci_prace</f>
        <v>Dokončovací práce</v>
      </c>
      <c r="D29" s="60"/>
      <c r="E29" s="61"/>
      <c r="F29" s="72"/>
      <c r="G29" s="72">
        <f>Cena_dokoncovaci_prace</f>
        <v>0</v>
      </c>
      <c r="H29" s="120"/>
      <c r="I29" s="126"/>
      <c r="J29" s="149">
        <f>SUMIF(H$421:H$423,"O",G$421:G$423)</f>
        <v>0</v>
      </c>
      <c r="K29" s="149">
        <f>SUMIF(H$421:H$423,"i",G$421:G$423)</f>
        <v>0</v>
      </c>
      <c r="L29" s="150">
        <f t="shared" si="0"/>
        <v>0</v>
      </c>
    </row>
    <row r="30" spans="1:12" s="5" customFormat="1" ht="16.5">
      <c r="A30" s="39"/>
      <c r="B30" s="66" t="s">
        <v>58</v>
      </c>
      <c r="C30" s="90" t="str">
        <f>Doplňky_dodavatele</f>
        <v>Doplňky dodavatele</v>
      </c>
      <c r="D30" s="60"/>
      <c r="E30" s="61"/>
      <c r="F30" s="72"/>
      <c r="G30" s="72">
        <f>Cena_doplňky_dodavatele</f>
        <v>0</v>
      </c>
      <c r="H30" s="120"/>
      <c r="I30" s="126"/>
      <c r="J30" s="148"/>
      <c r="K30" s="148"/>
      <c r="L30" s="151"/>
    </row>
    <row r="31" spans="3:12" ht="12.75">
      <c r="C31" s="25"/>
      <c r="D31" s="26"/>
      <c r="E31" s="20"/>
      <c r="F31" s="73"/>
      <c r="G31" s="73"/>
      <c r="J31" s="148"/>
      <c r="K31" s="148"/>
      <c r="L31" s="148"/>
    </row>
    <row r="32" spans="3:12" ht="15" customHeight="1">
      <c r="C32" s="106" t="s">
        <v>8</v>
      </c>
      <c r="D32" s="107"/>
      <c r="E32" s="108"/>
      <c r="F32" s="220">
        <f>SUM(G11:G30)</f>
        <v>0</v>
      </c>
      <c r="G32" s="220"/>
      <c r="J32" s="151">
        <f>SUM(J11:J31)</f>
        <v>0</v>
      </c>
      <c r="K32" s="151">
        <f>SUM(K11:K31)</f>
        <v>0</v>
      </c>
      <c r="L32" s="151">
        <f>SUM(J32:K32)</f>
        <v>0</v>
      </c>
    </row>
    <row r="33" spans="3:7" ht="12.75">
      <c r="C33" s="109"/>
      <c r="D33" s="107"/>
      <c r="E33" s="110"/>
      <c r="F33" s="110"/>
      <c r="G33" s="111"/>
    </row>
    <row r="34" spans="3:7" ht="12.75">
      <c r="C34" s="112" t="s">
        <v>9</v>
      </c>
      <c r="D34" s="107"/>
      <c r="E34" s="110"/>
      <c r="F34" s="113"/>
      <c r="G34" s="116">
        <f>+G35+G36</f>
        <v>0</v>
      </c>
    </row>
    <row r="35" spans="3:7" ht="12.75">
      <c r="C35" s="109" t="s">
        <v>10</v>
      </c>
      <c r="D35" s="107"/>
      <c r="E35" s="110"/>
      <c r="F35" s="86"/>
      <c r="G35" s="114">
        <f>ROUND($F$32*F35,0)</f>
        <v>0</v>
      </c>
    </row>
    <row r="36" spans="3:7" ht="12.75">
      <c r="C36" s="109" t="s">
        <v>198</v>
      </c>
      <c r="D36" s="107"/>
      <c r="E36" s="110"/>
      <c r="F36" s="86"/>
      <c r="G36" s="114">
        <f>ROUND($F$32*F36,0)</f>
        <v>0</v>
      </c>
    </row>
    <row r="37" spans="3:7" ht="13.5" thickBot="1">
      <c r="C37" s="152"/>
      <c r="D37" s="153"/>
      <c r="E37" s="154"/>
      <c r="F37" s="162"/>
      <c r="G37" s="73"/>
    </row>
    <row r="38" spans="3:7" ht="15.75" thickBot="1">
      <c r="C38" s="158" t="s">
        <v>219</v>
      </c>
      <c r="D38" s="159"/>
      <c r="E38" s="160"/>
      <c r="F38" s="160"/>
      <c r="G38" s="161">
        <f>+F32+G34</f>
        <v>0</v>
      </c>
    </row>
    <row r="39" spans="3:8" ht="12.75">
      <c r="C39" s="155"/>
      <c r="D39" s="156"/>
      <c r="E39" s="157"/>
      <c r="F39" s="157"/>
      <c r="G39" s="156"/>
      <c r="H39" s="121"/>
    </row>
    <row r="40" spans="3:8" ht="12.75">
      <c r="C40" s="109" t="s">
        <v>11</v>
      </c>
      <c r="D40" s="107"/>
      <c r="E40" s="110"/>
      <c r="F40" s="115">
        <v>0.15</v>
      </c>
      <c r="G40" s="114">
        <f>ROUND((F32+G35+G36)*F40,0)</f>
        <v>0</v>
      </c>
      <c r="H40" s="121"/>
    </row>
    <row r="41" spans="3:7" ht="12.75">
      <c r="C41" s="109" t="s">
        <v>11</v>
      </c>
      <c r="D41" s="107"/>
      <c r="E41" s="110"/>
      <c r="F41" s="115">
        <v>0.21</v>
      </c>
      <c r="G41" s="114">
        <v>0</v>
      </c>
    </row>
    <row r="42" spans="3:7" ht="13.5" thickBot="1">
      <c r="C42" s="59"/>
      <c r="D42" s="57"/>
      <c r="E42" s="58"/>
      <c r="F42" s="58"/>
      <c r="G42" s="57"/>
    </row>
    <row r="43" spans="3:7" ht="16.5" thickBot="1">
      <c r="C43" s="56" t="s">
        <v>12</v>
      </c>
      <c r="D43" s="57"/>
      <c r="E43" s="58"/>
      <c r="F43" s="224">
        <f>F32+G35+G36+G40+G41</f>
        <v>0</v>
      </c>
      <c r="G43" s="224"/>
    </row>
    <row r="46" spans="3:7" ht="15">
      <c r="C46" s="102" t="s">
        <v>213</v>
      </c>
      <c r="D46"/>
      <c r="E46"/>
      <c r="F46"/>
      <c r="G46"/>
    </row>
    <row r="47" spans="3:8" ht="12.75">
      <c r="C47" s="103" t="s">
        <v>214</v>
      </c>
      <c r="D47" s="104"/>
      <c r="E47"/>
      <c r="F47"/>
      <c r="G47" s="105">
        <f>+J32</f>
        <v>0</v>
      </c>
      <c r="H47" s="122" t="e">
        <f>+G47/F32</f>
        <v>#DIV/0!</v>
      </c>
    </row>
    <row r="48" spans="3:8" ht="12.75">
      <c r="C48" s="103" t="s">
        <v>215</v>
      </c>
      <c r="D48" s="104"/>
      <c r="E48"/>
      <c r="F48"/>
      <c r="G48" s="105">
        <f>+K32</f>
        <v>0</v>
      </c>
      <c r="H48" s="122" t="e">
        <f>+G48/F32</f>
        <v>#DIV/0!</v>
      </c>
    </row>
    <row r="49" spans="3:7" ht="12.75">
      <c r="C49"/>
      <c r="D49"/>
      <c r="E49"/>
      <c r="F49"/>
      <c r="G49" s="97"/>
    </row>
    <row r="50" spans="3:7" ht="15">
      <c r="C50" s="102" t="s">
        <v>216</v>
      </c>
      <c r="D50"/>
      <c r="E50"/>
      <c r="F50"/>
      <c r="G50" s="97"/>
    </row>
    <row r="51" spans="3:7" ht="12.75">
      <c r="C51" s="103" t="s">
        <v>214</v>
      </c>
      <c r="D51" s="104"/>
      <c r="E51"/>
      <c r="F51"/>
      <c r="G51" s="118" t="e">
        <f>+H47*G34</f>
        <v>#DIV/0!</v>
      </c>
    </row>
    <row r="52" spans="3:7" ht="12.75">
      <c r="C52" s="103" t="s">
        <v>215</v>
      </c>
      <c r="D52" s="104"/>
      <c r="E52"/>
      <c r="F52"/>
      <c r="G52" s="118" t="e">
        <f>+H48*G34</f>
        <v>#DIV/0!</v>
      </c>
    </row>
    <row r="53" spans="3:7" ht="12.75">
      <c r="C53"/>
      <c r="D53"/>
      <c r="E53"/>
      <c r="F53"/>
      <c r="G53" s="97"/>
    </row>
    <row r="54" spans="3:7" ht="15">
      <c r="C54" s="102" t="s">
        <v>217</v>
      </c>
      <c r="D54"/>
      <c r="E54"/>
      <c r="F54"/>
      <c r="G54" s="97"/>
    </row>
    <row r="55" spans="3:8" ht="12.75">
      <c r="C55" s="103" t="s">
        <v>214</v>
      </c>
      <c r="D55" s="104"/>
      <c r="E55"/>
      <c r="F55"/>
      <c r="G55" s="105" t="e">
        <f>+G47+G51</f>
        <v>#DIV/0!</v>
      </c>
      <c r="H55" s="122" t="e">
        <f>+G55/G38</f>
        <v>#DIV/0!</v>
      </c>
    </row>
    <row r="56" spans="3:8" ht="12.75">
      <c r="C56" s="103" t="s">
        <v>215</v>
      </c>
      <c r="D56" s="104"/>
      <c r="E56"/>
      <c r="F56"/>
      <c r="G56" s="105" t="e">
        <f>+G48+G52</f>
        <v>#DIV/0!</v>
      </c>
      <c r="H56" s="122" t="e">
        <f>+G56/G38</f>
        <v>#DIV/0!</v>
      </c>
    </row>
    <row r="58" spans="3:7" ht="18">
      <c r="C58" s="22" t="s">
        <v>49</v>
      </c>
      <c r="D58" s="26"/>
      <c r="E58" s="20"/>
      <c r="F58" s="20"/>
      <c r="G58" s="26"/>
    </row>
    <row r="59" ht="7.5" customHeight="1"/>
    <row r="60" ht="12.75">
      <c r="C60" s="6" t="s">
        <v>13</v>
      </c>
    </row>
    <row r="61" spans="3:7" ht="12.75">
      <c r="C61" s="8" t="s">
        <v>14</v>
      </c>
      <c r="D61" s="81"/>
      <c r="E61" s="82"/>
      <c r="F61" s="82"/>
      <c r="G61" s="81"/>
    </row>
    <row r="62" spans="3:7" ht="38.25" customHeight="1">
      <c r="C62" s="217" t="s">
        <v>52</v>
      </c>
      <c r="D62" s="218"/>
      <c r="E62" s="218"/>
      <c r="F62" s="218"/>
      <c r="G62" s="218"/>
    </row>
    <row r="63" spans="3:7" ht="12.75">
      <c r="C63" s="219" t="s">
        <v>15</v>
      </c>
      <c r="D63" s="219"/>
      <c r="E63" s="219"/>
      <c r="F63" s="219"/>
      <c r="G63" s="219"/>
    </row>
    <row r="64" spans="3:7" ht="38.25" customHeight="1">
      <c r="C64" s="217" t="s">
        <v>53</v>
      </c>
      <c r="D64" s="218"/>
      <c r="E64" s="218"/>
      <c r="F64" s="218"/>
      <c r="G64" s="218"/>
    </row>
    <row r="65" spans="3:7" ht="25.5" customHeight="1">
      <c r="C65" s="217" t="s">
        <v>54</v>
      </c>
      <c r="D65" s="218"/>
      <c r="E65" s="218"/>
      <c r="F65" s="218"/>
      <c r="G65" s="218"/>
    </row>
    <row r="66" spans="3:7" ht="12.75">
      <c r="C66" s="219" t="s">
        <v>16</v>
      </c>
      <c r="D66" s="219"/>
      <c r="E66" s="219"/>
      <c r="F66" s="219"/>
      <c r="G66" s="219"/>
    </row>
    <row r="67" spans="3:7" ht="12.75" customHeight="1">
      <c r="C67" s="217" t="s">
        <v>55</v>
      </c>
      <c r="D67" s="218"/>
      <c r="E67" s="218"/>
      <c r="F67" s="218"/>
      <c r="G67" s="218"/>
    </row>
    <row r="68" spans="3:7" ht="12.75" customHeight="1">
      <c r="C68" s="217" t="s">
        <v>56</v>
      </c>
      <c r="D68" s="218"/>
      <c r="E68" s="218"/>
      <c r="F68" s="218"/>
      <c r="G68" s="218"/>
    </row>
    <row r="69" spans="3:7" ht="39" customHeight="1">
      <c r="C69" s="227" t="s">
        <v>34</v>
      </c>
      <c r="D69" s="228"/>
      <c r="E69" s="228"/>
      <c r="F69" s="228"/>
      <c r="G69" s="228"/>
    </row>
    <row r="70" spans="1:10" s="9" customFormat="1" ht="9.75">
      <c r="A70" s="40"/>
      <c r="B70" s="67"/>
      <c r="C70" s="10"/>
      <c r="E70" s="19"/>
      <c r="F70" s="19"/>
      <c r="H70" s="123"/>
      <c r="I70" s="127"/>
      <c r="J70" s="99"/>
    </row>
    <row r="71" spans="3:7" ht="38.25" customHeight="1">
      <c r="C71" s="218" t="s">
        <v>17</v>
      </c>
      <c r="D71" s="218"/>
      <c r="E71" s="218"/>
      <c r="F71" s="218"/>
      <c r="G71" s="218"/>
    </row>
    <row r="72" spans="1:10" s="9" customFormat="1" ht="7.5" customHeight="1">
      <c r="A72" s="40"/>
      <c r="B72" s="67"/>
      <c r="C72" s="93"/>
      <c r="D72" s="93"/>
      <c r="E72" s="93"/>
      <c r="F72" s="93"/>
      <c r="G72" s="93"/>
      <c r="H72" s="123"/>
      <c r="I72" s="127"/>
      <c r="J72" s="99"/>
    </row>
    <row r="73" spans="3:7" ht="27.75" customHeight="1">
      <c r="C73" s="218" t="s">
        <v>18</v>
      </c>
      <c r="D73" s="218"/>
      <c r="E73" s="218"/>
      <c r="F73" s="218"/>
      <c r="G73" s="218"/>
    </row>
    <row r="74" spans="3:7" ht="26.25" customHeight="1">
      <c r="C74" s="93" t="s">
        <v>19</v>
      </c>
      <c r="D74" s="93"/>
      <c r="E74" s="93"/>
      <c r="F74" s="93"/>
      <c r="G74" s="93"/>
    </row>
    <row r="75" spans="3:7" ht="15.75" customHeight="1">
      <c r="C75" s="217" t="s">
        <v>50</v>
      </c>
      <c r="D75" s="217"/>
      <c r="E75" s="217"/>
      <c r="F75" s="217"/>
      <c r="G75" s="217"/>
    </row>
    <row r="76" spans="3:7" ht="93" customHeight="1">
      <c r="C76" s="229" t="s">
        <v>30</v>
      </c>
      <c r="D76" s="229"/>
      <c r="E76" s="229"/>
      <c r="F76" s="229"/>
      <c r="G76" s="229"/>
    </row>
    <row r="77" spans="4:7" ht="12.75">
      <c r="D77" s="23"/>
      <c r="E77" s="21"/>
      <c r="F77" s="24"/>
      <c r="G77" s="23"/>
    </row>
    <row r="78" spans="3:7" ht="12.75">
      <c r="C78" s="222" t="s">
        <v>37</v>
      </c>
      <c r="D78" s="223"/>
      <c r="E78" s="223"/>
      <c r="F78" s="223"/>
      <c r="G78" s="223"/>
    </row>
    <row r="79" spans="1:7" ht="14.25" customHeight="1">
      <c r="A79" s="12"/>
      <c r="B79" s="68"/>
      <c r="C79" s="222" t="s">
        <v>36</v>
      </c>
      <c r="D79" s="223"/>
      <c r="E79" s="223"/>
      <c r="F79" s="223"/>
      <c r="G79" s="223"/>
    </row>
    <row r="80" spans="1:7" ht="7.5" customHeight="1">
      <c r="A80" s="12"/>
      <c r="B80" s="69"/>
      <c r="C80" s="25"/>
      <c r="D80" s="26"/>
      <c r="E80" s="20"/>
      <c r="F80" s="27"/>
      <c r="G80" s="62"/>
    </row>
    <row r="81" spans="1:10" s="11" customFormat="1" ht="16.5">
      <c r="A81" s="34"/>
      <c r="B81" s="63">
        <v>1</v>
      </c>
      <c r="C81" s="225" t="s">
        <v>226</v>
      </c>
      <c r="D81" s="225"/>
      <c r="E81" s="225"/>
      <c r="F81" s="225"/>
      <c r="G81" s="225"/>
      <c r="H81" s="124"/>
      <c r="I81" s="128"/>
      <c r="J81" s="91"/>
    </row>
    <row r="82" spans="1:17" ht="25.5">
      <c r="A82" s="28">
        <v>1</v>
      </c>
      <c r="B82" s="29"/>
      <c r="C82" s="35" t="s">
        <v>323</v>
      </c>
      <c r="D82" s="36" t="s">
        <v>20</v>
      </c>
      <c r="E82" s="37">
        <v>1</v>
      </c>
      <c r="F82" s="83"/>
      <c r="G82" s="38">
        <f aca="true" t="shared" si="1" ref="G82:G104">E82*F82</f>
        <v>0</v>
      </c>
      <c r="H82" s="119" t="s">
        <v>212</v>
      </c>
      <c r="M82" s="7"/>
      <c r="P82" s="101">
        <f>0.068*E82</f>
        <v>0.068</v>
      </c>
      <c r="Q82" t="s">
        <v>25</v>
      </c>
    </row>
    <row r="83" spans="1:17" ht="25.5">
      <c r="A83" s="28">
        <f aca="true" t="shared" si="2" ref="A83:A115">A82+1</f>
        <v>2</v>
      </c>
      <c r="B83" s="29"/>
      <c r="C83" s="35" t="s">
        <v>440</v>
      </c>
      <c r="D83" s="36" t="s">
        <v>20</v>
      </c>
      <c r="E83" s="37">
        <v>1</v>
      </c>
      <c r="F83" s="83"/>
      <c r="G83" s="38">
        <f t="shared" si="1"/>
        <v>0</v>
      </c>
      <c r="H83" s="119" t="s">
        <v>212</v>
      </c>
      <c r="M83" s="7">
        <f>2.1*0.3*0.016</f>
        <v>0.01008</v>
      </c>
      <c r="N83" s="1">
        <v>0.7</v>
      </c>
      <c r="P83" s="101">
        <f>+E83*M83*N83</f>
        <v>0.007056</v>
      </c>
      <c r="Q83" t="s">
        <v>25</v>
      </c>
    </row>
    <row r="84" spans="1:17" ht="12.75">
      <c r="A84" s="28">
        <f t="shared" si="2"/>
        <v>3</v>
      </c>
      <c r="B84" s="29"/>
      <c r="C84" s="35" t="s">
        <v>110</v>
      </c>
      <c r="D84" s="36" t="s">
        <v>23</v>
      </c>
      <c r="E84" s="37">
        <v>8</v>
      </c>
      <c r="F84" s="83"/>
      <c r="G84" s="38">
        <f t="shared" si="1"/>
        <v>0</v>
      </c>
      <c r="H84" s="119" t="s">
        <v>218</v>
      </c>
      <c r="M84" s="7"/>
      <c r="P84" s="101">
        <f>0.014*E84</f>
        <v>0.112</v>
      </c>
      <c r="Q84" t="s">
        <v>25</v>
      </c>
    </row>
    <row r="85" spans="1:17" ht="25.5">
      <c r="A85" s="28">
        <f t="shared" si="2"/>
        <v>4</v>
      </c>
      <c r="B85" s="29"/>
      <c r="C85" s="35" t="s">
        <v>300</v>
      </c>
      <c r="D85" s="36" t="s">
        <v>23</v>
      </c>
      <c r="E85" s="37">
        <v>8</v>
      </c>
      <c r="F85" s="83"/>
      <c r="G85" s="38">
        <f t="shared" si="1"/>
        <v>0</v>
      </c>
      <c r="H85" s="121" t="s">
        <v>218</v>
      </c>
      <c r="M85" s="7"/>
      <c r="P85" s="101">
        <f>0.02*E85</f>
        <v>0.16</v>
      </c>
      <c r="Q85" t="s">
        <v>25</v>
      </c>
    </row>
    <row r="86" spans="1:17" ht="12.75">
      <c r="A86" s="28">
        <f t="shared" si="2"/>
        <v>5</v>
      </c>
      <c r="B86" s="29"/>
      <c r="C86" s="35" t="s">
        <v>324</v>
      </c>
      <c r="D86" s="36" t="s">
        <v>20</v>
      </c>
      <c r="E86" s="37">
        <v>1</v>
      </c>
      <c r="F86" s="83"/>
      <c r="G86" s="38">
        <f t="shared" si="1"/>
        <v>0</v>
      </c>
      <c r="H86" s="121" t="s">
        <v>212</v>
      </c>
      <c r="M86" s="7"/>
      <c r="P86" s="101"/>
      <c r="Q86"/>
    </row>
    <row r="87" spans="1:17" ht="25.5">
      <c r="A87" s="28">
        <f t="shared" si="2"/>
        <v>6</v>
      </c>
      <c r="B87" s="29"/>
      <c r="C87" s="35" t="s">
        <v>337</v>
      </c>
      <c r="D87" s="36" t="s">
        <v>21</v>
      </c>
      <c r="E87" s="37">
        <f>0.05*E154</f>
        <v>8.52895</v>
      </c>
      <c r="F87" s="83"/>
      <c r="G87" s="38">
        <f>E87*F87</f>
        <v>0</v>
      </c>
      <c r="H87" s="121" t="s">
        <v>212</v>
      </c>
      <c r="M87" s="7">
        <v>0.01</v>
      </c>
      <c r="N87" s="1">
        <v>2.1</v>
      </c>
      <c r="O87" s="1">
        <f>+E87*M87</f>
        <v>0.0852895</v>
      </c>
      <c r="P87" s="101">
        <f>+N87*O87</f>
        <v>0.17910795000000002</v>
      </c>
      <c r="Q87"/>
    </row>
    <row r="88" spans="1:17" ht="12.75">
      <c r="A88" s="28">
        <f t="shared" si="2"/>
        <v>7</v>
      </c>
      <c r="B88" s="29"/>
      <c r="C88" s="35" t="s">
        <v>249</v>
      </c>
      <c r="D88" s="36" t="s">
        <v>21</v>
      </c>
      <c r="E88" s="37">
        <f>+(2*0.7+2*1.6)*0.8</f>
        <v>3.6799999999999997</v>
      </c>
      <c r="F88" s="83"/>
      <c r="G88" s="38">
        <f>E88*F88</f>
        <v>0</v>
      </c>
      <c r="H88" s="121" t="s">
        <v>212</v>
      </c>
      <c r="M88" s="7">
        <v>0.1</v>
      </c>
      <c r="N88" s="1">
        <v>2.1</v>
      </c>
      <c r="O88" s="1">
        <f>+E88*M88</f>
        <v>0.368</v>
      </c>
      <c r="P88" s="101">
        <f>+N88*O88</f>
        <v>0.7728</v>
      </c>
      <c r="Q88"/>
    </row>
    <row r="89" spans="1:17" ht="12.75">
      <c r="A89" s="28">
        <f t="shared" si="2"/>
        <v>8</v>
      </c>
      <c r="B89" s="29"/>
      <c r="C89" s="35" t="s">
        <v>301</v>
      </c>
      <c r="D89" s="36" t="s">
        <v>21</v>
      </c>
      <c r="E89" s="37">
        <f>1.39*1.75+2.35*1.39</f>
        <v>5.699</v>
      </c>
      <c r="F89" s="83"/>
      <c r="G89" s="38">
        <f t="shared" si="1"/>
        <v>0</v>
      </c>
      <c r="H89" s="121" t="s">
        <v>212</v>
      </c>
      <c r="M89" s="7"/>
      <c r="P89" s="101">
        <f>0.02*E89*1600/1000</f>
        <v>0.182368</v>
      </c>
      <c r="Q89" t="s">
        <v>25</v>
      </c>
    </row>
    <row r="90" spans="1:17" ht="12.75">
      <c r="A90" s="28">
        <f t="shared" si="2"/>
        <v>9</v>
      </c>
      <c r="B90" s="29"/>
      <c r="C90" s="35" t="s">
        <v>302</v>
      </c>
      <c r="D90" s="36" t="s">
        <v>21</v>
      </c>
      <c r="E90" s="37">
        <f>4.1*1.25</f>
        <v>5.125</v>
      </c>
      <c r="F90" s="83"/>
      <c r="G90" s="38">
        <f t="shared" si="1"/>
        <v>0</v>
      </c>
      <c r="H90" s="121" t="s">
        <v>212</v>
      </c>
      <c r="M90" s="7">
        <v>0.015</v>
      </c>
      <c r="N90" s="1">
        <v>0.6</v>
      </c>
      <c r="P90" s="101">
        <f>+E90*M90*N90</f>
        <v>0.046125</v>
      </c>
      <c r="Q90"/>
    </row>
    <row r="91" spans="1:17" ht="12.75">
      <c r="A91" s="28">
        <f t="shared" si="2"/>
        <v>10</v>
      </c>
      <c r="B91" s="29"/>
      <c r="C91" s="35" t="s">
        <v>319</v>
      </c>
      <c r="D91" s="36" t="s">
        <v>21</v>
      </c>
      <c r="E91" s="37">
        <f>10.3+3</f>
        <v>13.3</v>
      </c>
      <c r="F91" s="83"/>
      <c r="G91" s="38">
        <f t="shared" si="1"/>
        <v>0</v>
      </c>
      <c r="H91" s="121" t="s">
        <v>212</v>
      </c>
      <c r="M91" s="7"/>
      <c r="P91" s="101"/>
      <c r="Q91"/>
    </row>
    <row r="92" spans="1:17" ht="12.75">
      <c r="A92" s="28">
        <f t="shared" si="2"/>
        <v>11</v>
      </c>
      <c r="B92" s="29"/>
      <c r="C92" s="35" t="s">
        <v>325</v>
      </c>
      <c r="D92" s="36" t="s">
        <v>21</v>
      </c>
      <c r="E92" s="37">
        <f>8+1+1.3+3+10.3</f>
        <v>23.6</v>
      </c>
      <c r="F92" s="83"/>
      <c r="G92" s="38">
        <f t="shared" si="1"/>
        <v>0</v>
      </c>
      <c r="H92" s="121" t="s">
        <v>218</v>
      </c>
      <c r="M92" s="7">
        <v>0.08</v>
      </c>
      <c r="N92" s="7">
        <v>2.2</v>
      </c>
      <c r="O92" s="7"/>
      <c r="P92" s="101">
        <f>+E92*M92*N92</f>
        <v>4.153600000000001</v>
      </c>
      <c r="Q92"/>
    </row>
    <row r="93" spans="1:17" ht="12.75">
      <c r="A93" s="28">
        <f t="shared" si="2"/>
        <v>12</v>
      </c>
      <c r="B93" s="29"/>
      <c r="C93" s="35" t="s">
        <v>441</v>
      </c>
      <c r="D93" s="36" t="s">
        <v>21</v>
      </c>
      <c r="E93" s="37">
        <f>+E92</f>
        <v>23.6</v>
      </c>
      <c r="F93" s="83"/>
      <c r="G93" s="38">
        <f>E93*F93</f>
        <v>0</v>
      </c>
      <c r="H93" s="121" t="s">
        <v>218</v>
      </c>
      <c r="M93" s="7">
        <v>0.08</v>
      </c>
      <c r="N93" s="7">
        <v>2.2</v>
      </c>
      <c r="O93" s="7"/>
      <c r="P93" s="101">
        <f>+E93*M93*N93</f>
        <v>4.153600000000001</v>
      </c>
      <c r="Q93"/>
    </row>
    <row r="94" spans="1:17" ht="12.75">
      <c r="A94" s="28">
        <f>A93+1</f>
        <v>13</v>
      </c>
      <c r="B94" s="29"/>
      <c r="C94" s="35" t="s">
        <v>236</v>
      </c>
      <c r="D94" s="36" t="s">
        <v>220</v>
      </c>
      <c r="E94" s="37">
        <f>0.07*(14.6+22.8)</f>
        <v>2.6180000000000003</v>
      </c>
      <c r="F94" s="83"/>
      <c r="G94" s="38">
        <f t="shared" si="1"/>
        <v>0</v>
      </c>
      <c r="H94" s="121" t="s">
        <v>218</v>
      </c>
      <c r="M94" s="7"/>
      <c r="N94" s="7">
        <v>1</v>
      </c>
      <c r="O94" s="7"/>
      <c r="P94" s="101">
        <f>+E94*N94</f>
        <v>2.6180000000000003</v>
      </c>
      <c r="Q94"/>
    </row>
    <row r="95" spans="1:17" ht="25.5">
      <c r="A95" s="28">
        <f t="shared" si="2"/>
        <v>14</v>
      </c>
      <c r="B95" s="29"/>
      <c r="C95" s="141" t="s">
        <v>399</v>
      </c>
      <c r="D95" s="36" t="s">
        <v>21</v>
      </c>
      <c r="E95" s="37">
        <f>14.6+22.8</f>
        <v>37.4</v>
      </c>
      <c r="F95" s="83"/>
      <c r="G95" s="38">
        <f t="shared" si="1"/>
        <v>0</v>
      </c>
      <c r="H95" s="121" t="s">
        <v>212</v>
      </c>
      <c r="I95" s="130"/>
      <c r="M95" s="7">
        <v>0.02</v>
      </c>
      <c r="N95" s="7">
        <v>0.6</v>
      </c>
      <c r="O95" s="7"/>
      <c r="P95" s="101">
        <f>+E95*M95*N95</f>
        <v>0.4488</v>
      </c>
      <c r="Q95"/>
    </row>
    <row r="96" spans="1:17" ht="12.75">
      <c r="A96" s="28">
        <f t="shared" si="2"/>
        <v>15</v>
      </c>
      <c r="B96" s="29"/>
      <c r="C96" s="35" t="s">
        <v>303</v>
      </c>
      <c r="D96" s="36" t="s">
        <v>21</v>
      </c>
      <c r="E96" s="37">
        <f>+E95</f>
        <v>37.4</v>
      </c>
      <c r="F96" s="83"/>
      <c r="G96" s="38">
        <f t="shared" si="1"/>
        <v>0</v>
      </c>
      <c r="H96" s="121" t="s">
        <v>218</v>
      </c>
      <c r="M96" s="7">
        <v>0.03</v>
      </c>
      <c r="N96" s="7">
        <v>0.8</v>
      </c>
      <c r="O96" s="7"/>
      <c r="P96" s="101">
        <f>+E96*M96*N96</f>
        <v>0.8976</v>
      </c>
      <c r="Q96"/>
    </row>
    <row r="97" spans="1:17" ht="12.75">
      <c r="A97" s="28">
        <f t="shared" si="2"/>
        <v>16</v>
      </c>
      <c r="B97" s="29"/>
      <c r="C97" s="35" t="s">
        <v>326</v>
      </c>
      <c r="D97" s="36" t="s">
        <v>24</v>
      </c>
      <c r="E97" s="37">
        <f>6*8.87</f>
        <v>53.22</v>
      </c>
      <c r="F97" s="83"/>
      <c r="G97" s="38">
        <f t="shared" si="1"/>
        <v>0</v>
      </c>
      <c r="H97" s="121" t="s">
        <v>218</v>
      </c>
      <c r="M97" s="7">
        <f>0.1*0.1</f>
        <v>0.010000000000000002</v>
      </c>
      <c r="N97" s="7">
        <v>0.8</v>
      </c>
      <c r="O97" s="7"/>
      <c r="P97" s="101">
        <f>+E97*M97*N97</f>
        <v>0.42576000000000014</v>
      </c>
      <c r="Q97"/>
    </row>
    <row r="98" spans="1:17" ht="12.75">
      <c r="A98" s="28">
        <f t="shared" si="2"/>
        <v>17</v>
      </c>
      <c r="B98" s="29"/>
      <c r="C98" s="35" t="s">
        <v>329</v>
      </c>
      <c r="D98" s="36" t="s">
        <v>21</v>
      </c>
      <c r="E98" s="37">
        <f>3*0.57*1.39+3*1.32*1.36+0.875*2.24</f>
        <v>9.7225</v>
      </c>
      <c r="F98" s="83"/>
      <c r="G98" s="38">
        <f t="shared" si="1"/>
        <v>0</v>
      </c>
      <c r="H98" s="121" t="s">
        <v>212</v>
      </c>
      <c r="M98" s="7"/>
      <c r="N98" s="7"/>
      <c r="O98" s="7"/>
      <c r="P98" s="101"/>
      <c r="Q98"/>
    </row>
    <row r="99" spans="1:17" ht="12.75">
      <c r="A99" s="28">
        <f t="shared" si="2"/>
        <v>18</v>
      </c>
      <c r="B99" s="29"/>
      <c r="C99" s="35" t="s">
        <v>111</v>
      </c>
      <c r="D99" s="36" t="s">
        <v>23</v>
      </c>
      <c r="E99" s="37">
        <v>1</v>
      </c>
      <c r="F99" s="83"/>
      <c r="G99" s="38">
        <f t="shared" si="1"/>
        <v>0</v>
      </c>
      <c r="H99" s="121" t="s">
        <v>212</v>
      </c>
      <c r="M99" s="7"/>
      <c r="P99" s="101">
        <f>E99*0.03</f>
        <v>0.03</v>
      </c>
      <c r="Q99" t="s">
        <v>25</v>
      </c>
    </row>
    <row r="100" spans="1:17" ht="12.75">
      <c r="A100" s="28">
        <f t="shared" si="2"/>
        <v>19</v>
      </c>
      <c r="B100" s="29"/>
      <c r="C100" s="35" t="s">
        <v>112</v>
      </c>
      <c r="D100" s="36" t="s">
        <v>23</v>
      </c>
      <c r="E100" s="37">
        <v>1</v>
      </c>
      <c r="F100" s="83"/>
      <c r="G100" s="38">
        <f t="shared" si="1"/>
        <v>0</v>
      </c>
      <c r="H100" s="121" t="s">
        <v>212</v>
      </c>
      <c r="M100" s="7"/>
      <c r="P100" s="101">
        <f>0.02*E100</f>
        <v>0.02</v>
      </c>
      <c r="Q100" t="s">
        <v>25</v>
      </c>
    </row>
    <row r="101" spans="1:17" ht="12.75">
      <c r="A101" s="28">
        <f t="shared" si="2"/>
        <v>20</v>
      </c>
      <c r="B101" s="29"/>
      <c r="C101" s="35" t="s">
        <v>268</v>
      </c>
      <c r="D101" s="36" t="s">
        <v>23</v>
      </c>
      <c r="E101" s="37">
        <v>1</v>
      </c>
      <c r="F101" s="83"/>
      <c r="G101" s="38">
        <f t="shared" si="1"/>
        <v>0</v>
      </c>
      <c r="H101" s="121" t="s">
        <v>212</v>
      </c>
      <c r="M101" s="7"/>
      <c r="P101" s="101"/>
      <c r="Q101"/>
    </row>
    <row r="102" spans="1:17" ht="12.75">
      <c r="A102" s="28">
        <f t="shared" si="2"/>
        <v>21</v>
      </c>
      <c r="B102" s="29"/>
      <c r="C102" s="35" t="s">
        <v>113</v>
      </c>
      <c r="D102" s="36" t="s">
        <v>23</v>
      </c>
      <c r="E102" s="37">
        <v>2</v>
      </c>
      <c r="F102" s="83"/>
      <c r="G102" s="38">
        <f t="shared" si="1"/>
        <v>0</v>
      </c>
      <c r="H102" s="121" t="s">
        <v>212</v>
      </c>
      <c r="M102" s="7"/>
      <c r="P102" s="101"/>
      <c r="Q102"/>
    </row>
    <row r="103" spans="1:17" ht="12.75">
      <c r="A103" s="28">
        <f t="shared" si="2"/>
        <v>22</v>
      </c>
      <c r="B103" s="29"/>
      <c r="C103" s="35" t="s">
        <v>250</v>
      </c>
      <c r="D103" s="36" t="s">
        <v>23</v>
      </c>
      <c r="E103" s="37">
        <v>1</v>
      </c>
      <c r="F103" s="83"/>
      <c r="G103" s="38">
        <f t="shared" si="1"/>
        <v>0</v>
      </c>
      <c r="H103" s="121" t="s">
        <v>212</v>
      </c>
      <c r="M103" s="7"/>
      <c r="P103" s="101">
        <f>0.38*E103</f>
        <v>0.38</v>
      </c>
      <c r="Q103" t="s">
        <v>25</v>
      </c>
    </row>
    <row r="104" spans="1:17" ht="12.75">
      <c r="A104" s="28">
        <f t="shared" si="2"/>
        <v>23</v>
      </c>
      <c r="B104" s="29"/>
      <c r="C104" s="35" t="s">
        <v>223</v>
      </c>
      <c r="D104" s="36" t="s">
        <v>20</v>
      </c>
      <c r="E104" s="37">
        <v>1</v>
      </c>
      <c r="F104" s="83"/>
      <c r="G104" s="38">
        <f t="shared" si="1"/>
        <v>0</v>
      </c>
      <c r="H104" s="121" t="s">
        <v>212</v>
      </c>
      <c r="M104" s="7"/>
      <c r="P104" s="101">
        <f>0.02*E104</f>
        <v>0.02</v>
      </c>
      <c r="Q104" t="s">
        <v>25</v>
      </c>
    </row>
    <row r="105" spans="1:17" ht="12.75">
      <c r="A105" s="28">
        <f>A104+1</f>
        <v>24</v>
      </c>
      <c r="B105" s="29"/>
      <c r="C105" s="35" t="s">
        <v>304</v>
      </c>
      <c r="D105" s="36" t="s">
        <v>21</v>
      </c>
      <c r="E105" s="37">
        <f>+(1.24+0.9)*2.45+(2.935+1.37+1.65)*2.45+0.92*2.45-0.9*2.05</f>
        <v>20.241750000000003</v>
      </c>
      <c r="F105" s="83"/>
      <c r="G105" s="38">
        <f aca="true" t="shared" si="3" ref="G105:G112">E105*F105</f>
        <v>0</v>
      </c>
      <c r="H105" s="121" t="s">
        <v>218</v>
      </c>
      <c r="M105" s="7"/>
      <c r="N105" s="1">
        <v>2.1</v>
      </c>
      <c r="O105" s="7">
        <f>+E105*0.1</f>
        <v>2.0241750000000005</v>
      </c>
      <c r="P105" s="94">
        <f>+O105*N105</f>
        <v>4.250767500000001</v>
      </c>
      <c r="Q105" t="s">
        <v>25</v>
      </c>
    </row>
    <row r="106" spans="1:17" ht="12.75">
      <c r="A106" s="28"/>
      <c r="B106" s="29"/>
      <c r="C106" s="145" t="s">
        <v>327</v>
      </c>
      <c r="D106" s="36"/>
      <c r="E106" s="37"/>
      <c r="F106" s="210"/>
      <c r="G106" s="38"/>
      <c r="H106" s="121"/>
      <c r="M106" s="7"/>
      <c r="O106" s="7"/>
      <c r="P106" s="94"/>
      <c r="Q106"/>
    </row>
    <row r="107" spans="1:17" ht="12.75">
      <c r="A107" s="28"/>
      <c r="B107" s="29"/>
      <c r="C107" s="145" t="s">
        <v>328</v>
      </c>
      <c r="D107" s="36"/>
      <c r="E107" s="37"/>
      <c r="F107" s="210"/>
      <c r="G107" s="38"/>
      <c r="H107" s="121"/>
      <c r="M107" s="7"/>
      <c r="O107" s="7"/>
      <c r="P107" s="94"/>
      <c r="Q107"/>
    </row>
    <row r="108" spans="1:17" ht="12.75">
      <c r="A108" s="28"/>
      <c r="B108" s="29"/>
      <c r="C108" s="145" t="s">
        <v>394</v>
      </c>
      <c r="D108" s="36"/>
      <c r="E108" s="37"/>
      <c r="F108" s="210"/>
      <c r="G108" s="38"/>
      <c r="H108" s="121"/>
      <c r="M108" s="7"/>
      <c r="O108" s="7"/>
      <c r="P108" s="94"/>
      <c r="Q108"/>
    </row>
    <row r="109" spans="1:16" ht="12.75">
      <c r="A109" s="28">
        <f>A105+1</f>
        <v>25</v>
      </c>
      <c r="B109" s="29"/>
      <c r="C109" s="35" t="s">
        <v>186</v>
      </c>
      <c r="D109" s="36" t="s">
        <v>21</v>
      </c>
      <c r="E109" s="37">
        <f>3*0.57*1.39+3*1.32*1.35+0.9*2.2</f>
        <v>9.7029</v>
      </c>
      <c r="F109" s="83"/>
      <c r="G109" s="38">
        <f t="shared" si="3"/>
        <v>0</v>
      </c>
      <c r="H109" s="121" t="s">
        <v>212</v>
      </c>
      <c r="M109" s="7"/>
      <c r="P109" s="94"/>
    </row>
    <row r="110" spans="1:16" ht="12.75">
      <c r="A110" s="28">
        <f>A109+1</f>
        <v>26</v>
      </c>
      <c r="B110" s="29"/>
      <c r="C110" s="35" t="s">
        <v>344</v>
      </c>
      <c r="D110" s="36" t="s">
        <v>20</v>
      </c>
      <c r="E110" s="37">
        <v>1</v>
      </c>
      <c r="F110" s="83"/>
      <c r="G110" s="38">
        <f t="shared" si="3"/>
        <v>0</v>
      </c>
      <c r="H110" s="121" t="s">
        <v>212</v>
      </c>
      <c r="M110" s="7"/>
      <c r="P110" s="94"/>
    </row>
    <row r="111" spans="1:8" ht="25.5">
      <c r="A111" s="133">
        <f>A110+1</f>
        <v>27</v>
      </c>
      <c r="B111" s="136"/>
      <c r="C111" s="141" t="s">
        <v>408</v>
      </c>
      <c r="D111" s="138" t="s">
        <v>20</v>
      </c>
      <c r="E111" s="139">
        <v>1</v>
      </c>
      <c r="F111" s="83"/>
      <c r="G111" s="140">
        <f>E111*F111</f>
        <v>0</v>
      </c>
      <c r="H111" s="121" t="s">
        <v>212</v>
      </c>
    </row>
    <row r="112" spans="1:17" ht="12.75">
      <c r="A112" s="28">
        <f t="shared" si="2"/>
        <v>28</v>
      </c>
      <c r="B112" s="29"/>
      <c r="C112" s="35" t="s">
        <v>107</v>
      </c>
      <c r="D112" s="36" t="s">
        <v>25</v>
      </c>
      <c r="E112" s="37">
        <f>+P82+P100+P99+P112+E115</f>
        <v>14.371984450000003</v>
      </c>
      <c r="F112" s="83"/>
      <c r="G112" s="38">
        <f t="shared" si="3"/>
        <v>0</v>
      </c>
      <c r="H112" s="121" t="s">
        <v>212</v>
      </c>
      <c r="M112" s="7"/>
      <c r="P112" s="95">
        <f>+P85+P88+P89+P92+P94+P105+P87</f>
        <v>12.316643450000003</v>
      </c>
      <c r="Q112" s="5" t="s">
        <v>25</v>
      </c>
    </row>
    <row r="113" spans="1:8" ht="12.75">
      <c r="A113" s="28">
        <f t="shared" si="2"/>
        <v>29</v>
      </c>
      <c r="B113" s="29"/>
      <c r="C113" s="35" t="s">
        <v>108</v>
      </c>
      <c r="D113" s="36" t="s">
        <v>25</v>
      </c>
      <c r="E113" s="37">
        <f>+E112</f>
        <v>14.371984450000003</v>
      </c>
      <c r="F113" s="83"/>
      <c r="G113" s="38">
        <f>E113*F113</f>
        <v>0</v>
      </c>
      <c r="H113" s="121" t="s">
        <v>212</v>
      </c>
    </row>
    <row r="114" spans="1:8" ht="12.75">
      <c r="A114" s="28">
        <f t="shared" si="2"/>
        <v>30</v>
      </c>
      <c r="B114" s="29"/>
      <c r="C114" s="35" t="s">
        <v>109</v>
      </c>
      <c r="D114" s="36" t="s">
        <v>25</v>
      </c>
      <c r="E114" s="37">
        <f>+P82+P100+P99+P112+E115</f>
        <v>14.371984450000003</v>
      </c>
      <c r="F114" s="83"/>
      <c r="G114" s="38">
        <f>E114*F114</f>
        <v>0</v>
      </c>
      <c r="H114" s="121" t="s">
        <v>212</v>
      </c>
    </row>
    <row r="115" spans="1:8" ht="25.5">
      <c r="A115" s="28">
        <f t="shared" si="2"/>
        <v>31</v>
      </c>
      <c r="B115" s="29"/>
      <c r="C115" s="35" t="s">
        <v>114</v>
      </c>
      <c r="D115" s="36" t="s">
        <v>25</v>
      </c>
      <c r="E115" s="37">
        <f>+P84+P95+P96+P97+P83+P90</f>
        <v>1.937341</v>
      </c>
      <c r="F115" s="83"/>
      <c r="G115" s="38">
        <f>E115*F115</f>
        <v>0</v>
      </c>
      <c r="H115" s="121" t="s">
        <v>212</v>
      </c>
    </row>
    <row r="116" spans="1:8" ht="26.25" thickBot="1">
      <c r="A116" s="28">
        <f>A115+1</f>
        <v>32</v>
      </c>
      <c r="B116" s="29"/>
      <c r="C116" s="35" t="s">
        <v>106</v>
      </c>
      <c r="D116" s="36" t="s">
        <v>25</v>
      </c>
      <c r="E116" s="37">
        <f>+P82+P100+P99+P112</f>
        <v>12.434643450000003</v>
      </c>
      <c r="F116" s="83"/>
      <c r="G116" s="38">
        <f>E116*F116</f>
        <v>0</v>
      </c>
      <c r="H116" s="121" t="s">
        <v>212</v>
      </c>
    </row>
    <row r="117" spans="1:8" ht="13.5" thickBot="1">
      <c r="A117" s="28"/>
      <c r="B117" s="29"/>
      <c r="C117" s="41" t="s">
        <v>22</v>
      </c>
      <c r="D117" s="42"/>
      <c r="E117" s="43"/>
      <c r="F117" s="44"/>
      <c r="G117" s="45">
        <f>SUBTOTAL(9,G82:G116)</f>
        <v>0</v>
      </c>
      <c r="H117" s="121"/>
    </row>
    <row r="118" spans="1:8" ht="12.75">
      <c r="A118" s="28"/>
      <c r="B118" s="29"/>
      <c r="C118" s="13"/>
      <c r="D118" s="14"/>
      <c r="E118" s="20"/>
      <c r="F118" s="20"/>
      <c r="G118" s="15"/>
      <c r="H118" s="121"/>
    </row>
    <row r="119" spans="1:8" ht="16.5">
      <c r="A119" s="28"/>
      <c r="B119" s="63" t="s">
        <v>31</v>
      </c>
      <c r="C119" s="225" t="s">
        <v>187</v>
      </c>
      <c r="D119" s="225"/>
      <c r="E119" s="225"/>
      <c r="F119" s="225"/>
      <c r="G119" s="225"/>
      <c r="H119" s="121"/>
    </row>
    <row r="120" spans="1:8" ht="16.5">
      <c r="A120" s="28"/>
      <c r="B120" s="71" t="s">
        <v>40</v>
      </c>
      <c r="C120" s="225" t="s">
        <v>59</v>
      </c>
      <c r="D120" s="225"/>
      <c r="E120" s="225"/>
      <c r="F120" s="225"/>
      <c r="G120" s="225"/>
      <c r="H120" s="121"/>
    </row>
    <row r="121" spans="1:10" ht="38.25">
      <c r="A121" s="28">
        <f>+A116+1</f>
        <v>33</v>
      </c>
      <c r="B121" s="29"/>
      <c r="C121" s="141" t="s">
        <v>330</v>
      </c>
      <c r="D121" s="138" t="s">
        <v>21</v>
      </c>
      <c r="E121" s="139">
        <f>+(2.35+3.58+1.37)*2.47-2*0.8*2.05+0.65*2.47</f>
        <v>16.356500000000004</v>
      </c>
      <c r="F121" s="83"/>
      <c r="G121" s="140">
        <f>E121*F121</f>
        <v>0</v>
      </c>
      <c r="H121" s="121" t="s">
        <v>218</v>
      </c>
      <c r="I121" s="129"/>
      <c r="J121" s="1"/>
    </row>
    <row r="122" spans="1:8" ht="12.75">
      <c r="A122" s="28"/>
      <c r="B122" s="29"/>
      <c r="C122" s="145" t="s">
        <v>443</v>
      </c>
      <c r="D122" s="36"/>
      <c r="E122" s="37"/>
      <c r="F122" s="210"/>
      <c r="G122" s="38"/>
      <c r="H122" s="121"/>
    </row>
    <row r="123" spans="1:10" ht="38.25">
      <c r="A123" s="28">
        <f>+A121+1</f>
        <v>34</v>
      </c>
      <c r="B123" s="29"/>
      <c r="C123" s="141" t="s">
        <v>305</v>
      </c>
      <c r="D123" s="138" t="s">
        <v>21</v>
      </c>
      <c r="E123" s="139">
        <f>0.92*2.47-0.8*2.05+0.88*1.32</f>
        <v>1.7940000000000003</v>
      </c>
      <c r="F123" s="83"/>
      <c r="G123" s="140">
        <f>E123*F123</f>
        <v>0</v>
      </c>
      <c r="H123" s="121" t="s">
        <v>218</v>
      </c>
      <c r="I123" s="129"/>
      <c r="J123" s="1"/>
    </row>
    <row r="124" spans="1:10" ht="12.75">
      <c r="A124" s="28"/>
      <c r="B124" s="29"/>
      <c r="C124" s="145" t="s">
        <v>395</v>
      </c>
      <c r="D124" s="36"/>
      <c r="E124" s="37"/>
      <c r="F124" s="210"/>
      <c r="G124" s="38"/>
      <c r="H124" s="121"/>
      <c r="I124" s="129"/>
      <c r="J124" s="31"/>
    </row>
    <row r="125" spans="1:8" ht="12.75">
      <c r="A125" s="28"/>
      <c r="B125" s="29"/>
      <c r="C125" s="145" t="s">
        <v>442</v>
      </c>
      <c r="D125" s="36"/>
      <c r="E125" s="37"/>
      <c r="F125" s="210"/>
      <c r="G125" s="38"/>
      <c r="H125" s="121"/>
    </row>
    <row r="126" spans="1:10" ht="38.25">
      <c r="A126" s="28">
        <f>+A123+1</f>
        <v>35</v>
      </c>
      <c r="B126" s="29"/>
      <c r="C126" s="141" t="s">
        <v>410</v>
      </c>
      <c r="D126" s="138" t="s">
        <v>21</v>
      </c>
      <c r="E126" s="37">
        <f>0.6*(1.6+0.7)*2</f>
        <v>2.76</v>
      </c>
      <c r="F126" s="83"/>
      <c r="G126" s="38">
        <f>E126*F126</f>
        <v>0</v>
      </c>
      <c r="H126" s="121" t="s">
        <v>218</v>
      </c>
      <c r="J126" s="1"/>
    </row>
    <row r="127" spans="1:10" ht="15.75" customHeight="1">
      <c r="A127" s="28">
        <f>A126+1</f>
        <v>36</v>
      </c>
      <c r="B127" s="136" t="s">
        <v>306</v>
      </c>
      <c r="C127" s="141" t="s">
        <v>331</v>
      </c>
      <c r="D127" s="138" t="s">
        <v>23</v>
      </c>
      <c r="E127" s="139">
        <v>2</v>
      </c>
      <c r="F127" s="83"/>
      <c r="G127" s="140">
        <f>E127*F127</f>
        <v>0</v>
      </c>
      <c r="H127" s="121" t="s">
        <v>218</v>
      </c>
      <c r="J127" s="1"/>
    </row>
    <row r="128" spans="1:8" ht="13.5" thickBot="1">
      <c r="A128" s="1">
        <f>A127+1</f>
        <v>37</v>
      </c>
      <c r="B128" s="29"/>
      <c r="C128" s="75" t="s">
        <v>51</v>
      </c>
      <c r="D128" s="36" t="s">
        <v>29</v>
      </c>
      <c r="E128" s="37">
        <f>+G121+G123+G126+G127</f>
        <v>0</v>
      </c>
      <c r="F128" s="86"/>
      <c r="G128" s="38">
        <f>E128*F128</f>
        <v>0</v>
      </c>
      <c r="H128" s="121" t="s">
        <v>218</v>
      </c>
    </row>
    <row r="129" spans="1:8" ht="13.5" thickBot="1">
      <c r="A129" s="28"/>
      <c r="B129" s="29"/>
      <c r="C129" s="46" t="s">
        <v>22</v>
      </c>
      <c r="D129" s="47"/>
      <c r="E129" s="48"/>
      <c r="F129" s="48"/>
      <c r="G129" s="45">
        <f>SUBTOTAL(9,G121:G128)</f>
        <v>0</v>
      </c>
      <c r="H129" s="121"/>
    </row>
    <row r="130" spans="1:8" ht="12.75">
      <c r="A130" s="28"/>
      <c r="B130" s="29"/>
      <c r="C130" s="13"/>
      <c r="D130" s="14"/>
      <c r="E130" s="20"/>
      <c r="F130" s="20"/>
      <c r="G130" s="15"/>
      <c r="H130" s="121"/>
    </row>
    <row r="131" spans="1:8" ht="16.5">
      <c r="A131" s="28"/>
      <c r="B131" s="71" t="s">
        <v>41</v>
      </c>
      <c r="C131" s="225" t="s">
        <v>60</v>
      </c>
      <c r="D131" s="225"/>
      <c r="E131" s="225"/>
      <c r="F131" s="225"/>
      <c r="G131" s="225"/>
      <c r="H131" s="121"/>
    </row>
    <row r="132" spans="1:10" ht="52.5" customHeight="1">
      <c r="A132" s="28"/>
      <c r="B132" s="63"/>
      <c r="C132" s="222" t="s">
        <v>78</v>
      </c>
      <c r="D132" s="222"/>
      <c r="E132" s="222"/>
      <c r="F132" s="222"/>
      <c r="G132" s="222"/>
      <c r="H132" s="121"/>
      <c r="J132" s="70"/>
    </row>
    <row r="133" spans="1:10" ht="38.25">
      <c r="A133" s="28">
        <f>A128+1</f>
        <v>38</v>
      </c>
      <c r="B133" s="29" t="s">
        <v>334</v>
      </c>
      <c r="C133" s="35" t="s">
        <v>396</v>
      </c>
      <c r="D133" s="36" t="s">
        <v>21</v>
      </c>
      <c r="E133" s="37">
        <f>5.2+6.2</f>
        <v>11.4</v>
      </c>
      <c r="F133" s="83"/>
      <c r="G133" s="38">
        <f>E133*F133</f>
        <v>0</v>
      </c>
      <c r="H133" s="121" t="s">
        <v>218</v>
      </c>
      <c r="J133" s="1"/>
    </row>
    <row r="134" spans="1:7" ht="12.75">
      <c r="A134" s="133"/>
      <c r="B134" s="136"/>
      <c r="C134" s="204" t="s">
        <v>446</v>
      </c>
      <c r="D134" s="138"/>
      <c r="E134" s="139"/>
      <c r="F134" s="210"/>
      <c r="G134" s="140"/>
    </row>
    <row r="135" spans="1:9" ht="12.75">
      <c r="A135" s="133">
        <f>A133+1</f>
        <v>39</v>
      </c>
      <c r="B135" s="136" t="s">
        <v>444</v>
      </c>
      <c r="C135" s="141" t="s">
        <v>445</v>
      </c>
      <c r="D135" s="138" t="s">
        <v>21</v>
      </c>
      <c r="E135" s="139">
        <f>1.1+2.37*(0.35+0.25)+0.4</f>
        <v>2.922</v>
      </c>
      <c r="F135" s="83"/>
      <c r="G135" s="140">
        <f>E135*F135</f>
        <v>0</v>
      </c>
      <c r="H135" s="119" t="s">
        <v>218</v>
      </c>
      <c r="I135" s="125"/>
    </row>
    <row r="136" spans="1:7" ht="12.75">
      <c r="A136" s="133"/>
      <c r="B136" s="136"/>
      <c r="C136" s="204" t="s">
        <v>457</v>
      </c>
      <c r="D136" s="138"/>
      <c r="E136" s="139"/>
      <c r="F136" s="210"/>
      <c r="G136" s="140"/>
    </row>
    <row r="137" spans="1:8" ht="12.75">
      <c r="A137" s="28">
        <f>A133+1</f>
        <v>39</v>
      </c>
      <c r="B137" s="76" t="s">
        <v>200</v>
      </c>
      <c r="C137" s="77" t="s">
        <v>77</v>
      </c>
      <c r="D137" s="78" t="s">
        <v>21</v>
      </c>
      <c r="E137" s="79">
        <f>5.2*1.1</f>
        <v>5.720000000000001</v>
      </c>
      <c r="F137" s="84"/>
      <c r="G137" s="80">
        <f>E137*F137</f>
        <v>0</v>
      </c>
      <c r="H137" s="121" t="s">
        <v>218</v>
      </c>
    </row>
    <row r="138" spans="1:8" ht="12.75">
      <c r="A138" s="28">
        <f>A137+1</f>
        <v>40</v>
      </c>
      <c r="B138" s="76" t="s">
        <v>332</v>
      </c>
      <c r="C138" s="77" t="s">
        <v>333</v>
      </c>
      <c r="D138" s="78" t="s">
        <v>21</v>
      </c>
      <c r="E138" s="79">
        <f>(6.2+0.4+2.37*(0.35+0.25))*1.1</f>
        <v>8.824200000000001</v>
      </c>
      <c r="F138" s="84"/>
      <c r="G138" s="80">
        <f>E138*F138</f>
        <v>0</v>
      </c>
      <c r="H138" s="121" t="s">
        <v>218</v>
      </c>
    </row>
    <row r="139" spans="1:8" ht="25.5">
      <c r="A139" s="28">
        <f>A138+1</f>
        <v>41</v>
      </c>
      <c r="B139" s="29" t="s">
        <v>267</v>
      </c>
      <c r="C139" s="35" t="s">
        <v>277</v>
      </c>
      <c r="D139" s="36" t="s">
        <v>23</v>
      </c>
      <c r="E139" s="37">
        <v>2</v>
      </c>
      <c r="F139" s="83"/>
      <c r="G139" s="38">
        <f>E139*F139</f>
        <v>0</v>
      </c>
      <c r="H139" s="121" t="s">
        <v>218</v>
      </c>
    </row>
    <row r="140" spans="1:10" ht="12.75">
      <c r="A140" s="28">
        <f>A139+1</f>
        <v>42</v>
      </c>
      <c r="B140" s="29" t="s">
        <v>334</v>
      </c>
      <c r="C140" s="35" t="s">
        <v>95</v>
      </c>
      <c r="D140" s="36" t="s">
        <v>21</v>
      </c>
      <c r="E140" s="37">
        <f>+E133</f>
        <v>11.4</v>
      </c>
      <c r="F140" s="83"/>
      <c r="G140" s="38">
        <f>E140*F140</f>
        <v>0</v>
      </c>
      <c r="H140" s="117" t="s">
        <v>218</v>
      </c>
      <c r="J140" s="70"/>
    </row>
    <row r="141" spans="1:8" ht="13.5" thickBot="1">
      <c r="A141" s="28">
        <f>A140+1</f>
        <v>43</v>
      </c>
      <c r="B141" s="29"/>
      <c r="C141" s="35" t="s">
        <v>48</v>
      </c>
      <c r="D141" s="32" t="s">
        <v>29</v>
      </c>
      <c r="E141" s="37">
        <f>SUM(G137:G139)</f>
        <v>0</v>
      </c>
      <c r="F141" s="85"/>
      <c r="G141" s="30">
        <f>E141*F141</f>
        <v>0</v>
      </c>
      <c r="H141" s="121" t="s">
        <v>218</v>
      </c>
    </row>
    <row r="142" spans="1:8" ht="13.5" thickBot="1">
      <c r="A142" s="28"/>
      <c r="B142" s="29"/>
      <c r="C142" s="46" t="s">
        <v>22</v>
      </c>
      <c r="D142" s="47"/>
      <c r="E142" s="48"/>
      <c r="F142" s="48"/>
      <c r="G142" s="45">
        <f>SUBTOTAL(9,G133:G141)</f>
        <v>0</v>
      </c>
      <c r="H142" s="121"/>
    </row>
    <row r="143" spans="1:8" ht="12.75">
      <c r="A143" s="28"/>
      <c r="B143" s="29"/>
      <c r="C143" s="13"/>
      <c r="D143" s="14"/>
      <c r="E143" s="20"/>
      <c r="F143" s="20"/>
      <c r="G143" s="15"/>
      <c r="H143" s="121"/>
    </row>
    <row r="144" spans="1:8" ht="16.5">
      <c r="A144" s="28"/>
      <c r="B144" s="71" t="s">
        <v>42</v>
      </c>
      <c r="C144" s="225" t="s">
        <v>230</v>
      </c>
      <c r="D144" s="225"/>
      <c r="E144" s="225"/>
      <c r="F144" s="225"/>
      <c r="G144" s="225"/>
      <c r="H144" s="121"/>
    </row>
    <row r="145" spans="1:10" ht="30" customHeight="1">
      <c r="A145" s="28"/>
      <c r="B145" s="29"/>
      <c r="C145" s="223" t="s">
        <v>61</v>
      </c>
      <c r="D145" s="223"/>
      <c r="E145" s="223"/>
      <c r="F145" s="223"/>
      <c r="G145" s="223"/>
      <c r="H145" s="117"/>
      <c r="J145" s="70"/>
    </row>
    <row r="146" spans="1:10" ht="65.25" customHeight="1">
      <c r="A146" s="28">
        <f>A141+1</f>
        <v>44</v>
      </c>
      <c r="B146" s="29" t="s">
        <v>237</v>
      </c>
      <c r="C146" s="35" t="s">
        <v>336</v>
      </c>
      <c r="D146" s="36" t="s">
        <v>21</v>
      </c>
      <c r="E146" s="37">
        <f>E87+(1.07*1.39+3.71*1.39)+0.15*20</f>
        <v>18.17315</v>
      </c>
      <c r="F146" s="83"/>
      <c r="G146" s="38">
        <f>E146*F146</f>
        <v>0</v>
      </c>
      <c r="H146" s="117" t="s">
        <v>212</v>
      </c>
      <c r="J146" s="130"/>
    </row>
    <row r="147" spans="1:10" ht="25.5">
      <c r="A147" s="28">
        <f>A146+1</f>
        <v>45</v>
      </c>
      <c r="B147" s="29" t="s">
        <v>238</v>
      </c>
      <c r="C147" s="141" t="s">
        <v>335</v>
      </c>
      <c r="D147" s="138" t="s">
        <v>21</v>
      </c>
      <c r="E147" s="37">
        <f>3.18*2.45-2*0.8*2.05+0.95*2.45-0.9*2.05+(2.135+0.95)*2.45-0.8*2.05+2.55*2.45+2.135*2.45+1.37*2.45+0.95*2.45-0.9*2.05</f>
        <v>26.229000000000003</v>
      </c>
      <c r="F147" s="83"/>
      <c r="G147" s="140">
        <f>E147*F147</f>
        <v>0</v>
      </c>
      <c r="H147" s="117" t="s">
        <v>212</v>
      </c>
      <c r="J147" s="70"/>
    </row>
    <row r="148" spans="1:10" ht="12.75">
      <c r="A148" s="28"/>
      <c r="B148" s="29"/>
      <c r="C148" s="145" t="s">
        <v>449</v>
      </c>
      <c r="D148" s="36"/>
      <c r="E148" s="37"/>
      <c r="F148" s="210"/>
      <c r="G148" s="38"/>
      <c r="H148" s="117"/>
      <c r="J148" s="70"/>
    </row>
    <row r="149" spans="1:10" ht="12.75">
      <c r="A149" s="28"/>
      <c r="B149" s="29"/>
      <c r="C149" s="145" t="s">
        <v>447</v>
      </c>
      <c r="D149" s="36"/>
      <c r="E149" s="37"/>
      <c r="F149" s="210"/>
      <c r="G149" s="38"/>
      <c r="H149" s="117"/>
      <c r="J149" s="70"/>
    </row>
    <row r="150" spans="1:10" ht="12.75">
      <c r="A150" s="28"/>
      <c r="B150" s="29"/>
      <c r="C150" s="145" t="s">
        <v>448</v>
      </c>
      <c r="D150" s="36"/>
      <c r="E150" s="37"/>
      <c r="F150" s="210"/>
      <c r="G150" s="38"/>
      <c r="H150" s="117"/>
      <c r="J150" s="70"/>
    </row>
    <row r="151" spans="1:10" ht="12.75">
      <c r="A151" s="28"/>
      <c r="B151" s="29"/>
      <c r="C151" s="145" t="s">
        <v>451</v>
      </c>
      <c r="D151" s="36"/>
      <c r="E151" s="37"/>
      <c r="F151" s="210"/>
      <c r="G151" s="38"/>
      <c r="H151" s="117"/>
      <c r="J151" s="70"/>
    </row>
    <row r="152" spans="1:10" ht="12.75">
      <c r="A152" s="28"/>
      <c r="B152" s="29"/>
      <c r="C152" s="145" t="s">
        <v>450</v>
      </c>
      <c r="D152" s="36"/>
      <c r="E152" s="37"/>
      <c r="F152" s="210"/>
      <c r="G152" s="38"/>
      <c r="H152" s="117"/>
      <c r="J152" s="70"/>
    </row>
    <row r="153" spans="1:10" ht="12.75">
      <c r="A153" s="28"/>
      <c r="B153" s="29"/>
      <c r="C153" s="145" t="s">
        <v>452</v>
      </c>
      <c r="D153" s="36"/>
      <c r="E153" s="37"/>
      <c r="F153" s="210"/>
      <c r="G153" s="38"/>
      <c r="H153" s="117"/>
      <c r="J153" s="70"/>
    </row>
    <row r="154" spans="1:8" ht="25.5">
      <c r="A154" s="28">
        <f>A147+1</f>
        <v>46</v>
      </c>
      <c r="B154" s="29"/>
      <c r="C154" s="35" t="s">
        <v>244</v>
      </c>
      <c r="D154" s="36" t="s">
        <v>21</v>
      </c>
      <c r="E154" s="37">
        <f>20.48*2.45-2*0.9*2.05-0.85*2.1-3*0.57*1.39-1.32*1.35+1.47*2.45+3.25*(2.45-1.39)+9.48+2+20.14*2.45-2*0.9*2.05-0.865*2.02-0.885*2.22-1.335*1.36+22.8+15.5*2.45-0.9*2.05-1.3*1.65+14.6</f>
        <v>170.579</v>
      </c>
      <c r="F154" s="83"/>
      <c r="G154" s="38">
        <f aca="true" t="shared" si="4" ref="G154:G183">E154*F154</f>
        <v>0</v>
      </c>
      <c r="H154" s="121" t="s">
        <v>212</v>
      </c>
    </row>
    <row r="155" spans="1:8" ht="25.5">
      <c r="A155" s="28"/>
      <c r="B155" s="29"/>
      <c r="C155" s="244" t="s">
        <v>454</v>
      </c>
      <c r="D155" s="36"/>
      <c r="E155" s="37"/>
      <c r="F155" s="210"/>
      <c r="G155" s="38"/>
      <c r="H155" s="121"/>
    </row>
    <row r="156" spans="1:8" ht="12.75">
      <c r="A156" s="28"/>
      <c r="B156" s="29"/>
      <c r="C156" s="145" t="s">
        <v>453</v>
      </c>
      <c r="D156" s="36"/>
      <c r="E156" s="37"/>
      <c r="F156" s="210"/>
      <c r="G156" s="38"/>
      <c r="H156" s="121"/>
    </row>
    <row r="157" spans="1:8" ht="12.75">
      <c r="A157" s="28"/>
      <c r="B157" s="29"/>
      <c r="C157" s="145" t="s">
        <v>342</v>
      </c>
      <c r="D157" s="36"/>
      <c r="E157" s="37"/>
      <c r="F157" s="210"/>
      <c r="G157" s="38"/>
      <c r="H157" s="121"/>
    </row>
    <row r="159" spans="1:8" ht="25.5">
      <c r="A159" s="28">
        <f>A154+1</f>
        <v>47</v>
      </c>
      <c r="B159" s="29" t="s">
        <v>397</v>
      </c>
      <c r="C159" s="35" t="s">
        <v>282</v>
      </c>
      <c r="D159" s="36" t="s">
        <v>21</v>
      </c>
      <c r="E159" s="37">
        <f>E160</f>
        <v>22.5388</v>
      </c>
      <c r="F159" s="83"/>
      <c r="G159" s="38">
        <f t="shared" si="4"/>
        <v>0</v>
      </c>
      <c r="H159" s="121" t="s">
        <v>212</v>
      </c>
    </row>
    <row r="160" spans="1:8" ht="25.5">
      <c r="A160" s="28">
        <f>A159+1</f>
        <v>48</v>
      </c>
      <c r="B160" s="29" t="s">
        <v>240</v>
      </c>
      <c r="C160" s="35" t="s">
        <v>345</v>
      </c>
      <c r="D160" s="36" t="s">
        <v>21</v>
      </c>
      <c r="E160" s="37">
        <f>9.51*2.4-0.8*2.05-2*0.27*1.38+3.5*0.6</f>
        <v>22.5388</v>
      </c>
      <c r="F160" s="83"/>
      <c r="G160" s="38">
        <f t="shared" si="4"/>
        <v>0</v>
      </c>
      <c r="H160" s="121" t="s">
        <v>212</v>
      </c>
    </row>
    <row r="161" spans="1:8" ht="12.75">
      <c r="A161" s="28">
        <f aca="true" t="shared" si="5" ref="A161:A174">A160+1</f>
        <v>49</v>
      </c>
      <c r="B161" s="76" t="s">
        <v>241</v>
      </c>
      <c r="C161" s="77" t="s">
        <v>188</v>
      </c>
      <c r="D161" s="78" t="s">
        <v>21</v>
      </c>
      <c r="E161" s="79">
        <f>+E160*1.1-E162</f>
        <v>18.80428</v>
      </c>
      <c r="F161" s="84"/>
      <c r="G161" s="80">
        <f t="shared" si="4"/>
        <v>0</v>
      </c>
      <c r="H161" s="121" t="s">
        <v>212</v>
      </c>
    </row>
    <row r="162" spans="1:8" ht="25.5">
      <c r="A162" s="28">
        <f>A161+1</f>
        <v>50</v>
      </c>
      <c r="B162" s="76" t="s">
        <v>242</v>
      </c>
      <c r="C162" s="77" t="s">
        <v>245</v>
      </c>
      <c r="D162" s="78" t="s">
        <v>21</v>
      </c>
      <c r="E162" s="79">
        <f>(0.4*(9.43-0.8-0.27)+3.5*0.6)*1.1</f>
        <v>5.9884</v>
      </c>
      <c r="F162" s="84"/>
      <c r="G162" s="80">
        <f t="shared" si="4"/>
        <v>0</v>
      </c>
      <c r="H162" s="121" t="s">
        <v>212</v>
      </c>
    </row>
    <row r="163" spans="1:8" ht="12.75">
      <c r="A163" s="28">
        <f t="shared" si="5"/>
        <v>51</v>
      </c>
      <c r="B163" s="76" t="s">
        <v>243</v>
      </c>
      <c r="C163" s="77" t="s">
        <v>104</v>
      </c>
      <c r="D163" s="78" t="s">
        <v>24</v>
      </c>
      <c r="E163" s="79">
        <f>(0.6)*1.1</f>
        <v>0.66</v>
      </c>
      <c r="F163" s="84"/>
      <c r="G163" s="80">
        <f t="shared" si="4"/>
        <v>0</v>
      </c>
      <c r="H163" s="121" t="s">
        <v>212</v>
      </c>
    </row>
    <row r="164" spans="1:8" ht="12.75">
      <c r="A164" s="28">
        <f>A163+1</f>
        <v>52</v>
      </c>
      <c r="B164" s="29" t="s">
        <v>252</v>
      </c>
      <c r="C164" s="35" t="s">
        <v>62</v>
      </c>
      <c r="D164" s="36" t="s">
        <v>23</v>
      </c>
      <c r="E164" s="37">
        <v>1</v>
      </c>
      <c r="F164" s="83"/>
      <c r="G164" s="38">
        <f t="shared" si="4"/>
        <v>0</v>
      </c>
      <c r="H164" s="121" t="s">
        <v>218</v>
      </c>
    </row>
    <row r="165" spans="1:8" ht="38.25">
      <c r="A165" s="28">
        <f t="shared" si="5"/>
        <v>53</v>
      </c>
      <c r="B165" s="76" t="s">
        <v>252</v>
      </c>
      <c r="C165" s="77" t="s">
        <v>269</v>
      </c>
      <c r="D165" s="78" t="s">
        <v>23</v>
      </c>
      <c r="E165" s="79">
        <v>1</v>
      </c>
      <c r="F165" s="84"/>
      <c r="G165" s="80">
        <f t="shared" si="4"/>
        <v>0</v>
      </c>
      <c r="H165" s="121" t="s">
        <v>218</v>
      </c>
    </row>
    <row r="166" spans="1:9" ht="25.5">
      <c r="A166" s="133">
        <f t="shared" si="5"/>
        <v>54</v>
      </c>
      <c r="B166" s="205" t="s">
        <v>455</v>
      </c>
      <c r="C166" s="206" t="s">
        <v>456</v>
      </c>
      <c r="D166" s="207" t="s">
        <v>23</v>
      </c>
      <c r="E166" s="208">
        <v>2</v>
      </c>
      <c r="F166" s="84"/>
      <c r="G166" s="209">
        <f t="shared" si="4"/>
        <v>0</v>
      </c>
      <c r="H166" s="119" t="s">
        <v>218</v>
      </c>
      <c r="I166" s="125"/>
    </row>
    <row r="167" spans="1:8" ht="25.5">
      <c r="A167" s="133">
        <f t="shared" si="5"/>
        <v>55</v>
      </c>
      <c r="B167" s="29" t="s">
        <v>240</v>
      </c>
      <c r="C167" s="35" t="s">
        <v>71</v>
      </c>
      <c r="D167" s="36" t="s">
        <v>21</v>
      </c>
      <c r="E167" s="37">
        <f>(1.75+0.85)*1.7</f>
        <v>4.42</v>
      </c>
      <c r="F167" s="83"/>
      <c r="G167" s="38">
        <f t="shared" si="4"/>
        <v>0</v>
      </c>
      <c r="H167" s="121" t="s">
        <v>212</v>
      </c>
    </row>
    <row r="168" spans="1:8" ht="12.75">
      <c r="A168" s="28">
        <f t="shared" si="5"/>
        <v>56</v>
      </c>
      <c r="B168" s="76" t="s">
        <v>243</v>
      </c>
      <c r="C168" s="77" t="s">
        <v>76</v>
      </c>
      <c r="D168" s="78" t="s">
        <v>35</v>
      </c>
      <c r="E168" s="79">
        <f>+E167*1.5</f>
        <v>6.63</v>
      </c>
      <c r="F168" s="84"/>
      <c r="G168" s="80">
        <f t="shared" si="4"/>
        <v>0</v>
      </c>
      <c r="H168" s="121" t="s">
        <v>212</v>
      </c>
    </row>
    <row r="169" spans="1:8" ht="25.5">
      <c r="A169" s="28">
        <f t="shared" si="5"/>
        <v>57</v>
      </c>
      <c r="B169" s="76" t="s">
        <v>243</v>
      </c>
      <c r="C169" s="77" t="s">
        <v>233</v>
      </c>
      <c r="D169" s="78" t="s">
        <v>24</v>
      </c>
      <c r="E169" s="79">
        <v>1.7</v>
      </c>
      <c r="F169" s="84"/>
      <c r="G169" s="80">
        <f t="shared" si="4"/>
        <v>0</v>
      </c>
      <c r="H169" s="121" t="s">
        <v>212</v>
      </c>
    </row>
    <row r="170" spans="1:10" ht="12.75">
      <c r="A170" s="28">
        <f t="shared" si="5"/>
        <v>58</v>
      </c>
      <c r="B170" s="29" t="s">
        <v>239</v>
      </c>
      <c r="C170" s="35" t="s">
        <v>209</v>
      </c>
      <c r="D170" s="36" t="s">
        <v>21</v>
      </c>
      <c r="E170" s="37">
        <f>+E174</f>
        <v>133.12100000000004</v>
      </c>
      <c r="F170" s="83"/>
      <c r="G170" s="38">
        <f t="shared" si="4"/>
        <v>0</v>
      </c>
      <c r="H170" s="121" t="s">
        <v>212</v>
      </c>
      <c r="J170" s="70"/>
    </row>
    <row r="171" spans="1:10" ht="12.75">
      <c r="A171" s="28">
        <f t="shared" si="5"/>
        <v>59</v>
      </c>
      <c r="B171" s="29"/>
      <c r="C171" s="35" t="s">
        <v>210</v>
      </c>
      <c r="D171" s="36" t="s">
        <v>21</v>
      </c>
      <c r="E171" s="37">
        <f>2+14.6+10.8-1.2+22.6</f>
        <v>48.800000000000004</v>
      </c>
      <c r="F171" s="83"/>
      <c r="G171" s="38">
        <f t="shared" si="4"/>
        <v>0</v>
      </c>
      <c r="H171" s="121" t="s">
        <v>212</v>
      </c>
      <c r="J171" s="70"/>
    </row>
    <row r="172" spans="1:10" ht="12.75">
      <c r="A172" s="28">
        <f t="shared" si="5"/>
        <v>60</v>
      </c>
      <c r="B172" s="29"/>
      <c r="C172" s="35" t="s">
        <v>229</v>
      </c>
      <c r="D172" s="36" t="s">
        <v>20</v>
      </c>
      <c r="E172" s="37">
        <v>1</v>
      </c>
      <c r="F172" s="83"/>
      <c r="G172" s="38">
        <f t="shared" si="4"/>
        <v>0</v>
      </c>
      <c r="H172" s="121" t="s">
        <v>212</v>
      </c>
      <c r="J172" s="70"/>
    </row>
    <row r="173" spans="1:8" ht="12.75">
      <c r="A173" s="28">
        <f t="shared" si="5"/>
        <v>61</v>
      </c>
      <c r="B173" s="29" t="s">
        <v>253</v>
      </c>
      <c r="C173" s="35" t="s">
        <v>199</v>
      </c>
      <c r="D173" s="36" t="s">
        <v>21</v>
      </c>
      <c r="E173" s="37">
        <f>+E174</f>
        <v>133.12100000000004</v>
      </c>
      <c r="F173" s="83"/>
      <c r="G173" s="38">
        <f>E173*F173</f>
        <v>0</v>
      </c>
      <c r="H173" s="121" t="s">
        <v>212</v>
      </c>
    </row>
    <row r="174" spans="1:10" ht="51">
      <c r="A174" s="28">
        <f t="shared" si="5"/>
        <v>62</v>
      </c>
      <c r="B174" s="29" t="s">
        <v>253</v>
      </c>
      <c r="C174" s="141" t="s">
        <v>422</v>
      </c>
      <c r="D174" s="36" t="s">
        <v>24</v>
      </c>
      <c r="E174" s="37">
        <f>10.27*2.45-3*0.9*2.05-2*0.8*2.05+6.17*2.45-0.8*2.05-0.57*1.39+15.5*2.45-0.9*2.05-1.3*1.65+14.83*2.45-1.32*1.35-0.9*2.05-3.44*0.6-0.865*2.02+19.85*2.45-2*0.9*2.05-0.865*2.02-0.9*2.03-1.335*1.36+(1.73+2+1.45*2)*0.25</f>
        <v>133.12100000000004</v>
      </c>
      <c r="F174" s="83"/>
      <c r="G174" s="38">
        <f t="shared" si="4"/>
        <v>0</v>
      </c>
      <c r="H174" s="121" t="s">
        <v>212</v>
      </c>
      <c r="J174" s="70"/>
    </row>
    <row r="175" spans="1:8" ht="12.75">
      <c r="A175" s="28"/>
      <c r="B175" s="29"/>
      <c r="C175" s="145" t="s">
        <v>338</v>
      </c>
      <c r="D175" s="36"/>
      <c r="E175" s="37"/>
      <c r="F175" s="210"/>
      <c r="G175" s="38"/>
      <c r="H175" s="121"/>
    </row>
    <row r="176" spans="1:8" ht="12.75">
      <c r="A176" s="28"/>
      <c r="B176" s="29"/>
      <c r="C176" s="145" t="s">
        <v>339</v>
      </c>
      <c r="D176" s="36"/>
      <c r="E176" s="37"/>
      <c r="F176" s="210"/>
      <c r="G176" s="38"/>
      <c r="H176" s="121"/>
    </row>
    <row r="177" spans="1:8" ht="12.75">
      <c r="A177" s="28"/>
      <c r="B177" s="29"/>
      <c r="C177" s="145" t="s">
        <v>340</v>
      </c>
      <c r="D177" s="36"/>
      <c r="E177" s="37"/>
      <c r="F177" s="210"/>
      <c r="G177" s="38"/>
      <c r="H177" s="121"/>
    </row>
    <row r="178" spans="1:8" ht="12.75">
      <c r="A178" s="28"/>
      <c r="B178" s="29"/>
      <c r="C178" s="145" t="s">
        <v>341</v>
      </c>
      <c r="D178" s="36"/>
      <c r="E178" s="37"/>
      <c r="F178" s="210"/>
      <c r="G178" s="38"/>
      <c r="H178" s="121"/>
    </row>
    <row r="179" spans="1:8" ht="12.75">
      <c r="A179" s="28"/>
      <c r="B179" s="29"/>
      <c r="C179" s="145" t="s">
        <v>459</v>
      </c>
      <c r="D179" s="36"/>
      <c r="E179" s="37"/>
      <c r="F179" s="210"/>
      <c r="G179" s="38"/>
      <c r="H179" s="121"/>
    </row>
    <row r="180" spans="1:8" ht="12.75">
      <c r="A180" s="28"/>
      <c r="B180" s="29"/>
      <c r="C180" s="145" t="s">
        <v>458</v>
      </c>
      <c r="D180" s="36"/>
      <c r="E180" s="37"/>
      <c r="F180" s="210"/>
      <c r="G180" s="38"/>
      <c r="H180" s="121"/>
    </row>
    <row r="181" spans="1:8" ht="12.75">
      <c r="A181" s="28"/>
      <c r="B181" s="29"/>
      <c r="C181" s="145" t="s">
        <v>424</v>
      </c>
      <c r="D181" s="36"/>
      <c r="E181" s="37"/>
      <c r="F181" s="210"/>
      <c r="G181" s="38"/>
      <c r="H181" s="121"/>
    </row>
    <row r="182" spans="1:10" ht="38.25">
      <c r="A182" s="28"/>
      <c r="B182" s="29" t="s">
        <v>343</v>
      </c>
      <c r="C182" s="35" t="s">
        <v>382</v>
      </c>
      <c r="D182" s="36" t="s">
        <v>20</v>
      </c>
      <c r="E182" s="37">
        <v>1</v>
      </c>
      <c r="F182" s="83"/>
      <c r="G182" s="38">
        <f t="shared" si="4"/>
        <v>0</v>
      </c>
      <c r="H182" s="121" t="s">
        <v>212</v>
      </c>
      <c r="J182" s="70"/>
    </row>
    <row r="183" spans="1:8" ht="13.5" thickBot="1">
      <c r="A183" s="28">
        <f>A174+1</f>
        <v>63</v>
      </c>
      <c r="B183" s="29"/>
      <c r="C183" s="75" t="s">
        <v>51</v>
      </c>
      <c r="D183" s="36" t="s">
        <v>29</v>
      </c>
      <c r="E183" s="37">
        <f>+G146+G147+G161+G162+G163+G165+G168+G169+G173+G170+G171+G172+G174+G159+G166</f>
        <v>0</v>
      </c>
      <c r="F183" s="86"/>
      <c r="G183" s="38">
        <f t="shared" si="4"/>
        <v>0</v>
      </c>
      <c r="H183" s="121" t="s">
        <v>212</v>
      </c>
    </row>
    <row r="184" spans="1:8" ht="13.5" thickBot="1">
      <c r="A184" s="28"/>
      <c r="B184" s="29"/>
      <c r="C184" s="46" t="s">
        <v>22</v>
      </c>
      <c r="D184" s="47"/>
      <c r="E184" s="48"/>
      <c r="F184" s="48"/>
      <c r="G184" s="45">
        <f>SUBTOTAL(9,G146:G183)</f>
        <v>0</v>
      </c>
      <c r="H184" s="121"/>
    </row>
    <row r="185" spans="1:8" ht="12.75">
      <c r="A185" s="28"/>
      <c r="B185" s="29"/>
      <c r="C185" s="13"/>
      <c r="D185" s="14"/>
      <c r="E185" s="20"/>
      <c r="F185" s="20"/>
      <c r="G185" s="15"/>
      <c r="H185" s="121"/>
    </row>
    <row r="186" spans="1:8" ht="16.5">
      <c r="A186" s="28"/>
      <c r="B186" s="71" t="s">
        <v>43</v>
      </c>
      <c r="C186" s="92" t="s">
        <v>63</v>
      </c>
      <c r="D186" s="92"/>
      <c r="E186" s="92"/>
      <c r="F186" s="92"/>
      <c r="G186" s="92"/>
      <c r="H186" s="121"/>
    </row>
    <row r="187" spans="1:8" ht="52.5" customHeight="1">
      <c r="A187" s="28"/>
      <c r="B187" s="63"/>
      <c r="C187" s="222" t="s">
        <v>134</v>
      </c>
      <c r="D187" s="222"/>
      <c r="E187" s="222"/>
      <c r="F187" s="222"/>
      <c r="G187" s="222"/>
      <c r="H187" s="121"/>
    </row>
    <row r="188" spans="1:8" ht="12.75">
      <c r="A188" s="28">
        <f>A183+1</f>
        <v>64</v>
      </c>
      <c r="B188" s="29" t="s">
        <v>32</v>
      </c>
      <c r="C188" s="98" t="s">
        <v>81</v>
      </c>
      <c r="D188" s="36" t="s">
        <v>24</v>
      </c>
      <c r="E188" s="37">
        <v>2.3</v>
      </c>
      <c r="F188" s="83"/>
      <c r="G188" s="38">
        <f aca="true" t="shared" si="6" ref="G188:G213">E188*F188</f>
        <v>0</v>
      </c>
      <c r="H188" s="121" t="s">
        <v>212</v>
      </c>
    </row>
    <row r="189" spans="1:8" ht="12.75">
      <c r="A189" s="28">
        <f>A188+1</f>
        <v>65</v>
      </c>
      <c r="B189" s="29" t="s">
        <v>32</v>
      </c>
      <c r="C189" s="98" t="s">
        <v>82</v>
      </c>
      <c r="D189" s="36" t="s">
        <v>24</v>
      </c>
      <c r="E189" s="37">
        <f>1.4+2.2+1.3</f>
        <v>4.9</v>
      </c>
      <c r="F189" s="83"/>
      <c r="G189" s="38">
        <f t="shared" si="6"/>
        <v>0</v>
      </c>
      <c r="H189" s="121" t="s">
        <v>212</v>
      </c>
    </row>
    <row r="190" spans="1:8" ht="12.75">
      <c r="A190" s="28">
        <f aca="true" t="shared" si="7" ref="A190:A213">A189+1</f>
        <v>66</v>
      </c>
      <c r="B190" s="29" t="s">
        <v>32</v>
      </c>
      <c r="C190" s="98" t="s">
        <v>83</v>
      </c>
      <c r="D190" s="36" t="s">
        <v>24</v>
      </c>
      <c r="E190" s="37">
        <v>3.2</v>
      </c>
      <c r="F190" s="83"/>
      <c r="G190" s="38">
        <f t="shared" si="6"/>
        <v>0</v>
      </c>
      <c r="H190" s="121" t="s">
        <v>212</v>
      </c>
    </row>
    <row r="191" spans="1:8" ht="12.75">
      <c r="A191" s="28">
        <f t="shared" si="7"/>
        <v>67</v>
      </c>
      <c r="B191" s="29" t="s">
        <v>32</v>
      </c>
      <c r="C191" s="98" t="s">
        <v>84</v>
      </c>
      <c r="D191" s="36" t="s">
        <v>24</v>
      </c>
      <c r="E191" s="37">
        <v>1</v>
      </c>
      <c r="F191" s="83"/>
      <c r="G191" s="38">
        <f t="shared" si="6"/>
        <v>0</v>
      </c>
      <c r="H191" s="121" t="s">
        <v>212</v>
      </c>
    </row>
    <row r="192" spans="1:8" ht="12.75">
      <c r="A192" s="28">
        <f t="shared" si="7"/>
        <v>68</v>
      </c>
      <c r="B192" s="29" t="s">
        <v>32</v>
      </c>
      <c r="C192" s="98" t="s">
        <v>88</v>
      </c>
      <c r="D192" s="36" t="s">
        <v>23</v>
      </c>
      <c r="E192" s="37">
        <v>1</v>
      </c>
      <c r="F192" s="83"/>
      <c r="G192" s="38">
        <f t="shared" si="6"/>
        <v>0</v>
      </c>
      <c r="H192" s="121" t="s">
        <v>212</v>
      </c>
    </row>
    <row r="193" spans="1:8" ht="12.75">
      <c r="A193" s="28">
        <f t="shared" si="7"/>
        <v>69</v>
      </c>
      <c r="B193" s="29" t="s">
        <v>32</v>
      </c>
      <c r="C193" s="98" t="s">
        <v>102</v>
      </c>
      <c r="D193" s="36" t="s">
        <v>23</v>
      </c>
      <c r="E193" s="37">
        <v>2</v>
      </c>
      <c r="F193" s="83"/>
      <c r="G193" s="38">
        <f t="shared" si="6"/>
        <v>0</v>
      </c>
      <c r="H193" s="121" t="s">
        <v>212</v>
      </c>
    </row>
    <row r="194" spans="1:8" ht="12.75">
      <c r="A194" s="28">
        <f t="shared" si="7"/>
        <v>70</v>
      </c>
      <c r="B194" s="29" t="s">
        <v>32</v>
      </c>
      <c r="C194" s="98" t="s">
        <v>89</v>
      </c>
      <c r="D194" s="36" t="s">
        <v>23</v>
      </c>
      <c r="E194" s="37">
        <v>0</v>
      </c>
      <c r="F194" s="83"/>
      <c r="G194" s="38">
        <f t="shared" si="6"/>
        <v>0</v>
      </c>
      <c r="H194" s="121" t="s">
        <v>212</v>
      </c>
    </row>
    <row r="195" spans="1:8" ht="12.75">
      <c r="A195" s="28">
        <f t="shared" si="7"/>
        <v>71</v>
      </c>
      <c r="B195" s="29" t="s">
        <v>32</v>
      </c>
      <c r="C195" s="75" t="s">
        <v>201</v>
      </c>
      <c r="D195" s="36" t="s">
        <v>23</v>
      </c>
      <c r="E195" s="37">
        <v>0</v>
      </c>
      <c r="F195" s="83"/>
      <c r="G195" s="38">
        <f t="shared" si="6"/>
        <v>0</v>
      </c>
      <c r="H195" s="121" t="s">
        <v>212</v>
      </c>
    </row>
    <row r="196" spans="1:8" ht="12.75">
      <c r="A196" s="28">
        <f t="shared" si="7"/>
        <v>72</v>
      </c>
      <c r="B196" s="29" t="s">
        <v>32</v>
      </c>
      <c r="C196" s="75" t="s">
        <v>317</v>
      </c>
      <c r="D196" s="36" t="s">
        <v>23</v>
      </c>
      <c r="E196" s="37">
        <v>2</v>
      </c>
      <c r="F196" s="83"/>
      <c r="G196" s="38">
        <f>E196*F196</f>
        <v>0</v>
      </c>
      <c r="H196" s="121" t="s">
        <v>212</v>
      </c>
    </row>
    <row r="197" spans="1:8" ht="12.75">
      <c r="A197" s="28">
        <f>A196+1</f>
        <v>73</v>
      </c>
      <c r="B197" s="29" t="s">
        <v>32</v>
      </c>
      <c r="C197" s="98" t="s">
        <v>90</v>
      </c>
      <c r="D197" s="36" t="s">
        <v>23</v>
      </c>
      <c r="E197" s="37">
        <v>2</v>
      </c>
      <c r="F197" s="83"/>
      <c r="G197" s="38">
        <f t="shared" si="6"/>
        <v>0</v>
      </c>
      <c r="H197" s="121" t="s">
        <v>212</v>
      </c>
    </row>
    <row r="198" spans="1:8" ht="12.75">
      <c r="A198" s="28">
        <f t="shared" si="7"/>
        <v>74</v>
      </c>
      <c r="B198" s="29" t="s">
        <v>32</v>
      </c>
      <c r="C198" s="98" t="s">
        <v>1</v>
      </c>
      <c r="D198" s="36" t="s">
        <v>23</v>
      </c>
      <c r="E198" s="37">
        <v>2</v>
      </c>
      <c r="F198" s="83"/>
      <c r="G198" s="38">
        <f t="shared" si="6"/>
        <v>0</v>
      </c>
      <c r="H198" s="121" t="s">
        <v>212</v>
      </c>
    </row>
    <row r="199" spans="1:8" ht="12.75">
      <c r="A199" s="28">
        <f t="shared" si="7"/>
        <v>75</v>
      </c>
      <c r="B199" s="29" t="s">
        <v>32</v>
      </c>
      <c r="C199" s="75" t="s">
        <v>202</v>
      </c>
      <c r="D199" s="36" t="s">
        <v>23</v>
      </c>
      <c r="E199" s="37">
        <v>0</v>
      </c>
      <c r="F199" s="83"/>
      <c r="G199" s="38">
        <f t="shared" si="6"/>
        <v>0</v>
      </c>
      <c r="H199" s="121" t="s">
        <v>212</v>
      </c>
    </row>
    <row r="200" spans="1:8" ht="12.75">
      <c r="A200" s="28">
        <f t="shared" si="7"/>
        <v>76</v>
      </c>
      <c r="B200" s="29" t="s">
        <v>32</v>
      </c>
      <c r="C200" s="98" t="s">
        <v>86</v>
      </c>
      <c r="D200" s="36" t="s">
        <v>23</v>
      </c>
      <c r="E200" s="37">
        <v>1</v>
      </c>
      <c r="F200" s="83"/>
      <c r="G200" s="38">
        <f t="shared" si="6"/>
        <v>0</v>
      </c>
      <c r="H200" s="121" t="s">
        <v>212</v>
      </c>
    </row>
    <row r="201" spans="1:8" ht="12.75">
      <c r="A201" s="28">
        <f t="shared" si="7"/>
        <v>77</v>
      </c>
      <c r="B201" s="29" t="s">
        <v>32</v>
      </c>
      <c r="C201" s="98" t="s">
        <v>85</v>
      </c>
      <c r="D201" s="36" t="s">
        <v>23</v>
      </c>
      <c r="E201" s="37">
        <v>1</v>
      </c>
      <c r="F201" s="83"/>
      <c r="G201" s="38">
        <f t="shared" si="6"/>
        <v>0</v>
      </c>
      <c r="H201" s="121" t="s">
        <v>212</v>
      </c>
    </row>
    <row r="202" spans="1:8" ht="12.75">
      <c r="A202" s="28">
        <f t="shared" si="7"/>
        <v>78</v>
      </c>
      <c r="B202" s="29" t="s">
        <v>32</v>
      </c>
      <c r="C202" s="75" t="s">
        <v>208</v>
      </c>
      <c r="D202" s="36" t="s">
        <v>23</v>
      </c>
      <c r="E202" s="37">
        <v>0</v>
      </c>
      <c r="F202" s="83"/>
      <c r="G202" s="38">
        <f>E202*F202</f>
        <v>0</v>
      </c>
      <c r="H202" s="121" t="s">
        <v>212</v>
      </c>
    </row>
    <row r="203" spans="1:8" ht="12.75">
      <c r="A203" s="28">
        <f t="shared" si="7"/>
        <v>79</v>
      </c>
      <c r="B203" s="29" t="s">
        <v>32</v>
      </c>
      <c r="C203" s="75" t="s">
        <v>203</v>
      </c>
      <c r="D203" s="36" t="s">
        <v>23</v>
      </c>
      <c r="E203" s="37">
        <v>3</v>
      </c>
      <c r="F203" s="83"/>
      <c r="G203" s="38">
        <f t="shared" si="6"/>
        <v>0</v>
      </c>
      <c r="H203" s="121" t="s">
        <v>212</v>
      </c>
    </row>
    <row r="204" spans="1:8" ht="12.75">
      <c r="A204" s="28">
        <f t="shared" si="7"/>
        <v>80</v>
      </c>
      <c r="B204" s="29" t="s">
        <v>32</v>
      </c>
      <c r="C204" s="98" t="s">
        <v>87</v>
      </c>
      <c r="D204" s="36" t="s">
        <v>23</v>
      </c>
      <c r="E204" s="37">
        <v>1</v>
      </c>
      <c r="F204" s="83"/>
      <c r="G204" s="38">
        <f t="shared" si="6"/>
        <v>0</v>
      </c>
      <c r="H204" s="121" t="s">
        <v>212</v>
      </c>
    </row>
    <row r="205" spans="1:8" ht="12.75">
      <c r="A205" s="28">
        <f t="shared" si="7"/>
        <v>81</v>
      </c>
      <c r="B205" s="29" t="s">
        <v>32</v>
      </c>
      <c r="C205" s="75" t="s">
        <v>207</v>
      </c>
      <c r="D205" s="36" t="s">
        <v>23</v>
      </c>
      <c r="E205" s="37">
        <v>0</v>
      </c>
      <c r="F205" s="83"/>
      <c r="G205" s="38">
        <f>E205*F205</f>
        <v>0</v>
      </c>
      <c r="H205" s="121" t="s">
        <v>212</v>
      </c>
    </row>
    <row r="206" spans="1:8" ht="12.75">
      <c r="A206" s="28">
        <f t="shared" si="7"/>
        <v>82</v>
      </c>
      <c r="B206" s="29" t="s">
        <v>32</v>
      </c>
      <c r="C206" s="75" t="s">
        <v>206</v>
      </c>
      <c r="D206" s="36" t="s">
        <v>23</v>
      </c>
      <c r="E206" s="37">
        <v>0</v>
      </c>
      <c r="F206" s="83"/>
      <c r="G206" s="38">
        <f>E206*F206</f>
        <v>0</v>
      </c>
      <c r="H206" s="121" t="s">
        <v>212</v>
      </c>
    </row>
    <row r="207" spans="1:8" ht="12.75">
      <c r="A207" s="28">
        <f t="shared" si="7"/>
        <v>83</v>
      </c>
      <c r="B207" s="29" t="s">
        <v>32</v>
      </c>
      <c r="C207" s="75" t="s">
        <v>346</v>
      </c>
      <c r="D207" s="36" t="s">
        <v>23</v>
      </c>
      <c r="E207" s="37">
        <v>1</v>
      </c>
      <c r="F207" s="83"/>
      <c r="G207" s="38">
        <f t="shared" si="6"/>
        <v>0</v>
      </c>
      <c r="H207" s="121" t="s">
        <v>212</v>
      </c>
    </row>
    <row r="208" spans="1:8" ht="38.25">
      <c r="A208" s="28">
        <f>A207+1</f>
        <v>84</v>
      </c>
      <c r="B208" s="29"/>
      <c r="C208" s="98" t="s">
        <v>231</v>
      </c>
      <c r="D208" s="36" t="s">
        <v>23</v>
      </c>
      <c r="E208" s="37">
        <v>1</v>
      </c>
      <c r="F208" s="83"/>
      <c r="G208" s="38">
        <v>0</v>
      </c>
      <c r="H208" s="121" t="s">
        <v>212</v>
      </c>
    </row>
    <row r="209" spans="1:8" ht="12.75">
      <c r="A209" s="28">
        <f t="shared" si="7"/>
        <v>85</v>
      </c>
      <c r="B209" s="29" t="s">
        <v>33</v>
      </c>
      <c r="C209" s="98" t="s">
        <v>91</v>
      </c>
      <c r="D209" s="36" t="s">
        <v>20</v>
      </c>
      <c r="E209" s="37">
        <v>1</v>
      </c>
      <c r="F209" s="83"/>
      <c r="G209" s="38">
        <f t="shared" si="6"/>
        <v>0</v>
      </c>
      <c r="H209" s="121" t="s">
        <v>212</v>
      </c>
    </row>
    <row r="210" spans="1:8" ht="12.75">
      <c r="A210" s="28">
        <f t="shared" si="7"/>
        <v>86</v>
      </c>
      <c r="B210" s="29" t="s">
        <v>33</v>
      </c>
      <c r="C210" s="35" t="s">
        <v>232</v>
      </c>
      <c r="D210" s="36" t="s">
        <v>20</v>
      </c>
      <c r="E210" s="37">
        <v>1</v>
      </c>
      <c r="F210" s="83"/>
      <c r="G210" s="38">
        <f t="shared" si="6"/>
        <v>0</v>
      </c>
      <c r="H210" s="121" t="s">
        <v>212</v>
      </c>
    </row>
    <row r="211" spans="1:8" ht="12.75">
      <c r="A211" s="28">
        <f t="shared" si="7"/>
        <v>87</v>
      </c>
      <c r="B211" s="29" t="s">
        <v>33</v>
      </c>
      <c r="C211" s="35" t="s">
        <v>130</v>
      </c>
      <c r="D211" s="36" t="s">
        <v>29</v>
      </c>
      <c r="E211" s="37">
        <f>+G188+G189+G190+G191+G192+G193+G194+G195+G196+G197+G198+G199+G200+G201+G202+G203+G204+G205+G206+G207</f>
        <v>0</v>
      </c>
      <c r="F211" s="86"/>
      <c r="G211" s="38">
        <f t="shared" si="6"/>
        <v>0</v>
      </c>
      <c r="H211" s="121" t="s">
        <v>212</v>
      </c>
    </row>
    <row r="212" spans="1:8" ht="12.75">
      <c r="A212" s="28">
        <f t="shared" si="7"/>
        <v>88</v>
      </c>
      <c r="B212" s="29" t="s">
        <v>33</v>
      </c>
      <c r="C212" s="35" t="s">
        <v>131</v>
      </c>
      <c r="D212" s="36" t="s">
        <v>29</v>
      </c>
      <c r="E212" s="37">
        <f>+E211</f>
        <v>0</v>
      </c>
      <c r="F212" s="86"/>
      <c r="G212" s="38">
        <f t="shared" si="6"/>
        <v>0</v>
      </c>
      <c r="H212" s="121" t="s">
        <v>212</v>
      </c>
    </row>
    <row r="213" spans="1:8" ht="13.5" thickBot="1">
      <c r="A213" s="28">
        <f t="shared" si="7"/>
        <v>89</v>
      </c>
      <c r="B213" s="29"/>
      <c r="C213" s="35" t="s">
        <v>48</v>
      </c>
      <c r="D213" s="32" t="s">
        <v>29</v>
      </c>
      <c r="E213" s="37">
        <f>+E212</f>
        <v>0</v>
      </c>
      <c r="F213" s="85"/>
      <c r="G213" s="30">
        <f t="shared" si="6"/>
        <v>0</v>
      </c>
      <c r="H213" s="121" t="s">
        <v>212</v>
      </c>
    </row>
    <row r="214" spans="1:8" ht="13.5" thickBot="1">
      <c r="A214" s="28"/>
      <c r="B214" s="29"/>
      <c r="C214" s="46" t="s">
        <v>22</v>
      </c>
      <c r="D214" s="47"/>
      <c r="E214" s="48"/>
      <c r="F214" s="48"/>
      <c r="G214" s="45">
        <f>SUBTOTAL(9,G188:G213)</f>
        <v>0</v>
      </c>
      <c r="H214" s="121"/>
    </row>
    <row r="215" spans="1:8" ht="12.75">
      <c r="A215" s="28"/>
      <c r="B215" s="29"/>
      <c r="C215" s="13"/>
      <c r="D215" s="14"/>
      <c r="E215" s="20"/>
      <c r="F215" s="20"/>
      <c r="G215" s="15"/>
      <c r="H215" s="121"/>
    </row>
    <row r="216" spans="1:8" ht="16.5">
      <c r="A216" s="28"/>
      <c r="B216" s="71" t="s">
        <v>44</v>
      </c>
      <c r="C216" s="225" t="s">
        <v>64</v>
      </c>
      <c r="D216" s="225"/>
      <c r="E216" s="225"/>
      <c r="F216" s="225"/>
      <c r="G216" s="225"/>
      <c r="H216" s="121"/>
    </row>
    <row r="217" spans="1:8" ht="52.5" customHeight="1">
      <c r="A217" s="28"/>
      <c r="B217" s="63"/>
      <c r="C217" s="222" t="s">
        <v>103</v>
      </c>
      <c r="D217" s="222"/>
      <c r="E217" s="222"/>
      <c r="F217" s="222"/>
      <c r="G217" s="222"/>
      <c r="H217" s="121"/>
    </row>
    <row r="218" spans="1:8" ht="12.75">
      <c r="A218" s="133">
        <f>A213+1</f>
        <v>90</v>
      </c>
      <c r="B218" s="136"/>
      <c r="C218" s="137" t="s">
        <v>411</v>
      </c>
      <c r="D218" s="138" t="s">
        <v>20</v>
      </c>
      <c r="E218" s="139">
        <v>1</v>
      </c>
      <c r="F218" s="83"/>
      <c r="G218" s="140">
        <f>E218*F218</f>
        <v>0</v>
      </c>
      <c r="H218" s="119" t="s">
        <v>212</v>
      </c>
    </row>
    <row r="219" spans="1:8" ht="25.5">
      <c r="A219" s="28">
        <f>A218+1</f>
        <v>91</v>
      </c>
      <c r="B219" s="29"/>
      <c r="C219" s="75" t="s">
        <v>135</v>
      </c>
      <c r="D219" s="36" t="s">
        <v>24</v>
      </c>
      <c r="E219" s="37">
        <f>6.4+3+8.2</f>
        <v>17.6</v>
      </c>
      <c r="F219" s="83"/>
      <c r="G219" s="38">
        <f>E219*F219</f>
        <v>0</v>
      </c>
      <c r="H219" s="121" t="s">
        <v>212</v>
      </c>
    </row>
    <row r="220" spans="1:8" ht="25.5">
      <c r="A220" s="28">
        <f>A219+1</f>
        <v>92</v>
      </c>
      <c r="B220" s="29"/>
      <c r="C220" s="75" t="s">
        <v>136</v>
      </c>
      <c r="D220" s="36" t="s">
        <v>24</v>
      </c>
      <c r="E220" s="37">
        <v>4</v>
      </c>
      <c r="F220" s="83"/>
      <c r="G220" s="38">
        <f aca="true" t="shared" si="8" ref="G220:G229">E220*F220</f>
        <v>0</v>
      </c>
      <c r="H220" s="121" t="s">
        <v>212</v>
      </c>
    </row>
    <row r="221" spans="1:8" ht="12.75">
      <c r="A221" s="28">
        <f aca="true" t="shared" si="9" ref="A221:A229">A220+1</f>
        <v>93</v>
      </c>
      <c r="B221" s="29"/>
      <c r="C221" s="75" t="s">
        <v>195</v>
      </c>
      <c r="D221" s="36" t="s">
        <v>24</v>
      </c>
      <c r="E221" s="37">
        <v>9.4</v>
      </c>
      <c r="F221" s="83"/>
      <c r="G221" s="38">
        <f t="shared" si="8"/>
        <v>0</v>
      </c>
      <c r="H221" s="121" t="s">
        <v>212</v>
      </c>
    </row>
    <row r="222" spans="1:8" ht="12.75">
      <c r="A222" s="28">
        <f t="shared" si="9"/>
        <v>94</v>
      </c>
      <c r="B222" s="29"/>
      <c r="C222" s="75" t="s">
        <v>196</v>
      </c>
      <c r="D222" s="36" t="s">
        <v>24</v>
      </c>
      <c r="E222" s="37">
        <f>+E220</f>
        <v>4</v>
      </c>
      <c r="F222" s="83"/>
      <c r="G222" s="38">
        <f t="shared" si="8"/>
        <v>0</v>
      </c>
      <c r="H222" s="121" t="s">
        <v>212</v>
      </c>
    </row>
    <row r="223" spans="1:8" ht="12.75">
      <c r="A223" s="28">
        <f t="shared" si="9"/>
        <v>95</v>
      </c>
      <c r="B223" s="29"/>
      <c r="C223" s="75" t="s">
        <v>190</v>
      </c>
      <c r="D223" s="36" t="s">
        <v>24</v>
      </c>
      <c r="E223" s="37">
        <v>8.2</v>
      </c>
      <c r="F223" s="83"/>
      <c r="G223" s="38">
        <f t="shared" si="8"/>
        <v>0</v>
      </c>
      <c r="H223" s="121" t="s">
        <v>212</v>
      </c>
    </row>
    <row r="224" spans="1:8" ht="12.75">
      <c r="A224" s="28">
        <f t="shared" si="9"/>
        <v>96</v>
      </c>
      <c r="B224" s="29"/>
      <c r="C224" s="75" t="s">
        <v>2</v>
      </c>
      <c r="D224" s="36" t="s">
        <v>24</v>
      </c>
      <c r="E224" s="37">
        <v>0</v>
      </c>
      <c r="F224" s="83"/>
      <c r="G224" s="38">
        <f t="shared" si="8"/>
        <v>0</v>
      </c>
      <c r="H224" s="121" t="s">
        <v>212</v>
      </c>
    </row>
    <row r="225" spans="1:8" ht="12.75">
      <c r="A225" s="28">
        <f t="shared" si="9"/>
        <v>97</v>
      </c>
      <c r="B225" s="29"/>
      <c r="C225" s="75" t="s">
        <v>94</v>
      </c>
      <c r="D225" s="36" t="s">
        <v>23</v>
      </c>
      <c r="E225" s="37">
        <v>1</v>
      </c>
      <c r="F225" s="83"/>
      <c r="G225" s="38">
        <f t="shared" si="8"/>
        <v>0</v>
      </c>
      <c r="H225" s="121" t="s">
        <v>212</v>
      </c>
    </row>
    <row r="226" spans="1:8" ht="25.5">
      <c r="A226" s="28">
        <f t="shared" si="9"/>
        <v>98</v>
      </c>
      <c r="B226" s="29" t="s">
        <v>33</v>
      </c>
      <c r="C226" s="75" t="s">
        <v>92</v>
      </c>
      <c r="D226" s="36" t="s">
        <v>24</v>
      </c>
      <c r="E226" s="37">
        <f>+E219+E220</f>
        <v>21.6</v>
      </c>
      <c r="F226" s="83"/>
      <c r="G226" s="38">
        <f t="shared" si="8"/>
        <v>0</v>
      </c>
      <c r="H226" s="121" t="s">
        <v>212</v>
      </c>
    </row>
    <row r="227" spans="1:8" ht="12.75">
      <c r="A227" s="28">
        <f t="shared" si="9"/>
        <v>99</v>
      </c>
      <c r="B227" s="29" t="s">
        <v>33</v>
      </c>
      <c r="C227" s="75" t="s">
        <v>93</v>
      </c>
      <c r="D227" s="36" t="s">
        <v>24</v>
      </c>
      <c r="E227" s="37">
        <f>+E226</f>
        <v>21.6</v>
      </c>
      <c r="F227" s="83"/>
      <c r="G227" s="38">
        <f t="shared" si="8"/>
        <v>0</v>
      </c>
      <c r="H227" s="121" t="s">
        <v>212</v>
      </c>
    </row>
    <row r="228" spans="1:8" ht="12.75">
      <c r="A228" s="28">
        <f t="shared" si="9"/>
        <v>100</v>
      </c>
      <c r="B228" s="29" t="s">
        <v>33</v>
      </c>
      <c r="C228" s="35" t="s">
        <v>189</v>
      </c>
      <c r="D228" s="36" t="s">
        <v>20</v>
      </c>
      <c r="E228" s="37">
        <v>1</v>
      </c>
      <c r="F228" s="83"/>
      <c r="G228" s="38">
        <f t="shared" si="8"/>
        <v>0</v>
      </c>
      <c r="H228" s="121" t="s">
        <v>212</v>
      </c>
    </row>
    <row r="229" spans="1:8" ht="13.5" thickBot="1">
      <c r="A229" s="28">
        <f t="shared" si="9"/>
        <v>101</v>
      </c>
      <c r="B229" s="29"/>
      <c r="C229" s="35" t="s">
        <v>48</v>
      </c>
      <c r="D229" s="32" t="s">
        <v>29</v>
      </c>
      <c r="E229" s="37">
        <f>+G219+G220+G221+G222+G223+G224+G225</f>
        <v>0</v>
      </c>
      <c r="F229" s="85"/>
      <c r="G229" s="30">
        <f t="shared" si="8"/>
        <v>0</v>
      </c>
      <c r="H229" s="121" t="s">
        <v>212</v>
      </c>
    </row>
    <row r="230" spans="1:8" ht="13.5" thickBot="1">
      <c r="A230" s="28"/>
      <c r="B230" s="29"/>
      <c r="C230" s="46" t="s">
        <v>22</v>
      </c>
      <c r="D230" s="47"/>
      <c r="E230" s="48"/>
      <c r="F230" s="48"/>
      <c r="G230" s="45">
        <f>SUBTOTAL(9,G218:G229)</f>
        <v>0</v>
      </c>
      <c r="H230" s="121"/>
    </row>
    <row r="231" spans="1:8" ht="12.75">
      <c r="A231" s="28"/>
      <c r="B231" s="29"/>
      <c r="C231" s="13"/>
      <c r="D231" s="14"/>
      <c r="E231" s="20"/>
      <c r="F231" s="20"/>
      <c r="G231" s="15"/>
      <c r="H231" s="121"/>
    </row>
    <row r="232" spans="1:7" ht="16.5">
      <c r="A232" s="133"/>
      <c r="B232" s="134" t="s">
        <v>45</v>
      </c>
      <c r="C232" s="221" t="s">
        <v>270</v>
      </c>
      <c r="D232" s="221"/>
      <c r="E232" s="221"/>
      <c r="F232" s="221"/>
      <c r="G232" s="221"/>
    </row>
    <row r="233" spans="1:7" ht="53.25" customHeight="1">
      <c r="A233" s="133"/>
      <c r="B233" s="135"/>
      <c r="C233" s="222" t="s">
        <v>271</v>
      </c>
      <c r="D233" s="222"/>
      <c r="E233" s="222"/>
      <c r="F233" s="222"/>
      <c r="G233" s="222"/>
    </row>
    <row r="234" spans="1:8" ht="12.75">
      <c r="A234" s="133">
        <f>A229+1</f>
        <v>102</v>
      </c>
      <c r="B234" s="136" t="s">
        <v>32</v>
      </c>
      <c r="C234" s="137" t="s">
        <v>272</v>
      </c>
      <c r="D234" s="138" t="s">
        <v>24</v>
      </c>
      <c r="E234" s="139">
        <v>0</v>
      </c>
      <c r="F234" s="83"/>
      <c r="G234" s="140">
        <f aca="true" t="shared" si="10" ref="G234:G252">E234*F234</f>
        <v>0</v>
      </c>
      <c r="H234" s="121" t="s">
        <v>212</v>
      </c>
    </row>
    <row r="235" spans="1:8" ht="12.75">
      <c r="A235" s="133">
        <f>+A234+1</f>
        <v>103</v>
      </c>
      <c r="B235" s="136" t="s">
        <v>32</v>
      </c>
      <c r="C235" s="137" t="s">
        <v>347</v>
      </c>
      <c r="D235" s="138" t="s">
        <v>24</v>
      </c>
      <c r="E235" s="139">
        <v>6.6</v>
      </c>
      <c r="F235" s="83"/>
      <c r="G235" s="140">
        <f t="shared" si="10"/>
        <v>0</v>
      </c>
      <c r="H235" s="121" t="s">
        <v>212</v>
      </c>
    </row>
    <row r="236" spans="1:8" ht="12.75">
      <c r="A236" s="133">
        <f>+A235+1</f>
        <v>104</v>
      </c>
      <c r="B236" s="136" t="s">
        <v>32</v>
      </c>
      <c r="C236" s="137" t="s">
        <v>273</v>
      </c>
      <c r="D236" s="138" t="s">
        <v>24</v>
      </c>
      <c r="E236" s="139">
        <v>0.4</v>
      </c>
      <c r="F236" s="83"/>
      <c r="G236" s="140">
        <f t="shared" si="10"/>
        <v>0</v>
      </c>
      <c r="H236" s="121" t="s">
        <v>212</v>
      </c>
    </row>
    <row r="237" spans="1:8" ht="25.5">
      <c r="A237" s="133">
        <f>+A236+1</f>
        <v>105</v>
      </c>
      <c r="B237" s="136" t="s">
        <v>32</v>
      </c>
      <c r="C237" s="137" t="s">
        <v>460</v>
      </c>
      <c r="D237" s="138" t="s">
        <v>23</v>
      </c>
      <c r="E237" s="37">
        <v>1</v>
      </c>
      <c r="F237" s="83"/>
      <c r="G237" s="140">
        <f t="shared" si="10"/>
        <v>0</v>
      </c>
      <c r="H237" s="121" t="s">
        <v>212</v>
      </c>
    </row>
    <row r="238" spans="1:9" ht="12.75">
      <c r="A238" s="133">
        <f>+A237+1</f>
        <v>106</v>
      </c>
      <c r="B238" s="136" t="s">
        <v>32</v>
      </c>
      <c r="C238" s="98" t="s">
        <v>348</v>
      </c>
      <c r="D238" s="138" t="s">
        <v>23</v>
      </c>
      <c r="E238" s="139">
        <v>1</v>
      </c>
      <c r="F238" s="83"/>
      <c r="G238" s="140">
        <f t="shared" si="10"/>
        <v>0</v>
      </c>
      <c r="H238" s="121" t="s">
        <v>212</v>
      </c>
      <c r="I238" t="s">
        <v>432</v>
      </c>
    </row>
    <row r="239" spans="1:8" ht="12.75">
      <c r="A239" s="133">
        <f aca="true" t="shared" si="11" ref="A239:A248">+A238+1</f>
        <v>107</v>
      </c>
      <c r="B239" s="136" t="s">
        <v>32</v>
      </c>
      <c r="C239" s="203" t="s">
        <v>433</v>
      </c>
      <c r="D239" s="138" t="s">
        <v>20</v>
      </c>
      <c r="E239" s="139">
        <v>1</v>
      </c>
      <c r="F239" s="83"/>
      <c r="G239" s="140">
        <f t="shared" si="10"/>
        <v>0</v>
      </c>
      <c r="H239" s="119" t="s">
        <v>212</v>
      </c>
    </row>
    <row r="240" spans="1:8" ht="12.75">
      <c r="A240" s="133">
        <f t="shared" si="11"/>
        <v>108</v>
      </c>
      <c r="B240" s="136" t="s">
        <v>32</v>
      </c>
      <c r="C240" s="141" t="s">
        <v>434</v>
      </c>
      <c r="D240" s="138" t="s">
        <v>23</v>
      </c>
      <c r="E240" s="139">
        <v>1</v>
      </c>
      <c r="F240" s="83"/>
      <c r="G240" s="140">
        <f t="shared" si="10"/>
        <v>0</v>
      </c>
      <c r="H240" s="119" t="s">
        <v>212</v>
      </c>
    </row>
    <row r="241" spans="1:8" ht="25.5">
      <c r="A241" s="133">
        <f t="shared" si="11"/>
        <v>109</v>
      </c>
      <c r="B241" s="136" t="s">
        <v>32</v>
      </c>
      <c r="C241" s="141" t="s">
        <v>435</v>
      </c>
      <c r="D241" s="138" t="s">
        <v>23</v>
      </c>
      <c r="E241" s="139">
        <v>1</v>
      </c>
      <c r="F241" s="83"/>
      <c r="G241" s="140">
        <f t="shared" si="10"/>
        <v>0</v>
      </c>
      <c r="H241" s="119" t="s">
        <v>212</v>
      </c>
    </row>
    <row r="242" spans="1:8" ht="12.75">
      <c r="A242" s="133">
        <f t="shared" si="11"/>
        <v>110</v>
      </c>
      <c r="B242" s="136" t="s">
        <v>32</v>
      </c>
      <c r="C242" s="35" t="s">
        <v>436</v>
      </c>
      <c r="D242" s="138" t="s">
        <v>24</v>
      </c>
      <c r="E242" s="139">
        <v>1</v>
      </c>
      <c r="F242" s="83"/>
      <c r="G242" s="140">
        <f>E242*F242</f>
        <v>0</v>
      </c>
      <c r="H242" s="121" t="s">
        <v>212</v>
      </c>
    </row>
    <row r="243" spans="1:8" ht="12.75">
      <c r="A243" s="133">
        <f t="shared" si="11"/>
        <v>111</v>
      </c>
      <c r="B243" s="136" t="s">
        <v>32</v>
      </c>
      <c r="C243" s="35" t="s">
        <v>437</v>
      </c>
      <c r="D243" s="138" t="s">
        <v>23</v>
      </c>
      <c r="E243" s="139">
        <v>1</v>
      </c>
      <c r="F243" s="83"/>
      <c r="G243" s="140">
        <f>E243*F243</f>
        <v>0</v>
      </c>
      <c r="H243" s="119" t="s">
        <v>212</v>
      </c>
    </row>
    <row r="244" spans="1:8" ht="12.75">
      <c r="A244" s="133">
        <f t="shared" si="11"/>
        <v>112</v>
      </c>
      <c r="B244" s="136" t="s">
        <v>32</v>
      </c>
      <c r="C244" s="35" t="s">
        <v>438</v>
      </c>
      <c r="D244" s="138" t="s">
        <v>23</v>
      </c>
      <c r="E244" s="139">
        <v>1</v>
      </c>
      <c r="F244" s="83"/>
      <c r="G244" s="140">
        <f>E244*F244</f>
        <v>0</v>
      </c>
      <c r="H244" s="121" t="s">
        <v>212</v>
      </c>
    </row>
    <row r="245" spans="1:8" ht="38.25">
      <c r="A245" s="133">
        <f t="shared" si="11"/>
        <v>113</v>
      </c>
      <c r="B245" s="136" t="s">
        <v>32</v>
      </c>
      <c r="C245" s="141" t="s">
        <v>439</v>
      </c>
      <c r="D245" s="138" t="s">
        <v>24</v>
      </c>
      <c r="E245" s="139">
        <f>9+2</f>
        <v>11</v>
      </c>
      <c r="F245" s="83"/>
      <c r="G245" s="140">
        <f>E245*F245</f>
        <v>0</v>
      </c>
      <c r="H245" s="119" t="s">
        <v>212</v>
      </c>
    </row>
    <row r="246" spans="1:8" ht="25.5">
      <c r="A246" s="133">
        <f t="shared" si="11"/>
        <v>114</v>
      </c>
      <c r="B246" s="136" t="s">
        <v>32</v>
      </c>
      <c r="C246" s="141" t="s">
        <v>407</v>
      </c>
      <c r="D246" s="138" t="s">
        <v>20</v>
      </c>
      <c r="E246" s="139">
        <v>1</v>
      </c>
      <c r="F246" s="83"/>
      <c r="G246" s="140">
        <f>E246*F246</f>
        <v>0</v>
      </c>
      <c r="H246" s="121" t="s">
        <v>212</v>
      </c>
    </row>
    <row r="247" spans="1:8" ht="12.75">
      <c r="A247" s="133">
        <f t="shared" si="11"/>
        <v>115</v>
      </c>
      <c r="B247" s="136" t="s">
        <v>33</v>
      </c>
      <c r="C247" s="141" t="s">
        <v>130</v>
      </c>
      <c r="D247" s="138" t="s">
        <v>29</v>
      </c>
      <c r="E247" s="139">
        <f>SUM(G234:G245)</f>
        <v>0</v>
      </c>
      <c r="F247" s="146"/>
      <c r="G247" s="140">
        <f t="shared" si="10"/>
        <v>0</v>
      </c>
      <c r="H247" s="121" t="s">
        <v>212</v>
      </c>
    </row>
    <row r="248" spans="1:8" ht="25.5">
      <c r="A248" s="133">
        <f t="shared" si="11"/>
        <v>116</v>
      </c>
      <c r="B248" s="136" t="s">
        <v>39</v>
      </c>
      <c r="C248" s="137" t="s">
        <v>318</v>
      </c>
      <c r="D248" s="138" t="s">
        <v>24</v>
      </c>
      <c r="E248" s="37">
        <f>+E235</f>
        <v>6.6</v>
      </c>
      <c r="F248" s="83"/>
      <c r="G248" s="140">
        <f t="shared" si="10"/>
        <v>0</v>
      </c>
      <c r="H248" s="121" t="s">
        <v>212</v>
      </c>
    </row>
    <row r="249" spans="1:8" ht="12.75">
      <c r="A249" s="133">
        <f>+A248+1</f>
        <v>117</v>
      </c>
      <c r="B249" s="136" t="s">
        <v>33</v>
      </c>
      <c r="C249" s="137" t="s">
        <v>274</v>
      </c>
      <c r="D249" s="138" t="s">
        <v>20</v>
      </c>
      <c r="E249" s="139">
        <v>1</v>
      </c>
      <c r="F249" s="83"/>
      <c r="G249" s="140">
        <f t="shared" si="10"/>
        <v>0</v>
      </c>
      <c r="H249" s="121" t="s">
        <v>212</v>
      </c>
    </row>
    <row r="250" spans="1:8" ht="12.75">
      <c r="A250" s="133">
        <f>+A249+1</f>
        <v>118</v>
      </c>
      <c r="B250" s="136" t="s">
        <v>33</v>
      </c>
      <c r="C250" s="137" t="s">
        <v>275</v>
      </c>
      <c r="D250" s="138" t="s">
        <v>20</v>
      </c>
      <c r="E250" s="139">
        <v>1</v>
      </c>
      <c r="F250" s="83"/>
      <c r="G250" s="140">
        <f>E250*F250</f>
        <v>0</v>
      </c>
      <c r="H250" s="121" t="s">
        <v>212</v>
      </c>
    </row>
    <row r="251" spans="1:8" ht="25.5">
      <c r="A251" s="133">
        <f>+A250+1</f>
        <v>119</v>
      </c>
      <c r="B251" s="136"/>
      <c r="C251" s="137" t="s">
        <v>276</v>
      </c>
      <c r="D251" s="138" t="s">
        <v>20</v>
      </c>
      <c r="E251" s="139">
        <v>0</v>
      </c>
      <c r="F251" s="83"/>
      <c r="G251" s="140">
        <f t="shared" si="10"/>
        <v>0</v>
      </c>
      <c r="H251" s="121" t="s">
        <v>212</v>
      </c>
    </row>
    <row r="252" spans="1:8" ht="13.5" thickBot="1">
      <c r="A252" s="133">
        <f>+A251+1</f>
        <v>120</v>
      </c>
      <c r="B252" s="136"/>
      <c r="C252" s="141" t="s">
        <v>48</v>
      </c>
      <c r="D252" s="142" t="s">
        <v>29</v>
      </c>
      <c r="E252" s="139">
        <f>SUM(G234:G245,G248)</f>
        <v>0</v>
      </c>
      <c r="F252" s="85"/>
      <c r="G252" s="143">
        <f t="shared" si="10"/>
        <v>0</v>
      </c>
      <c r="H252" s="121" t="s">
        <v>212</v>
      </c>
    </row>
    <row r="253" spans="1:7" ht="13.5" thickBot="1">
      <c r="A253" s="133"/>
      <c r="B253" s="136"/>
      <c r="C253" s="46" t="s">
        <v>22</v>
      </c>
      <c r="D253" s="47"/>
      <c r="E253" s="144"/>
      <c r="F253" s="144"/>
      <c r="G253" s="45">
        <f>SUBTOTAL(9,G234:G252)</f>
        <v>0</v>
      </c>
    </row>
    <row r="254" spans="1:8" ht="12.75">
      <c r="A254" s="28"/>
      <c r="B254" s="29"/>
      <c r="C254" s="13"/>
      <c r="D254" s="14"/>
      <c r="E254" s="20"/>
      <c r="F254" s="20"/>
      <c r="G254" s="15"/>
      <c r="H254" s="121"/>
    </row>
    <row r="255" spans="1:8" ht="16.5">
      <c r="A255" s="28"/>
      <c r="B255" s="71" t="s">
        <v>46</v>
      </c>
      <c r="C255" s="225" t="s">
        <v>65</v>
      </c>
      <c r="D255" s="225"/>
      <c r="E255" s="225"/>
      <c r="F255" s="225"/>
      <c r="G255" s="225"/>
      <c r="H255" s="121"/>
    </row>
    <row r="256" spans="1:8" ht="62.25" customHeight="1">
      <c r="A256" s="28"/>
      <c r="B256" s="63"/>
      <c r="C256" s="222" t="s">
        <v>132</v>
      </c>
      <c r="D256" s="222"/>
      <c r="E256" s="222"/>
      <c r="F256" s="222"/>
      <c r="G256" s="222"/>
      <c r="H256" s="121"/>
    </row>
    <row r="257" spans="1:10" ht="25.5">
      <c r="A257" s="28">
        <f>A252+1</f>
        <v>121</v>
      </c>
      <c r="B257" s="29" t="s">
        <v>32</v>
      </c>
      <c r="C257" s="35" t="s">
        <v>350</v>
      </c>
      <c r="D257" s="36" t="s">
        <v>23</v>
      </c>
      <c r="E257" s="37">
        <v>1</v>
      </c>
      <c r="F257" s="83"/>
      <c r="G257" s="38">
        <f aca="true" t="shared" si="12" ref="G257:G267">E257*F257</f>
        <v>0</v>
      </c>
      <c r="H257" s="121" t="s">
        <v>212</v>
      </c>
      <c r="J257" s="70"/>
    </row>
    <row r="258" spans="1:10" ht="25.5">
      <c r="A258" s="28">
        <f>A257+1</f>
        <v>122</v>
      </c>
      <c r="B258" s="29" t="s">
        <v>32</v>
      </c>
      <c r="C258" s="35" t="s">
        <v>351</v>
      </c>
      <c r="D258" s="36" t="s">
        <v>23</v>
      </c>
      <c r="E258" s="37">
        <v>1</v>
      </c>
      <c r="F258" s="83"/>
      <c r="G258" s="38">
        <f t="shared" si="12"/>
        <v>0</v>
      </c>
      <c r="H258" s="121" t="s">
        <v>212</v>
      </c>
      <c r="J258" s="70"/>
    </row>
    <row r="259" spans="1:10" ht="12.75">
      <c r="A259" s="28">
        <f>A258+1</f>
        <v>123</v>
      </c>
      <c r="B259" s="29" t="s">
        <v>32</v>
      </c>
      <c r="C259" s="35" t="s">
        <v>352</v>
      </c>
      <c r="D259" s="36" t="s">
        <v>23</v>
      </c>
      <c r="E259" s="37">
        <v>1</v>
      </c>
      <c r="F259" s="83"/>
      <c r="G259" s="38">
        <f t="shared" si="12"/>
        <v>0</v>
      </c>
      <c r="H259" s="121" t="s">
        <v>212</v>
      </c>
      <c r="J259" s="70"/>
    </row>
    <row r="260" spans="1:10" ht="25.5">
      <c r="A260" s="28">
        <f>A259+1</f>
        <v>124</v>
      </c>
      <c r="B260" s="29" t="s">
        <v>32</v>
      </c>
      <c r="C260" s="35" t="s">
        <v>224</v>
      </c>
      <c r="D260" s="36" t="s">
        <v>23</v>
      </c>
      <c r="E260" s="37">
        <v>1</v>
      </c>
      <c r="F260" s="83"/>
      <c r="G260" s="38">
        <f t="shared" si="12"/>
        <v>0</v>
      </c>
      <c r="H260" s="121" t="s">
        <v>212</v>
      </c>
      <c r="J260" s="70"/>
    </row>
    <row r="261" spans="1:10" ht="25.5">
      <c r="A261" s="28">
        <f>A260+1</f>
        <v>125</v>
      </c>
      <c r="B261" s="29" t="s">
        <v>32</v>
      </c>
      <c r="C261" s="35" t="s">
        <v>307</v>
      </c>
      <c r="D261" s="36" t="s">
        <v>23</v>
      </c>
      <c r="E261" s="37">
        <v>1</v>
      </c>
      <c r="F261" s="83"/>
      <c r="G261" s="38">
        <f t="shared" si="12"/>
        <v>0</v>
      </c>
      <c r="H261" s="121" t="s">
        <v>212</v>
      </c>
      <c r="J261" s="70"/>
    </row>
    <row r="262" spans="1:8" ht="12.75">
      <c r="A262" s="28">
        <f>+A261+1</f>
        <v>126</v>
      </c>
      <c r="B262" s="29" t="s">
        <v>32</v>
      </c>
      <c r="C262" s="35" t="s">
        <v>80</v>
      </c>
      <c r="D262" s="36" t="s">
        <v>23</v>
      </c>
      <c r="E262" s="37">
        <v>1</v>
      </c>
      <c r="F262" s="83"/>
      <c r="G262" s="38">
        <f t="shared" si="12"/>
        <v>0</v>
      </c>
      <c r="H262" s="121" t="s">
        <v>212</v>
      </c>
    </row>
    <row r="263" spans="1:10" ht="25.5">
      <c r="A263" s="28">
        <f aca="true" t="shared" si="13" ref="A263:A274">A262+1</f>
        <v>127</v>
      </c>
      <c r="B263" s="29" t="s">
        <v>32</v>
      </c>
      <c r="C263" s="35" t="s">
        <v>310</v>
      </c>
      <c r="D263" s="36" t="s">
        <v>23</v>
      </c>
      <c r="E263" s="37">
        <v>1</v>
      </c>
      <c r="F263" s="83"/>
      <c r="G263" s="38">
        <f t="shared" si="12"/>
        <v>0</v>
      </c>
      <c r="H263" s="121" t="s">
        <v>212</v>
      </c>
      <c r="J263" s="70"/>
    </row>
    <row r="264" spans="1:10" ht="25.5">
      <c r="A264" s="28">
        <f t="shared" si="13"/>
        <v>128</v>
      </c>
      <c r="B264" s="29" t="s">
        <v>32</v>
      </c>
      <c r="C264" s="35" t="s">
        <v>309</v>
      </c>
      <c r="D264" s="36" t="s">
        <v>23</v>
      </c>
      <c r="E264" s="37">
        <v>1</v>
      </c>
      <c r="F264" s="83"/>
      <c r="G264" s="38">
        <f t="shared" si="12"/>
        <v>0</v>
      </c>
      <c r="H264" s="121" t="s">
        <v>212</v>
      </c>
      <c r="J264" s="70"/>
    </row>
    <row r="265" spans="1:10" ht="25.5">
      <c r="A265" s="28">
        <f t="shared" si="13"/>
        <v>129</v>
      </c>
      <c r="B265" s="29" t="s">
        <v>32</v>
      </c>
      <c r="C265" s="35" t="s">
        <v>0</v>
      </c>
      <c r="D265" s="36" t="s">
        <v>23</v>
      </c>
      <c r="E265" s="37">
        <v>1</v>
      </c>
      <c r="F265" s="83"/>
      <c r="G265" s="38">
        <f t="shared" si="12"/>
        <v>0</v>
      </c>
      <c r="H265" s="121" t="s">
        <v>212</v>
      </c>
      <c r="J265" s="70"/>
    </row>
    <row r="266" spans="1:10" ht="25.5">
      <c r="A266" s="28">
        <f t="shared" si="13"/>
        <v>130</v>
      </c>
      <c r="B266" s="29" t="s">
        <v>32</v>
      </c>
      <c r="C266" s="35" t="s">
        <v>308</v>
      </c>
      <c r="D266" s="36" t="s">
        <v>23</v>
      </c>
      <c r="E266" s="37">
        <v>1</v>
      </c>
      <c r="F266" s="83"/>
      <c r="G266" s="38">
        <f t="shared" si="12"/>
        <v>0</v>
      </c>
      <c r="H266" s="121" t="s">
        <v>212</v>
      </c>
      <c r="J266" s="70"/>
    </row>
    <row r="267" spans="1:10" ht="25.5">
      <c r="A267" s="28">
        <f t="shared" si="13"/>
        <v>131</v>
      </c>
      <c r="B267" s="29" t="s">
        <v>32</v>
      </c>
      <c r="C267" s="35" t="s">
        <v>122</v>
      </c>
      <c r="D267" s="36" t="s">
        <v>23</v>
      </c>
      <c r="E267" s="37">
        <v>1</v>
      </c>
      <c r="F267" s="83"/>
      <c r="G267" s="38">
        <f t="shared" si="12"/>
        <v>0</v>
      </c>
      <c r="H267" s="121" t="s">
        <v>212</v>
      </c>
      <c r="J267" s="70"/>
    </row>
    <row r="268" spans="1:8" ht="12.75">
      <c r="A268" s="28">
        <f>A267+1</f>
        <v>132</v>
      </c>
      <c r="B268" s="29" t="s">
        <v>32</v>
      </c>
      <c r="C268" s="35" t="s">
        <v>133</v>
      </c>
      <c r="D268" s="36" t="s">
        <v>23</v>
      </c>
      <c r="E268" s="37">
        <v>5</v>
      </c>
      <c r="F268" s="83"/>
      <c r="G268" s="38">
        <f aca="true" t="shared" si="14" ref="G268:G274">E268*F268</f>
        <v>0</v>
      </c>
      <c r="H268" s="121" t="s">
        <v>212</v>
      </c>
    </row>
    <row r="269" spans="1:8" ht="12.75">
      <c r="A269" s="28">
        <f t="shared" si="13"/>
        <v>133</v>
      </c>
      <c r="B269" s="29" t="s">
        <v>32</v>
      </c>
      <c r="C269" s="35" t="s">
        <v>191</v>
      </c>
      <c r="D269" s="36" t="s">
        <v>23</v>
      </c>
      <c r="E269" s="37">
        <v>1</v>
      </c>
      <c r="F269" s="83"/>
      <c r="G269" s="38">
        <f t="shared" si="14"/>
        <v>0</v>
      </c>
      <c r="H269" s="121" t="s">
        <v>218</v>
      </c>
    </row>
    <row r="270" spans="1:8" ht="12.75">
      <c r="A270" s="28">
        <f t="shared" si="13"/>
        <v>134</v>
      </c>
      <c r="B270" s="29" t="s">
        <v>32</v>
      </c>
      <c r="C270" s="35" t="s">
        <v>349</v>
      </c>
      <c r="D270" s="36" t="s">
        <v>23</v>
      </c>
      <c r="E270" s="37">
        <v>1</v>
      </c>
      <c r="F270" s="83"/>
      <c r="G270" s="38">
        <f t="shared" si="14"/>
        <v>0</v>
      </c>
      <c r="H270" s="121" t="s">
        <v>218</v>
      </c>
    </row>
    <row r="271" spans="1:8" ht="25.5">
      <c r="A271" s="28">
        <f t="shared" si="13"/>
        <v>135</v>
      </c>
      <c r="B271" s="29" t="s">
        <v>32</v>
      </c>
      <c r="C271" s="35" t="s">
        <v>353</v>
      </c>
      <c r="D271" s="36" t="s">
        <v>23</v>
      </c>
      <c r="E271" s="37">
        <v>1</v>
      </c>
      <c r="F271" s="83"/>
      <c r="G271" s="38">
        <f t="shared" si="14"/>
        <v>0</v>
      </c>
      <c r="H271" s="121" t="s">
        <v>212</v>
      </c>
    </row>
    <row r="272" spans="1:8" ht="12.75">
      <c r="A272" s="28">
        <f t="shared" si="13"/>
        <v>136</v>
      </c>
      <c r="B272" s="29" t="s">
        <v>33</v>
      </c>
      <c r="C272" s="35" t="s">
        <v>130</v>
      </c>
      <c r="D272" s="36" t="s">
        <v>29</v>
      </c>
      <c r="E272" s="37">
        <f>SUM(G257:G271)</f>
        <v>0</v>
      </c>
      <c r="F272" s="86"/>
      <c r="G272" s="38">
        <f t="shared" si="14"/>
        <v>0</v>
      </c>
      <c r="H272" s="121" t="s">
        <v>212</v>
      </c>
    </row>
    <row r="273" spans="1:8" ht="12.75">
      <c r="A273" s="28">
        <f t="shared" si="13"/>
        <v>137</v>
      </c>
      <c r="B273" s="29" t="s">
        <v>33</v>
      </c>
      <c r="C273" s="35" t="s">
        <v>131</v>
      </c>
      <c r="D273" s="36" t="s">
        <v>29</v>
      </c>
      <c r="E273" s="37">
        <f>+E272</f>
        <v>0</v>
      </c>
      <c r="F273" s="86"/>
      <c r="G273" s="38">
        <f t="shared" si="14"/>
        <v>0</v>
      </c>
      <c r="H273" s="121" t="s">
        <v>212</v>
      </c>
    </row>
    <row r="274" spans="1:8" ht="12.75" customHeight="1" thickBot="1">
      <c r="A274" s="28">
        <f t="shared" si="13"/>
        <v>138</v>
      </c>
      <c r="B274" s="29"/>
      <c r="C274" s="35" t="s">
        <v>48</v>
      </c>
      <c r="D274" s="32" t="s">
        <v>29</v>
      </c>
      <c r="E274" s="37">
        <f>+E273</f>
        <v>0</v>
      </c>
      <c r="F274" s="85"/>
      <c r="G274" s="30">
        <f t="shared" si="14"/>
        <v>0</v>
      </c>
      <c r="H274" s="121" t="s">
        <v>212</v>
      </c>
    </row>
    <row r="275" spans="1:8" ht="13.5" thickBot="1">
      <c r="A275" s="28"/>
      <c r="B275" s="29"/>
      <c r="C275" s="46" t="s">
        <v>22</v>
      </c>
      <c r="D275" s="47"/>
      <c r="E275" s="48"/>
      <c r="F275" s="48"/>
      <c r="G275" s="45">
        <f>SUBTOTAL(9,G257:G274)</f>
        <v>0</v>
      </c>
      <c r="H275" s="121"/>
    </row>
    <row r="276" spans="1:8" ht="12.75">
      <c r="A276" s="28"/>
      <c r="B276" s="29"/>
      <c r="C276" s="13"/>
      <c r="D276" s="14"/>
      <c r="E276" s="20"/>
      <c r="F276" s="20"/>
      <c r="G276" s="15"/>
      <c r="H276" s="121"/>
    </row>
    <row r="277" spans="1:8" ht="16.5">
      <c r="A277" s="28"/>
      <c r="B277" s="71" t="s">
        <v>57</v>
      </c>
      <c r="C277" s="225" t="s">
        <v>278</v>
      </c>
      <c r="D277" s="225"/>
      <c r="E277" s="225"/>
      <c r="F277" s="225"/>
      <c r="G277" s="225"/>
      <c r="H277" s="121"/>
    </row>
    <row r="278" spans="1:8" ht="38.25" customHeight="1">
      <c r="A278" s="28"/>
      <c r="B278" s="63"/>
      <c r="C278" s="222" t="s">
        <v>126</v>
      </c>
      <c r="D278" s="223"/>
      <c r="E278" s="223"/>
      <c r="F278" s="223"/>
      <c r="G278" s="223"/>
      <c r="H278" s="121"/>
    </row>
    <row r="279" spans="1:8" ht="12.75">
      <c r="A279" s="28">
        <f>+A274+1</f>
        <v>139</v>
      </c>
      <c r="B279" s="29"/>
      <c r="C279" s="35" t="s">
        <v>123</v>
      </c>
      <c r="D279" s="36" t="s">
        <v>129</v>
      </c>
      <c r="E279" s="37">
        <v>1</v>
      </c>
      <c r="F279" s="210">
        <f>+ESA_ESI!H35</f>
        <v>0</v>
      </c>
      <c r="G279" s="38">
        <f>E279*F279</f>
        <v>0</v>
      </c>
      <c r="H279" s="121" t="s">
        <v>212</v>
      </c>
    </row>
    <row r="280" spans="1:8" ht="13.5" thickBot="1">
      <c r="A280" s="28">
        <f>A279+1</f>
        <v>140</v>
      </c>
      <c r="B280" s="29"/>
      <c r="C280" s="35" t="s">
        <v>124</v>
      </c>
      <c r="D280" s="36" t="s">
        <v>129</v>
      </c>
      <c r="E280" s="37">
        <v>1</v>
      </c>
      <c r="F280" s="210">
        <f>+ESA_ESI!H47</f>
        <v>0</v>
      </c>
      <c r="G280" s="38">
        <f>E280*F280</f>
        <v>0</v>
      </c>
      <c r="H280" s="121" t="s">
        <v>212</v>
      </c>
    </row>
    <row r="281" spans="1:7" ht="13.5" thickBot="1">
      <c r="A281" s="28"/>
      <c r="B281" s="29"/>
      <c r="C281" s="46" t="s">
        <v>22</v>
      </c>
      <c r="D281" s="47"/>
      <c r="E281" s="48"/>
      <c r="F281" s="48"/>
      <c r="G281" s="45">
        <f>SUBTOTAL(9,G279:G280)</f>
        <v>0</v>
      </c>
    </row>
    <row r="282" spans="1:8" ht="12.75">
      <c r="A282" s="28"/>
      <c r="B282" s="29"/>
      <c r="C282" s="13"/>
      <c r="D282" s="14"/>
      <c r="E282" s="20"/>
      <c r="F282" s="20"/>
      <c r="G282" s="15"/>
      <c r="H282" s="121"/>
    </row>
    <row r="283" spans="1:8" ht="16.5">
      <c r="A283" s="28"/>
      <c r="B283" s="71" t="s">
        <v>115</v>
      </c>
      <c r="C283" s="225" t="s">
        <v>279</v>
      </c>
      <c r="D283" s="225"/>
      <c r="E283" s="225"/>
      <c r="F283" s="225"/>
      <c r="G283" s="225"/>
      <c r="H283" s="121"/>
    </row>
    <row r="284" spans="1:8" ht="38.25" customHeight="1">
      <c r="A284" s="28"/>
      <c r="B284" s="63"/>
      <c r="C284" s="222" t="s">
        <v>127</v>
      </c>
      <c r="D284" s="223"/>
      <c r="E284" s="223"/>
      <c r="F284" s="223"/>
      <c r="G284" s="223"/>
      <c r="H284" s="121"/>
    </row>
    <row r="285" spans="1:8" ht="12.75">
      <c r="A285" s="28">
        <f>+A280+1</f>
        <v>141</v>
      </c>
      <c r="B285" s="29"/>
      <c r="C285" s="35" t="s">
        <v>185</v>
      </c>
      <c r="D285" s="36" t="s">
        <v>129</v>
      </c>
      <c r="E285" s="37">
        <v>1</v>
      </c>
      <c r="F285" s="210">
        <f>+ESA_ESI!H63</f>
        <v>0</v>
      </c>
      <c r="G285" s="38">
        <f>E285*F285</f>
        <v>0</v>
      </c>
      <c r="H285" s="121" t="s">
        <v>212</v>
      </c>
    </row>
    <row r="286" spans="1:8" ht="12.75">
      <c r="A286" s="28">
        <f>A285+1</f>
        <v>142</v>
      </c>
      <c r="B286" s="29"/>
      <c r="C286" s="35" t="s">
        <v>125</v>
      </c>
      <c r="D286" s="36" t="s">
        <v>129</v>
      </c>
      <c r="E286" s="37">
        <v>1</v>
      </c>
      <c r="F286" s="210">
        <f>+ESA_ESI!H69</f>
        <v>0</v>
      </c>
      <c r="G286" s="38">
        <f>E286*F286</f>
        <v>0</v>
      </c>
      <c r="H286" s="121" t="s">
        <v>212</v>
      </c>
    </row>
    <row r="287" spans="1:8" ht="13.5" thickBot="1">
      <c r="A287" s="28">
        <f>A286+1</f>
        <v>143</v>
      </c>
      <c r="B287" s="29"/>
      <c r="C287" s="35" t="s">
        <v>197</v>
      </c>
      <c r="D287" s="36" t="s">
        <v>129</v>
      </c>
      <c r="E287" s="37">
        <v>1</v>
      </c>
      <c r="F287" s="210">
        <f>+ESA_ESI!H75</f>
        <v>0</v>
      </c>
      <c r="G287" s="38">
        <f>E287*F287</f>
        <v>0</v>
      </c>
      <c r="H287" s="121" t="s">
        <v>212</v>
      </c>
    </row>
    <row r="288" spans="1:7" ht="13.5" thickBot="1">
      <c r="A288" s="28"/>
      <c r="B288" s="29"/>
      <c r="C288" s="46" t="s">
        <v>22</v>
      </c>
      <c r="D288" s="47"/>
      <c r="E288" s="48"/>
      <c r="F288" s="48"/>
      <c r="G288" s="45">
        <f>SUBTOTAL(9,G285:G287)</f>
        <v>0</v>
      </c>
    </row>
    <row r="289" spans="1:8" ht="14.25" customHeight="1">
      <c r="A289" s="28"/>
      <c r="B289" s="29"/>
      <c r="C289" s="164"/>
      <c r="D289" s="14"/>
      <c r="E289" s="21"/>
      <c r="F289" s="21"/>
      <c r="G289" s="165"/>
      <c r="H289" s="121"/>
    </row>
    <row r="290" spans="1:8" ht="16.5">
      <c r="A290" s="28"/>
      <c r="B290" s="71" t="s">
        <v>116</v>
      </c>
      <c r="C290" s="225" t="s">
        <v>66</v>
      </c>
      <c r="D290" s="225"/>
      <c r="E290" s="225"/>
      <c r="F290" s="225"/>
      <c r="G290" s="225"/>
      <c r="H290" s="121"/>
    </row>
    <row r="291" spans="1:8" ht="63" customHeight="1">
      <c r="A291" s="28"/>
      <c r="B291" s="63"/>
      <c r="C291" s="233" t="s">
        <v>387</v>
      </c>
      <c r="D291" s="233"/>
      <c r="E291" s="233"/>
      <c r="F291" s="233"/>
      <c r="G291" s="233"/>
      <c r="H291" s="121"/>
    </row>
    <row r="292" spans="1:8" ht="25.5">
      <c r="A292" s="28">
        <f>A287+1</f>
        <v>144</v>
      </c>
      <c r="B292" s="136" t="s">
        <v>32</v>
      </c>
      <c r="C292" s="141" t="s">
        <v>393</v>
      </c>
      <c r="D292" s="138" t="s">
        <v>24</v>
      </c>
      <c r="E292" s="139">
        <f>4.9+0.6</f>
        <v>5.5</v>
      </c>
      <c r="F292" s="83"/>
      <c r="G292" s="140">
        <f>E292*F292</f>
        <v>0</v>
      </c>
      <c r="H292" s="119" t="s">
        <v>218</v>
      </c>
    </row>
    <row r="293" spans="1:8" ht="12.75">
      <c r="A293" s="28">
        <f>A292+1</f>
        <v>145</v>
      </c>
      <c r="B293" s="136" t="s">
        <v>32</v>
      </c>
      <c r="C293" s="141" t="s">
        <v>389</v>
      </c>
      <c r="D293" s="138" t="s">
        <v>23</v>
      </c>
      <c r="E293" s="139">
        <v>2</v>
      </c>
      <c r="F293" s="83"/>
      <c r="G293" s="140">
        <f aca="true" t="shared" si="15" ref="G293:G304">E293*F293</f>
        <v>0</v>
      </c>
      <c r="H293" s="119" t="s">
        <v>218</v>
      </c>
    </row>
    <row r="294" spans="1:8" ht="12.75">
      <c r="A294" s="28">
        <f aca="true" t="shared" si="16" ref="A294:A304">A293+1</f>
        <v>146</v>
      </c>
      <c r="B294" s="136" t="s">
        <v>32</v>
      </c>
      <c r="C294" s="141" t="s">
        <v>390</v>
      </c>
      <c r="D294" s="138" t="s">
        <v>23</v>
      </c>
      <c r="E294" s="139">
        <v>1</v>
      </c>
      <c r="F294" s="83"/>
      <c r="G294" s="140">
        <f t="shared" si="15"/>
        <v>0</v>
      </c>
      <c r="H294" s="119" t="s">
        <v>218</v>
      </c>
    </row>
    <row r="295" spans="1:8" ht="12.75">
      <c r="A295" s="28">
        <f t="shared" si="16"/>
        <v>147</v>
      </c>
      <c r="B295" s="136" t="s">
        <v>32</v>
      </c>
      <c r="C295" s="141" t="s">
        <v>423</v>
      </c>
      <c r="D295" s="138" t="s">
        <v>23</v>
      </c>
      <c r="E295" s="139">
        <v>2</v>
      </c>
      <c r="F295" s="83"/>
      <c r="G295" s="140">
        <f t="shared" si="15"/>
        <v>0</v>
      </c>
      <c r="H295" s="119" t="s">
        <v>218</v>
      </c>
    </row>
    <row r="296" spans="1:8" ht="12.75">
      <c r="A296" s="28">
        <f t="shared" si="16"/>
        <v>148</v>
      </c>
      <c r="B296" s="136" t="s">
        <v>32</v>
      </c>
      <c r="C296" s="141" t="s">
        <v>388</v>
      </c>
      <c r="D296" s="138" t="s">
        <v>23</v>
      </c>
      <c r="E296" s="139">
        <v>1</v>
      </c>
      <c r="F296" s="83"/>
      <c r="G296" s="140">
        <f t="shared" si="15"/>
        <v>0</v>
      </c>
      <c r="H296" s="119" t="s">
        <v>218</v>
      </c>
    </row>
    <row r="297" spans="1:8" ht="12.75">
      <c r="A297" s="28">
        <f t="shared" si="16"/>
        <v>149</v>
      </c>
      <c r="B297" s="136" t="s">
        <v>32</v>
      </c>
      <c r="C297" s="35" t="s">
        <v>392</v>
      </c>
      <c r="D297" s="138" t="s">
        <v>24</v>
      </c>
      <c r="E297" s="139">
        <v>1</v>
      </c>
      <c r="F297" s="83"/>
      <c r="G297" s="140">
        <f t="shared" si="15"/>
        <v>0</v>
      </c>
      <c r="H297" s="119" t="s">
        <v>218</v>
      </c>
    </row>
    <row r="298" spans="1:8" ht="12.75">
      <c r="A298" s="28">
        <f t="shared" si="16"/>
        <v>150</v>
      </c>
      <c r="B298" s="136" t="s">
        <v>32</v>
      </c>
      <c r="C298" s="35" t="s">
        <v>409</v>
      </c>
      <c r="D298" s="138" t="s">
        <v>23</v>
      </c>
      <c r="E298" s="139">
        <v>2</v>
      </c>
      <c r="F298" s="83"/>
      <c r="G298" s="140">
        <f t="shared" si="15"/>
        <v>0</v>
      </c>
      <c r="H298" s="119" t="s">
        <v>218</v>
      </c>
    </row>
    <row r="299" spans="1:8" ht="12.75">
      <c r="A299" s="28">
        <f t="shared" si="16"/>
        <v>151</v>
      </c>
      <c r="B299" s="136" t="s">
        <v>32</v>
      </c>
      <c r="C299" s="141" t="s">
        <v>461</v>
      </c>
      <c r="D299" s="138" t="s">
        <v>23</v>
      </c>
      <c r="E299" s="139">
        <v>1</v>
      </c>
      <c r="F299" s="83"/>
      <c r="G299" s="140">
        <f t="shared" si="15"/>
        <v>0</v>
      </c>
      <c r="H299" s="119" t="s">
        <v>462</v>
      </c>
    </row>
    <row r="300" spans="1:8" ht="12.75">
      <c r="A300" s="28">
        <f t="shared" si="16"/>
        <v>152</v>
      </c>
      <c r="B300" s="136" t="s">
        <v>32</v>
      </c>
      <c r="C300" s="141" t="s">
        <v>391</v>
      </c>
      <c r="D300" s="138" t="s">
        <v>24</v>
      </c>
      <c r="E300" s="139">
        <v>9</v>
      </c>
      <c r="F300" s="83"/>
      <c r="G300" s="140">
        <f t="shared" si="15"/>
        <v>0</v>
      </c>
      <c r="H300" s="119" t="s">
        <v>218</v>
      </c>
    </row>
    <row r="301" spans="1:8" ht="12.75">
      <c r="A301" s="28">
        <f t="shared" si="16"/>
        <v>153</v>
      </c>
      <c r="B301" s="136" t="s">
        <v>32</v>
      </c>
      <c r="C301" s="141" t="s">
        <v>386</v>
      </c>
      <c r="D301" s="138" t="s">
        <v>24</v>
      </c>
      <c r="E301" s="139">
        <v>1</v>
      </c>
      <c r="F301" s="83"/>
      <c r="G301" s="140">
        <f t="shared" si="15"/>
        <v>0</v>
      </c>
      <c r="H301" s="119" t="s">
        <v>218</v>
      </c>
    </row>
    <row r="302" spans="1:8" ht="12.75">
      <c r="A302" s="28">
        <f t="shared" si="16"/>
        <v>154</v>
      </c>
      <c r="B302" s="136" t="s">
        <v>33</v>
      </c>
      <c r="C302" s="141" t="s">
        <v>130</v>
      </c>
      <c r="D302" s="138" t="s">
        <v>29</v>
      </c>
      <c r="E302" s="139">
        <f>SUM(G292:G301)</f>
        <v>0</v>
      </c>
      <c r="F302" s="163"/>
      <c r="G302" s="140">
        <f t="shared" si="15"/>
        <v>0</v>
      </c>
      <c r="H302" s="119" t="s">
        <v>218</v>
      </c>
    </row>
    <row r="303" spans="1:8" ht="12.75">
      <c r="A303" s="28">
        <f t="shared" si="16"/>
        <v>155</v>
      </c>
      <c r="B303" s="136" t="s">
        <v>33</v>
      </c>
      <c r="C303" s="141" t="s">
        <v>131</v>
      </c>
      <c r="D303" s="138" t="s">
        <v>29</v>
      </c>
      <c r="E303" s="139">
        <f>+E302</f>
        <v>0</v>
      </c>
      <c r="F303" s="163"/>
      <c r="G303" s="140">
        <f t="shared" si="15"/>
        <v>0</v>
      </c>
      <c r="H303" s="119" t="s">
        <v>218</v>
      </c>
    </row>
    <row r="304" spans="1:8" ht="13.5" thickBot="1">
      <c r="A304" s="28">
        <f t="shared" si="16"/>
        <v>156</v>
      </c>
      <c r="B304" s="136"/>
      <c r="C304" s="141" t="s">
        <v>48</v>
      </c>
      <c r="D304" s="142" t="s">
        <v>29</v>
      </c>
      <c r="E304" s="139">
        <f>+E303</f>
        <v>0</v>
      </c>
      <c r="F304" s="163"/>
      <c r="G304" s="143">
        <f t="shared" si="15"/>
        <v>0</v>
      </c>
      <c r="H304" s="119" t="s">
        <v>218</v>
      </c>
    </row>
    <row r="305" spans="1:7" ht="13.5" thickBot="1">
      <c r="A305" s="28"/>
      <c r="B305" s="29"/>
      <c r="C305" s="46" t="s">
        <v>22</v>
      </c>
      <c r="D305" s="47"/>
      <c r="E305" s="48"/>
      <c r="F305" s="48"/>
      <c r="G305" s="45">
        <f>SUBTOTAL(9,G292:G304)</f>
        <v>0</v>
      </c>
    </row>
    <row r="306" spans="1:7" ht="12.75">
      <c r="A306" s="28"/>
      <c r="B306" s="29"/>
      <c r="C306" s="164"/>
      <c r="D306" s="14"/>
      <c r="E306" s="21"/>
      <c r="F306" s="21"/>
      <c r="G306" s="165"/>
    </row>
    <row r="307" spans="1:8" ht="16.5">
      <c r="A307" s="28"/>
      <c r="B307" s="71" t="s">
        <v>117</v>
      </c>
      <c r="C307" s="225" t="s">
        <v>383</v>
      </c>
      <c r="D307" s="225"/>
      <c r="E307" s="225"/>
      <c r="F307" s="225"/>
      <c r="G307" s="225"/>
      <c r="H307" s="121"/>
    </row>
    <row r="308" spans="1:8" ht="38.25" customHeight="1">
      <c r="A308" s="28"/>
      <c r="B308" s="63"/>
      <c r="C308" s="222" t="s">
        <v>384</v>
      </c>
      <c r="D308" s="223"/>
      <c r="E308" s="223"/>
      <c r="F308" s="223"/>
      <c r="G308" s="223"/>
      <c r="H308" s="121"/>
    </row>
    <row r="309" spans="1:9" ht="12.75">
      <c r="A309" s="133">
        <f>A304+1</f>
        <v>157</v>
      </c>
      <c r="B309" s="136"/>
      <c r="C309" s="141" t="s">
        <v>463</v>
      </c>
      <c r="D309" s="138" t="s">
        <v>24</v>
      </c>
      <c r="E309" s="139">
        <v>52</v>
      </c>
      <c r="F309" s="83"/>
      <c r="G309" s="140">
        <f>E309*F309</f>
        <v>0</v>
      </c>
      <c r="H309" s="119" t="s">
        <v>212</v>
      </c>
      <c r="I309" s="125"/>
    </row>
    <row r="310" spans="1:9" ht="12.75">
      <c r="A310" s="133">
        <f>A309+1</f>
        <v>158</v>
      </c>
      <c r="B310" s="136"/>
      <c r="C310" s="141" t="s">
        <v>464</v>
      </c>
      <c r="D310" s="138" t="s">
        <v>24</v>
      </c>
      <c r="E310" s="139">
        <v>8</v>
      </c>
      <c r="F310" s="83"/>
      <c r="G310" s="140">
        <f aca="true" t="shared" si="17" ref="G310:G329">E310*F310</f>
        <v>0</v>
      </c>
      <c r="H310" s="119" t="s">
        <v>212</v>
      </c>
      <c r="I310" s="125"/>
    </row>
    <row r="311" spans="1:9" ht="12.75">
      <c r="A311" s="133">
        <f aca="true" t="shared" si="18" ref="A311:A329">A310+1</f>
        <v>159</v>
      </c>
      <c r="B311" s="136"/>
      <c r="C311" s="141" t="s">
        <v>465</v>
      </c>
      <c r="D311" s="138" t="s">
        <v>24</v>
      </c>
      <c r="E311" s="139">
        <v>4</v>
      </c>
      <c r="F311" s="83"/>
      <c r="G311" s="140">
        <f t="shared" si="17"/>
        <v>0</v>
      </c>
      <c r="H311" s="119" t="s">
        <v>212</v>
      </c>
      <c r="I311" s="125"/>
    </row>
    <row r="312" spans="1:9" ht="12.75">
      <c r="A312" s="133">
        <f t="shared" si="18"/>
        <v>160</v>
      </c>
      <c r="B312" s="136"/>
      <c r="C312" s="141" t="s">
        <v>466</v>
      </c>
      <c r="D312" s="138" t="s">
        <v>24</v>
      </c>
      <c r="E312" s="139">
        <f>+E309+E310+E311</f>
        <v>64</v>
      </c>
      <c r="F312" s="83"/>
      <c r="G312" s="140">
        <f t="shared" si="17"/>
        <v>0</v>
      </c>
      <c r="H312" s="119" t="s">
        <v>212</v>
      </c>
      <c r="I312" s="125"/>
    </row>
    <row r="313" spans="1:9" ht="12.75">
      <c r="A313" s="133">
        <f t="shared" si="18"/>
        <v>161</v>
      </c>
      <c r="B313" s="136"/>
      <c r="C313" s="141" t="s">
        <v>467</v>
      </c>
      <c r="D313" s="141" t="s">
        <v>23</v>
      </c>
      <c r="E313" s="139">
        <v>1</v>
      </c>
      <c r="F313" s="83"/>
      <c r="G313" s="140">
        <f t="shared" si="17"/>
        <v>0</v>
      </c>
      <c r="H313" s="119" t="s">
        <v>212</v>
      </c>
      <c r="I313" s="125"/>
    </row>
    <row r="314" spans="1:9" ht="12.75">
      <c r="A314" s="133">
        <f t="shared" si="18"/>
        <v>162</v>
      </c>
      <c r="B314" s="136"/>
      <c r="C314" s="141" t="s">
        <v>468</v>
      </c>
      <c r="D314" s="141" t="s">
        <v>23</v>
      </c>
      <c r="E314" s="139">
        <v>1</v>
      </c>
      <c r="F314" s="83"/>
      <c r="G314" s="140">
        <f t="shared" si="17"/>
        <v>0</v>
      </c>
      <c r="H314" s="119" t="s">
        <v>212</v>
      </c>
      <c r="I314" s="125"/>
    </row>
    <row r="315" spans="1:9" ht="12.75">
      <c r="A315" s="133">
        <f t="shared" si="18"/>
        <v>163</v>
      </c>
      <c r="B315" s="136"/>
      <c r="C315" s="141" t="s">
        <v>469</v>
      </c>
      <c r="D315" s="141" t="s">
        <v>23</v>
      </c>
      <c r="E315" s="139">
        <v>4</v>
      </c>
      <c r="F315" s="83"/>
      <c r="G315" s="140">
        <f t="shared" si="17"/>
        <v>0</v>
      </c>
      <c r="H315" s="119" t="s">
        <v>212</v>
      </c>
      <c r="I315" s="125"/>
    </row>
    <row r="316" spans="1:9" ht="12.75">
      <c r="A316" s="133">
        <f t="shared" si="18"/>
        <v>164</v>
      </c>
      <c r="B316" s="136"/>
      <c r="C316" s="141" t="s">
        <v>470</v>
      </c>
      <c r="D316" s="141" t="s">
        <v>23</v>
      </c>
      <c r="E316" s="139">
        <v>4</v>
      </c>
      <c r="F316" s="83"/>
      <c r="G316" s="140">
        <f t="shared" si="17"/>
        <v>0</v>
      </c>
      <c r="H316" s="119" t="s">
        <v>212</v>
      </c>
      <c r="I316" s="125"/>
    </row>
    <row r="317" spans="1:9" ht="12.75">
      <c r="A317" s="133">
        <f t="shared" si="18"/>
        <v>165</v>
      </c>
      <c r="B317" s="136"/>
      <c r="C317" s="141" t="s">
        <v>471</v>
      </c>
      <c r="D317" s="141" t="s">
        <v>23</v>
      </c>
      <c r="E317" s="139">
        <v>4</v>
      </c>
      <c r="F317" s="83"/>
      <c r="G317" s="140">
        <f t="shared" si="17"/>
        <v>0</v>
      </c>
      <c r="H317" s="119" t="s">
        <v>212</v>
      </c>
      <c r="I317" s="125"/>
    </row>
    <row r="318" spans="1:9" ht="12.75">
      <c r="A318" s="133">
        <f t="shared" si="18"/>
        <v>166</v>
      </c>
      <c r="B318" s="136"/>
      <c r="C318" s="141" t="s">
        <v>472</v>
      </c>
      <c r="D318" s="141" t="s">
        <v>23</v>
      </c>
      <c r="E318" s="139">
        <v>4</v>
      </c>
      <c r="F318" s="83"/>
      <c r="G318" s="140">
        <f t="shared" si="17"/>
        <v>0</v>
      </c>
      <c r="H318" s="119" t="s">
        <v>212</v>
      </c>
      <c r="I318" s="125"/>
    </row>
    <row r="319" spans="1:9" ht="25.5">
      <c r="A319" s="133">
        <f t="shared" si="18"/>
        <v>167</v>
      </c>
      <c r="B319" s="136" t="s">
        <v>32</v>
      </c>
      <c r="C319" s="206" t="s">
        <v>482</v>
      </c>
      <c r="D319" s="207" t="s">
        <v>23</v>
      </c>
      <c r="E319" s="208">
        <v>1</v>
      </c>
      <c r="F319" s="84"/>
      <c r="G319" s="209">
        <f t="shared" si="17"/>
        <v>0</v>
      </c>
      <c r="H319" s="119" t="s">
        <v>212</v>
      </c>
      <c r="I319" s="125"/>
    </row>
    <row r="320" spans="1:9" ht="25.5">
      <c r="A320" s="133">
        <f t="shared" si="18"/>
        <v>168</v>
      </c>
      <c r="B320" s="136" t="s">
        <v>32</v>
      </c>
      <c r="C320" s="206" t="s">
        <v>481</v>
      </c>
      <c r="D320" s="207" t="s">
        <v>23</v>
      </c>
      <c r="E320" s="208">
        <v>1</v>
      </c>
      <c r="F320" s="84"/>
      <c r="G320" s="209">
        <f t="shared" si="17"/>
        <v>0</v>
      </c>
      <c r="H320" s="119" t="s">
        <v>212</v>
      </c>
      <c r="I320" s="125"/>
    </row>
    <row r="321" spans="1:9" ht="25.5">
      <c r="A321" s="133">
        <f t="shared" si="18"/>
        <v>169</v>
      </c>
      <c r="B321" s="136" t="s">
        <v>32</v>
      </c>
      <c r="C321" s="206" t="s">
        <v>480</v>
      </c>
      <c r="D321" s="207" t="s">
        <v>23</v>
      </c>
      <c r="E321" s="208">
        <v>1</v>
      </c>
      <c r="F321" s="84"/>
      <c r="G321" s="209">
        <f t="shared" si="17"/>
        <v>0</v>
      </c>
      <c r="H321" s="119" t="s">
        <v>212</v>
      </c>
      <c r="I321" s="125"/>
    </row>
    <row r="322" spans="1:9" ht="25.5">
      <c r="A322" s="133">
        <f t="shared" si="18"/>
        <v>170</v>
      </c>
      <c r="B322" s="136" t="s">
        <v>32</v>
      </c>
      <c r="C322" s="206" t="s">
        <v>473</v>
      </c>
      <c r="D322" s="207" t="s">
        <v>23</v>
      </c>
      <c r="E322" s="208">
        <v>1</v>
      </c>
      <c r="F322" s="84"/>
      <c r="G322" s="209">
        <f>E322*F322</f>
        <v>0</v>
      </c>
      <c r="H322" s="119" t="s">
        <v>212</v>
      </c>
      <c r="I322" s="125"/>
    </row>
    <row r="323" spans="1:9" ht="12.75">
      <c r="A323" s="133">
        <f t="shared" si="18"/>
        <v>171</v>
      </c>
      <c r="B323" s="136" t="s">
        <v>33</v>
      </c>
      <c r="C323" s="141" t="s">
        <v>474</v>
      </c>
      <c r="D323" s="141" t="s">
        <v>23</v>
      </c>
      <c r="E323" s="139">
        <f>E320+E319+E321+E322</f>
        <v>4</v>
      </c>
      <c r="F323" s="83"/>
      <c r="G323" s="140">
        <f t="shared" si="17"/>
        <v>0</v>
      </c>
      <c r="H323" s="119" t="s">
        <v>212</v>
      </c>
      <c r="I323" s="125"/>
    </row>
    <row r="324" spans="1:9" ht="25.5">
      <c r="A324" s="133">
        <f t="shared" si="18"/>
        <v>172</v>
      </c>
      <c r="B324" s="136"/>
      <c r="C324" s="141" t="s">
        <v>475</v>
      </c>
      <c r="D324" s="141" t="s">
        <v>24</v>
      </c>
      <c r="E324" s="139">
        <v>40</v>
      </c>
      <c r="F324" s="83"/>
      <c r="G324" s="140">
        <f t="shared" si="17"/>
        <v>0</v>
      </c>
      <c r="H324" s="119" t="s">
        <v>212</v>
      </c>
      <c r="I324" s="125"/>
    </row>
    <row r="325" spans="1:9" ht="25.5">
      <c r="A325" s="133">
        <f t="shared" si="18"/>
        <v>173</v>
      </c>
      <c r="B325" s="136"/>
      <c r="C325" s="141" t="s">
        <v>476</v>
      </c>
      <c r="D325" s="141" t="s">
        <v>24</v>
      </c>
      <c r="E325" s="139">
        <v>6</v>
      </c>
      <c r="F325" s="83"/>
      <c r="G325" s="140">
        <f t="shared" si="17"/>
        <v>0</v>
      </c>
      <c r="H325" s="119" t="s">
        <v>212</v>
      </c>
      <c r="I325" s="125"/>
    </row>
    <row r="326" spans="1:9" ht="25.5">
      <c r="A326" s="133">
        <f t="shared" si="18"/>
        <v>174</v>
      </c>
      <c r="B326" s="136"/>
      <c r="C326" s="141" t="s">
        <v>477</v>
      </c>
      <c r="D326" s="138" t="s">
        <v>24</v>
      </c>
      <c r="E326" s="139">
        <v>3</v>
      </c>
      <c r="F326" s="83"/>
      <c r="G326" s="140">
        <f t="shared" si="17"/>
        <v>0</v>
      </c>
      <c r="H326" s="119" t="s">
        <v>212</v>
      </c>
      <c r="I326" s="125"/>
    </row>
    <row r="327" spans="1:9" ht="12.75">
      <c r="A327" s="133">
        <f t="shared" si="18"/>
        <v>175</v>
      </c>
      <c r="B327" s="136"/>
      <c r="C327" s="141" t="s">
        <v>478</v>
      </c>
      <c r="D327" s="138" t="s">
        <v>20</v>
      </c>
      <c r="E327" s="139">
        <v>1</v>
      </c>
      <c r="F327" s="83"/>
      <c r="G327" s="140">
        <f t="shared" si="17"/>
        <v>0</v>
      </c>
      <c r="H327" s="119" t="s">
        <v>212</v>
      </c>
      <c r="I327" s="125"/>
    </row>
    <row r="328" spans="1:9" ht="12.75">
      <c r="A328" s="133">
        <f t="shared" si="18"/>
        <v>176</v>
      </c>
      <c r="B328" s="136"/>
      <c r="C328" s="141" t="s">
        <v>479</v>
      </c>
      <c r="D328" s="138" t="s">
        <v>20</v>
      </c>
      <c r="E328" s="139">
        <v>1</v>
      </c>
      <c r="F328" s="83"/>
      <c r="G328" s="140">
        <f t="shared" si="17"/>
        <v>0</v>
      </c>
      <c r="H328" s="119" t="s">
        <v>212</v>
      </c>
      <c r="I328" s="125"/>
    </row>
    <row r="329" spans="1:9" ht="13.5" thickBot="1">
      <c r="A329" s="133">
        <f t="shared" si="18"/>
        <v>177</v>
      </c>
      <c r="B329" s="136"/>
      <c r="C329" s="141" t="s">
        <v>48</v>
      </c>
      <c r="D329" s="138" t="s">
        <v>29</v>
      </c>
      <c r="E329" s="139">
        <f>+G309+G310+G311+G312+G313+G314+G315+G316+G317+G318+G319+G320+G321+G324+G325+G326</f>
        <v>0</v>
      </c>
      <c r="F329" s="163"/>
      <c r="G329" s="143">
        <f t="shared" si="17"/>
        <v>0</v>
      </c>
      <c r="H329" s="119" t="s">
        <v>212</v>
      </c>
      <c r="I329" s="125"/>
    </row>
    <row r="330" spans="1:7" ht="13.5" thickBot="1">
      <c r="A330" s="28"/>
      <c r="B330" s="29"/>
      <c r="C330" s="46" t="s">
        <v>22</v>
      </c>
      <c r="D330" s="47"/>
      <c r="E330" s="48"/>
      <c r="F330" s="48"/>
      <c r="G330" s="45">
        <f>SUBTOTAL(9,G309:G329)</f>
        <v>0</v>
      </c>
    </row>
    <row r="331" spans="1:8" ht="12.75">
      <c r="A331" s="28"/>
      <c r="B331" s="29"/>
      <c r="C331" s="13"/>
      <c r="D331" s="14"/>
      <c r="E331" s="20"/>
      <c r="F331" s="20"/>
      <c r="G331" s="15"/>
      <c r="H331" s="121"/>
    </row>
    <row r="332" spans="1:8" ht="16.5">
      <c r="A332" s="28"/>
      <c r="B332" s="71" t="s">
        <v>118</v>
      </c>
      <c r="C332" s="225" t="s">
        <v>67</v>
      </c>
      <c r="D332" s="225"/>
      <c r="E332" s="225"/>
      <c r="F332" s="225"/>
      <c r="G332" s="225"/>
      <c r="H332" s="121"/>
    </row>
    <row r="333" spans="1:8" ht="66.75" customHeight="1">
      <c r="A333" s="28"/>
      <c r="B333" s="63"/>
      <c r="C333" s="222" t="s">
        <v>99</v>
      </c>
      <c r="D333" s="223"/>
      <c r="E333" s="223"/>
      <c r="F333" s="223"/>
      <c r="G333" s="223"/>
      <c r="H333" s="121"/>
    </row>
    <row r="334" spans="1:8" ht="12.75">
      <c r="A334" s="28">
        <f>A329+1</f>
        <v>178</v>
      </c>
      <c r="B334" s="29" t="s">
        <v>358</v>
      </c>
      <c r="C334" s="141" t="s">
        <v>412</v>
      </c>
      <c r="D334" s="36" t="s">
        <v>23</v>
      </c>
      <c r="E334" s="37">
        <f>+E336+E337+E338+E340+E339</f>
        <v>6</v>
      </c>
      <c r="F334" s="83"/>
      <c r="G334" s="38">
        <f aca="true" t="shared" si="19" ref="G334:G358">E334*F334</f>
        <v>0</v>
      </c>
      <c r="H334" s="121" t="s">
        <v>218</v>
      </c>
    </row>
    <row r="335" spans="1:8" ht="12.75">
      <c r="A335" s="28">
        <f aca="true" t="shared" si="20" ref="A335:A341">A334+1</f>
        <v>179</v>
      </c>
      <c r="B335" s="29" t="s">
        <v>359</v>
      </c>
      <c r="C335" s="141" t="s">
        <v>360</v>
      </c>
      <c r="D335" s="36" t="s">
        <v>23</v>
      </c>
      <c r="E335" s="37">
        <v>1</v>
      </c>
      <c r="F335" s="83"/>
      <c r="G335" s="38">
        <f aca="true" t="shared" si="21" ref="G335:G340">E335*F335</f>
        <v>0</v>
      </c>
      <c r="H335" s="121" t="s">
        <v>212</v>
      </c>
    </row>
    <row r="336" spans="1:8" ht="25.5">
      <c r="A336" s="28">
        <f t="shared" si="20"/>
        <v>180</v>
      </c>
      <c r="B336" s="76" t="s">
        <v>101</v>
      </c>
      <c r="C336" s="77" t="s">
        <v>355</v>
      </c>
      <c r="D336" s="78" t="s">
        <v>23</v>
      </c>
      <c r="E336" s="79">
        <v>1</v>
      </c>
      <c r="F336" s="84"/>
      <c r="G336" s="80">
        <f t="shared" si="21"/>
        <v>0</v>
      </c>
      <c r="H336" s="121" t="s">
        <v>218</v>
      </c>
    </row>
    <row r="337" spans="1:8" ht="25.5">
      <c r="A337" s="28">
        <f t="shared" si="20"/>
        <v>181</v>
      </c>
      <c r="B337" s="76" t="s">
        <v>192</v>
      </c>
      <c r="C337" s="77" t="s">
        <v>354</v>
      </c>
      <c r="D337" s="78" t="s">
        <v>23</v>
      </c>
      <c r="E337" s="79">
        <v>2</v>
      </c>
      <c r="F337" s="84"/>
      <c r="G337" s="80">
        <f t="shared" si="21"/>
        <v>0</v>
      </c>
      <c r="H337" s="121" t="s">
        <v>218</v>
      </c>
    </row>
    <row r="338" spans="1:8" ht="25.5">
      <c r="A338" s="28">
        <f t="shared" si="20"/>
        <v>182</v>
      </c>
      <c r="B338" s="76" t="s">
        <v>254</v>
      </c>
      <c r="C338" s="77" t="s">
        <v>246</v>
      </c>
      <c r="D338" s="78" t="s">
        <v>23</v>
      </c>
      <c r="E338" s="79">
        <v>1</v>
      </c>
      <c r="F338" s="84"/>
      <c r="G338" s="80">
        <f t="shared" si="21"/>
        <v>0</v>
      </c>
      <c r="H338" s="121" t="s">
        <v>218</v>
      </c>
    </row>
    <row r="339" spans="1:8" ht="25.5">
      <c r="A339" s="28">
        <f t="shared" si="20"/>
        <v>183</v>
      </c>
      <c r="B339" s="76" t="s">
        <v>100</v>
      </c>
      <c r="C339" s="77" t="s">
        <v>355</v>
      </c>
      <c r="D339" s="78" t="s">
        <v>23</v>
      </c>
      <c r="E339" s="79">
        <v>1</v>
      </c>
      <c r="F339" s="84"/>
      <c r="G339" s="80">
        <f t="shared" si="21"/>
        <v>0</v>
      </c>
      <c r="H339" s="121" t="s">
        <v>218</v>
      </c>
    </row>
    <row r="340" spans="1:8" ht="25.5">
      <c r="A340" s="28">
        <f t="shared" si="20"/>
        <v>184</v>
      </c>
      <c r="B340" s="76" t="s">
        <v>483</v>
      </c>
      <c r="C340" s="77" t="s">
        <v>356</v>
      </c>
      <c r="D340" s="78" t="s">
        <v>23</v>
      </c>
      <c r="E340" s="79">
        <v>1</v>
      </c>
      <c r="F340" s="84"/>
      <c r="G340" s="80">
        <f t="shared" si="21"/>
        <v>0</v>
      </c>
      <c r="H340" s="121" t="s">
        <v>212</v>
      </c>
    </row>
    <row r="341" spans="1:8" ht="25.5">
      <c r="A341" s="28">
        <f t="shared" si="20"/>
        <v>185</v>
      </c>
      <c r="B341" s="29" t="s">
        <v>247</v>
      </c>
      <c r="C341" s="35" t="s">
        <v>357</v>
      </c>
      <c r="D341" s="36" t="s">
        <v>23</v>
      </c>
      <c r="E341" s="37">
        <v>1</v>
      </c>
      <c r="F341" s="83"/>
      <c r="G341" s="38">
        <f t="shared" si="19"/>
        <v>0</v>
      </c>
      <c r="H341" s="121" t="s">
        <v>212</v>
      </c>
    </row>
    <row r="342" spans="1:8" ht="38.25">
      <c r="A342" s="28">
        <f aca="true" t="shared" si="22" ref="A342:A350">A341+1</f>
        <v>186</v>
      </c>
      <c r="B342" s="76" t="s">
        <v>377</v>
      </c>
      <c r="C342" s="77" t="s">
        <v>398</v>
      </c>
      <c r="D342" s="78" t="s">
        <v>23</v>
      </c>
      <c r="E342" s="79">
        <v>1</v>
      </c>
      <c r="F342" s="84"/>
      <c r="G342" s="80">
        <f t="shared" si="19"/>
        <v>0</v>
      </c>
      <c r="H342" s="121" t="s">
        <v>212</v>
      </c>
    </row>
    <row r="343" spans="1:8" ht="38.25">
      <c r="A343" s="28">
        <f t="shared" si="22"/>
        <v>187</v>
      </c>
      <c r="B343" s="76" t="s">
        <v>378</v>
      </c>
      <c r="C343" s="77" t="s">
        <v>365</v>
      </c>
      <c r="D343" s="78" t="s">
        <v>23</v>
      </c>
      <c r="E343" s="79">
        <v>2</v>
      </c>
      <c r="F343" s="84"/>
      <c r="G343" s="80">
        <f t="shared" si="19"/>
        <v>0</v>
      </c>
      <c r="H343" s="121" t="s">
        <v>212</v>
      </c>
    </row>
    <row r="344" spans="1:8" ht="38.25">
      <c r="A344" s="28">
        <f t="shared" si="22"/>
        <v>188</v>
      </c>
      <c r="B344" s="76" t="s">
        <v>379</v>
      </c>
      <c r="C344" s="77" t="s">
        <v>366</v>
      </c>
      <c r="D344" s="78" t="s">
        <v>23</v>
      </c>
      <c r="E344" s="79">
        <v>3</v>
      </c>
      <c r="F344" s="84"/>
      <c r="G344" s="80">
        <f t="shared" si="19"/>
        <v>0</v>
      </c>
      <c r="H344" s="121" t="s">
        <v>212</v>
      </c>
    </row>
    <row r="345" spans="1:9" ht="46.5" customHeight="1">
      <c r="A345" s="133">
        <f>A340+1</f>
        <v>185</v>
      </c>
      <c r="B345" s="136" t="s">
        <v>402</v>
      </c>
      <c r="C345" s="35" t="s">
        <v>413</v>
      </c>
      <c r="D345" s="138" t="s">
        <v>24</v>
      </c>
      <c r="E345" s="139">
        <v>24.7</v>
      </c>
      <c r="F345" s="83"/>
      <c r="G345" s="140">
        <f>E345*F345</f>
        <v>0</v>
      </c>
      <c r="H345" s="119" t="s">
        <v>212</v>
      </c>
      <c r="I345" s="125"/>
    </row>
    <row r="346" spans="1:8" ht="38.25">
      <c r="A346" s="133">
        <f>A341+1</f>
        <v>186</v>
      </c>
      <c r="B346" s="76"/>
      <c r="C346" s="35" t="s">
        <v>414</v>
      </c>
      <c r="D346" s="138" t="s">
        <v>24</v>
      </c>
      <c r="E346" s="139">
        <f>+E345</f>
        <v>24.7</v>
      </c>
      <c r="F346" s="83"/>
      <c r="G346" s="140">
        <f>E346*F346</f>
        <v>0</v>
      </c>
      <c r="H346" s="119" t="s">
        <v>212</v>
      </c>
    </row>
    <row r="347" spans="1:8" ht="25.5">
      <c r="A347" s="133">
        <f>A342+1</f>
        <v>187</v>
      </c>
      <c r="B347" s="76"/>
      <c r="C347" s="35" t="s">
        <v>415</v>
      </c>
      <c r="D347" s="138" t="s">
        <v>24</v>
      </c>
      <c r="E347" s="139">
        <f>+E372</f>
        <v>5.7</v>
      </c>
      <c r="F347" s="83"/>
      <c r="G347" s="140">
        <f>E347*F347</f>
        <v>0</v>
      </c>
      <c r="H347" s="119" t="s">
        <v>212</v>
      </c>
    </row>
    <row r="348" spans="1:8" ht="25.5">
      <c r="A348" s="133">
        <f>A343+1</f>
        <v>188</v>
      </c>
      <c r="B348" s="76"/>
      <c r="C348" s="35" t="s">
        <v>416</v>
      </c>
      <c r="D348" s="138" t="s">
        <v>24</v>
      </c>
      <c r="E348" s="139">
        <f>+E346</f>
        <v>24.7</v>
      </c>
      <c r="F348" s="83"/>
      <c r="G348" s="140">
        <f>E348*F348</f>
        <v>0</v>
      </c>
      <c r="H348" s="121" t="s">
        <v>212</v>
      </c>
    </row>
    <row r="349" spans="1:8" ht="12.75">
      <c r="A349" s="28">
        <f>A344+1</f>
        <v>189</v>
      </c>
      <c r="B349" s="29" t="s">
        <v>375</v>
      </c>
      <c r="C349" s="35" t="s">
        <v>363</v>
      </c>
      <c r="D349" s="36" t="s">
        <v>23</v>
      </c>
      <c r="E349" s="37">
        <f>+E342+E343</f>
        <v>3</v>
      </c>
      <c r="F349" s="83"/>
      <c r="G349" s="38">
        <f t="shared" si="19"/>
        <v>0</v>
      </c>
      <c r="H349" s="121" t="s">
        <v>212</v>
      </c>
    </row>
    <row r="350" spans="1:8" ht="12.75">
      <c r="A350" s="28">
        <f t="shared" si="22"/>
        <v>190</v>
      </c>
      <c r="B350" s="29" t="s">
        <v>376</v>
      </c>
      <c r="C350" s="35" t="s">
        <v>364</v>
      </c>
      <c r="D350" s="36" t="s">
        <v>23</v>
      </c>
      <c r="E350" s="37">
        <v>3</v>
      </c>
      <c r="F350" s="83"/>
      <c r="G350" s="38">
        <f t="shared" si="19"/>
        <v>0</v>
      </c>
      <c r="H350" s="121" t="s">
        <v>212</v>
      </c>
    </row>
    <row r="351" spans="1:9" ht="12.75">
      <c r="A351" s="133">
        <f>A344+1</f>
        <v>189</v>
      </c>
      <c r="B351" s="136"/>
      <c r="C351" s="35" t="s">
        <v>400</v>
      </c>
      <c r="D351" s="138" t="s">
        <v>20</v>
      </c>
      <c r="E351" s="139">
        <v>1</v>
      </c>
      <c r="F351" s="83"/>
      <c r="G351" s="140">
        <f>E351*F351</f>
        <v>0</v>
      </c>
      <c r="H351" s="119" t="s">
        <v>212</v>
      </c>
      <c r="I351" s="125"/>
    </row>
    <row r="352" spans="1:9" ht="25.5">
      <c r="A352" s="133"/>
      <c r="B352" s="136"/>
      <c r="C352" s="35" t="s">
        <v>417</v>
      </c>
      <c r="D352" s="138" t="s">
        <v>20</v>
      </c>
      <c r="E352" s="139">
        <v>1</v>
      </c>
      <c r="F352" s="83"/>
      <c r="G352" s="140">
        <f>E352*F352</f>
        <v>0</v>
      </c>
      <c r="H352" s="119" t="s">
        <v>212</v>
      </c>
      <c r="I352" s="125"/>
    </row>
    <row r="353" spans="1:9" ht="12.75">
      <c r="A353" s="133">
        <f>A351+1</f>
        <v>190</v>
      </c>
      <c r="B353" s="136"/>
      <c r="C353" s="35" t="s">
        <v>401</v>
      </c>
      <c r="D353" s="138" t="s">
        <v>20</v>
      </c>
      <c r="E353" s="139">
        <v>1</v>
      </c>
      <c r="F353" s="83"/>
      <c r="G353" s="140">
        <f>E353*F353</f>
        <v>0</v>
      </c>
      <c r="H353" s="119" t="s">
        <v>212</v>
      </c>
      <c r="I353" s="125"/>
    </row>
    <row r="354" spans="1:8" ht="12.75">
      <c r="A354" s="28">
        <f>A350+1</f>
        <v>191</v>
      </c>
      <c r="B354" s="29"/>
      <c r="C354" s="35" t="s">
        <v>121</v>
      </c>
      <c r="D354" s="36" t="s">
        <v>23</v>
      </c>
      <c r="E354" s="37">
        <v>1</v>
      </c>
      <c r="F354" s="83"/>
      <c r="G354" s="38">
        <f t="shared" si="19"/>
        <v>0</v>
      </c>
      <c r="H354" s="121" t="s">
        <v>218</v>
      </c>
    </row>
    <row r="355" spans="1:8" ht="25.5">
      <c r="A355" s="28">
        <f>A354+1</f>
        <v>192</v>
      </c>
      <c r="B355" s="76" t="s">
        <v>32</v>
      </c>
      <c r="C355" s="77" t="s">
        <v>418</v>
      </c>
      <c r="D355" s="78" t="s">
        <v>23</v>
      </c>
      <c r="E355" s="79">
        <v>1</v>
      </c>
      <c r="F355" s="84"/>
      <c r="G355" s="80">
        <f t="shared" si="19"/>
        <v>0</v>
      </c>
      <c r="H355" s="121" t="s">
        <v>218</v>
      </c>
    </row>
    <row r="356" spans="1:8" ht="12.75">
      <c r="A356" s="28">
        <f>A355+1</f>
        <v>193</v>
      </c>
      <c r="B356" s="76" t="s">
        <v>32</v>
      </c>
      <c r="C356" s="77" t="s">
        <v>419</v>
      </c>
      <c r="D356" s="78" t="s">
        <v>23</v>
      </c>
      <c r="E356" s="79">
        <v>1</v>
      </c>
      <c r="F356" s="84"/>
      <c r="G356" s="80">
        <f t="shared" si="19"/>
        <v>0</v>
      </c>
      <c r="H356" s="121" t="s">
        <v>218</v>
      </c>
    </row>
    <row r="357" spans="1:10" ht="25.5">
      <c r="A357" s="28">
        <f>A356+1</f>
        <v>194</v>
      </c>
      <c r="B357" s="76"/>
      <c r="C357" s="77" t="s">
        <v>420</v>
      </c>
      <c r="D357" s="78" t="s">
        <v>23</v>
      </c>
      <c r="E357" s="79">
        <v>1</v>
      </c>
      <c r="F357" s="84"/>
      <c r="G357" s="80">
        <f t="shared" si="19"/>
        <v>0</v>
      </c>
      <c r="H357" s="121" t="s">
        <v>218</v>
      </c>
      <c r="J357" s="130"/>
    </row>
    <row r="358" spans="1:8" ht="13.5" thickBot="1">
      <c r="A358" s="28">
        <f>A357+1</f>
        <v>195</v>
      </c>
      <c r="B358" s="29"/>
      <c r="C358" s="35" t="s">
        <v>48</v>
      </c>
      <c r="D358" s="32" t="s">
        <v>29</v>
      </c>
      <c r="E358" s="37">
        <f>SUM(G336:G348,G351:G357)</f>
        <v>0</v>
      </c>
      <c r="F358" s="85"/>
      <c r="G358" s="30">
        <f t="shared" si="19"/>
        <v>0</v>
      </c>
      <c r="H358" s="121" t="s">
        <v>218</v>
      </c>
    </row>
    <row r="359" spans="1:7" ht="13.5" thickBot="1">
      <c r="A359" s="28"/>
      <c r="B359" s="29"/>
      <c r="C359" s="46" t="s">
        <v>22</v>
      </c>
      <c r="D359" s="47"/>
      <c r="E359" s="48"/>
      <c r="F359" s="48"/>
      <c r="G359" s="45">
        <f>SUM(G334:G358)</f>
        <v>0</v>
      </c>
    </row>
    <row r="360" spans="1:10" ht="12.75">
      <c r="A360" s="28"/>
      <c r="B360" s="29"/>
      <c r="C360" s="13"/>
      <c r="D360" s="14"/>
      <c r="E360" s="20"/>
      <c r="F360" s="20"/>
      <c r="G360" s="15"/>
      <c r="H360" s="121"/>
      <c r="J360" s="7" t="s">
        <v>248</v>
      </c>
    </row>
    <row r="361" spans="1:8" ht="16.5">
      <c r="A361" s="28"/>
      <c r="B361" s="71" t="s">
        <v>119</v>
      </c>
      <c r="C361" s="225" t="s">
        <v>47</v>
      </c>
      <c r="D361" s="225"/>
      <c r="E361" s="225"/>
      <c r="F361" s="225"/>
      <c r="G361" s="225"/>
      <c r="H361" s="121"/>
    </row>
    <row r="362" spans="1:8" ht="66.75" customHeight="1">
      <c r="A362" s="28"/>
      <c r="B362" s="63"/>
      <c r="C362" s="222" t="s">
        <v>99</v>
      </c>
      <c r="D362" s="223"/>
      <c r="E362" s="223"/>
      <c r="F362" s="223"/>
      <c r="G362" s="223"/>
      <c r="H362" s="121"/>
    </row>
    <row r="363" spans="1:8" ht="12.75">
      <c r="A363" s="28">
        <f>A358+1</f>
        <v>196</v>
      </c>
      <c r="B363" s="29" t="s">
        <v>251</v>
      </c>
      <c r="C363" s="35" t="s">
        <v>311</v>
      </c>
      <c r="D363" s="36" t="s">
        <v>35</v>
      </c>
      <c r="E363" s="37">
        <f>2.25*2.3</f>
        <v>5.175</v>
      </c>
      <c r="F363" s="83"/>
      <c r="G363" s="38">
        <f>E363*F363</f>
        <v>0</v>
      </c>
      <c r="H363" s="121" t="s">
        <v>218</v>
      </c>
    </row>
    <row r="364" spans="1:8" ht="12.75">
      <c r="A364" s="28">
        <f>A363+1</f>
        <v>197</v>
      </c>
      <c r="B364" s="76" t="s">
        <v>32</v>
      </c>
      <c r="C364" s="77" t="s">
        <v>312</v>
      </c>
      <c r="D364" s="78" t="s">
        <v>35</v>
      </c>
      <c r="E364" s="79">
        <f>+E363*1.1</f>
        <v>5.6925</v>
      </c>
      <c r="F364" s="100"/>
      <c r="G364" s="80">
        <f>E364*F364</f>
        <v>0</v>
      </c>
      <c r="H364" s="121" t="s">
        <v>218</v>
      </c>
    </row>
    <row r="365" spans="1:8" ht="12.75">
      <c r="A365" s="28">
        <f>A364+1</f>
        <v>198</v>
      </c>
      <c r="B365" s="76"/>
      <c r="C365" s="35" t="s">
        <v>361</v>
      </c>
      <c r="D365" s="36" t="s">
        <v>23</v>
      </c>
      <c r="E365" s="37">
        <v>1</v>
      </c>
      <c r="F365" s="83"/>
      <c r="G365" s="38">
        <f>E365*F365</f>
        <v>0</v>
      </c>
      <c r="H365" s="121" t="s">
        <v>212</v>
      </c>
    </row>
    <row r="366" spans="1:8" ht="25.5">
      <c r="A366" s="28">
        <f>A365+1</f>
        <v>199</v>
      </c>
      <c r="B366" s="76"/>
      <c r="C366" s="77" t="s">
        <v>362</v>
      </c>
      <c r="D366" s="78" t="s">
        <v>23</v>
      </c>
      <c r="E366" s="79">
        <v>1</v>
      </c>
      <c r="F366" s="100"/>
      <c r="G366" s="80">
        <f>E366*F366</f>
        <v>0</v>
      </c>
      <c r="H366" s="121" t="s">
        <v>212</v>
      </c>
    </row>
    <row r="367" spans="1:8" ht="13.5" thickBot="1">
      <c r="A367" s="28">
        <f>A366+1</f>
        <v>200</v>
      </c>
      <c r="B367" s="29"/>
      <c r="C367" s="35" t="s">
        <v>48</v>
      </c>
      <c r="D367" s="32" t="s">
        <v>29</v>
      </c>
      <c r="E367" s="37">
        <f>G364+G366</f>
        <v>0</v>
      </c>
      <c r="F367" s="85"/>
      <c r="G367" s="30">
        <f>E367*F367</f>
        <v>0</v>
      </c>
      <c r="H367" s="121" t="s">
        <v>218</v>
      </c>
    </row>
    <row r="368" spans="1:7" ht="13.5" thickBot="1">
      <c r="A368" s="28"/>
      <c r="B368" s="29"/>
      <c r="C368" s="46" t="s">
        <v>22</v>
      </c>
      <c r="D368" s="47"/>
      <c r="E368" s="48"/>
      <c r="F368" s="48"/>
      <c r="G368" s="45">
        <f>SUBTOTAL(9,G363:G367)</f>
        <v>0</v>
      </c>
    </row>
    <row r="369" spans="1:7" ht="12.75">
      <c r="A369" s="28"/>
      <c r="B369" s="29"/>
      <c r="C369" s="13"/>
      <c r="D369" s="14"/>
      <c r="E369" s="20"/>
      <c r="F369" s="20"/>
      <c r="G369" s="15"/>
    </row>
    <row r="370" spans="1:7" ht="16.5">
      <c r="A370" s="133"/>
      <c r="B370" s="134" t="s">
        <v>225</v>
      </c>
      <c r="C370" s="221" t="s">
        <v>404</v>
      </c>
      <c r="D370" s="221"/>
      <c r="E370" s="221"/>
      <c r="F370" s="221"/>
      <c r="G370" s="221"/>
    </row>
    <row r="371" spans="1:7" ht="31.5" customHeight="1">
      <c r="A371" s="133"/>
      <c r="B371" s="135"/>
      <c r="C371" s="230" t="s">
        <v>405</v>
      </c>
      <c r="D371" s="231"/>
      <c r="E371" s="231"/>
      <c r="F371" s="231"/>
      <c r="G371" s="232"/>
    </row>
    <row r="372" spans="1:9" ht="38.25">
      <c r="A372" s="133">
        <f>A367+1</f>
        <v>201</v>
      </c>
      <c r="B372" s="136" t="s">
        <v>406</v>
      </c>
      <c r="C372" s="141" t="s">
        <v>421</v>
      </c>
      <c r="D372" s="138" t="s">
        <v>24</v>
      </c>
      <c r="E372" s="139">
        <v>5.7</v>
      </c>
      <c r="F372" s="83"/>
      <c r="G372" s="140">
        <f>E372*F372</f>
        <v>0</v>
      </c>
      <c r="H372" s="119" t="s">
        <v>212</v>
      </c>
      <c r="I372" s="125"/>
    </row>
    <row r="373" spans="1:9" ht="13.5" thickBot="1">
      <c r="A373" s="133">
        <f>A372+1</f>
        <v>202</v>
      </c>
      <c r="B373" s="136"/>
      <c r="C373" s="141" t="s">
        <v>48</v>
      </c>
      <c r="D373" s="142" t="s">
        <v>29</v>
      </c>
      <c r="E373" s="139">
        <f>+G372</f>
        <v>0</v>
      </c>
      <c r="F373" s="163"/>
      <c r="G373" s="143">
        <f>E373*F373</f>
        <v>0</v>
      </c>
      <c r="H373" s="119" t="s">
        <v>212</v>
      </c>
      <c r="I373" s="125"/>
    </row>
    <row r="374" spans="1:7" ht="13.5" thickBot="1">
      <c r="A374" s="133"/>
      <c r="B374" s="136"/>
      <c r="C374" s="46" t="s">
        <v>22</v>
      </c>
      <c r="D374" s="47"/>
      <c r="E374" s="144"/>
      <c r="F374" s="144"/>
      <c r="G374" s="45">
        <f>SUBTOTAL(9,G372:G373)</f>
        <v>0</v>
      </c>
    </row>
    <row r="375" spans="1:8" ht="12.75">
      <c r="A375" s="28"/>
      <c r="B375" s="29"/>
      <c r="C375" s="13"/>
      <c r="D375" s="14"/>
      <c r="E375" s="20"/>
      <c r="F375" s="20"/>
      <c r="G375" s="15"/>
      <c r="H375" s="121"/>
    </row>
    <row r="376" spans="1:8" ht="16.5">
      <c r="A376" s="28"/>
      <c r="B376" s="71" t="s">
        <v>385</v>
      </c>
      <c r="C376" s="225" t="s">
        <v>68</v>
      </c>
      <c r="D376" s="225"/>
      <c r="E376" s="225"/>
      <c r="F376" s="225"/>
      <c r="G376" s="225"/>
      <c r="H376" s="121"/>
    </row>
    <row r="377" spans="1:8" ht="52.5" customHeight="1">
      <c r="A377" s="28"/>
      <c r="B377" s="63"/>
      <c r="C377" s="222" t="s">
        <v>79</v>
      </c>
      <c r="D377" s="223"/>
      <c r="E377" s="223"/>
      <c r="F377" s="223"/>
      <c r="G377" s="223"/>
      <c r="H377" s="121"/>
    </row>
    <row r="378" spans="1:8" ht="12.75">
      <c r="A378" s="28">
        <f>A373+1</f>
        <v>203</v>
      </c>
      <c r="B378" s="76" t="s">
        <v>314</v>
      </c>
      <c r="C378" s="77" t="s">
        <v>367</v>
      </c>
      <c r="D378" s="78" t="s">
        <v>21</v>
      </c>
      <c r="E378" s="79">
        <f>6.2+2+5.2</f>
        <v>13.399999999999999</v>
      </c>
      <c r="F378" s="84"/>
      <c r="G378" s="80">
        <f aca="true" t="shared" si="23" ref="G378:G396">E378*F378</f>
        <v>0</v>
      </c>
      <c r="H378" s="121" t="s">
        <v>218</v>
      </c>
    </row>
    <row r="379" spans="1:8" ht="38.25">
      <c r="A379" s="28">
        <f aca="true" t="shared" si="24" ref="A379:A387">A378+1</f>
        <v>204</v>
      </c>
      <c r="B379" s="29" t="s">
        <v>315</v>
      </c>
      <c r="C379" s="35" t="s">
        <v>368</v>
      </c>
      <c r="D379" s="36" t="s">
        <v>21</v>
      </c>
      <c r="E379" s="37">
        <f>+E378</f>
        <v>13.399999999999999</v>
      </c>
      <c r="F379" s="83"/>
      <c r="G379" s="38">
        <f t="shared" si="23"/>
        <v>0</v>
      </c>
      <c r="H379" s="121" t="s">
        <v>218</v>
      </c>
    </row>
    <row r="380" spans="1:8" ht="25.5">
      <c r="A380" s="28">
        <f t="shared" si="24"/>
        <v>205</v>
      </c>
      <c r="B380" s="29" t="s">
        <v>316</v>
      </c>
      <c r="C380" s="35" t="s">
        <v>369</v>
      </c>
      <c r="D380" s="36" t="s">
        <v>220</v>
      </c>
      <c r="E380" s="37">
        <f>+E379*0.055</f>
        <v>0.7369999999999999</v>
      </c>
      <c r="F380" s="83"/>
      <c r="G380" s="38">
        <f t="shared" si="23"/>
        <v>0</v>
      </c>
      <c r="H380" s="121" t="s">
        <v>218</v>
      </c>
    </row>
    <row r="381" spans="1:8" ht="25.5">
      <c r="A381" s="28">
        <f t="shared" si="24"/>
        <v>206</v>
      </c>
      <c r="B381" s="29" t="s">
        <v>316</v>
      </c>
      <c r="C381" s="35" t="s">
        <v>259</v>
      </c>
      <c r="D381" s="36" t="s">
        <v>220</v>
      </c>
      <c r="E381" s="37">
        <f>+E380</f>
        <v>0.7369999999999999</v>
      </c>
      <c r="F381" s="83"/>
      <c r="G381" s="38">
        <f t="shared" si="23"/>
        <v>0</v>
      </c>
      <c r="H381" s="121" t="s">
        <v>218</v>
      </c>
    </row>
    <row r="382" spans="1:8" ht="12.75">
      <c r="A382" s="28">
        <f t="shared" si="24"/>
        <v>207</v>
      </c>
      <c r="B382" s="29" t="s">
        <v>316</v>
      </c>
      <c r="C382" s="35" t="s">
        <v>260</v>
      </c>
      <c r="D382" s="36" t="s">
        <v>25</v>
      </c>
      <c r="E382" s="37">
        <f>2*E379*1.2/1000</f>
        <v>0.032159999999999994</v>
      </c>
      <c r="F382" s="83"/>
      <c r="G382" s="38">
        <f t="shared" si="23"/>
        <v>0</v>
      </c>
      <c r="H382" s="121" t="s">
        <v>218</v>
      </c>
    </row>
    <row r="383" spans="1:8" ht="12.75">
      <c r="A383" s="28">
        <f t="shared" si="24"/>
        <v>208</v>
      </c>
      <c r="B383" s="29" t="s">
        <v>316</v>
      </c>
      <c r="C383" s="35" t="s">
        <v>261</v>
      </c>
      <c r="D383" s="36" t="s">
        <v>21</v>
      </c>
      <c r="E383" s="37">
        <f>1.1*E379</f>
        <v>14.74</v>
      </c>
      <c r="F383" s="83"/>
      <c r="G383" s="38">
        <f t="shared" si="23"/>
        <v>0</v>
      </c>
      <c r="H383" s="121" t="s">
        <v>218</v>
      </c>
    </row>
    <row r="384" spans="1:8" ht="12.75">
      <c r="A384" s="28">
        <f t="shared" si="24"/>
        <v>209</v>
      </c>
      <c r="B384" s="29" t="s">
        <v>316</v>
      </c>
      <c r="C384" s="35" t="s">
        <v>70</v>
      </c>
      <c r="D384" s="36" t="s">
        <v>21</v>
      </c>
      <c r="E384" s="37">
        <f>+E379</f>
        <v>13.399999999999999</v>
      </c>
      <c r="F384" s="83"/>
      <c r="G384" s="38">
        <f t="shared" si="23"/>
        <v>0</v>
      </c>
      <c r="H384" s="121" t="s">
        <v>212</v>
      </c>
    </row>
    <row r="385" spans="1:8" ht="25.5">
      <c r="A385" s="28">
        <f t="shared" si="24"/>
        <v>210</v>
      </c>
      <c r="B385" s="29" t="s">
        <v>222</v>
      </c>
      <c r="C385" s="35" t="s">
        <v>255</v>
      </c>
      <c r="D385" s="36" t="s">
        <v>21</v>
      </c>
      <c r="E385" s="37">
        <f>+E379</f>
        <v>13.399999999999999</v>
      </c>
      <c r="F385" s="83"/>
      <c r="G385" s="38">
        <f t="shared" si="23"/>
        <v>0</v>
      </c>
      <c r="H385" s="121" t="s">
        <v>212</v>
      </c>
    </row>
    <row r="386" spans="1:8" ht="25.5">
      <c r="A386" s="28">
        <f t="shared" si="24"/>
        <v>211</v>
      </c>
      <c r="B386" s="76" t="s">
        <v>96</v>
      </c>
      <c r="C386" s="77" t="s">
        <v>221</v>
      </c>
      <c r="D386" s="78" t="s">
        <v>21</v>
      </c>
      <c r="E386" s="79">
        <f>(6.2+2)*1.1</f>
        <v>9.02</v>
      </c>
      <c r="F386" s="84"/>
      <c r="G386" s="80">
        <f t="shared" si="23"/>
        <v>0</v>
      </c>
      <c r="H386" s="121" t="s">
        <v>212</v>
      </c>
    </row>
    <row r="387" spans="1:8" ht="25.5">
      <c r="A387" s="28">
        <f t="shared" si="24"/>
        <v>212</v>
      </c>
      <c r="B387" s="76" t="s">
        <v>74</v>
      </c>
      <c r="C387" s="77" t="s">
        <v>221</v>
      </c>
      <c r="D387" s="78" t="s">
        <v>21</v>
      </c>
      <c r="E387" s="79">
        <f>(5.2)*1.1</f>
        <v>5.720000000000001</v>
      </c>
      <c r="F387" s="84"/>
      <c r="G387" s="80">
        <f t="shared" si="23"/>
        <v>0</v>
      </c>
      <c r="H387" s="121" t="s">
        <v>212</v>
      </c>
    </row>
    <row r="388" spans="1:8" ht="25.5">
      <c r="A388" s="28">
        <f aca="true" t="shared" si="25" ref="A388:A396">A387+1</f>
        <v>213</v>
      </c>
      <c r="B388" s="29" t="s">
        <v>256</v>
      </c>
      <c r="C388" s="35" t="s">
        <v>235</v>
      </c>
      <c r="D388" s="36" t="s">
        <v>21</v>
      </c>
      <c r="E388" s="37">
        <f>+E385</f>
        <v>13.399999999999999</v>
      </c>
      <c r="F388" s="83"/>
      <c r="G388" s="38">
        <f t="shared" si="23"/>
        <v>0</v>
      </c>
      <c r="H388" s="121" t="s">
        <v>212</v>
      </c>
    </row>
    <row r="389" spans="1:8" ht="25.5">
      <c r="A389" s="28">
        <f t="shared" si="25"/>
        <v>214</v>
      </c>
      <c r="B389" s="29" t="s">
        <v>98</v>
      </c>
      <c r="C389" s="35" t="s">
        <v>228</v>
      </c>
      <c r="D389" s="36" t="s">
        <v>24</v>
      </c>
      <c r="E389" s="37">
        <f>10.27-3*0.9-2*0.7</f>
        <v>6.17</v>
      </c>
      <c r="F389" s="83"/>
      <c r="G389" s="38">
        <f t="shared" si="23"/>
        <v>0</v>
      </c>
      <c r="H389" s="121" t="s">
        <v>212</v>
      </c>
    </row>
    <row r="390" spans="1:8" ht="12.75">
      <c r="A390" s="28">
        <f t="shared" si="25"/>
        <v>215</v>
      </c>
      <c r="B390" s="29" t="s">
        <v>98</v>
      </c>
      <c r="C390" s="35" t="s">
        <v>193</v>
      </c>
      <c r="D390" s="36" t="s">
        <v>24</v>
      </c>
      <c r="E390" s="37">
        <f>+E389</f>
        <v>6.17</v>
      </c>
      <c r="F390" s="83"/>
      <c r="G390" s="38">
        <f t="shared" si="23"/>
        <v>0</v>
      </c>
      <c r="H390" s="121" t="s">
        <v>212</v>
      </c>
    </row>
    <row r="391" spans="1:8" ht="25.5">
      <c r="A391" s="28">
        <f t="shared" si="25"/>
        <v>216</v>
      </c>
      <c r="B391" s="76" t="s">
        <v>97</v>
      </c>
      <c r="C391" s="77" t="s">
        <v>227</v>
      </c>
      <c r="D391" s="78" t="s">
        <v>23</v>
      </c>
      <c r="E391" s="79">
        <v>19</v>
      </c>
      <c r="F391" s="84"/>
      <c r="G391" s="80">
        <f t="shared" si="23"/>
        <v>0</v>
      </c>
      <c r="H391" s="121" t="s">
        <v>212</v>
      </c>
    </row>
    <row r="392" spans="1:8" ht="25.5">
      <c r="A392" s="28">
        <f t="shared" si="25"/>
        <v>217</v>
      </c>
      <c r="B392" s="29" t="s">
        <v>73</v>
      </c>
      <c r="C392" s="35" t="s">
        <v>72</v>
      </c>
      <c r="D392" s="36" t="s">
        <v>21</v>
      </c>
      <c r="E392" s="37">
        <v>5.2</v>
      </c>
      <c r="F392" s="83"/>
      <c r="G392" s="38">
        <f t="shared" si="23"/>
        <v>0</v>
      </c>
      <c r="H392" s="121" t="s">
        <v>212</v>
      </c>
    </row>
    <row r="393" spans="1:8" ht="12.75">
      <c r="A393" s="28">
        <f t="shared" si="25"/>
        <v>218</v>
      </c>
      <c r="B393" s="76" t="s">
        <v>74</v>
      </c>
      <c r="C393" s="77" t="s">
        <v>75</v>
      </c>
      <c r="D393" s="78" t="s">
        <v>35</v>
      </c>
      <c r="E393" s="79">
        <f>1.2*E392</f>
        <v>6.24</v>
      </c>
      <c r="F393" s="84"/>
      <c r="G393" s="80">
        <f t="shared" si="23"/>
        <v>0</v>
      </c>
      <c r="H393" s="121" t="s">
        <v>212</v>
      </c>
    </row>
    <row r="394" spans="1:8" ht="25.5">
      <c r="A394" s="28">
        <f t="shared" si="25"/>
        <v>219</v>
      </c>
      <c r="B394" s="76" t="s">
        <v>74</v>
      </c>
      <c r="C394" s="77" t="s">
        <v>234</v>
      </c>
      <c r="D394" s="78" t="s">
        <v>24</v>
      </c>
      <c r="E394" s="79">
        <f>5.2-0.8</f>
        <v>4.4</v>
      </c>
      <c r="F394" s="84"/>
      <c r="G394" s="80">
        <f t="shared" si="23"/>
        <v>0</v>
      </c>
      <c r="H394" s="121" t="s">
        <v>212</v>
      </c>
    </row>
    <row r="395" spans="1:8" ht="25.5">
      <c r="A395" s="28">
        <f t="shared" si="25"/>
        <v>220</v>
      </c>
      <c r="B395" s="29" t="s">
        <v>39</v>
      </c>
      <c r="C395" s="35" t="s">
        <v>257</v>
      </c>
      <c r="D395" s="36" t="s">
        <v>20</v>
      </c>
      <c r="E395" s="37">
        <v>1</v>
      </c>
      <c r="F395" s="83"/>
      <c r="G395" s="38">
        <f t="shared" si="23"/>
        <v>0</v>
      </c>
      <c r="H395" s="121" t="s">
        <v>212</v>
      </c>
    </row>
    <row r="396" spans="1:8" ht="13.5" thickBot="1">
      <c r="A396" s="28">
        <f t="shared" si="25"/>
        <v>221</v>
      </c>
      <c r="B396" s="29"/>
      <c r="C396" s="35" t="s">
        <v>48</v>
      </c>
      <c r="D396" s="32" t="s">
        <v>29</v>
      </c>
      <c r="E396" s="37">
        <f>+G378+G380+G382+G383+G384+G386+G387+G388+G391+G393+G394+G395</f>
        <v>0</v>
      </c>
      <c r="F396" s="85"/>
      <c r="G396" s="30">
        <f t="shared" si="23"/>
        <v>0</v>
      </c>
      <c r="H396" s="121" t="s">
        <v>212</v>
      </c>
    </row>
    <row r="397" spans="1:7" ht="13.5" thickBot="1">
      <c r="A397" s="28"/>
      <c r="B397" s="29"/>
      <c r="C397" s="46" t="s">
        <v>22</v>
      </c>
      <c r="D397" s="47"/>
      <c r="E397" s="48"/>
      <c r="F397" s="48"/>
      <c r="G397" s="45">
        <f>SUBTOTAL(9,G378:G396)</f>
        <v>0</v>
      </c>
    </row>
    <row r="398" spans="1:8" ht="12.75">
      <c r="A398" s="28"/>
      <c r="B398" s="29"/>
      <c r="C398" s="13"/>
      <c r="D398" s="14"/>
      <c r="E398" s="20"/>
      <c r="F398" s="20"/>
      <c r="G398" s="15"/>
      <c r="H398" s="121"/>
    </row>
    <row r="399" spans="1:8" ht="16.5">
      <c r="A399" s="28"/>
      <c r="B399" s="71" t="s">
        <v>403</v>
      </c>
      <c r="C399" s="225" t="s">
        <v>370</v>
      </c>
      <c r="D399" s="225"/>
      <c r="E399" s="225"/>
      <c r="F399" s="225"/>
      <c r="G399" s="225"/>
      <c r="H399" s="121"/>
    </row>
    <row r="400" spans="1:8" ht="52.5" customHeight="1">
      <c r="A400" s="28"/>
      <c r="B400" s="63"/>
      <c r="C400" s="226" t="s">
        <v>69</v>
      </c>
      <c r="D400" s="223"/>
      <c r="E400" s="223"/>
      <c r="F400" s="223"/>
      <c r="G400" s="223"/>
      <c r="H400" s="121"/>
    </row>
    <row r="401" spans="1:8" ht="12.75">
      <c r="A401" s="28">
        <f>A396+1</f>
        <v>222</v>
      </c>
      <c r="B401" s="76" t="s">
        <v>484</v>
      </c>
      <c r="C401" s="77" t="s">
        <v>367</v>
      </c>
      <c r="D401" s="78" t="s">
        <v>21</v>
      </c>
      <c r="E401" s="79">
        <f>14.6+22.6+10.8</f>
        <v>48</v>
      </c>
      <c r="F401" s="84"/>
      <c r="G401" s="80">
        <f aca="true" t="shared" si="26" ref="G401:G407">E401*F401</f>
        <v>0</v>
      </c>
      <c r="H401" s="121" t="s">
        <v>212</v>
      </c>
    </row>
    <row r="402" spans="1:8" ht="41.25" customHeight="1">
      <c r="A402" s="28">
        <f aca="true" t="shared" si="27" ref="A402:A414">A401+1</f>
        <v>223</v>
      </c>
      <c r="B402" s="29" t="s">
        <v>485</v>
      </c>
      <c r="C402" s="35" t="s">
        <v>280</v>
      </c>
      <c r="D402" s="36" t="s">
        <v>21</v>
      </c>
      <c r="E402" s="37">
        <f>+E401</f>
        <v>48</v>
      </c>
      <c r="F402" s="83"/>
      <c r="G402" s="38">
        <f t="shared" si="26"/>
        <v>0</v>
      </c>
      <c r="H402" s="121" t="s">
        <v>212</v>
      </c>
    </row>
    <row r="403" spans="1:8" ht="29.25" customHeight="1">
      <c r="A403" s="28">
        <f t="shared" si="27"/>
        <v>224</v>
      </c>
      <c r="B403" s="29"/>
      <c r="C403" s="35" t="s">
        <v>313</v>
      </c>
      <c r="D403" s="36" t="s">
        <v>220</v>
      </c>
      <c r="E403" s="37">
        <f>(14.6+22.6)*0.055+10.8*0.06</f>
        <v>2.6940000000000004</v>
      </c>
      <c r="F403" s="83"/>
      <c r="G403" s="38">
        <f t="shared" si="26"/>
        <v>0</v>
      </c>
      <c r="H403" s="121" t="s">
        <v>212</v>
      </c>
    </row>
    <row r="404" spans="1:8" ht="27" customHeight="1">
      <c r="A404" s="28">
        <f t="shared" si="27"/>
        <v>225</v>
      </c>
      <c r="B404" s="29"/>
      <c r="C404" s="35" t="s">
        <v>259</v>
      </c>
      <c r="D404" s="36" t="s">
        <v>220</v>
      </c>
      <c r="E404" s="37">
        <f>+E403</f>
        <v>2.6940000000000004</v>
      </c>
      <c r="F404" s="83"/>
      <c r="G404" s="38">
        <f t="shared" si="26"/>
        <v>0</v>
      </c>
      <c r="H404" s="121" t="s">
        <v>212</v>
      </c>
    </row>
    <row r="405" spans="1:8" ht="12.75" customHeight="1">
      <c r="A405" s="28">
        <f t="shared" si="27"/>
        <v>226</v>
      </c>
      <c r="B405" s="29"/>
      <c r="C405" s="35" t="s">
        <v>260</v>
      </c>
      <c r="D405" s="36" t="s">
        <v>25</v>
      </c>
      <c r="E405" s="37">
        <f>2*E402*1.2/1000</f>
        <v>0.11519999999999998</v>
      </c>
      <c r="F405" s="83"/>
      <c r="G405" s="38">
        <f t="shared" si="26"/>
        <v>0</v>
      </c>
      <c r="H405" s="121" t="s">
        <v>212</v>
      </c>
    </row>
    <row r="406" spans="1:8" ht="12.75">
      <c r="A406" s="28">
        <f t="shared" si="27"/>
        <v>227</v>
      </c>
      <c r="B406" s="29"/>
      <c r="C406" s="35" t="s">
        <v>261</v>
      </c>
      <c r="D406" s="36" t="s">
        <v>21</v>
      </c>
      <c r="E406" s="37">
        <f>+E402</f>
        <v>48</v>
      </c>
      <c r="F406" s="83"/>
      <c r="G406" s="38">
        <f t="shared" si="26"/>
        <v>0</v>
      </c>
      <c r="H406" s="121" t="s">
        <v>212</v>
      </c>
    </row>
    <row r="407" spans="1:8" ht="12.75">
      <c r="A407" s="28">
        <f t="shared" si="27"/>
        <v>228</v>
      </c>
      <c r="B407" s="29"/>
      <c r="C407" s="35" t="s">
        <v>70</v>
      </c>
      <c r="D407" s="36" t="s">
        <v>21</v>
      </c>
      <c r="E407" s="37">
        <f>+E406</f>
        <v>48</v>
      </c>
      <c r="F407" s="83"/>
      <c r="G407" s="38">
        <f t="shared" si="26"/>
        <v>0</v>
      </c>
      <c r="H407" s="121" t="s">
        <v>212</v>
      </c>
    </row>
    <row r="408" spans="1:8" ht="12.75">
      <c r="A408" s="28">
        <f t="shared" si="27"/>
        <v>229</v>
      </c>
      <c r="B408" s="76"/>
      <c r="C408" s="35" t="s">
        <v>262</v>
      </c>
      <c r="D408" s="35" t="s">
        <v>21</v>
      </c>
      <c r="E408" s="37">
        <f>14.6+22.6</f>
        <v>37.2</v>
      </c>
      <c r="F408" s="83"/>
      <c r="G408" s="38">
        <f aca="true" t="shared" si="28" ref="G408:G417">E408*F408</f>
        <v>0</v>
      </c>
      <c r="H408" s="119" t="s">
        <v>212</v>
      </c>
    </row>
    <row r="409" spans="1:8" ht="12.75">
      <c r="A409" s="28">
        <f t="shared" si="27"/>
        <v>230</v>
      </c>
      <c r="B409" s="76"/>
      <c r="C409" s="35" t="s">
        <v>263</v>
      </c>
      <c r="D409" s="35" t="s">
        <v>21</v>
      </c>
      <c r="E409" s="37">
        <f>+E408</f>
        <v>37.2</v>
      </c>
      <c r="F409" s="83"/>
      <c r="G409" s="38">
        <f t="shared" si="28"/>
        <v>0</v>
      </c>
      <c r="H409" s="121" t="s">
        <v>212</v>
      </c>
    </row>
    <row r="410" spans="1:8" ht="15" customHeight="1">
      <c r="A410" s="28">
        <f t="shared" si="27"/>
        <v>231</v>
      </c>
      <c r="B410" s="76"/>
      <c r="C410" s="77" t="s">
        <v>264</v>
      </c>
      <c r="D410" s="78" t="s">
        <v>21</v>
      </c>
      <c r="E410" s="79">
        <f>1.1*E408</f>
        <v>40.92000000000001</v>
      </c>
      <c r="F410" s="84"/>
      <c r="G410" s="80">
        <f t="shared" si="28"/>
        <v>0</v>
      </c>
      <c r="H410" s="119" t="s">
        <v>212</v>
      </c>
    </row>
    <row r="411" spans="1:8" ht="25.5">
      <c r="A411" s="28">
        <f t="shared" si="27"/>
        <v>232</v>
      </c>
      <c r="B411" s="29" t="s">
        <v>372</v>
      </c>
      <c r="C411" s="35" t="s">
        <v>373</v>
      </c>
      <c r="D411" s="35" t="s">
        <v>21</v>
      </c>
      <c r="E411" s="37">
        <v>10.8</v>
      </c>
      <c r="F411" s="83"/>
      <c r="G411" s="38">
        <f t="shared" si="28"/>
        <v>0</v>
      </c>
      <c r="H411" s="119" t="s">
        <v>212</v>
      </c>
    </row>
    <row r="412" spans="1:8" ht="15" customHeight="1">
      <c r="A412" s="28">
        <f t="shared" si="27"/>
        <v>233</v>
      </c>
      <c r="B412" s="76"/>
      <c r="C412" s="35" t="s">
        <v>371</v>
      </c>
      <c r="D412" s="35" t="s">
        <v>21</v>
      </c>
      <c r="E412" s="37">
        <v>10.8</v>
      </c>
      <c r="F412" s="83"/>
      <c r="G412" s="38">
        <f>E412*F412</f>
        <v>0</v>
      </c>
      <c r="H412" s="119" t="s">
        <v>212</v>
      </c>
    </row>
    <row r="413" spans="1:8" ht="25.5">
      <c r="A413" s="28">
        <f t="shared" si="27"/>
        <v>234</v>
      </c>
      <c r="B413" s="76"/>
      <c r="C413" s="77" t="s">
        <v>374</v>
      </c>
      <c r="D413" s="78" t="s">
        <v>21</v>
      </c>
      <c r="E413" s="79">
        <f>10.8*1.1</f>
        <v>11.880000000000003</v>
      </c>
      <c r="F413" s="84"/>
      <c r="G413" s="80">
        <f>E413*F413</f>
        <v>0</v>
      </c>
      <c r="H413" s="119" t="s">
        <v>212</v>
      </c>
    </row>
    <row r="414" spans="1:8" ht="12.75">
      <c r="A414" s="28">
        <f t="shared" si="27"/>
        <v>235</v>
      </c>
      <c r="B414" s="29" t="s">
        <v>205</v>
      </c>
      <c r="C414" s="35" t="s">
        <v>258</v>
      </c>
      <c r="D414" s="36" t="s">
        <v>24</v>
      </c>
      <c r="E414" s="37">
        <f>15.5-0.9+19.4-2*0.9-2*0.86+14.8-0.9-0.86</f>
        <v>43.52</v>
      </c>
      <c r="F414" s="83"/>
      <c r="G414" s="38">
        <f t="shared" si="28"/>
        <v>0</v>
      </c>
      <c r="H414" s="121" t="s">
        <v>212</v>
      </c>
    </row>
    <row r="415" spans="1:8" ht="12.75">
      <c r="A415" s="28">
        <f>A414+1</f>
        <v>236</v>
      </c>
      <c r="B415" s="76" t="s">
        <v>204</v>
      </c>
      <c r="C415" s="77" t="s">
        <v>194</v>
      </c>
      <c r="D415" s="78" t="s">
        <v>24</v>
      </c>
      <c r="E415" s="79">
        <f>+E414*1.1</f>
        <v>47.87200000000001</v>
      </c>
      <c r="F415" s="84"/>
      <c r="G415" s="80">
        <f t="shared" si="28"/>
        <v>0</v>
      </c>
      <c r="H415" s="121" t="s">
        <v>212</v>
      </c>
    </row>
    <row r="416" spans="1:8" ht="25.5">
      <c r="A416" s="28">
        <f>A415+1</f>
        <v>237</v>
      </c>
      <c r="B416" s="29" t="s">
        <v>265</v>
      </c>
      <c r="C416" s="35" t="s">
        <v>380</v>
      </c>
      <c r="D416" s="36" t="s">
        <v>24</v>
      </c>
      <c r="E416" s="37">
        <f>3*0.8</f>
        <v>2.4000000000000004</v>
      </c>
      <c r="F416" s="83"/>
      <c r="G416" s="38">
        <f t="shared" si="28"/>
        <v>0</v>
      </c>
      <c r="H416" s="121" t="s">
        <v>218</v>
      </c>
    </row>
    <row r="417" spans="1:8" ht="13.5" thickBot="1">
      <c r="A417" s="28">
        <f>A416+1</f>
        <v>238</v>
      </c>
      <c r="B417" s="29"/>
      <c r="C417" s="35" t="s">
        <v>48</v>
      </c>
      <c r="D417" s="32" t="s">
        <v>29</v>
      </c>
      <c r="E417" s="37">
        <f>+G401+G403+G405+G406+G407+G410+G415+G416+G413+G411</f>
        <v>0</v>
      </c>
      <c r="F417" s="85"/>
      <c r="G417" s="30">
        <f t="shared" si="28"/>
        <v>0</v>
      </c>
      <c r="H417" s="121" t="s">
        <v>212</v>
      </c>
    </row>
    <row r="418" spans="2:7" ht="13.5" thickBot="1">
      <c r="B418" s="29"/>
      <c r="C418" s="46" t="s">
        <v>22</v>
      </c>
      <c r="D418" s="47"/>
      <c r="E418" s="48"/>
      <c r="F418" s="48"/>
      <c r="G418" s="45">
        <f>SUBTOTAL(9,G401:G417)</f>
        <v>0</v>
      </c>
    </row>
    <row r="419" spans="2:7" ht="12.75">
      <c r="B419" s="29"/>
      <c r="C419" s="33"/>
      <c r="D419" s="32"/>
      <c r="E419" s="31"/>
      <c r="F419" s="30"/>
      <c r="G419" s="30"/>
    </row>
    <row r="420" spans="2:7" ht="16.5">
      <c r="B420" s="63">
        <v>3</v>
      </c>
      <c r="C420" s="225" t="s">
        <v>38</v>
      </c>
      <c r="D420" s="225"/>
      <c r="E420" s="225"/>
      <c r="F420" s="225"/>
      <c r="G420" s="225"/>
    </row>
    <row r="421" spans="1:8" ht="12.75">
      <c r="A421" s="28">
        <f>A417+1</f>
        <v>239</v>
      </c>
      <c r="B421" s="29" t="s">
        <v>266</v>
      </c>
      <c r="C421" s="35" t="s">
        <v>120</v>
      </c>
      <c r="D421" s="36" t="s">
        <v>23</v>
      </c>
      <c r="E421" s="37">
        <v>1</v>
      </c>
      <c r="F421" s="83"/>
      <c r="G421" s="38">
        <f>E421*F421</f>
        <v>0</v>
      </c>
      <c r="H421" s="121" t="s">
        <v>218</v>
      </c>
    </row>
    <row r="422" spans="1:8" ht="12.75">
      <c r="A422" s="28">
        <f aca="true" t="shared" si="29" ref="A422:A440">A421+1</f>
        <v>240</v>
      </c>
      <c r="B422" s="29"/>
      <c r="C422" s="35" t="s">
        <v>172</v>
      </c>
      <c r="D422" s="36" t="s">
        <v>20</v>
      </c>
      <c r="E422" s="37">
        <v>1</v>
      </c>
      <c r="F422" s="83"/>
      <c r="G422" s="38">
        <f>E422*F422</f>
        <v>0</v>
      </c>
      <c r="H422" s="121" t="s">
        <v>212</v>
      </c>
    </row>
    <row r="423" spans="1:8" ht="13.5" thickBot="1">
      <c r="A423" s="28">
        <f t="shared" si="29"/>
        <v>241</v>
      </c>
      <c r="B423" s="29"/>
      <c r="C423" s="35" t="s">
        <v>105</v>
      </c>
      <c r="D423" s="36" t="s">
        <v>20</v>
      </c>
      <c r="E423" s="37">
        <v>1</v>
      </c>
      <c r="F423" s="83"/>
      <c r="G423" s="38">
        <f>E423*F423</f>
        <v>0</v>
      </c>
      <c r="H423" s="121" t="s">
        <v>212</v>
      </c>
    </row>
    <row r="424" spans="1:8" ht="13.5" thickBot="1">
      <c r="A424" s="28"/>
      <c r="C424" s="46" t="s">
        <v>22</v>
      </c>
      <c r="D424" s="47"/>
      <c r="E424" s="48"/>
      <c r="F424" s="48"/>
      <c r="G424" s="49">
        <f>SUBTOTAL(9,G421:G423)</f>
        <v>0</v>
      </c>
      <c r="H424" s="121"/>
    </row>
    <row r="425" spans="1:8" ht="12.75">
      <c r="A425" s="28"/>
      <c r="C425" s="13"/>
      <c r="D425" s="14"/>
      <c r="E425" s="20"/>
      <c r="F425" s="20"/>
      <c r="G425" s="15"/>
      <c r="H425" s="121"/>
    </row>
    <row r="426" spans="1:8" ht="16.5">
      <c r="A426" s="28"/>
      <c r="B426" s="63">
        <v>4</v>
      </c>
      <c r="C426" s="225" t="s">
        <v>7</v>
      </c>
      <c r="D426" s="225"/>
      <c r="E426" s="225"/>
      <c r="F426" s="225"/>
      <c r="G426" s="225"/>
      <c r="H426" s="121"/>
    </row>
    <row r="427" spans="1:8" ht="12.75">
      <c r="A427" s="28">
        <f>A423+1</f>
        <v>242</v>
      </c>
      <c r="B427" s="29"/>
      <c r="C427" s="87"/>
      <c r="D427" s="88"/>
      <c r="E427" s="89">
        <v>0</v>
      </c>
      <c r="F427" s="83">
        <v>0</v>
      </c>
      <c r="G427" s="38">
        <f aca="true" t="shared" si="30" ref="G427:G440">E427*F427</f>
        <v>0</v>
      </c>
      <c r="H427" s="121"/>
    </row>
    <row r="428" spans="1:8" ht="12.75">
      <c r="A428" s="28">
        <f t="shared" si="29"/>
        <v>243</v>
      </c>
      <c r="B428" s="29"/>
      <c r="C428" s="87"/>
      <c r="D428" s="88"/>
      <c r="E428" s="89">
        <v>0</v>
      </c>
      <c r="F428" s="83">
        <v>0</v>
      </c>
      <c r="G428" s="38">
        <f t="shared" si="30"/>
        <v>0</v>
      </c>
      <c r="H428" s="121"/>
    </row>
    <row r="429" spans="1:8" ht="12.75">
      <c r="A429" s="28">
        <f t="shared" si="29"/>
        <v>244</v>
      </c>
      <c r="B429" s="29"/>
      <c r="C429" s="87"/>
      <c r="D429" s="88"/>
      <c r="E429" s="89">
        <v>0</v>
      </c>
      <c r="F429" s="83">
        <v>0</v>
      </c>
      <c r="G429" s="38">
        <f t="shared" si="30"/>
        <v>0</v>
      </c>
      <c r="H429" s="121"/>
    </row>
    <row r="430" spans="1:8" ht="12.75">
      <c r="A430" s="28">
        <f t="shared" si="29"/>
        <v>245</v>
      </c>
      <c r="B430" s="29"/>
      <c r="C430" s="87"/>
      <c r="D430" s="88"/>
      <c r="E430" s="89">
        <v>0</v>
      </c>
      <c r="F430" s="83">
        <v>0</v>
      </c>
      <c r="G430" s="38">
        <f t="shared" si="30"/>
        <v>0</v>
      </c>
      <c r="H430" s="121"/>
    </row>
    <row r="431" spans="1:8" ht="12.75">
      <c r="A431" s="28">
        <f t="shared" si="29"/>
        <v>246</v>
      </c>
      <c r="B431" s="29"/>
      <c r="C431" s="87"/>
      <c r="D431" s="88"/>
      <c r="E431" s="89">
        <v>0</v>
      </c>
      <c r="F431" s="83">
        <v>0</v>
      </c>
      <c r="G431" s="38">
        <f t="shared" si="30"/>
        <v>0</v>
      </c>
      <c r="H431" s="121"/>
    </row>
    <row r="432" spans="1:8" ht="12.75">
      <c r="A432" s="28">
        <f t="shared" si="29"/>
        <v>247</v>
      </c>
      <c r="B432" s="29"/>
      <c r="C432" s="87"/>
      <c r="D432" s="88"/>
      <c r="E432" s="89">
        <v>0</v>
      </c>
      <c r="F432" s="83">
        <v>0</v>
      </c>
      <c r="G432" s="38">
        <f t="shared" si="30"/>
        <v>0</v>
      </c>
      <c r="H432" s="121"/>
    </row>
    <row r="433" spans="1:8" ht="12.75">
      <c r="A433" s="28">
        <f t="shared" si="29"/>
        <v>248</v>
      </c>
      <c r="B433" s="29"/>
      <c r="C433" s="87"/>
      <c r="D433" s="88"/>
      <c r="E433" s="89">
        <v>0</v>
      </c>
      <c r="F433" s="83">
        <v>0</v>
      </c>
      <c r="G433" s="38">
        <f t="shared" si="30"/>
        <v>0</v>
      </c>
      <c r="H433" s="121"/>
    </row>
    <row r="434" spans="1:7" ht="12.75">
      <c r="A434" s="28">
        <f t="shared" si="29"/>
        <v>249</v>
      </c>
      <c r="B434" s="29"/>
      <c r="C434" s="87"/>
      <c r="D434" s="88"/>
      <c r="E434" s="89">
        <v>0</v>
      </c>
      <c r="F434" s="83">
        <v>0</v>
      </c>
      <c r="G434" s="38">
        <f t="shared" si="30"/>
        <v>0</v>
      </c>
    </row>
    <row r="435" spans="1:7" ht="12.75">
      <c r="A435" s="28">
        <f t="shared" si="29"/>
        <v>250</v>
      </c>
      <c r="B435" s="29"/>
      <c r="C435" s="87"/>
      <c r="D435" s="88"/>
      <c r="E435" s="89">
        <v>0</v>
      </c>
      <c r="F435" s="83">
        <v>0</v>
      </c>
      <c r="G435" s="38">
        <f t="shared" si="30"/>
        <v>0</v>
      </c>
    </row>
    <row r="436" spans="1:7" ht="12.75">
      <c r="A436" s="28">
        <f t="shared" si="29"/>
        <v>251</v>
      </c>
      <c r="B436" s="29"/>
      <c r="C436" s="87"/>
      <c r="D436" s="88"/>
      <c r="E436" s="89">
        <v>0</v>
      </c>
      <c r="F436" s="83">
        <v>0</v>
      </c>
      <c r="G436" s="38">
        <f t="shared" si="30"/>
        <v>0</v>
      </c>
    </row>
    <row r="437" spans="1:7" ht="12.75">
      <c r="A437" s="28">
        <f t="shared" si="29"/>
        <v>252</v>
      </c>
      <c r="B437" s="29"/>
      <c r="C437" s="87"/>
      <c r="D437" s="88"/>
      <c r="E437" s="89">
        <v>0</v>
      </c>
      <c r="F437" s="83">
        <v>0</v>
      </c>
      <c r="G437" s="38">
        <f t="shared" si="30"/>
        <v>0</v>
      </c>
    </row>
    <row r="438" spans="1:7" ht="12.75">
      <c r="A438" s="28">
        <f t="shared" si="29"/>
        <v>253</v>
      </c>
      <c r="B438" s="29"/>
      <c r="C438" s="87"/>
      <c r="D438" s="88"/>
      <c r="E438" s="89">
        <v>0</v>
      </c>
      <c r="F438" s="83">
        <v>0</v>
      </c>
      <c r="G438" s="38">
        <f t="shared" si="30"/>
        <v>0</v>
      </c>
    </row>
    <row r="439" spans="1:7" ht="12.75">
      <c r="A439" s="28">
        <f t="shared" si="29"/>
        <v>254</v>
      </c>
      <c r="B439" s="29"/>
      <c r="C439" s="87"/>
      <c r="D439" s="88"/>
      <c r="E439" s="89">
        <v>0</v>
      </c>
      <c r="F439" s="83">
        <v>0</v>
      </c>
      <c r="G439" s="38">
        <f t="shared" si="30"/>
        <v>0</v>
      </c>
    </row>
    <row r="440" spans="1:7" ht="13.5" thickBot="1">
      <c r="A440" s="28">
        <f t="shared" si="29"/>
        <v>255</v>
      </c>
      <c r="B440" s="29"/>
      <c r="C440" s="87"/>
      <c r="D440" s="88"/>
      <c r="E440" s="89">
        <v>0</v>
      </c>
      <c r="F440" s="83">
        <v>0</v>
      </c>
      <c r="G440" s="38">
        <f t="shared" si="30"/>
        <v>0</v>
      </c>
    </row>
    <row r="441" spans="3:7" ht="13.5" thickBot="1">
      <c r="C441" s="46" t="str">
        <f>C426&amp;" celkem"</f>
        <v>Doplňky dodavatele celkem</v>
      </c>
      <c r="D441" s="47"/>
      <c r="E441" s="48"/>
      <c r="F441" s="48"/>
      <c r="G441" s="49">
        <f>SUBTOTAL(9,G427:G440)</f>
        <v>0</v>
      </c>
    </row>
  </sheetData>
  <sheetProtection password="DFF4" sheet="1" selectLockedCells="1"/>
  <mergeCells count="52">
    <mergeCell ref="C377:G377"/>
    <mergeCell ref="C333:G333"/>
    <mergeCell ref="C371:G371"/>
    <mergeCell ref="C291:G291"/>
    <mergeCell ref="C308:G308"/>
    <mergeCell ref="C370:G370"/>
    <mergeCell ref="C187:G187"/>
    <mergeCell ref="C426:G426"/>
    <mergeCell ref="C420:G420"/>
    <mergeCell ref="C217:G217"/>
    <mergeCell ref="C277:G277"/>
    <mergeCell ref="C399:G399"/>
    <mergeCell ref="C361:G361"/>
    <mergeCell ref="C307:G307"/>
    <mergeCell ref="C362:G362"/>
    <mergeCell ref="C376:G376"/>
    <mergeCell ref="C278:G278"/>
    <mergeCell ref="C73:G73"/>
    <mergeCell ref="C68:G68"/>
    <mergeCell ref="C283:G283"/>
    <mergeCell ref="C332:G332"/>
    <mergeCell ref="C284:G284"/>
    <mergeCell ref="C75:G75"/>
    <mergeCell ref="C290:G290"/>
    <mergeCell ref="C78:G78"/>
    <mergeCell ref="C79:G79"/>
    <mergeCell ref="C400:G400"/>
    <mergeCell ref="C256:G256"/>
    <mergeCell ref="C67:G67"/>
    <mergeCell ref="C69:G69"/>
    <mergeCell ref="C81:G81"/>
    <mergeCell ref="C119:G119"/>
    <mergeCell ref="C132:G132"/>
    <mergeCell ref="C76:G76"/>
    <mergeCell ref="C144:G144"/>
    <mergeCell ref="C216:G216"/>
    <mergeCell ref="C232:G232"/>
    <mergeCell ref="C233:G233"/>
    <mergeCell ref="C145:G145"/>
    <mergeCell ref="F43:G43"/>
    <mergeCell ref="C255:G255"/>
    <mergeCell ref="C66:G66"/>
    <mergeCell ref="C65:G65"/>
    <mergeCell ref="C120:G120"/>
    <mergeCell ref="C131:G131"/>
    <mergeCell ref="C71:G71"/>
    <mergeCell ref="C5:G5"/>
    <mergeCell ref="C6:G6"/>
    <mergeCell ref="C62:G62"/>
    <mergeCell ref="C63:G63"/>
    <mergeCell ref="C64:G64"/>
    <mergeCell ref="F32:G32"/>
  </mergeCells>
  <conditionalFormatting sqref="C61 D69">
    <cfRule type="expression" priority="106" dxfId="2" stopIfTrue="1">
      <formula>ISTEXT(C61)</formula>
    </cfRule>
  </conditionalFormatting>
  <conditionalFormatting sqref="E69:G69">
    <cfRule type="expression" priority="107" dxfId="2" stopIfTrue="1">
      <formula>ISNUMBER(E69)</formula>
    </cfRule>
  </conditionalFormatting>
  <hyperlinks>
    <hyperlink ref="C12" location="Kapitola_2" display="Kapitola_2"/>
    <hyperlink ref="C30" location="Doplňky_dodavatele" display="Doplňky_dodavatele"/>
    <hyperlink ref="C426" r:id="rId1" display="Doplňky dodavatele"/>
    <hyperlink ref="C11" location="Kapitola_1" display="Kapitola_1"/>
    <hyperlink ref="C119:G119" location="Rekapitulace_2" display="Stropní deska v úrovni terénu"/>
    <hyperlink ref="C29" location="Dokoncovaci_prace" display="Dokoncovaci_prace"/>
    <hyperlink ref="C81:G81" location="Rekapitulace_1" display="Bourací a přípravné práce"/>
    <hyperlink ref="C426:G426" location="Rekapitulace_Doplňky_dodavatele" display="Doplňky dodavatele"/>
    <hyperlink ref="C131:G131" location="Rekapitulace_2b" display="Živičné izolace"/>
    <hyperlink ref="C144:G144" location="Rekapitulace_2c" display="Povlakové izolace proti vodě"/>
    <hyperlink ref="C186:G186" location="Rekapitulace_2d" display="Izolace tepelné"/>
    <hyperlink ref="C216:G216" location="Rekapitulace_2e" display="Kanalizace"/>
    <hyperlink ref="C255:G255"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77:G277" location="Rekapitulace_2g" display="Elektroinstalace - silnoproud"/>
    <hyperlink ref="C290:G290" location="Rekapitulace_2i" display="Vzduchotechnika"/>
    <hyperlink ref="C283:G283" location="Rekapitulace_2h" display="Elektroinstalace - slaboproud"/>
    <hyperlink ref="C332:G332" location="Rekapitulace_2j" display="Konstrukce truhlářské"/>
    <hyperlink ref="C361:G361" location="Rekapitulace_2k" display="Konstrukce zámečnické"/>
    <hyperlink ref="C376:G376" location="Rekapitulace_2l" display="Podlahy z dlaždic"/>
    <hyperlink ref="C399:G399"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7" location="Kapitola_2l" display="Kapitola_2l"/>
    <hyperlink ref="C28" location="Kapitola_2m" display="Kapitola_2m"/>
    <hyperlink ref="C420:G420" location="Rekapitulace_Dokončovací_práce" display="Dokončovací práce"/>
    <hyperlink ref="C232:G232" location="Rekapitulace_2f" display="Plynovod"/>
    <hyperlink ref="C307:G307" location="Rekapitulace_2h" display="Elektroinstalace - slaboproud"/>
    <hyperlink ref="C370:G370" location="Rekapitulace_2k" display="Konstrukce zámečnické"/>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2"/>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L96"/>
  <sheetViews>
    <sheetView tabSelected="1" zoomScalePageLayoutView="0" workbookViewId="0" topLeftCell="A1">
      <selection activeCell="F5" sqref="F5:F24"/>
    </sheetView>
  </sheetViews>
  <sheetFormatPr defaultColWidth="9.00390625" defaultRowHeight="12.75"/>
  <cols>
    <col min="1" max="2" width="9.125" style="96" customWidth="1"/>
    <col min="3" max="3" width="45.75390625" style="0" customWidth="1"/>
    <col min="4" max="4" width="6.25390625" style="0" customWidth="1"/>
    <col min="5" max="5" width="6.75390625" style="0" customWidth="1"/>
    <col min="9" max="9" width="4.375" style="0" customWidth="1"/>
  </cols>
  <sheetData>
    <row r="1" spans="1:12" ht="15.75">
      <c r="A1" s="194"/>
      <c r="B1" s="238" t="s">
        <v>425</v>
      </c>
      <c r="C1" s="237"/>
      <c r="D1" s="237"/>
      <c r="E1" s="237"/>
      <c r="F1" s="237"/>
      <c r="G1" s="237"/>
      <c r="H1" s="237"/>
      <c r="I1" s="237"/>
      <c r="J1" s="170"/>
      <c r="K1" s="170"/>
      <c r="L1" s="170"/>
    </row>
    <row r="2" spans="1:12" ht="15.75">
      <c r="A2" s="169"/>
      <c r="B2" s="169"/>
      <c r="C2" s="184" t="s">
        <v>137</v>
      </c>
      <c r="D2" s="170"/>
      <c r="E2" s="170"/>
      <c r="F2" s="170"/>
      <c r="G2" s="170"/>
      <c r="H2" s="170"/>
      <c r="I2" s="170"/>
      <c r="J2" s="170"/>
      <c r="K2" s="170"/>
      <c r="L2" s="170"/>
    </row>
    <row r="3" spans="1:12" ht="15.75">
      <c r="A3" s="169"/>
      <c r="B3" s="169"/>
      <c r="C3" s="185" t="s">
        <v>138</v>
      </c>
      <c r="D3" s="170"/>
      <c r="E3" s="170"/>
      <c r="F3" s="170"/>
      <c r="G3" s="170"/>
      <c r="H3" s="170"/>
      <c r="I3" s="170"/>
      <c r="J3" s="170"/>
      <c r="K3" s="170"/>
      <c r="L3" s="170"/>
    </row>
    <row r="4" spans="1:12" ht="12.75">
      <c r="A4" s="169"/>
      <c r="B4" s="169" t="s">
        <v>139</v>
      </c>
      <c r="C4" s="171" t="s">
        <v>140</v>
      </c>
      <c r="D4" s="170"/>
      <c r="E4" s="169" t="s">
        <v>26</v>
      </c>
      <c r="F4" s="169" t="s">
        <v>141</v>
      </c>
      <c r="G4" s="169" t="s">
        <v>142</v>
      </c>
      <c r="H4" s="169" t="s">
        <v>27</v>
      </c>
      <c r="I4" s="169"/>
      <c r="J4" s="170"/>
      <c r="K4" s="170"/>
      <c r="L4" s="170"/>
    </row>
    <row r="5" spans="1:12" ht="12.75">
      <c r="A5" s="169">
        <v>1</v>
      </c>
      <c r="B5" s="169">
        <v>210201064</v>
      </c>
      <c r="C5" s="170" t="s">
        <v>283</v>
      </c>
      <c r="D5" s="170" t="s">
        <v>23</v>
      </c>
      <c r="E5" s="170">
        <v>1</v>
      </c>
      <c r="F5" s="196"/>
      <c r="G5" s="196"/>
      <c r="H5" s="172">
        <f>+E5*(F5+G5)</f>
        <v>0</v>
      </c>
      <c r="I5" s="172"/>
      <c r="J5" s="170"/>
      <c r="K5" s="170"/>
      <c r="L5" s="170"/>
    </row>
    <row r="6" spans="1:12" ht="12.75">
      <c r="A6" s="169">
        <v>2</v>
      </c>
      <c r="B6" s="169">
        <v>210201064</v>
      </c>
      <c r="C6" s="170" t="s">
        <v>143</v>
      </c>
      <c r="D6" s="170" t="s">
        <v>23</v>
      </c>
      <c r="E6" s="170">
        <v>6</v>
      </c>
      <c r="F6" s="196"/>
      <c r="G6" s="196"/>
      <c r="H6" s="172">
        <f aca="true" t="shared" si="0" ref="H6:H33">+E6*(F6+G6)</f>
        <v>0</v>
      </c>
      <c r="I6" s="172"/>
      <c r="J6" s="170"/>
      <c r="K6" s="170"/>
      <c r="L6" s="170"/>
    </row>
    <row r="7" spans="1:12" ht="12.75">
      <c r="A7" s="169">
        <v>3</v>
      </c>
      <c r="B7" s="169">
        <v>210201064</v>
      </c>
      <c r="C7" s="170" t="s">
        <v>426</v>
      </c>
      <c r="D7" s="170" t="s">
        <v>23</v>
      </c>
      <c r="E7" s="170">
        <v>1</v>
      </c>
      <c r="F7" s="196"/>
      <c r="G7" s="196"/>
      <c r="H7" s="172">
        <f t="shared" si="0"/>
        <v>0</v>
      </c>
      <c r="I7" s="172"/>
      <c r="J7" s="170"/>
      <c r="K7" s="170"/>
      <c r="L7" s="170"/>
    </row>
    <row r="8" spans="1:12" ht="12.75">
      <c r="A8" s="169">
        <v>4</v>
      </c>
      <c r="B8" s="169">
        <v>210111021</v>
      </c>
      <c r="C8" s="170" t="s">
        <v>145</v>
      </c>
      <c r="D8" s="170" t="s">
        <v>23</v>
      </c>
      <c r="E8" s="170">
        <v>29</v>
      </c>
      <c r="F8" s="196"/>
      <c r="G8" s="196"/>
      <c r="H8" s="172">
        <f t="shared" si="0"/>
        <v>0</v>
      </c>
      <c r="I8" s="172"/>
      <c r="J8" s="170"/>
      <c r="K8" s="170"/>
      <c r="L8" s="170"/>
    </row>
    <row r="9" spans="1:12" ht="12.75">
      <c r="A9" s="169">
        <v>5</v>
      </c>
      <c r="B9" s="169">
        <v>210111011</v>
      </c>
      <c r="C9" s="170" t="s">
        <v>146</v>
      </c>
      <c r="D9" s="170" t="s">
        <v>23</v>
      </c>
      <c r="E9" s="170">
        <v>1</v>
      </c>
      <c r="F9" s="196"/>
      <c r="G9" s="196"/>
      <c r="H9" s="172">
        <f t="shared" si="0"/>
        <v>0</v>
      </c>
      <c r="I9" s="172"/>
      <c r="J9" s="170"/>
      <c r="K9" s="170"/>
      <c r="L9" s="170"/>
    </row>
    <row r="10" spans="1:12" ht="12.75">
      <c r="A10" s="169">
        <v>6</v>
      </c>
      <c r="B10" s="169">
        <v>210110027</v>
      </c>
      <c r="C10" s="170" t="s">
        <v>427</v>
      </c>
      <c r="D10" s="170" t="s">
        <v>23</v>
      </c>
      <c r="E10" s="170">
        <v>1</v>
      </c>
      <c r="F10" s="196"/>
      <c r="G10" s="196"/>
      <c r="H10" s="172">
        <f t="shared" si="0"/>
        <v>0</v>
      </c>
      <c r="I10" s="172"/>
      <c r="J10" s="170"/>
      <c r="K10" s="170"/>
      <c r="L10" s="170"/>
    </row>
    <row r="11" spans="1:12" ht="12.75">
      <c r="A11" s="169">
        <v>7</v>
      </c>
      <c r="B11" s="169">
        <v>210110041</v>
      </c>
      <c r="C11" s="170" t="s">
        <v>147</v>
      </c>
      <c r="D11" s="170" t="s">
        <v>23</v>
      </c>
      <c r="E11" s="170">
        <v>5</v>
      </c>
      <c r="F11" s="196"/>
      <c r="G11" s="196"/>
      <c r="H11" s="172">
        <f t="shared" si="0"/>
        <v>0</v>
      </c>
      <c r="I11" s="172"/>
      <c r="J11" s="170"/>
      <c r="K11" s="170"/>
      <c r="L11" s="170"/>
    </row>
    <row r="12" spans="1:12" ht="12.75">
      <c r="A12" s="169">
        <v>8</v>
      </c>
      <c r="B12" s="169">
        <v>210110045</v>
      </c>
      <c r="C12" s="170" t="s">
        <v>148</v>
      </c>
      <c r="D12" s="170" t="s">
        <v>23</v>
      </c>
      <c r="E12" s="170">
        <v>4</v>
      </c>
      <c r="F12" s="196"/>
      <c r="G12" s="196"/>
      <c r="H12" s="172">
        <f t="shared" si="0"/>
        <v>0</v>
      </c>
      <c r="I12" s="172"/>
      <c r="J12" s="170"/>
      <c r="K12" s="170"/>
      <c r="L12" s="170"/>
    </row>
    <row r="13" spans="1:12" ht="12.75">
      <c r="A13" s="169">
        <v>9</v>
      </c>
      <c r="B13" s="169" t="s">
        <v>144</v>
      </c>
      <c r="C13" s="170" t="s">
        <v>149</v>
      </c>
      <c r="D13" s="170" t="s">
        <v>23</v>
      </c>
      <c r="E13" s="170">
        <v>23</v>
      </c>
      <c r="F13" s="196"/>
      <c r="G13" s="196"/>
      <c r="H13" s="172">
        <f t="shared" si="0"/>
        <v>0</v>
      </c>
      <c r="I13" s="172"/>
      <c r="J13" s="170"/>
      <c r="K13" s="170"/>
      <c r="L13" s="170"/>
    </row>
    <row r="14" spans="1:12" ht="12.75">
      <c r="A14" s="169">
        <v>10</v>
      </c>
      <c r="B14" s="169" t="s">
        <v>144</v>
      </c>
      <c r="C14" s="176" t="s">
        <v>150</v>
      </c>
      <c r="D14" s="176" t="s">
        <v>23</v>
      </c>
      <c r="E14" s="176">
        <v>5</v>
      </c>
      <c r="F14" s="197"/>
      <c r="G14" s="196"/>
      <c r="H14" s="172">
        <f t="shared" si="0"/>
        <v>0</v>
      </c>
      <c r="I14" s="172"/>
      <c r="J14" s="170"/>
      <c r="K14" s="170"/>
      <c r="L14" s="176"/>
    </row>
    <row r="15" spans="1:12" ht="12.75">
      <c r="A15" s="169">
        <v>11</v>
      </c>
      <c r="B15" s="169" t="s">
        <v>144</v>
      </c>
      <c r="C15" s="176" t="s">
        <v>211</v>
      </c>
      <c r="D15" s="176" t="s">
        <v>23</v>
      </c>
      <c r="E15" s="176">
        <v>1</v>
      </c>
      <c r="F15" s="197"/>
      <c r="G15" s="196"/>
      <c r="H15" s="172">
        <f t="shared" si="0"/>
        <v>0</v>
      </c>
      <c r="I15" s="172"/>
      <c r="J15" s="170"/>
      <c r="K15" s="170"/>
      <c r="L15" s="176"/>
    </row>
    <row r="16" spans="1:12" ht="12.75">
      <c r="A16" s="169">
        <v>12</v>
      </c>
      <c r="B16" s="169" t="s">
        <v>144</v>
      </c>
      <c r="C16" s="174" t="s">
        <v>151</v>
      </c>
      <c r="D16" s="170" t="s">
        <v>23</v>
      </c>
      <c r="E16" s="177">
        <v>1</v>
      </c>
      <c r="F16" s="198"/>
      <c r="G16" s="196"/>
      <c r="H16" s="172">
        <f t="shared" si="0"/>
        <v>0</v>
      </c>
      <c r="I16" s="172"/>
      <c r="J16" s="170"/>
      <c r="K16" s="170"/>
      <c r="L16" s="175"/>
    </row>
    <row r="17" spans="1:12" ht="12.75">
      <c r="A17" s="169">
        <v>13</v>
      </c>
      <c r="B17" s="169">
        <v>210220321</v>
      </c>
      <c r="C17" s="170" t="s">
        <v>284</v>
      </c>
      <c r="D17" s="170" t="s">
        <v>23</v>
      </c>
      <c r="E17" s="170">
        <v>2</v>
      </c>
      <c r="F17" s="196"/>
      <c r="G17" s="196"/>
      <c r="H17" s="172">
        <f t="shared" si="0"/>
        <v>0</v>
      </c>
      <c r="I17" s="172"/>
      <c r="J17" s="170"/>
      <c r="K17" s="170"/>
      <c r="L17" s="170"/>
    </row>
    <row r="18" spans="1:12" ht="12.75">
      <c r="A18" s="169">
        <v>14</v>
      </c>
      <c r="B18" s="169">
        <v>210010301</v>
      </c>
      <c r="C18" s="170" t="s">
        <v>152</v>
      </c>
      <c r="D18" s="170" t="s">
        <v>23</v>
      </c>
      <c r="E18" s="170">
        <v>40</v>
      </c>
      <c r="F18" s="196"/>
      <c r="G18" s="196"/>
      <c r="H18" s="172">
        <f t="shared" si="0"/>
        <v>0</v>
      </c>
      <c r="I18" s="172"/>
      <c r="J18" s="170"/>
      <c r="K18" s="170"/>
      <c r="L18" s="170"/>
    </row>
    <row r="19" spans="1:12" ht="12.75">
      <c r="A19" s="169">
        <v>15</v>
      </c>
      <c r="B19" s="169">
        <v>210010321</v>
      </c>
      <c r="C19" s="170" t="s">
        <v>285</v>
      </c>
      <c r="D19" s="170" t="s">
        <v>23</v>
      </c>
      <c r="E19" s="170">
        <v>4</v>
      </c>
      <c r="F19" s="196"/>
      <c r="G19" s="196"/>
      <c r="H19" s="172">
        <f t="shared" si="0"/>
        <v>0</v>
      </c>
      <c r="I19" s="172"/>
      <c r="J19" s="170"/>
      <c r="K19" s="170"/>
      <c r="L19" s="170"/>
    </row>
    <row r="20" spans="1:12" ht="12.75">
      <c r="A20" s="169">
        <v>16</v>
      </c>
      <c r="B20" s="169">
        <v>211010011</v>
      </c>
      <c r="C20" s="170" t="s">
        <v>153</v>
      </c>
      <c r="D20" s="170" t="s">
        <v>23</v>
      </c>
      <c r="E20" s="170">
        <v>30</v>
      </c>
      <c r="F20" s="196"/>
      <c r="G20" s="196"/>
      <c r="H20" s="172">
        <f t="shared" si="0"/>
        <v>0</v>
      </c>
      <c r="I20" s="172"/>
      <c r="J20" s="170"/>
      <c r="K20" s="170"/>
      <c r="L20" s="170"/>
    </row>
    <row r="21" spans="1:12" ht="12.75">
      <c r="A21" s="169">
        <v>17</v>
      </c>
      <c r="B21" s="169">
        <v>210800106</v>
      </c>
      <c r="C21" s="170" t="s">
        <v>154</v>
      </c>
      <c r="D21" s="170" t="s">
        <v>24</v>
      </c>
      <c r="E21" s="170">
        <v>190</v>
      </c>
      <c r="F21" s="196"/>
      <c r="G21" s="196"/>
      <c r="H21" s="172">
        <f t="shared" si="0"/>
        <v>0</v>
      </c>
      <c r="I21" s="172"/>
      <c r="J21" s="170"/>
      <c r="K21" s="170"/>
      <c r="L21" s="170"/>
    </row>
    <row r="22" spans="1:12" ht="12.75">
      <c r="A22" s="169">
        <v>18</v>
      </c>
      <c r="B22" s="169">
        <v>210800105</v>
      </c>
      <c r="C22" s="170" t="s">
        <v>155</v>
      </c>
      <c r="D22" s="170" t="s">
        <v>24</v>
      </c>
      <c r="E22" s="170">
        <v>130</v>
      </c>
      <c r="F22" s="196"/>
      <c r="G22" s="196"/>
      <c r="H22" s="172">
        <f t="shared" si="0"/>
        <v>0</v>
      </c>
      <c r="I22" s="172"/>
      <c r="J22" s="170"/>
      <c r="K22" s="170"/>
      <c r="L22" s="170"/>
    </row>
    <row r="23" spans="1:12" ht="12.75">
      <c r="A23" s="169">
        <v>19</v>
      </c>
      <c r="B23" s="169">
        <v>210800105</v>
      </c>
      <c r="C23" s="170" t="s">
        <v>428</v>
      </c>
      <c r="D23" s="170" t="s">
        <v>24</v>
      </c>
      <c r="E23" s="170">
        <v>40</v>
      </c>
      <c r="F23" s="196"/>
      <c r="G23" s="196"/>
      <c r="H23" s="172">
        <f t="shared" si="0"/>
        <v>0</v>
      </c>
      <c r="I23" s="172"/>
      <c r="J23" s="170"/>
      <c r="K23" s="170"/>
      <c r="L23" s="170"/>
    </row>
    <row r="24" spans="1:12" ht="12.75">
      <c r="A24" s="169">
        <v>20</v>
      </c>
      <c r="B24" s="169">
        <v>210800566</v>
      </c>
      <c r="C24" s="170" t="s">
        <v>156</v>
      </c>
      <c r="D24" s="170" t="s">
        <v>24</v>
      </c>
      <c r="E24" s="170">
        <v>15</v>
      </c>
      <c r="F24" s="196"/>
      <c r="G24" s="196"/>
      <c r="H24" s="172">
        <f t="shared" si="0"/>
        <v>0</v>
      </c>
      <c r="I24" s="172"/>
      <c r="J24" s="170"/>
      <c r="K24" s="170"/>
      <c r="L24" s="170"/>
    </row>
    <row r="25" spans="1:12" ht="12.75">
      <c r="A25" s="169">
        <v>21</v>
      </c>
      <c r="B25" s="169">
        <v>210190005</v>
      </c>
      <c r="C25" s="170" t="s">
        <v>157</v>
      </c>
      <c r="D25" s="170" t="s">
        <v>23</v>
      </c>
      <c r="E25" s="170">
        <v>1</v>
      </c>
      <c r="F25" s="172"/>
      <c r="G25" s="196"/>
      <c r="H25" s="172">
        <f t="shared" si="0"/>
        <v>0</v>
      </c>
      <c r="I25" s="172"/>
      <c r="J25" s="170"/>
      <c r="K25" s="170"/>
      <c r="L25" s="170"/>
    </row>
    <row r="26" spans="1:12" ht="12.75">
      <c r="A26" s="169">
        <v>22</v>
      </c>
      <c r="B26" s="169">
        <v>210292041</v>
      </c>
      <c r="C26" s="170" t="s">
        <v>158</v>
      </c>
      <c r="D26" s="170" t="s">
        <v>23</v>
      </c>
      <c r="E26" s="170">
        <v>35</v>
      </c>
      <c r="F26" s="172"/>
      <c r="G26" s="196"/>
      <c r="H26" s="172">
        <f t="shared" si="0"/>
        <v>0</v>
      </c>
      <c r="I26" s="172"/>
      <c r="J26" s="170"/>
      <c r="K26" s="170"/>
      <c r="L26" s="170"/>
    </row>
    <row r="27" spans="1:12" ht="12.75">
      <c r="A27" s="169">
        <v>23</v>
      </c>
      <c r="B27" s="169">
        <v>210040512</v>
      </c>
      <c r="C27" s="170" t="s">
        <v>286</v>
      </c>
      <c r="D27" s="170" t="s">
        <v>23</v>
      </c>
      <c r="E27" s="170">
        <v>55</v>
      </c>
      <c r="F27" s="172"/>
      <c r="G27" s="196"/>
      <c r="H27" s="172">
        <f t="shared" si="0"/>
        <v>0</v>
      </c>
      <c r="I27" s="172"/>
      <c r="J27" s="170"/>
      <c r="K27" s="170"/>
      <c r="L27" s="170"/>
    </row>
    <row r="28" spans="1:12" ht="12.75">
      <c r="A28" s="169">
        <v>24</v>
      </c>
      <c r="B28" s="169">
        <v>974031122</v>
      </c>
      <c r="C28" s="170" t="s">
        <v>287</v>
      </c>
      <c r="D28" s="170" t="s">
        <v>24</v>
      </c>
      <c r="E28" s="170">
        <v>80</v>
      </c>
      <c r="F28" s="172"/>
      <c r="G28" s="196"/>
      <c r="H28" s="172">
        <f t="shared" si="0"/>
        <v>0</v>
      </c>
      <c r="I28" s="172"/>
      <c r="J28" s="170"/>
      <c r="K28" s="170"/>
      <c r="L28" s="170"/>
    </row>
    <row r="29" spans="1:12" ht="12.75">
      <c r="A29" s="169">
        <v>25</v>
      </c>
      <c r="B29" s="169">
        <v>210040721</v>
      </c>
      <c r="C29" s="170" t="s">
        <v>288</v>
      </c>
      <c r="D29" s="170" t="s">
        <v>23</v>
      </c>
      <c r="E29" s="170">
        <v>5</v>
      </c>
      <c r="F29" s="172"/>
      <c r="G29" s="196"/>
      <c r="H29" s="172">
        <f t="shared" si="0"/>
        <v>0</v>
      </c>
      <c r="I29" s="172"/>
      <c r="J29" s="170"/>
      <c r="K29" s="170"/>
      <c r="L29" s="170"/>
    </row>
    <row r="30" spans="1:12" ht="12.75">
      <c r="A30" s="169">
        <v>26</v>
      </c>
      <c r="B30" s="169">
        <v>973033141</v>
      </c>
      <c r="C30" s="170" t="s">
        <v>289</v>
      </c>
      <c r="D30" s="170" t="s">
        <v>23</v>
      </c>
      <c r="E30" s="170">
        <v>44</v>
      </c>
      <c r="F30" s="172"/>
      <c r="G30" s="196"/>
      <c r="H30" s="172">
        <f t="shared" si="0"/>
        <v>0</v>
      </c>
      <c r="I30" s="172"/>
      <c r="J30" s="170"/>
      <c r="K30" s="170"/>
      <c r="L30" s="170"/>
    </row>
    <row r="31" spans="1:12" ht="12.75">
      <c r="A31" s="169">
        <v>27</v>
      </c>
      <c r="B31" s="169" t="s">
        <v>144</v>
      </c>
      <c r="C31" s="170" t="s">
        <v>429</v>
      </c>
      <c r="D31" s="170" t="s">
        <v>23</v>
      </c>
      <c r="E31" s="170">
        <v>1</v>
      </c>
      <c r="F31" s="172"/>
      <c r="G31" s="196"/>
      <c r="H31" s="172">
        <f t="shared" si="0"/>
        <v>0</v>
      </c>
      <c r="I31" s="172"/>
      <c r="J31" s="170"/>
      <c r="K31" s="170"/>
      <c r="L31" s="170"/>
    </row>
    <row r="32" spans="1:9" ht="12.75">
      <c r="A32" s="169">
        <v>28</v>
      </c>
      <c r="B32" s="169" t="s">
        <v>144</v>
      </c>
      <c r="C32" s="170" t="s">
        <v>159</v>
      </c>
      <c r="D32" s="170" t="s">
        <v>160</v>
      </c>
      <c r="E32" s="170">
        <v>1</v>
      </c>
      <c r="F32" s="172"/>
      <c r="G32" s="196"/>
      <c r="H32" s="172">
        <f t="shared" si="0"/>
        <v>0</v>
      </c>
      <c r="I32" s="172"/>
    </row>
    <row r="33" spans="1:9" ht="12.75">
      <c r="A33" s="169">
        <v>29</v>
      </c>
      <c r="B33" s="169" t="s">
        <v>28</v>
      </c>
      <c r="C33" s="170" t="s">
        <v>290</v>
      </c>
      <c r="D33" s="170" t="s">
        <v>161</v>
      </c>
      <c r="E33" s="170">
        <v>12</v>
      </c>
      <c r="F33" s="172"/>
      <c r="G33" s="196"/>
      <c r="H33" s="172">
        <f t="shared" si="0"/>
        <v>0</v>
      </c>
      <c r="I33" s="172"/>
    </row>
    <row r="34" spans="1:9" ht="12.75">
      <c r="A34" s="169">
        <v>30</v>
      </c>
      <c r="B34" s="169" t="s">
        <v>28</v>
      </c>
      <c r="C34" s="170" t="s">
        <v>162</v>
      </c>
      <c r="D34" s="170" t="s">
        <v>161</v>
      </c>
      <c r="E34" s="170">
        <v>12</v>
      </c>
      <c r="F34" s="172"/>
      <c r="G34" s="196"/>
      <c r="H34" s="172">
        <f>+E34*(F34+G34)</f>
        <v>0</v>
      </c>
      <c r="I34" s="172"/>
    </row>
    <row r="35" spans="1:9" ht="12.75">
      <c r="A35" s="169"/>
      <c r="B35" s="169"/>
      <c r="C35" s="171" t="s">
        <v>163</v>
      </c>
      <c r="D35" s="170"/>
      <c r="E35" s="170"/>
      <c r="F35" s="172"/>
      <c r="G35" s="172"/>
      <c r="H35" s="173">
        <f>SUM(H5:H34)</f>
        <v>0</v>
      </c>
      <c r="I35" s="173"/>
    </row>
    <row r="36" spans="1:9" ht="12.75">
      <c r="A36" s="169"/>
      <c r="B36" s="169"/>
      <c r="C36" s="171"/>
      <c r="D36" s="170"/>
      <c r="E36" s="170"/>
      <c r="F36" s="172"/>
      <c r="G36" s="172"/>
      <c r="H36" s="173"/>
      <c r="I36" s="173"/>
    </row>
    <row r="37" spans="1:9" ht="12.75">
      <c r="A37" s="169"/>
      <c r="B37" s="169"/>
      <c r="C37" s="171"/>
      <c r="D37" s="170"/>
      <c r="E37" s="170"/>
      <c r="F37" s="172"/>
      <c r="G37" s="172"/>
      <c r="H37" s="173"/>
      <c r="I37" s="173"/>
    </row>
    <row r="38" spans="1:9" ht="12.75">
      <c r="A38" s="169"/>
      <c r="B38" s="169"/>
      <c r="C38" s="171" t="s">
        <v>164</v>
      </c>
      <c r="D38" s="170"/>
      <c r="E38" s="170"/>
      <c r="F38" s="172"/>
      <c r="G38" s="172"/>
      <c r="H38" s="172"/>
      <c r="I38" s="172"/>
    </row>
    <row r="39" spans="1:9" ht="12.75">
      <c r="A39" s="169">
        <v>1</v>
      </c>
      <c r="B39" s="169"/>
      <c r="C39" s="170" t="s">
        <v>430</v>
      </c>
      <c r="D39" s="170" t="s">
        <v>23</v>
      </c>
      <c r="E39" s="170">
        <v>1</v>
      </c>
      <c r="F39" s="196"/>
      <c r="G39" s="172"/>
      <c r="H39" s="172">
        <f>+E39*(F39+G39)</f>
        <v>0</v>
      </c>
      <c r="I39" s="172"/>
    </row>
    <row r="40" spans="1:9" ht="12.75">
      <c r="A40" s="169">
        <v>2</v>
      </c>
      <c r="B40" s="169"/>
      <c r="C40" s="170" t="s">
        <v>291</v>
      </c>
      <c r="D40" s="170" t="s">
        <v>23</v>
      </c>
      <c r="E40" s="170">
        <v>1</v>
      </c>
      <c r="F40" s="196"/>
      <c r="G40" s="172"/>
      <c r="H40" s="172">
        <f aca="true" t="shared" si="1" ref="H40:H46">+E40*(F40+G40)</f>
        <v>0</v>
      </c>
      <c r="I40" s="172"/>
    </row>
    <row r="41" spans="1:9" ht="12.75">
      <c r="A41" s="169">
        <v>3</v>
      </c>
      <c r="B41" s="169"/>
      <c r="C41" s="170" t="s">
        <v>165</v>
      </c>
      <c r="D41" s="170" t="s">
        <v>23</v>
      </c>
      <c r="E41" s="170">
        <v>1</v>
      </c>
      <c r="F41" s="196"/>
      <c r="G41" s="172"/>
      <c r="H41" s="172">
        <f t="shared" si="1"/>
        <v>0</v>
      </c>
      <c r="I41" s="172"/>
    </row>
    <row r="42" spans="1:9" ht="12.75">
      <c r="A42" s="169">
        <v>4</v>
      </c>
      <c r="B42" s="169"/>
      <c r="C42" s="170" t="s">
        <v>292</v>
      </c>
      <c r="D42" s="170" t="s">
        <v>23</v>
      </c>
      <c r="E42" s="170">
        <v>1</v>
      </c>
      <c r="F42" s="196"/>
      <c r="G42" s="172"/>
      <c r="H42" s="172">
        <f t="shared" si="1"/>
        <v>0</v>
      </c>
      <c r="I42" s="172"/>
    </row>
    <row r="43" spans="1:9" ht="12.75">
      <c r="A43" s="169">
        <v>5</v>
      </c>
      <c r="B43" s="169"/>
      <c r="C43" s="170" t="s">
        <v>293</v>
      </c>
      <c r="D43" s="170" t="s">
        <v>23</v>
      </c>
      <c r="E43" s="170">
        <v>9</v>
      </c>
      <c r="F43" s="196"/>
      <c r="G43" s="172"/>
      <c r="H43" s="172">
        <f t="shared" si="1"/>
        <v>0</v>
      </c>
      <c r="I43" s="172"/>
    </row>
    <row r="44" spans="1:9" ht="12.75">
      <c r="A44" s="169">
        <v>6</v>
      </c>
      <c r="B44" s="169"/>
      <c r="C44" s="170" t="s">
        <v>166</v>
      </c>
      <c r="D44" s="170" t="s">
        <v>24</v>
      </c>
      <c r="E44" s="170">
        <v>0.5</v>
      </c>
      <c r="F44" s="196"/>
      <c r="G44" s="172"/>
      <c r="H44" s="172">
        <f t="shared" si="1"/>
        <v>0</v>
      </c>
      <c r="I44" s="172"/>
    </row>
    <row r="45" spans="1:9" ht="12.75">
      <c r="A45" s="169">
        <v>7</v>
      </c>
      <c r="B45" s="169"/>
      <c r="C45" s="170" t="s">
        <v>167</v>
      </c>
      <c r="D45" s="170" t="s">
        <v>20</v>
      </c>
      <c r="E45" s="170">
        <v>1</v>
      </c>
      <c r="F45" s="196"/>
      <c r="G45" s="172"/>
      <c r="H45" s="172">
        <f t="shared" si="1"/>
        <v>0</v>
      </c>
      <c r="I45" s="172"/>
    </row>
    <row r="46" spans="1:9" ht="12.75">
      <c r="A46" s="169">
        <v>8</v>
      </c>
      <c r="B46" s="169"/>
      <c r="C46" s="170" t="s">
        <v>168</v>
      </c>
      <c r="D46" s="170" t="s">
        <v>20</v>
      </c>
      <c r="E46" s="170">
        <v>1</v>
      </c>
      <c r="F46" s="172"/>
      <c r="G46" s="196"/>
      <c r="H46" s="172">
        <f t="shared" si="1"/>
        <v>0</v>
      </c>
      <c r="I46" s="172"/>
    </row>
    <row r="47" spans="1:9" ht="12.75">
      <c r="A47" s="169"/>
      <c r="B47" s="169"/>
      <c r="C47" s="171" t="s">
        <v>169</v>
      </c>
      <c r="D47" s="170"/>
      <c r="E47" s="170"/>
      <c r="F47" s="170"/>
      <c r="G47" s="170"/>
      <c r="H47" s="173">
        <f>SUM(H39:H46)</f>
        <v>0</v>
      </c>
      <c r="I47" s="173"/>
    </row>
    <row r="48" spans="1:9" ht="12.75">
      <c r="A48" s="169"/>
      <c r="B48" s="169"/>
      <c r="C48" s="171"/>
      <c r="D48" s="170"/>
      <c r="E48" s="170"/>
      <c r="F48" s="170"/>
      <c r="G48" s="170"/>
      <c r="H48" s="173"/>
      <c r="I48" s="173"/>
    </row>
    <row r="49" spans="1:9" ht="12.75">
      <c r="A49" s="169"/>
      <c r="B49" s="169"/>
      <c r="C49" s="171"/>
      <c r="D49" s="170"/>
      <c r="E49" s="170"/>
      <c r="F49" s="170"/>
      <c r="G49" s="170"/>
      <c r="H49" s="173"/>
      <c r="I49" s="173"/>
    </row>
    <row r="50" spans="1:9" ht="12.75">
      <c r="A50" s="169"/>
      <c r="B50" s="169"/>
      <c r="C50" s="171"/>
      <c r="D50" s="170"/>
      <c r="E50" s="170"/>
      <c r="F50" s="170"/>
      <c r="G50" s="170"/>
      <c r="H50" s="173"/>
      <c r="I50" s="173"/>
    </row>
    <row r="51" spans="1:9" ht="12.75">
      <c r="A51" s="169"/>
      <c r="B51" s="169"/>
      <c r="C51" s="171"/>
      <c r="D51" s="170"/>
      <c r="E51" s="170"/>
      <c r="F51" s="170"/>
      <c r="G51" s="170"/>
      <c r="H51" s="173"/>
      <c r="I51" s="173"/>
    </row>
    <row r="52" spans="1:9" ht="15.75">
      <c r="A52" s="169"/>
      <c r="B52" s="169"/>
      <c r="C52" s="185" t="s">
        <v>170</v>
      </c>
      <c r="D52" s="170"/>
      <c r="E52" s="170"/>
      <c r="F52" s="170"/>
      <c r="G52" s="170"/>
      <c r="H52" s="173"/>
      <c r="I52" s="173"/>
    </row>
    <row r="53" spans="1:9" ht="12.75">
      <c r="A53" s="169"/>
      <c r="B53" s="169"/>
      <c r="C53" s="171" t="s">
        <v>140</v>
      </c>
      <c r="D53" s="170"/>
      <c r="E53" s="169" t="s">
        <v>26</v>
      </c>
      <c r="F53" s="169" t="s">
        <v>141</v>
      </c>
      <c r="G53" s="169" t="s">
        <v>142</v>
      </c>
      <c r="H53" s="169" t="s">
        <v>27</v>
      </c>
      <c r="I53" s="173"/>
    </row>
    <row r="54" spans="1:9" ht="12.75">
      <c r="A54" s="169">
        <v>1</v>
      </c>
      <c r="B54" s="169">
        <v>210111012</v>
      </c>
      <c r="C54" s="170" t="s">
        <v>294</v>
      </c>
      <c r="D54" s="170" t="s">
        <v>23</v>
      </c>
      <c r="E54" s="170">
        <v>1</v>
      </c>
      <c r="F54" s="196"/>
      <c r="G54" s="199"/>
      <c r="H54" s="172">
        <f>+E54*(F54+G54)</f>
        <v>0</v>
      </c>
      <c r="I54" s="173"/>
    </row>
    <row r="55" spans="1:9" ht="12.75">
      <c r="A55" s="169">
        <v>2</v>
      </c>
      <c r="B55" s="169">
        <v>210010301</v>
      </c>
      <c r="C55" s="170" t="s">
        <v>295</v>
      </c>
      <c r="D55" s="170" t="s">
        <v>23</v>
      </c>
      <c r="E55" s="170">
        <v>1</v>
      </c>
      <c r="F55" s="196"/>
      <c r="G55" s="196"/>
      <c r="H55" s="172">
        <f aca="true" t="shared" si="2" ref="H55:H62">+E55*(F55+G55)</f>
        <v>0</v>
      </c>
      <c r="I55" s="172"/>
    </row>
    <row r="56" spans="1:9" ht="12.75">
      <c r="A56" s="169">
        <v>3</v>
      </c>
      <c r="B56" s="169">
        <v>210010321</v>
      </c>
      <c r="C56" s="170" t="s">
        <v>431</v>
      </c>
      <c r="D56" s="170" t="s">
        <v>23</v>
      </c>
      <c r="E56" s="170">
        <v>2</v>
      </c>
      <c r="F56" s="196"/>
      <c r="G56" s="196"/>
      <c r="H56" s="172">
        <f t="shared" si="2"/>
        <v>0</v>
      </c>
      <c r="I56" s="172"/>
    </row>
    <row r="57" spans="1:9" ht="12.75">
      <c r="A57" s="169">
        <v>4</v>
      </c>
      <c r="B57" s="169">
        <v>210800549</v>
      </c>
      <c r="C57" s="170" t="s">
        <v>296</v>
      </c>
      <c r="D57" s="170" t="s">
        <v>24</v>
      </c>
      <c r="E57" s="170">
        <v>15</v>
      </c>
      <c r="F57" s="196"/>
      <c r="G57" s="196"/>
      <c r="H57" s="172">
        <f t="shared" si="2"/>
        <v>0</v>
      </c>
      <c r="I57" s="172"/>
    </row>
    <row r="58" spans="1:9" ht="12.75">
      <c r="A58" s="169">
        <v>5</v>
      </c>
      <c r="B58" s="169">
        <v>210010003</v>
      </c>
      <c r="C58" s="170" t="s">
        <v>297</v>
      </c>
      <c r="D58" s="170" t="s">
        <v>24</v>
      </c>
      <c r="E58" s="170">
        <v>15</v>
      </c>
      <c r="F58" s="196"/>
      <c r="G58" s="196"/>
      <c r="H58" s="172">
        <f t="shared" si="2"/>
        <v>0</v>
      </c>
      <c r="I58" s="172"/>
    </row>
    <row r="59" spans="1:9" ht="12.75">
      <c r="A59" s="169">
        <v>6</v>
      </c>
      <c r="B59" s="169">
        <v>973033141</v>
      </c>
      <c r="C59" s="170" t="s">
        <v>289</v>
      </c>
      <c r="D59" s="170" t="s">
        <v>23</v>
      </c>
      <c r="E59" s="170">
        <v>3</v>
      </c>
      <c r="F59" s="172"/>
      <c r="G59" s="196"/>
      <c r="H59" s="172">
        <f t="shared" si="2"/>
        <v>0</v>
      </c>
      <c r="I59" s="172"/>
    </row>
    <row r="60" spans="1:9" ht="12.75">
      <c r="A60" s="169">
        <v>7</v>
      </c>
      <c r="B60" s="169">
        <v>974031122</v>
      </c>
      <c r="C60" s="170" t="s">
        <v>287</v>
      </c>
      <c r="D60" s="170" t="s">
        <v>24</v>
      </c>
      <c r="E60" s="170">
        <v>15</v>
      </c>
      <c r="F60" s="172"/>
      <c r="G60" s="196"/>
      <c r="H60" s="172">
        <f t="shared" si="2"/>
        <v>0</v>
      </c>
      <c r="I60" s="172"/>
    </row>
    <row r="61" spans="1:9" ht="12.75">
      <c r="A61" s="169">
        <v>8</v>
      </c>
      <c r="B61" s="169">
        <v>210292041</v>
      </c>
      <c r="C61" s="170" t="s">
        <v>158</v>
      </c>
      <c r="D61" s="170" t="s">
        <v>23</v>
      </c>
      <c r="E61" s="170">
        <v>2</v>
      </c>
      <c r="F61" s="172"/>
      <c r="G61" s="196"/>
      <c r="H61" s="172">
        <f t="shared" si="2"/>
        <v>0</v>
      </c>
      <c r="I61" s="172"/>
    </row>
    <row r="62" spans="1:9" ht="12.75">
      <c r="A62" s="169">
        <v>9</v>
      </c>
      <c r="B62" s="169">
        <v>210040721</v>
      </c>
      <c r="C62" s="170" t="s">
        <v>288</v>
      </c>
      <c r="D62" s="170" t="s">
        <v>23</v>
      </c>
      <c r="E62" s="170">
        <v>2</v>
      </c>
      <c r="F62" s="172"/>
      <c r="G62" s="196"/>
      <c r="H62" s="172">
        <f t="shared" si="2"/>
        <v>0</v>
      </c>
      <c r="I62" s="172"/>
    </row>
    <row r="63" spans="1:9" ht="12.75">
      <c r="A63" s="169"/>
      <c r="B63" s="169"/>
      <c r="C63" s="171" t="s">
        <v>171</v>
      </c>
      <c r="D63" s="170"/>
      <c r="E63" s="170"/>
      <c r="F63" s="172"/>
      <c r="G63" s="172"/>
      <c r="H63" s="173">
        <f>SUM(H54:H62)</f>
        <v>0</v>
      </c>
      <c r="I63" s="172"/>
    </row>
    <row r="64" spans="1:11" ht="12.75">
      <c r="A64" s="169"/>
      <c r="B64" s="169"/>
      <c r="C64" s="171"/>
      <c r="D64" s="170"/>
      <c r="E64" s="170"/>
      <c r="F64" s="172"/>
      <c r="G64" s="172"/>
      <c r="H64" s="173"/>
      <c r="I64" s="172"/>
      <c r="J64" s="170"/>
      <c r="K64" s="170"/>
    </row>
    <row r="65" spans="1:11" ht="12.75">
      <c r="A65" s="169"/>
      <c r="B65" s="169"/>
      <c r="C65" s="171" t="s">
        <v>125</v>
      </c>
      <c r="D65" s="170"/>
      <c r="E65" s="170"/>
      <c r="F65" s="170"/>
      <c r="G65" s="170"/>
      <c r="H65" s="170"/>
      <c r="I65" s="170"/>
      <c r="J65" s="170"/>
      <c r="K65" s="170"/>
    </row>
    <row r="66" spans="1:11" ht="33.75">
      <c r="A66" s="169">
        <v>1</v>
      </c>
      <c r="B66" s="169"/>
      <c r="C66" s="186" t="s">
        <v>298</v>
      </c>
      <c r="D66" s="170" t="s">
        <v>24</v>
      </c>
      <c r="E66" s="170">
        <v>16</v>
      </c>
      <c r="F66" s="172"/>
      <c r="G66" s="196"/>
      <c r="H66" s="172">
        <f>+E66*(F66+G66)</f>
        <v>0</v>
      </c>
      <c r="I66" s="181"/>
      <c r="J66" s="170"/>
      <c r="K66" s="178"/>
    </row>
    <row r="67" spans="1:11" ht="12.75">
      <c r="A67" s="169">
        <v>2</v>
      </c>
      <c r="B67" s="169"/>
      <c r="C67" s="186" t="s">
        <v>299</v>
      </c>
      <c r="D67" s="170" t="s">
        <v>20</v>
      </c>
      <c r="E67" s="170">
        <v>1</v>
      </c>
      <c r="F67" s="172"/>
      <c r="G67" s="196"/>
      <c r="H67" s="172">
        <f>+E67*(F67+G67)</f>
        <v>0</v>
      </c>
      <c r="I67" s="181"/>
      <c r="J67" s="170"/>
      <c r="K67" s="178"/>
    </row>
    <row r="68" spans="1:11" ht="12.75">
      <c r="A68" s="169">
        <v>3</v>
      </c>
      <c r="B68" s="169"/>
      <c r="C68" s="170" t="s">
        <v>172</v>
      </c>
      <c r="D68" s="170" t="s">
        <v>161</v>
      </c>
      <c r="E68" s="170">
        <v>4</v>
      </c>
      <c r="F68" s="170"/>
      <c r="G68" s="199"/>
      <c r="H68" s="172">
        <f>+E68*(F68+G68)</f>
        <v>0</v>
      </c>
      <c r="I68" s="178"/>
      <c r="J68" s="170"/>
      <c r="K68" s="178"/>
    </row>
    <row r="69" spans="1:11" ht="12.75">
      <c r="A69" s="169"/>
      <c r="B69" s="169"/>
      <c r="C69" s="171" t="s">
        <v>173</v>
      </c>
      <c r="D69" s="171"/>
      <c r="E69" s="187"/>
      <c r="F69" s="171"/>
      <c r="G69" s="171"/>
      <c r="H69" s="173">
        <f>SUM(H66:H68)</f>
        <v>0</v>
      </c>
      <c r="I69" s="178"/>
      <c r="J69" s="170"/>
      <c r="K69" s="170"/>
    </row>
    <row r="70" spans="1:11" ht="12.75">
      <c r="A70" s="169"/>
      <c r="B70" s="169"/>
      <c r="C70" s="171"/>
      <c r="D70" s="171"/>
      <c r="E70" s="187"/>
      <c r="F70" s="171"/>
      <c r="G70" s="171"/>
      <c r="H70" s="173"/>
      <c r="I70" s="178"/>
      <c r="J70" s="170"/>
      <c r="K70" s="170"/>
    </row>
    <row r="71" spans="1:11" ht="12.75">
      <c r="A71" s="180"/>
      <c r="B71" s="180"/>
      <c r="C71" s="182" t="s">
        <v>128</v>
      </c>
      <c r="D71" s="178"/>
      <c r="E71" s="178"/>
      <c r="F71" s="170"/>
      <c r="G71" s="178"/>
      <c r="H71" s="181"/>
      <c r="I71" s="178"/>
      <c r="J71" s="170"/>
      <c r="K71" s="170"/>
    </row>
    <row r="72" spans="1:11" ht="12.75">
      <c r="A72" s="180"/>
      <c r="B72" s="180"/>
      <c r="C72" s="239" t="s">
        <v>174</v>
      </c>
      <c r="D72" s="239"/>
      <c r="E72" s="239"/>
      <c r="F72" s="239"/>
      <c r="G72" s="239"/>
      <c r="H72" s="239"/>
      <c r="I72" s="178"/>
      <c r="J72" s="170"/>
      <c r="K72" s="170"/>
    </row>
    <row r="73" spans="1:11" ht="12.75">
      <c r="A73" s="180">
        <v>1</v>
      </c>
      <c r="B73" s="180"/>
      <c r="C73" s="200"/>
      <c r="D73" s="200"/>
      <c r="E73" s="200"/>
      <c r="F73" s="201"/>
      <c r="G73" s="200"/>
      <c r="H73" s="202"/>
      <c r="I73" s="178"/>
      <c r="J73" s="170"/>
      <c r="K73" s="170"/>
    </row>
    <row r="74" spans="1:11" ht="12.75">
      <c r="A74" s="180">
        <v>2</v>
      </c>
      <c r="B74" s="180"/>
      <c r="C74" s="200"/>
      <c r="D74" s="200"/>
      <c r="E74" s="200"/>
      <c r="F74" s="201"/>
      <c r="G74" s="200"/>
      <c r="H74" s="202"/>
      <c r="I74" s="178"/>
      <c r="J74" s="170"/>
      <c r="K74" s="170"/>
    </row>
    <row r="75" spans="1:11" ht="12.75">
      <c r="A75" s="180"/>
      <c r="B75" s="180"/>
      <c r="C75" s="182" t="s">
        <v>173</v>
      </c>
      <c r="D75" s="182"/>
      <c r="E75" s="182"/>
      <c r="F75" s="171"/>
      <c r="G75" s="182"/>
      <c r="H75" s="183">
        <f>SUM(H73:H74)</f>
        <v>0</v>
      </c>
      <c r="I75" s="178"/>
      <c r="J75" s="170"/>
      <c r="K75" s="170"/>
    </row>
    <row r="76" spans="1:11" ht="12.75">
      <c r="A76" s="180"/>
      <c r="B76" s="180"/>
      <c r="C76" s="182"/>
      <c r="D76" s="182"/>
      <c r="E76" s="182"/>
      <c r="F76" s="171"/>
      <c r="G76" s="182"/>
      <c r="H76" s="183"/>
      <c r="I76" s="178"/>
      <c r="J76" s="170"/>
      <c r="K76" s="170"/>
    </row>
    <row r="77" spans="1:11" ht="12.75">
      <c r="A77" s="180"/>
      <c r="B77" s="180"/>
      <c r="C77" s="182"/>
      <c r="D77" s="182"/>
      <c r="E77" s="182"/>
      <c r="F77" s="171"/>
      <c r="G77" s="182"/>
      <c r="H77" s="183"/>
      <c r="I77" s="178"/>
      <c r="J77" s="170"/>
      <c r="K77" s="170"/>
    </row>
    <row r="78" spans="1:11" ht="12.75">
      <c r="A78" s="169"/>
      <c r="B78" s="169"/>
      <c r="C78" s="171" t="s">
        <v>175</v>
      </c>
      <c r="D78" s="170"/>
      <c r="E78" s="170"/>
      <c r="F78" s="170"/>
      <c r="G78" s="170"/>
      <c r="H78" s="173">
        <f>+H35+H47+H63+H69+H75</f>
        <v>0</v>
      </c>
      <c r="I78" s="173"/>
      <c r="J78" s="170"/>
      <c r="K78" s="170"/>
    </row>
    <row r="79" spans="1:11" ht="12.75">
      <c r="A79" s="169"/>
      <c r="B79" s="169"/>
      <c r="C79" s="171" t="s">
        <v>176</v>
      </c>
      <c r="D79" s="179">
        <v>0.15</v>
      </c>
      <c r="E79" s="170"/>
      <c r="F79" s="170"/>
      <c r="G79" s="170"/>
      <c r="H79" s="173">
        <f>+D79*H78</f>
        <v>0</v>
      </c>
      <c r="I79" s="173"/>
      <c r="J79" s="170"/>
      <c r="K79" s="170"/>
    </row>
    <row r="80" spans="1:11" ht="12.75">
      <c r="A80" s="169"/>
      <c r="B80" s="169"/>
      <c r="C80" s="188" t="s">
        <v>177</v>
      </c>
      <c r="D80" s="189"/>
      <c r="E80" s="189"/>
      <c r="F80" s="189"/>
      <c r="G80" s="189"/>
      <c r="H80" s="190">
        <f>SUM(H78:H79)</f>
        <v>0</v>
      </c>
      <c r="I80" s="173"/>
      <c r="J80" s="170"/>
      <c r="K80" s="170"/>
    </row>
    <row r="81" spans="1:11" ht="12.75">
      <c r="A81" s="169"/>
      <c r="B81" s="169"/>
      <c r="C81" s="191"/>
      <c r="D81" s="176"/>
      <c r="E81" s="176"/>
      <c r="F81" s="176"/>
      <c r="G81" s="176"/>
      <c r="H81" s="192"/>
      <c r="I81" s="173"/>
      <c r="J81" s="170"/>
      <c r="K81" s="170"/>
    </row>
    <row r="82" spans="1:11" ht="12.75">
      <c r="A82" s="169"/>
      <c r="B82" s="169"/>
      <c r="C82" s="191"/>
      <c r="D82" s="176"/>
      <c r="E82" s="176"/>
      <c r="F82" s="176"/>
      <c r="G82" s="176"/>
      <c r="H82" s="192"/>
      <c r="I82" s="173"/>
      <c r="J82" s="170"/>
      <c r="K82" s="170"/>
    </row>
    <row r="83" spans="1:9" ht="12.75">
      <c r="A83" s="169"/>
      <c r="B83" s="169"/>
      <c r="C83" s="171" t="s">
        <v>178</v>
      </c>
      <c r="D83" s="170"/>
      <c r="E83" s="170"/>
      <c r="F83" s="170"/>
      <c r="G83" s="170"/>
      <c r="H83" s="170"/>
      <c r="I83" s="170"/>
    </row>
    <row r="84" spans="1:9" ht="12.75">
      <c r="A84" s="169"/>
      <c r="B84" s="169"/>
      <c r="C84" s="240" t="s">
        <v>179</v>
      </c>
      <c r="D84" s="240"/>
      <c r="E84" s="240"/>
      <c r="F84" s="240"/>
      <c r="G84" s="240"/>
      <c r="H84" s="240"/>
      <c r="I84" s="193"/>
    </row>
    <row r="85" spans="1:9" ht="12.75">
      <c r="A85" s="169"/>
      <c r="B85" s="169"/>
      <c r="C85" s="241" t="s">
        <v>14</v>
      </c>
      <c r="D85" s="241"/>
      <c r="E85" s="241"/>
      <c r="F85" s="241"/>
      <c r="G85" s="241"/>
      <c r="H85" s="241"/>
      <c r="I85" s="170"/>
    </row>
    <row r="86" spans="1:9" ht="12.75">
      <c r="A86" s="169"/>
      <c r="B86" s="169"/>
      <c r="C86" s="242" t="s">
        <v>180</v>
      </c>
      <c r="D86" s="242"/>
      <c r="E86" s="242"/>
      <c r="F86" s="242"/>
      <c r="G86" s="242"/>
      <c r="H86" s="242"/>
      <c r="I86" s="170"/>
    </row>
    <row r="87" spans="1:9" ht="12.75">
      <c r="A87" s="169"/>
      <c r="B87" s="169"/>
      <c r="C87" s="234" t="s">
        <v>181</v>
      </c>
      <c r="D87" s="234"/>
      <c r="E87" s="234"/>
      <c r="F87" s="234"/>
      <c r="G87" s="234"/>
      <c r="H87" s="234"/>
      <c r="I87" s="170"/>
    </row>
    <row r="88" spans="1:9" ht="12.75">
      <c r="A88" s="169"/>
      <c r="B88" s="169"/>
      <c r="C88" s="242" t="s">
        <v>182</v>
      </c>
      <c r="D88" s="242"/>
      <c r="E88" s="242"/>
      <c r="F88" s="242"/>
      <c r="G88" s="242"/>
      <c r="H88" s="242"/>
      <c r="I88" s="170"/>
    </row>
    <row r="89" spans="1:9" ht="12.75">
      <c r="A89" s="169"/>
      <c r="B89" s="169"/>
      <c r="C89" s="243" t="s">
        <v>183</v>
      </c>
      <c r="D89" s="243"/>
      <c r="E89" s="243"/>
      <c r="F89" s="243"/>
      <c r="G89" s="243"/>
      <c r="H89" s="243"/>
      <c r="I89" s="170"/>
    </row>
    <row r="90" spans="1:9" ht="12.75">
      <c r="A90" s="169"/>
      <c r="B90" s="169"/>
      <c r="C90" s="195" t="s">
        <v>184</v>
      </c>
      <c r="D90" s="195"/>
      <c r="E90" s="195"/>
      <c r="F90" s="195"/>
      <c r="G90" s="195"/>
      <c r="H90" s="195"/>
      <c r="I90" s="170"/>
    </row>
    <row r="91" spans="1:9" ht="12.75">
      <c r="A91" s="168"/>
      <c r="B91" s="168"/>
      <c r="C91" s="234" t="s">
        <v>18</v>
      </c>
      <c r="D91" s="234"/>
      <c r="E91" s="234"/>
      <c r="F91" s="234"/>
      <c r="G91" s="234"/>
      <c r="H91" s="234"/>
      <c r="I91" s="168"/>
    </row>
    <row r="92" spans="1:9" ht="12.75">
      <c r="A92" s="168"/>
      <c r="B92" s="168"/>
      <c r="C92" s="234" t="s">
        <v>19</v>
      </c>
      <c r="D92" s="234"/>
      <c r="E92" s="234"/>
      <c r="F92" s="234"/>
      <c r="G92" s="234"/>
      <c r="H92" s="234"/>
      <c r="I92" s="168"/>
    </row>
    <row r="93" spans="1:9" ht="12.75">
      <c r="A93" s="168"/>
      <c r="B93" s="168"/>
      <c r="C93" s="235" t="s">
        <v>50</v>
      </c>
      <c r="D93" s="235"/>
      <c r="E93" s="235"/>
      <c r="F93" s="235"/>
      <c r="G93" s="235"/>
      <c r="H93" s="235"/>
      <c r="I93" s="168"/>
    </row>
    <row r="95" spans="1:9" ht="12.75">
      <c r="A95" s="168"/>
      <c r="B95" s="168"/>
      <c r="C95" s="236"/>
      <c r="D95" s="237"/>
      <c r="E95" s="237"/>
      <c r="F95" s="237"/>
      <c r="G95" s="237"/>
      <c r="H95" s="237"/>
      <c r="I95" s="168"/>
    </row>
    <row r="96" spans="1:9" ht="12.75">
      <c r="A96" s="168"/>
      <c r="B96" s="168"/>
      <c r="C96" s="237"/>
      <c r="D96" s="237"/>
      <c r="E96" s="237"/>
      <c r="F96" s="237"/>
      <c r="G96" s="237"/>
      <c r="H96" s="237"/>
      <c r="I96" s="168"/>
    </row>
  </sheetData>
  <sheetProtection password="DFF4" sheet="1"/>
  <mergeCells count="12">
    <mergeCell ref="C88:H88"/>
    <mergeCell ref="C89:H89"/>
    <mergeCell ref="C91:H91"/>
    <mergeCell ref="C92:H92"/>
    <mergeCell ref="C93:H93"/>
    <mergeCell ref="C95:H96"/>
    <mergeCell ref="B1:I1"/>
    <mergeCell ref="C72:H72"/>
    <mergeCell ref="C84:H84"/>
    <mergeCell ref="C85:H85"/>
    <mergeCell ref="C86:H86"/>
    <mergeCell ref="C87:H8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Mária Ječná</cp:lastModifiedBy>
  <cp:lastPrinted>2019-01-25T15:42:17Z</cp:lastPrinted>
  <dcterms:created xsi:type="dcterms:W3CDTF">2015-06-09T11:12:40Z</dcterms:created>
  <dcterms:modified xsi:type="dcterms:W3CDTF">2019-11-07T11:15:02Z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