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2760" windowWidth="14205" windowHeight="11925" tabRatio="721" activeTab="0"/>
  </bookViews>
  <sheets>
    <sheet name="OBJEKT_CELKOVÉ NÁKLADY" sheetId="1" r:id="rId1"/>
    <sheet name="ESA_ESI" sheetId="2" r:id="rId2"/>
  </sheets>
  <definedNames>
    <definedName name="_2d">#REF!</definedName>
    <definedName name="cc">'OBJEKT_CELKOVÉ NÁKLADY'!#REF!</definedName>
    <definedName name="ccc">'OBJEKT_CELKOVÉ NÁKLADY'!#REF!</definedName>
    <definedName name="cccc">'OBJEKT_CELKOVÉ NÁKLADY'!#REF!</definedName>
    <definedName name="ccccc">'OBJEKT_CELKOVÉ NÁKLADY'!#REF!</definedName>
    <definedName name="cccccc">'OBJEKT_CELKOVÉ NÁKLADY'!#REF!</definedName>
    <definedName name="ccccccc">'OBJEKT_CELKOVÉ NÁKLADY'!#REF!</definedName>
    <definedName name="ccccccccc">'OBJEKT_CELKOVÉ NÁKLADY'!#REF!</definedName>
    <definedName name="cccccccccc">'OBJEKT_CELKOVÉ NÁKLADY'!#REF!</definedName>
    <definedName name="ccccccccccc">'OBJEKT_CELKOVÉ NÁKLADY'!#REF!</definedName>
    <definedName name="ce">'OBJEKT_CELKOVÉ NÁKLADY'!#REF!</definedName>
    <definedName name="cen">'OBJEKT_CELKOVÉ NÁKLADY'!#REF!</definedName>
    <definedName name="cena">'OBJEKT_CELKOVÉ NÁKLADY'!#REF!</definedName>
    <definedName name="Cena_">'OBJEKT_CELKOVÉ NÁKLADY'!#REF!</definedName>
    <definedName name="Cena_1">'OBJEKT_CELKOVÉ NÁKLADY'!$G$116</definedName>
    <definedName name="Cena_2a">'OBJEKT_CELKOVÉ NÁKLADY'!$G$130</definedName>
    <definedName name="Cena_2b">'OBJEKT_CELKOVÉ NÁKLADY'!$G$145</definedName>
    <definedName name="Cena_2c">'OBJEKT_CELKOVÉ NÁKLADY'!$G$182</definedName>
    <definedName name="Cena_2d">'OBJEKT_CELKOVÉ NÁKLADY'!$G$202</definedName>
    <definedName name="Cena_2e">'OBJEKT_CELKOVÉ NÁKLADY'!$G$220</definedName>
    <definedName name="Cena_2f">'OBJEKT_CELKOVÉ NÁKLADY'!$G$280</definedName>
    <definedName name="Cena_2g">'OBJEKT_CELKOVÉ NÁKLADY'!$G$287</definedName>
    <definedName name="Cena_2h">'OBJEKT_CELKOVÉ NÁKLADY'!$G$293</definedName>
    <definedName name="Cena_2i">'OBJEKT_CELKOVÉ NÁKLADY'!$G$314</definedName>
    <definedName name="Cena_2j">'OBJEKT_CELKOVÉ NÁKLADY'!$G$354</definedName>
    <definedName name="Cena_2k">'OBJEKT_CELKOVÉ NÁKLADY'!$G$363</definedName>
    <definedName name="Cena_2l">'OBJEKT_CELKOVÉ NÁKLADY'!$G$386</definedName>
    <definedName name="Cena_2m">'OBJEKT_CELKOVÉ NÁKLADY'!$G$407</definedName>
    <definedName name="Cena_3a">'OBJEKT_CELKOVÉ NÁKLADY'!$G$287</definedName>
    <definedName name="Cena_3b">'OBJEKT_CELKOVÉ NÁKLADY'!$G$293</definedName>
    <definedName name="Cena_3c">'OBJEKT_CELKOVÉ NÁKLADY'!$G$314</definedName>
    <definedName name="Cena_3d">'OBJEKT_CELKOVÉ NÁKLADY'!$G$354</definedName>
    <definedName name="Cena_3e">'OBJEKT_CELKOVÉ NÁKLADY'!#REF!</definedName>
    <definedName name="Cena_3f">'OBJEKT_CELKOVÉ NÁKLADY'!#REF!</definedName>
    <definedName name="Cena_3g">'OBJEKT_CELKOVÉ NÁKLADY'!#REF!</definedName>
    <definedName name="Cena_4a">'OBJEKT_CELKOVÉ NÁKLADY'!#REF!</definedName>
    <definedName name="Cena_4b">'OBJEKT_CELKOVÉ NÁKLADY'!#REF!</definedName>
    <definedName name="Cena_4c">'OBJEKT_CELKOVÉ NÁKLADY'!#REF!</definedName>
    <definedName name="Cena_4d">'OBJEKT_CELKOVÉ NÁKLADY'!#REF!</definedName>
    <definedName name="Cena_4e">'OBJEKT_CELKOVÉ NÁKLADY'!#REF!</definedName>
    <definedName name="Cena_5">'OBJEKT_CELKOVÉ NÁKLADY'!#REF!</definedName>
    <definedName name="Cena_6">'OBJEKT_CELKOVÉ NÁKLADY'!#REF!</definedName>
    <definedName name="Cena_dokoncovaci_prace">'OBJEKT_CELKOVÉ NÁKLADY'!$G$413</definedName>
    <definedName name="Cena_doplňky_dodavatele">'OBJEKT_CELKOVÉ NÁKLADY'!#REF!</definedName>
    <definedName name="Dokoncovaci_prace">'OBJEKT_CELKOVÉ NÁKLADY'!$C$409</definedName>
    <definedName name="Doplňky_dodavatele">'OBJEKT_CELKOVÉ NÁKLADY'!#REF!</definedName>
    <definedName name="kap">'OBJEKT_CELKOVÉ NÁKLADY'!#REF!</definedName>
    <definedName name="kap5">'OBJEKT_CELKOVÉ NÁKLADY'!#REF!</definedName>
    <definedName name="kap6">'OBJEKT_CELKOVÉ NÁKLADY'!#REF!</definedName>
    <definedName name="kapc">'OBJEKT_CELKOVÉ NÁKLADY'!#REF!</definedName>
    <definedName name="kapd">'OBJEKT_CELKOVÉ NÁKLADY'!#REF!</definedName>
    <definedName name="kape">'OBJEKT_CELKOVÉ NÁKLADY'!#REF!</definedName>
    <definedName name="Kapitola_1">'OBJEKT_CELKOVÉ NÁKLADY'!$C$79</definedName>
    <definedName name="Kapitola_2">'OBJEKT_CELKOVÉ NÁKLADY'!$C$118</definedName>
    <definedName name="Kapitola_2a">'OBJEKT_CELKOVÉ NÁKLADY'!$C$119</definedName>
    <definedName name="Kapitola_2b">'OBJEKT_CELKOVÉ NÁKLADY'!$C$132</definedName>
    <definedName name="Kapitola_2c">'OBJEKT_CELKOVÉ NÁKLADY'!$C$147</definedName>
    <definedName name="Kapitola_2d">'OBJEKT_CELKOVÉ NÁKLADY'!$C$184</definedName>
    <definedName name="Kapitola_2e">'OBJEKT_CELKOVÉ NÁKLADY'!$C$204</definedName>
    <definedName name="Kapitola_2f">'OBJEKT_CELKOVÉ NÁKLADY'!$C$250</definedName>
    <definedName name="Kapitola_2g">'OBJEKT_CELKOVÉ NÁKLADY'!$C$282</definedName>
    <definedName name="Kapitola_2h">'OBJEKT_CELKOVÉ NÁKLADY'!$C$289</definedName>
    <definedName name="Kapitola_2i">'OBJEKT_CELKOVÉ NÁKLADY'!$C$295</definedName>
    <definedName name="Kapitola_2j">'OBJEKT_CELKOVÉ NÁKLADY'!$C$339</definedName>
    <definedName name="Kapitola_2k">'OBJEKT_CELKOVÉ NÁKLADY'!$C$356</definedName>
    <definedName name="Kapitola_2l">'OBJEKT_CELKOVÉ NÁKLADY'!$C$365</definedName>
    <definedName name="Kapitola_2m">'OBJEKT_CELKOVÉ NÁKLADY'!$C$388</definedName>
    <definedName name="Kapitola_3">'OBJEKT_CELKOVÉ NÁKLADY'!#REF!</definedName>
    <definedName name="Kapitola_4">'OBJEKT_CELKOVÉ NÁKLADY'!#REF!</definedName>
    <definedName name="Kapitola_4a">'OBJEKT_CELKOVÉ NÁKLADY'!#REF!</definedName>
    <definedName name="Kapitola_4b">'OBJEKT_CELKOVÉ NÁKLADY'!#REF!</definedName>
    <definedName name="Kapitola_4c">'OBJEKT_CELKOVÉ NÁKLADY'!#REF!</definedName>
    <definedName name="Kapitola_4d">'OBJEKT_CELKOVÉ NÁKLADY'!#REF!</definedName>
    <definedName name="Kapitola_4e">'OBJEKT_CELKOVÉ NÁKLADY'!#REF!</definedName>
    <definedName name="Kapitola_5">'OBJEKT_CELKOVÉ NÁKLADY'!#REF!</definedName>
    <definedName name="Kapitola_6">'OBJEKT_CELKOVÉ NÁKLADY'!#REF!</definedName>
    <definedName name="_xlnm.Print_Titles" localSheetId="0">'OBJEKT_CELKOVÉ NÁKLADY'!$2:$2</definedName>
    <definedName name="_xlnm.Print_Area" localSheetId="0">'OBJEKT_CELKOVÉ NÁKLADY'!$A$1:$G$414</definedName>
    <definedName name="rek3">'OBJEKT_CELKOVÉ NÁKLADY'!#REF!</definedName>
    <definedName name="rek4">'OBJEKT_CELKOVÉ NÁKLADY'!#REF!</definedName>
    <definedName name="rek4b">'OBJEKT_CELKOVÉ NÁKLADY'!#REF!</definedName>
    <definedName name="rek4c">'OBJEKT_CELKOVÉ NÁKLADY'!#REF!</definedName>
    <definedName name="rek4d">'OBJEKT_CELKOVÉ NÁKLADY'!#REF!</definedName>
    <definedName name="reka">'OBJEKT_CELKOVÉ NÁKLADY'!#REF!</definedName>
    <definedName name="Rekapitulace_1">'OBJEKT_CELKOVÉ NÁKLADY'!$C$11</definedName>
    <definedName name="Rekapitulace_2">'OBJEKT_CELKOVÉ NÁKLADY'!$C$12</definedName>
    <definedName name="Rekapitulace_2a">'OBJEKT_CELKOVÉ NÁKLADY'!$C$13</definedName>
    <definedName name="Rekapitulace_2b">'OBJEKT_CELKOVÉ NÁKLADY'!$C$14</definedName>
    <definedName name="Rekapitulace_2c">'OBJEKT_CELKOVÉ NÁKLADY'!$C$15</definedName>
    <definedName name="Rekapitulace_2d">'OBJEKT_CELKOVÉ NÁKLADY'!$C$16</definedName>
    <definedName name="Rekapitulace_2e">'OBJEKT_CELKOVÉ NÁKLADY'!$C$17</definedName>
    <definedName name="Rekapitulace_2f">'OBJEKT_CELKOVÉ NÁKLADY'!$C$19</definedName>
    <definedName name="Rekapitulace_2g">'OBJEKT_CELKOVÉ NÁKLADY'!$C$20</definedName>
    <definedName name="Rekapitulace_2h">'OBJEKT_CELKOVÉ NÁKLADY'!$C$21</definedName>
    <definedName name="Rekapitulace_2i">'OBJEKT_CELKOVÉ NÁKLADY'!$C$22</definedName>
    <definedName name="Rekapitulace_2j">'OBJEKT_CELKOVÉ NÁKLADY'!$C$24</definedName>
    <definedName name="Rekapitulace_2k">'OBJEKT_CELKOVÉ NÁKLADY'!$C$25</definedName>
    <definedName name="Rekapitulace_2l">'OBJEKT_CELKOVÉ NÁKLADY'!$C$26</definedName>
    <definedName name="Rekapitulace_2m">'OBJEKT_CELKOVÉ NÁKLADY'!$C$27</definedName>
    <definedName name="Rekapitulace_3">'OBJEKT_CELKOVÉ NÁKLADY'!#REF!</definedName>
    <definedName name="Rekapitulace_3a">'OBJEKT_CELKOVÉ NÁKLADY'!$C$21</definedName>
    <definedName name="Rekapitulace_3b">'OBJEKT_CELKOVÉ NÁKLADY'!#REF!</definedName>
    <definedName name="Rekapitulace_3c">'OBJEKT_CELKOVÉ NÁKLADY'!#REF!</definedName>
    <definedName name="Rekapitulace_3d">'OBJEKT_CELKOVÉ NÁKLADY'!#REF!</definedName>
    <definedName name="Rekapitulace_3e">'OBJEKT_CELKOVÉ NÁKLADY'!#REF!</definedName>
    <definedName name="Rekapitulace_3f">'OBJEKT_CELKOVÉ NÁKLADY'!#REF!</definedName>
    <definedName name="Rekapitulace_3g">'OBJEKT_CELKOVÉ NÁKLADY'!#REF!</definedName>
    <definedName name="Rekapitulace_4">'OBJEKT_CELKOVÉ NÁKLADY'!#REF!</definedName>
    <definedName name="Rekapitulace_4a">'OBJEKT_CELKOVÉ NÁKLADY'!#REF!</definedName>
    <definedName name="Rekapitulace_4b">'OBJEKT_CELKOVÉ NÁKLADY'!#REF!</definedName>
    <definedName name="Rekapitulace_4c">'OBJEKT_CELKOVÉ NÁKLADY'!#REF!</definedName>
    <definedName name="Rekapitulace_4d">'OBJEKT_CELKOVÉ NÁKLADY'!#REF!</definedName>
    <definedName name="Rekapitulace_4e">'OBJEKT_CELKOVÉ NÁKLADY'!#REF!</definedName>
    <definedName name="Rekapitulace_5">'OBJEKT_CELKOVÉ NÁKLADY'!#REF!</definedName>
    <definedName name="Rekapitulace_6">'OBJEKT_CELKOVÉ NÁKLADY'!#REF!</definedName>
    <definedName name="Rekapitulace_Dokončovací_práce">'OBJEKT_CELKOVÉ NÁKLADY'!$C$28</definedName>
    <definedName name="Rekapitulace_Doplňky_dodavatele">'OBJEKT_CELKOVÉ NÁKLADY'!#REF!</definedName>
    <definedName name="rekb">'OBJEKT_CELKOVÉ NÁKLADY'!#REF!</definedName>
    <definedName name="rekc">'OBJEKT_CELKOVÉ NÁKLADY'!#REF!</definedName>
    <definedName name="rekd">'OBJEKT_CELKOVÉ NÁKLADY'!#REF!</definedName>
    <definedName name="reke">'OBJEKT_CELKOVÉ NÁKLADY'!#REF!</definedName>
    <definedName name="rekf">'OBJEKT_CELKOVÉ NÁKLADY'!#REF!</definedName>
    <definedName name="rekg">'OBJEKT_CELKOVÉ NÁKLADY'!#REF!</definedName>
  </definedNames>
  <calcPr fullCalcOnLoad="1"/>
</workbook>
</file>

<file path=xl/sharedStrings.xml><?xml version="1.0" encoding="utf-8"?>
<sst xmlns="http://schemas.openxmlformats.org/spreadsheetml/2006/main" count="1237" uniqueCount="482">
  <si>
    <t>Koleno HTB, úhel 45°, DN 75</t>
  </si>
  <si>
    <t>Izolace návleková  tl. stěny 20 mm vnitřní průměr 32 mm</t>
  </si>
  <si>
    <t>počet mj</t>
  </si>
  <si>
    <t>cena mj</t>
  </si>
  <si>
    <t>cena celkem</t>
  </si>
  <si>
    <t>Rekapitulace</t>
  </si>
  <si>
    <t>Celkem základní cena</t>
  </si>
  <si>
    <t>Náklady umístění stavby (NÚS)</t>
  </si>
  <si>
    <t>Zařízení staveniště</t>
  </si>
  <si>
    <t>DPH stavby</t>
  </si>
  <si>
    <t>Celkem vč. DPH</t>
  </si>
  <si>
    <t>Poznámky pro uchazeče</t>
  </si>
  <si>
    <t>Jednotkové ceny by měly obsahovat:</t>
  </si>
  <si>
    <t>b) náklady na opatření k zajištění bezpečnosti práce</t>
  </si>
  <si>
    <t xml:space="preserve">e) náklady na protihluková a protiprašná zařízení </t>
  </si>
  <si>
    <t>U systémových řešení předpokládáme, že se dodavatel seznámí s typovou dokumentací výrobce a ve své ceně zohlední jak úplné řešení standardní, tak i všechny případné modifikace v průměrné ceně za běžnou jednotku, pokud nejsou v této specifikaci výslovně samostatně uvedeny.</t>
  </si>
  <si>
    <t>Některé výměry v této specifikaci jsou orientační (převážně jsou uvažovány na horní hranici možných dodávek a prací); je žádoucí, aby fakturovány byly pouze skutečně provedené práce.</t>
  </si>
  <si>
    <t>Nedílnou součástí tohoto výkazu je i projektová dokumentace. Pokud dle názoru dodavatele některé práce a dodávky ve výkazu výměr chybí, doplní je do oddílu "Doplňky dodavatele".</t>
  </si>
  <si>
    <t>kpl</t>
  </si>
  <si>
    <t>m2</t>
  </si>
  <si>
    <t>Celkem</t>
  </si>
  <si>
    <t>ks</t>
  </si>
  <si>
    <t>m</t>
  </si>
  <si>
    <t>t</t>
  </si>
  <si>
    <t>počet</t>
  </si>
  <si>
    <t>celkem</t>
  </si>
  <si>
    <t>HZS</t>
  </si>
  <si>
    <t>%</t>
  </si>
  <si>
    <t xml:space="preserve">Uvedené referenční výrobky v PD a ve výkazu výměr nejsou pro zhotovitele závazné. Projektantem jsou uvedeny jako příklad vhodného produktu.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</si>
  <si>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2</t>
  </si>
  <si>
    <t>D</t>
  </si>
  <si>
    <t>M</t>
  </si>
  <si>
    <t xml:space="preserve">Jednotková cena by měla vždy, pokud není samostatně uvedeno, obsahovat dodávku a montáž příslušné položky. Technické parametry materiálů a výrobků jsou uvedeny v PD. Zhotovitel při nacenění jednotlivých položek musí zohlednit tyto technické parametry.  </t>
  </si>
  <si>
    <t>kg</t>
  </si>
  <si>
    <t>Pokud není samostaně uvedeno v jedn. cenách kalkulována svislá doprava vč. naložení na dopravní prostředek</t>
  </si>
  <si>
    <t>Pokud nejsou výrobky vyspecifikovány ve výkazu, platí specifikace uvedená v projektové dokumentaci</t>
  </si>
  <si>
    <t>Dokončovací práce</t>
  </si>
  <si>
    <t>M+D</t>
  </si>
  <si>
    <t>2a</t>
  </si>
  <si>
    <t>2b</t>
  </si>
  <si>
    <t>2c</t>
  </si>
  <si>
    <t>2d</t>
  </si>
  <si>
    <t>2e</t>
  </si>
  <si>
    <t>2f</t>
  </si>
  <si>
    <t>2g</t>
  </si>
  <si>
    <t>Konstrukce zámečnické</t>
  </si>
  <si>
    <t xml:space="preserve">Přesun hmot, doprava, režie - stanovený procentní sazbou </t>
  </si>
  <si>
    <t>Soupis stavebních prací, výkonů a služeb</t>
  </si>
  <si>
    <t>Pokud nejsou výměry uvedeny ve vzorci u jednotlivých buněk, byly změřeny z CAD výkresu</t>
  </si>
  <si>
    <t>Přesun hmot, doprava, režie - stanovený procentní sazbou</t>
  </si>
  <si>
    <t xml:space="preserve">a) náklady na veškerou svislou a vodorovnou dopravu na staveništi, náklady na dopravu materiálu na staveniště, staveništní přesun hmot a u bourání manipulaci se sutí, její odvoz a uložení na skládku do 20-ti km včetně poplatku, pokud nebudou tyto položky uvedeny dodavatelem v samostatné položce </t>
  </si>
  <si>
    <t>c)  všechny potřebné pomocné dodávky a práce pro upevnění, zabezpečení funkčnosti a finální pohledové 
úpravy, které jsou běžně součástí dodávaného výrobku nebo systému  nebo jsou předepsány projektem a 
nejsou výslovně uvedeny jako samostatné položky</t>
  </si>
  <si>
    <t>d) náklady na zakrývání (nebo jiné zajištění) konstrukcí a prací ostatních zhotovitelů nebo stávajících konstrukcí před znečištěním a poškozením a odstranění zakrytí</t>
  </si>
  <si>
    <t>f) náklady na zkoušky a atesty během výstavby, výkresy skutečného provedení a zúčtovací podklady</t>
  </si>
  <si>
    <t>g)  náklady na požadované záruky, pojištění a ostatní finanční náklady</t>
  </si>
  <si>
    <t>2h</t>
  </si>
  <si>
    <t>Stěny a příčky</t>
  </si>
  <si>
    <t>Stropy a stropní konstrukce</t>
  </si>
  <si>
    <t>Není-li uvedeno jinak jsou položky uvažovány společně dodávka i montáž. Položky označené kódem jsou detailně popsány v tabulce skladeb konstrukcí a povrchových úprav.</t>
  </si>
  <si>
    <t>Montáž revizních dvířek kovových</t>
  </si>
  <si>
    <t>Zdravotechnika - vnitřní kanalizace</t>
  </si>
  <si>
    <t>Zdravotechnika - vnitřní vodovod</t>
  </si>
  <si>
    <t xml:space="preserve">Zdravotechnika - zařizovací předměty, armatury </t>
  </si>
  <si>
    <t>Vzduchotechnika</t>
  </si>
  <si>
    <t>Konstrukce truhlářské</t>
  </si>
  <si>
    <t>Podlahy z dlaždic</t>
  </si>
  <si>
    <t>Není-li uvedeno jinak jsou položky uvažovány společně dodávka i montáž. Součástí nacenění budou všechny systémové doplňky, kotevní a upevňovací prostředky, úpravy spár a rohů a jiný pomocný materiál specifikovaný v technických a montážních předpisech vybraného výrobce. Položky označené kódem jsou detailně popsány v tabulce skladeb konstrukcí a povrchových úprav.</t>
  </si>
  <si>
    <t>Provedení penetrace povrchu vč. dodávky</t>
  </si>
  <si>
    <t>Provedení hydroizolační stěrky na svislé ploše za studena vč. systémových prvků</t>
  </si>
  <si>
    <t>Provedení hydroizolační stěrky na vodorovné ploše za studena vč. systémových manžet</t>
  </si>
  <si>
    <t>KDI1-M</t>
  </si>
  <si>
    <t>KDI1-D</t>
  </si>
  <si>
    <t>Těsnící stěrka, předpokládaná spotřeba 1,2 kg/m2</t>
  </si>
  <si>
    <t>Těsnící stěrka, předpokládaná spotřeba 1,5 kg/m2</t>
  </si>
  <si>
    <t>Sádrokartonová impregnovaná deska, vč. prořezu 10%</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</si>
  <si>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V ceně bude zakalkulováno pomocné lešení.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</si>
  <si>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Položky označené kódem jsou detailně popsány v tabulce skladeb konstrukcí a povrchových úprav.</t>
  </si>
  <si>
    <t>Potrubí kanalizační z PP připojovací systém HT DN 50</t>
  </si>
  <si>
    <t>Potrubí kanalizační z PP připojovací systém HT DN 75</t>
  </si>
  <si>
    <t>Potrubí kanalizační z PP připojovací systém HT DN 110</t>
  </si>
  <si>
    <t>Redukce nesouosá HTR, DN 75/50</t>
  </si>
  <si>
    <t>Odbočka HTEA, úhel 45°, DN 75/50</t>
  </si>
  <si>
    <t>Koleno HTB, úhel 45°, DN 50</t>
  </si>
  <si>
    <t>Zkouška těsnosti potrubí kanalizace vodou do DN 125</t>
  </si>
  <si>
    <t>Zkouška těsnosti vodovodního potrubí hrdlového nebo přírubového do DN 100</t>
  </si>
  <si>
    <t>Proplach a dezinfekce vodovodního potrubí do DN 80</t>
  </si>
  <si>
    <t>Příplatek za nestandardní povrchovou úpravu Q3</t>
  </si>
  <si>
    <t>KD1-D</t>
  </si>
  <si>
    <t>SOK1-D</t>
  </si>
  <si>
    <t>SOK1-M</t>
  </si>
  <si>
    <t>Následující kompletizované výrobky jsou detailně popsány v technických parametrech výplní otvorů (popř. ve výpisu prvků PSV), dle kterých je nutno provést ocenění. Není-li uvedeno jinak jsou položky uvažovány společně dodávka i montáž. Součástí nacenění budou všechny systémové doplňky, kotevní a upevňovací prostředky a jiný pomocný materiál uvedený v technických parametrech výplní otvorů, souboru stavebních detailů a v technických a montážních předpisech vybraného výrobce.</t>
  </si>
  <si>
    <t>D4-D</t>
  </si>
  <si>
    <t>D1-D</t>
  </si>
  <si>
    <t>Koleno HTB, úhel 87°, DN 50</t>
  </si>
  <si>
    <t>Demontáže vnitřních vodovodních rozvodů jsou popsány v kapitole Přípravné, bourací a sanační práce. Není-li uvedeno jinak jsou položky uvažovány společně dodávka i montáž. Součástí nacenění budou všechny systémové doplňky, kotevní, upevňovací prostředky a jiný pomocný materiál specifikovaný v technických a montážních předpisech vybraného výrobce.</t>
  </si>
  <si>
    <t>Uložení ostatních vybouraných hmot na skládku vč. poplatků za skládkovné</t>
  </si>
  <si>
    <t>Vnitrostaveništní doprava suti a vybouraných hmot</t>
  </si>
  <si>
    <t>Vodorovné přemístění suti na skládku do 6000 m</t>
  </si>
  <si>
    <t>Příplatek za dalších započatých 1000 m nad 6000 m</t>
  </si>
  <si>
    <t>Vyvěšení dřevěných dveřních křídel pl. do 2 m2</t>
  </si>
  <si>
    <t>Demontáž klozetu včetně splachovací nádrže</t>
  </si>
  <si>
    <t>Demontáž umyvadla včetně baterie a konzol</t>
  </si>
  <si>
    <t>Demontáž uzávěrek zápachových jednoduchých</t>
  </si>
  <si>
    <t>Uložení dřevěných vybouraných hmot na skládku vč. poplatků za skládkovné</t>
  </si>
  <si>
    <t>2i</t>
  </si>
  <si>
    <t>2j</t>
  </si>
  <si>
    <t>2k</t>
  </si>
  <si>
    <t>2l</t>
  </si>
  <si>
    <t>2m</t>
  </si>
  <si>
    <t>Autonomní hlásič kouře</t>
  </si>
  <si>
    <t>Dodávka a montáž kuchyňské linky - bez spotřebičů</t>
  </si>
  <si>
    <t>Uzávěrka zápachová pračková podomítková společná s připojovacím kolenem na vodovod, nerez krytka</t>
  </si>
  <si>
    <t>Materiál + montáž silnoproudých rozvodů celkem</t>
  </si>
  <si>
    <t>Rozvodnice RB celkem</t>
  </si>
  <si>
    <t>Různé</t>
  </si>
  <si>
    <t>Kapitola silnoproudých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</si>
  <si>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Kapitola slaboproudých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</si>
  <si>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soubor</t>
  </si>
  <si>
    <t>Demontáže VZT zařízení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vzduchotechnických výrobků jsou detailně popsány v projektové dokumentaci.</t>
  </si>
  <si>
    <t>Montáž - stanoveno procentní sazbou z dodávky</t>
  </si>
  <si>
    <t>Kompletace - stanoveno procentní sazbou z dodávky</t>
  </si>
  <si>
    <t>Demontáže zařizovacích předmětů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montážní sady a jiný pomocný materiál specifikovaný v technických a montážních předpisech vybraného výrobce. Položky zařizovacích předmětů jsou detailně popsány v projektové dokumentaci.</t>
  </si>
  <si>
    <t>Ventil rohový G 1/2 bez připojovací hadičky</t>
  </si>
  <si>
    <t>Demontáže vnitřních kanalizačních rozvodů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t>
  </si>
  <si>
    <t>ELEKTROINSTALACE</t>
  </si>
  <si>
    <t>SILNOPROUD</t>
  </si>
  <si>
    <t>Položka</t>
  </si>
  <si>
    <t>Materiál + montáž</t>
  </si>
  <si>
    <t>materiál</t>
  </si>
  <si>
    <t>montáž</t>
  </si>
  <si>
    <t>jen materiál</t>
  </si>
  <si>
    <t>B - svítidlo stropní  LED,16W, IP20</t>
  </si>
  <si>
    <t>R</t>
  </si>
  <si>
    <t>zásuvka 230V</t>
  </si>
  <si>
    <t>zásuvka 230V  s ochranou před přepětím</t>
  </si>
  <si>
    <t>spínač č.1 - jednopólový</t>
  </si>
  <si>
    <t>spínač č.5 - sériový</t>
  </si>
  <si>
    <t>spínač č. 6 - střídavý</t>
  </si>
  <si>
    <t>rámeček 1x - jednoduchý</t>
  </si>
  <si>
    <t>rámeček 2x, dvojrámeček</t>
  </si>
  <si>
    <t>rámeček 4x, čtyřrámeček</t>
  </si>
  <si>
    <t>krabice přístrojová KP</t>
  </si>
  <si>
    <t>hmoždinky vč.vrutu, vrtání</t>
  </si>
  <si>
    <t>CYKY 3Cx2,5</t>
  </si>
  <si>
    <t>CYKY 3Cx1,5</t>
  </si>
  <si>
    <t>vodič CY 4 - zel.žl.</t>
  </si>
  <si>
    <t>rozvodnice RB</t>
  </si>
  <si>
    <t>přezkoušení vedení</t>
  </si>
  <si>
    <t>práce neoceněné položkami ceníku (drobný pomocný materiál)</t>
  </si>
  <si>
    <t>soub</t>
  </si>
  <si>
    <t>hod</t>
  </si>
  <si>
    <t>revize el.zařízení</t>
  </si>
  <si>
    <t xml:space="preserve">Materiál + montáž silnoproud celkem </t>
  </si>
  <si>
    <t>Rozvodnice RB</t>
  </si>
  <si>
    <t>proudový chránič 25/2/0,03</t>
  </si>
  <si>
    <t>svorkovnice KLM</t>
  </si>
  <si>
    <t>pom.materiál</t>
  </si>
  <si>
    <t>zapojení rozvaděče</t>
  </si>
  <si>
    <t xml:space="preserve">Rozvodnice RB celkem </t>
  </si>
  <si>
    <t>SLABOPROUD</t>
  </si>
  <si>
    <t xml:space="preserve">Materiál + montáž slaboproud celkem </t>
  </si>
  <si>
    <t xml:space="preserve">Celkem </t>
  </si>
  <si>
    <t>Celkové rozpočtové náklady elektroinstalace bez DPH</t>
  </si>
  <si>
    <t xml:space="preserve">DPH </t>
  </si>
  <si>
    <t>Cena vč. DPH</t>
  </si>
  <si>
    <t>Poznámky pro zhotovitele</t>
  </si>
  <si>
    <t xml:space="preserve">Uvedené technické parametry jsou pro zhotovitele závazné.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</si>
  <si>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 xml:space="preserve"> - náklady na opatření k zajištění bezpečnosti práce</t>
  </si>
  <si>
    <t xml:space="preserve"> -  všechny potřebné pomocné dodávky a práce pro upevnění, zabezpečení funkčnosti a finální pohledové 
úpravy, které jsou běžně součástí dodávaného výrobku nebo systému  nebo jsou předepsány projektem a 
nejsou výslovně uvedeny jako samostatné položky ;</t>
  </si>
  <si>
    <t xml:space="preserve"> - náklady na protihluková a protiprašná zařízení </t>
  </si>
  <si>
    <t xml:space="preserve"> - náklady na požadované záruky, pojištění a ostatní finanční náklady.</t>
  </si>
  <si>
    <t xml:space="preserve"> - náklady na prořez a ztratné zabudovaného materiálu</t>
  </si>
  <si>
    <t>Materiál + montáž slaboproud celkem</t>
  </si>
  <si>
    <t>Zakrytí okenních výplní PE folií vč. dodání</t>
  </si>
  <si>
    <t>Stavební úpravy bytové jednotky</t>
  </si>
  <si>
    <t>Keramický obklad dle specifikace v PD, vč. prořezu 10%</t>
  </si>
  <si>
    <t>Stavební přípomoce</t>
  </si>
  <si>
    <t>Izolace návleková  tl. stěny 20 mm vnitřní průměr 25 mm</t>
  </si>
  <si>
    <t>Zrcadlo s poličkou</t>
  </si>
  <si>
    <t>D2-D</t>
  </si>
  <si>
    <t>Řezání dlaždic keramických pro soklíky</t>
  </si>
  <si>
    <t>Podlahová lišta dle specifikace v PD vč. prořezu 10%</t>
  </si>
  <si>
    <t>Izolace návleková  tl. stěny 13 mm vnitřní průměr 25 mm</t>
  </si>
  <si>
    <t>Izolace návleková  tl. stěny 13 mm vnitřní průměr 32 mm</t>
  </si>
  <si>
    <t>Kompletační činnost včetně pravidelného úklidu staveniště</t>
  </si>
  <si>
    <t>Penetrace podkladu vnitřních stěn vč. dodání</t>
  </si>
  <si>
    <t>SK1-D</t>
  </si>
  <si>
    <t>Odbočka HTEA, úhel 45°, DN 50/50</t>
  </si>
  <si>
    <t>SOK2-D</t>
  </si>
  <si>
    <t>SOK2-M</t>
  </si>
  <si>
    <t>Malba disperzní, penetrace 1x, malba bílá 2x, STĚNY</t>
  </si>
  <si>
    <t>Malba disperzní, penetrace 1x, malba bílá 2x, STROPY</t>
  </si>
  <si>
    <t>rámeček 3x, trojrámeček</t>
  </si>
  <si>
    <t>o</t>
  </si>
  <si>
    <t>Rozdělení podle investic a oprav (bez NÚS a DPH)</t>
  </si>
  <si>
    <t>Opravy</t>
  </si>
  <si>
    <t>Investice</t>
  </si>
  <si>
    <t>Rozdělení NÚS podle investic a oprav</t>
  </si>
  <si>
    <t>Rozdělení podle investic a oprav vč. NÚS bez DPH</t>
  </si>
  <si>
    <t>i</t>
  </si>
  <si>
    <t>Cena bez DPH</t>
  </si>
  <si>
    <t>m3</t>
  </si>
  <si>
    <t>Keramická dlažba dle specifikace v PD vč. prořezu 10%, včetně lepícího tmelu</t>
  </si>
  <si>
    <t>KD(I)1-M</t>
  </si>
  <si>
    <t xml:space="preserve">Demontáž připojovacího potrubí kanalizace, vodovodu </t>
  </si>
  <si>
    <t>Umyvadlo keramické připevněné na stěnu šrouby vč. pilety clickclack- specifikace dle PD</t>
  </si>
  <si>
    <t>2n</t>
  </si>
  <si>
    <t>Přípravné a bourací práce</t>
  </si>
  <si>
    <t>Keramická dlažba dle specifikace v PD (sokl - proveden pásky 80 mm z řezané dlažby, 2ks z dlaždice)</t>
  </si>
  <si>
    <t xml:space="preserve">Tmelení akrylátovým tmelem </t>
  </si>
  <si>
    <t>Úpravy povrchů vnitřní (stěny, stropy)</t>
  </si>
  <si>
    <t xml:space="preserve">Stavební přípomoce </t>
  </si>
  <si>
    <t>Hydroizolační koutová těsnící páska vč. rohových tvarovek (svislé stěny)</t>
  </si>
  <si>
    <t xml:space="preserve">Odebrání škvárového násypu </t>
  </si>
  <si>
    <t>DU1</t>
  </si>
  <si>
    <t>DU2</t>
  </si>
  <si>
    <t>DU1,2</t>
  </si>
  <si>
    <t>DU3-M</t>
  </si>
  <si>
    <t>DU3a-D</t>
  </si>
  <si>
    <t>DU3b-D</t>
  </si>
  <si>
    <t>DU3-D</t>
  </si>
  <si>
    <t>Odstranění stávajících nesoudržných maleb oškrábáním (strop, stěny), odhad 100% plochy</t>
  </si>
  <si>
    <t>Keramický obklad dle specifikace v PD - dekor kytky, vč. prořezu 10%</t>
  </si>
  <si>
    <t>T01</t>
  </si>
  <si>
    <t xml:space="preserve"> </t>
  </si>
  <si>
    <t>Vybourání podezdívky vany z cihel</t>
  </si>
  <si>
    <t>Demontáž vany</t>
  </si>
  <si>
    <t>Z01</t>
  </si>
  <si>
    <t>V2</t>
  </si>
  <si>
    <t>DU4</t>
  </si>
  <si>
    <t>D3-D</t>
  </si>
  <si>
    <t xml:space="preserve">Tmelení spár u obkladu, soklu a dlažby (svislé + vodorovné), tmelení návazností na zárubně, zařizovací předměty </t>
  </si>
  <si>
    <t xml:space="preserve">Montáž dřevěné soklové podlahové lišty </t>
  </si>
  <si>
    <t>Výztuž mazaniny svařovanými sítěmi Kari 100/100/4</t>
  </si>
  <si>
    <t>Separační vrstva z PE fólie</t>
  </si>
  <si>
    <t>Položení podlah lamelových se zámkovým spojem</t>
  </si>
  <si>
    <t>Přírážka za plošné lepení k podkladu, vč. lepidla</t>
  </si>
  <si>
    <t>Podlahy lamelové - dřevo, specifikace dle PD, vč. prořezu 10%</t>
  </si>
  <si>
    <t>V3</t>
  </si>
  <si>
    <t>V4</t>
  </si>
  <si>
    <t>V1</t>
  </si>
  <si>
    <t>Demontáž baterie</t>
  </si>
  <si>
    <t>Revizní sdk dvířka pro obklad s tlačným zámkem a závesy 200/300mm (u uzávěru vody a vodměru), včetně kotvícího materiálu</t>
  </si>
  <si>
    <t>Plynovod</t>
  </si>
  <si>
    <t>Demontáže vnitřních plynovodních rozvodů jsou popsány v kapitole Přípravné, bourací a sanační práce. Není-li uvedeno jinak jsou položky uvažovány jako dodávka. Montáž a kompletace jsou uvedeny jako souborné položky. Součástí nacenění montáže budou všechny systémové doplňky, kotevní, upevňovací prostředky a jiný pomocný materiál specifikovaný v technických a montážních předpisech vybraného výrobce a předpisu TPG 70401.</t>
  </si>
  <si>
    <t>Chránička DN50, vč. požárního utěsnění</t>
  </si>
  <si>
    <t>Hadice flexi plyn 500 mm 1/2"</t>
  </si>
  <si>
    <t>Zkouška plynu dle ČSN, zkouška pevnosti a těsnosti</t>
  </si>
  <si>
    <t>Provedení revize plynovodu</t>
  </si>
  <si>
    <t xml:space="preserve">Větrací plastová mřížka do SDK podhledu, rozměr 100/100mm nebo průměr 100mm (větrání plynu)  včetně kotvícího materiálu </t>
  </si>
  <si>
    <t xml:space="preserve">Elektroinstalace - silnoproud </t>
  </si>
  <si>
    <t>Elektroinstalace - slaboproud</t>
  </si>
  <si>
    <r>
      <rPr>
        <i/>
        <sz val="10"/>
        <rFont val="Arial CE"/>
        <family val="2"/>
      </rPr>
      <t>Investor:</t>
    </r>
    <r>
      <rPr>
        <sz val="14"/>
        <rFont val="Arial CE"/>
        <family val="2"/>
      </rPr>
      <t xml:space="preserve"> Městská Část Praha 5 zastoupená firmou Centra a.s.</t>
    </r>
  </si>
  <si>
    <t>A – svítidlo  nástěnné LED , 16W, IP20</t>
  </si>
  <si>
    <t>autonomní detektor kouře</t>
  </si>
  <si>
    <t>svorka Bernard vč.Cu pásku</t>
  </si>
  <si>
    <t>krabicová rozvodka KR 68</t>
  </si>
  <si>
    <t>ukončení vodiče</t>
  </si>
  <si>
    <t>frézování drážky na stěnách a stropech</t>
  </si>
  <si>
    <t>sekání průrazů</t>
  </si>
  <si>
    <t>sekání (vrtání) otvoru pro krabice</t>
  </si>
  <si>
    <t>demontážní práce</t>
  </si>
  <si>
    <t>proudový chránič 16/1N/0,03</t>
  </si>
  <si>
    <t>Jistič 10/1-B, 10kA</t>
  </si>
  <si>
    <t>Jistič 16/1-B, 10kA</t>
  </si>
  <si>
    <t>televizní zásuvka STA</t>
  </si>
  <si>
    <t>krabice přístrojová</t>
  </si>
  <si>
    <t>koaxiální kabel</t>
  </si>
  <si>
    <t>trubka PVC 2323</t>
  </si>
  <si>
    <t xml:space="preserve">přesun hmot, doprava </t>
  </si>
  <si>
    <t>Vybourání ocelových dveřních zárubní pl. do 2 m2 ze zdiva vč. prahu</t>
  </si>
  <si>
    <t>Vybourání obkladů z obkladaček keramických lepených</t>
  </si>
  <si>
    <t>Demontáž obkladů ze dřeva</t>
  </si>
  <si>
    <t>Vybourání dřevěných prken do tl. 30mm</t>
  </si>
  <si>
    <t>Bourání zděných příček  do tl. 20 cm</t>
  </si>
  <si>
    <t>Příčka z tvárnic porobet. tl. 100 mm hlad. P2,5-450 vč. spražení s zděnou stěnou (navrtané trny nebo pásovina do každé třetí spáry po cca 1,0 m</t>
  </si>
  <si>
    <t>PR1</t>
  </si>
  <si>
    <t>Baterie umyvadlová směšovací stojánková páková vč.flexo hadiček</t>
  </si>
  <si>
    <t>Baterie dřezová stojánková páková směšovací, chrom,  vč.flexo hadiček - specifikace dle PD</t>
  </si>
  <si>
    <t>Vana smaltovaná 1600/700mm vč. sifonu a vanového odtokového setu s otočným ovladačem - specifikace dle PD</t>
  </si>
  <si>
    <t>Úhelník rovnoramenný L jakost S235   50x 50x 3 mm</t>
  </si>
  <si>
    <t>KD(I) 1 - D</t>
  </si>
  <si>
    <t>KD(I) 1 - M</t>
  </si>
  <si>
    <t>KD(I) 1</t>
  </si>
  <si>
    <t xml:space="preserve">opravy </t>
  </si>
  <si>
    <t xml:space="preserve">investice </t>
  </si>
  <si>
    <t xml:space="preserve">kontrola </t>
  </si>
  <si>
    <t>Demontáž truhlářských konstrukcí - skříně kuchňské linky, police komory</t>
  </si>
  <si>
    <t>Demontáž plynových spotřebičů (plyn. kotel, sporák) a likvidace</t>
  </si>
  <si>
    <t>Vybourání dř. hranolů - polštářů 40/80 (odhad)</t>
  </si>
  <si>
    <t>Vybourání dřevěných oken</t>
  </si>
  <si>
    <t>Příčka z tvárnic porobet. tl. 75 mm hlad. P2,5-450 vč. spražení s zděnou stěnou (navrtané trny nebo pásovina do každé třetí spáry po cca 1,0 m</t>
  </si>
  <si>
    <t>Překlad nenosný z pórobetonu 125 x 25 x 7,5 cm</t>
  </si>
  <si>
    <t>SK2-D</t>
  </si>
  <si>
    <t>Sádrokartonová deska, vč. prořezu 10%</t>
  </si>
  <si>
    <t>SK1,2-M</t>
  </si>
  <si>
    <t xml:space="preserve">Vápenocementová omítka, oprava po vybourání obkladů, rýh ve stěnách šířky do 150 mm (začištění drážek vedení instalací), vysprávky vnitřních omítek stěn a stropů (zapravení stávajících poruch)  odhad 5% z celkové plochy omítek. </t>
  </si>
  <si>
    <t>Odstranění nesoudržných štukových omítek (odhad 5% z plochy stěn a stropů)</t>
  </si>
  <si>
    <t>DU5</t>
  </si>
  <si>
    <t>Demontáž potrubí plynu</t>
  </si>
  <si>
    <t>Obkládání stěn vnitř.keram. do tmele do 200x400 mm vč. spárování</t>
  </si>
  <si>
    <t>Potrubí ocelové závitové černé svařované DN 20</t>
  </si>
  <si>
    <t>Plynové kotel, specifikace dle PD část D14</t>
  </si>
  <si>
    <t>Klozet závěsný s hlubokým splachováním odpad vodorovný, vč. sedátka  - specifikace dle PD</t>
  </si>
  <si>
    <t>Předstěnový systém pro závěsné WC pro zazdění, h=108cm, přední ovládání Sigma</t>
  </si>
  <si>
    <t>Tlačítko ovládací plastové dvojčinné, Sigma 20/bílá/chrom/bíla</t>
  </si>
  <si>
    <t>Práh dřevěný d. 800 mm, š.150mm, vč. povrchové úpravy a kotvení</t>
  </si>
  <si>
    <t>D1-4-M</t>
  </si>
  <si>
    <t>D5-M</t>
  </si>
  <si>
    <t xml:space="preserve">Montáž dveří do ocelové zárubně </t>
  </si>
  <si>
    <t>Protipožární zárubeň ocelová 800/1970 do hotového otvoru, ústí do 150mm dle specifikace v PD, včetně povrchové úpravy</t>
  </si>
  <si>
    <t>DP1- D</t>
  </si>
  <si>
    <t>Podlahy dřevěné a povlakové</t>
  </si>
  <si>
    <t>Sádrový štuk nanášen ručně na betonové stropy, vč. zbroušení v návaznosti na stávající omítku  (v místě drážek osvětlení šířky do 150 mm), vč. penetrace</t>
  </si>
  <si>
    <t>Lišta hliníková přechodová, různý typ podlahové krytiny. Podrobně viz tabulka prvků PSV</t>
  </si>
  <si>
    <t>Stavební úpravy bytové jednotky č.1, Na Šmukýřce 915/27, 150 00 Praha 5</t>
  </si>
  <si>
    <t>Repase nátěru stávajícího zábradlí fr. okna, odstranění rzi, základní nátěr, 2x  finální nátěr, kontrola případně úprava kotvení</t>
  </si>
  <si>
    <t>Etážové topení</t>
  </si>
  <si>
    <t>2o</t>
  </si>
  <si>
    <t>příčky komora (2,22*2,45)-0,7*2,05</t>
  </si>
  <si>
    <t>koupelna, WC (4,27+1,58)*2,45-0,8*2,05-0,7*2,05-0,87*0,58</t>
  </si>
  <si>
    <t>chodba 0,92*2,45-0,9*2,05</t>
  </si>
  <si>
    <t>Demontáž polystyrenového podhledu</t>
  </si>
  <si>
    <t>0,92*2,47-0,8*2,05+2,39*2,47</t>
  </si>
  <si>
    <t>Příčka z tvárnic porobet. tl. 125 mm hlad. P2,5-450 vč. spražení s zděnou stěnou (navrtané trny nebo pásovina do každé třetí spáry po cca 1,0 m</t>
  </si>
  <si>
    <t>101.01 =  10,22*2,45-2*0,8*2,05-3*0,9*2,05</t>
  </si>
  <si>
    <t>101.02 = 0</t>
  </si>
  <si>
    <t>101.05 =  15,26*2,45-0,9*2,05-1,3*1,36+14,4</t>
  </si>
  <si>
    <t>101.03 = 0</t>
  </si>
  <si>
    <t>DU3</t>
  </si>
  <si>
    <t>DU2,4</t>
  </si>
  <si>
    <t>Montáž SDK podhledu jednoduše opláštěného s MW na jednoúrovňový rošt s parotěsnou zábranou, vč dodávky nosných profilů a malby 2x</t>
  </si>
  <si>
    <t>Odbočka HTEA,  DN100/50/67° napojená na litinové potrubí</t>
  </si>
  <si>
    <t>Stavební přípomoce (drážky pro potrubí ve stěně, prostupy) vč. zakrytí drážky  vápenocementovou omítkou</t>
  </si>
  <si>
    <t>VZT potrubí plastové ploché obdelníkové potrubí 60/204mm včetně spojek a upevňovacích spon</t>
  </si>
  <si>
    <t>Oblouk horizontální 90°</t>
  </si>
  <si>
    <t>Oblouk vertikální 90°</t>
  </si>
  <si>
    <t>Průchodka s plochého 60/204 na kruhové prům 100mm</t>
  </si>
  <si>
    <t>Zpětná klapka pro ploché potrubí 60/204 mm</t>
  </si>
  <si>
    <t>Hladké potrubí průměru 100mm</t>
  </si>
  <si>
    <t>Mřížka pro výfuk 100/100mm</t>
  </si>
  <si>
    <t>Hladké potrubí průměru 125mm</t>
  </si>
  <si>
    <t>Redukce z 100/125mm</t>
  </si>
  <si>
    <t>V5</t>
  </si>
  <si>
    <t>Lišta hliníková ukončující, různý typ podlahové krytiny. Podrobně viz tabulka prvků PSV</t>
  </si>
  <si>
    <t>Demontáž ocelových těles UT vč. potrubí</t>
  </si>
  <si>
    <t>Nátěr syntetický potrubí do DN 50 mm základní + barevný 2x</t>
  </si>
  <si>
    <t>Obklad soklíků keram.rovných, výška 80 mm do lepidla + spár. tmel vč. úpravy horní hrany v návaznosti na omítku</t>
  </si>
  <si>
    <t>DP1- M</t>
  </si>
  <si>
    <t>Demontáž dřevěné podlahy - opatrná demontáž vlysů a uskladnění</t>
  </si>
  <si>
    <t>Bourání nového prostupu pro plyn těsně pod stropem, tl stěny 300mm</t>
  </si>
  <si>
    <t>Chránička DN30</t>
  </si>
  <si>
    <t>(3,05+1,19)*2,47-2*0,8*2,05</t>
  </si>
  <si>
    <t>parapety 0</t>
  </si>
  <si>
    <t>101.04 =  13,3*2,45-0,9*2,05-1,0*1,65</t>
  </si>
  <si>
    <t>101.06 =  19,85*2,45-2*0,9*2,05-0,885*2,22-1,0*1,36-4,56*0,6</t>
  </si>
  <si>
    <t>101.05 =  14,83*2,45-1,02*1,35-0,9*2,05</t>
  </si>
  <si>
    <t>101.06 =  19,8*2,45-2*0,9*2,05-0,87*2,02-0,885*2,22-1,335*1,36+22,1</t>
  </si>
  <si>
    <t>101.01-04 = 20,2*2,45-2*0,9*2,05-0,85*2,00-2*0,57*1,39-1,32*1,35+1,97*2,45+3,25*(2,45-0,6)+24,7</t>
  </si>
  <si>
    <t>Podezdívka vany (š.700mm, l.1,6m) výšky do 600 mm  tl. 125 mm vč.provedení revizního otvoru pro obklad (200/400mm) na silikon</t>
  </si>
  <si>
    <t>Úprava polohy vodoměru a uzávěru vody</t>
  </si>
  <si>
    <t>Plynový kouhout 1/2" rohový, montáž pod omítku s integrovaným protipožárním ventilem (připojení kotel)</t>
  </si>
  <si>
    <t xml:space="preserve">Prostorový termostat </t>
  </si>
  <si>
    <t>Další potřebné příslušenství pro napojené plynového kotle</t>
  </si>
  <si>
    <t>Revizní kus na potrubí nad kotlem - kocentrické potrubí DN 80/125mm</t>
  </si>
  <si>
    <t>Adaptér pro paralelní odkouření 2x80mm</t>
  </si>
  <si>
    <t>Potrubí pro přívod spalovaného vzduchu a odkouření, PP hladké potrubí průměr 80mm, včetně příslušenství  (kotvící prvky a pod)</t>
  </si>
  <si>
    <t>Koleno 87° PP potrubí DN80mm</t>
  </si>
  <si>
    <t>Koleno 45°PP potrubí DN80mm</t>
  </si>
  <si>
    <t>Mřížka lakovaný AL na fasádě pro potrubí DN80</t>
  </si>
  <si>
    <t xml:space="preserve">Základní sada pro odvod spalin pružnou trubkou DN83 vsazenou do komína, plast PP (ohebná trubka, rozpěrné držáky, trubka vyústění, kryt komínové šachty, </t>
  </si>
  <si>
    <t>Patní koleno s podpěrou DN 80, PP</t>
  </si>
  <si>
    <t>Nástěnný kondenzační sifon s kuličkou vč. hadice 0,5m pro napojení na kondenzační misku - umístěno v nice</t>
  </si>
  <si>
    <t>Dokumentace skutečného provedení (2 vyhotovení, včetně zakreslení a okótování vedení plynového potrubí)</t>
  </si>
  <si>
    <t>V2, V6</t>
  </si>
  <si>
    <t>V6</t>
  </si>
  <si>
    <t>Revizní sdk dvířka pro obklad s tlačným zámkem a závesy 200/400mm (pod kotlem), včetně kotvícího materiálu</t>
  </si>
  <si>
    <t>Set k odvodu kondenzátu</t>
  </si>
  <si>
    <t>Stavební úpravy bytové jednotky 1, Na Šmukýřce 915/27, Praha 5 - Košíře</t>
  </si>
  <si>
    <t>svítidlo  pod linku s vypínačem</t>
  </si>
  <si>
    <t>pokojový termostat</t>
  </si>
  <si>
    <t>CYKYLo 3Cx1,5</t>
  </si>
  <si>
    <t>zapojení digestoře</t>
  </si>
  <si>
    <t>rozvaděč provedení na povrch, IP30,18 modulů</t>
  </si>
  <si>
    <t>krabice s víčkem ( STA, DT)</t>
  </si>
  <si>
    <t>1,125*2,47+(0,88+0,6)*2</t>
  </si>
  <si>
    <t>Potrubí měděné polotvrdé spojované měkkým pájením D 15x1</t>
  </si>
  <si>
    <t>Potrubí měděné polotvrdé spojované měkkým pájením D 18x1</t>
  </si>
  <si>
    <t>Potrubí měděné polotvrdé spojované měkkým pájením D 22x1</t>
  </si>
  <si>
    <t>Ventily uzavírací kulové Giacomini R 250 D, G1</t>
  </si>
  <si>
    <t>Kulový uzavírací ventil s filtrem Pettinaroli 51 F, G1</t>
  </si>
  <si>
    <t>Kohouty plnící a vypouštěcí ČSN 13 7061, G1/2</t>
  </si>
  <si>
    <t>Ventily odvzdušňovací radiátorové V 4320, G1/4</t>
  </si>
  <si>
    <t>Ocelové deskové tělesa Korado Radik ventil kompakt  21VK600/400</t>
  </si>
  <si>
    <t>Ocelové deskové tělesa Korado Radik ventil kompakt  33VK600/1100</t>
  </si>
  <si>
    <t>Ocelové deskové tělesa Korado Radik ventil kompakt  33VK600/400</t>
  </si>
  <si>
    <t>Tepelná izolace Armaflex ACE (vnější průměr potrubí/tloušťka izolace  15/8</t>
  </si>
  <si>
    <t>Tepelná izolace Armaflex ACE (vnější průměr potrubí/tloušťka izolace 18/11,5</t>
  </si>
  <si>
    <t>Tepelná izolace Armaflex ACE (vnější průměr potrubí/tloušťka izolace  22/14,5</t>
  </si>
  <si>
    <t>Napuštění topného systému včetně odvzdušnění</t>
  </si>
  <si>
    <t>Stavební přípomoce - drážky, prostupy, zapravení</t>
  </si>
  <si>
    <t xml:space="preserve">Demontáže prvků stávajícho topení a zařízení jsou popsány v kapitole Přípravné, bourací a sanační práce. Kapitola topenářských prací vč. demontáží stávajících prvků.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topení jsou detailně popsány v projektové dokumentaci D14d. Veškeré výrobky a zařízení je možné nahradit výrobky a zařízeními jiných výrobců za předpokladu, že mají shodné technické parametry. </t>
  </si>
  <si>
    <t>SK2</t>
  </si>
  <si>
    <t>3,7+4+5,5</t>
  </si>
  <si>
    <t>Montáž kapotáže sdk vzt potrubí v pokoji a u digestoře</t>
  </si>
  <si>
    <t>(0,35+0,15)*4,17 + 1,1</t>
  </si>
  <si>
    <t xml:space="preserve">Potrubí vodovodní plastové PPR svar polyfuze PN 20 DN 16 </t>
  </si>
  <si>
    <t xml:space="preserve">Potrubí vodovodní plastové PPR svar polyfuze PN 20 DN 20 </t>
  </si>
  <si>
    <t>např. MORA VT 433 BX, cena 4150,-Kč</t>
  </si>
  <si>
    <t>např. MORA VDP 645 GB3, cena 3650,- Kč</t>
  </si>
  <si>
    <t>https://www.alza.cz/mora-vdp-645gb3-d5129956.htm?kampan=adw2_bile-elektro_pla_all_bile-elektro-css_vestavne_c_9062895_1o5_MORVD001&amp;gclid=EAIaIQobChMIpc_ysJiP5QIVWOd3Ch3d4wJUEAYYBSABEgLruPD_BwE</t>
  </si>
  <si>
    <t>https://www.alza.cz/mora-vt-433-bx-d5129962.htm</t>
  </si>
  <si>
    <t>https://www.elektrocz.com/p272214-faber-maxima-touch-ev8-x-a60/</t>
  </si>
  <si>
    <t>např. FABER MAXIMA TOUCH EV8 X A60, cena 5950,- kč</t>
  </si>
  <si>
    <t>Vyvložkování komínu</t>
  </si>
  <si>
    <t>přesun hmot, doprava ESI</t>
  </si>
  <si>
    <t>přesun hmot, doprava ESA</t>
  </si>
  <si>
    <t>Závěrečný úklid b.j. vč. mytí schodišť a vstupních prostor</t>
  </si>
  <si>
    <t>Demontáž stávající komínové vložky flexi AL 130mm (rezerva)</t>
  </si>
  <si>
    <t xml:space="preserve">Odstranění PVC a koberců lepených bez podložky </t>
  </si>
  <si>
    <t>Bourání mazanin betonových tl. 10 cm, nad 4 m2, pneumat. kladivo, tl. mazaniny 5 - 8 cm</t>
  </si>
  <si>
    <t>Příplatek k podhledu sádrokart. za plochu do 10 m2 (2-5m2)</t>
  </si>
  <si>
    <t>Příplatek k podhledu sádrokart. za plochu do 10 m2 (5-10m2)</t>
  </si>
  <si>
    <t xml:space="preserve">Montáž výztužné sítě(perlinky)do stěrky-vnit.stěny včetně výztužné sítě a stěrkového tmelu  </t>
  </si>
  <si>
    <t>Omítka vnitřních stěn vápenocem. Jednovrstvá nanášená ručně, tl. vrstvy 5 mm</t>
  </si>
  <si>
    <t>Penetrace podkladu pod obklady vč. materiálu</t>
  </si>
  <si>
    <t>Lišta nerezová přechodová, stejná výška dlaždic Al ukončovací lišta profilu L10mm, vč. prořezu 10%</t>
  </si>
  <si>
    <t>Montáž podlah.lišt,vnitř.ker.dlažba</t>
  </si>
  <si>
    <t>Bandáž koutů - provedení</t>
  </si>
  <si>
    <t>D+M</t>
  </si>
  <si>
    <t>Nástěnný komplet FF PPR PN 20 20 x 1/2" mm závit vnitřní</t>
  </si>
  <si>
    <t>Nástěnka závitová plastová PPR PN 20 DN 20 montáž</t>
  </si>
  <si>
    <t>Nástěnka PPR PN 20 20 x 1/2" mm závit vnitřní</t>
  </si>
  <si>
    <t>Montáž klozetu závěsného</t>
  </si>
  <si>
    <t>Montáž předstěnových systémů pro zazdění</t>
  </si>
  <si>
    <t>Montáž umyvadel na šrouby do zdiva</t>
  </si>
  <si>
    <t>Umývátko 400/340 (ref. Jika Lyra+) vč. pilety clickclack</t>
  </si>
  <si>
    <t>Montáž ventilu odpadního do D 50 mm</t>
  </si>
  <si>
    <t>Umyvadlový sifon nerez</t>
  </si>
  <si>
    <t>Vanový sifon automat chrom</t>
  </si>
  <si>
    <t xml:space="preserve">Baterie vanová nástěnná páková včetně sprchového setu a příslušenství - specifikace dle PD  </t>
  </si>
  <si>
    <t>Zástěna vany (ref. výrobek Roltechnik TV1/700)</t>
  </si>
  <si>
    <t>Dřez jednoduchý nerezový (400x500x15,5) s přepadovým otvorem pro montáž do kuchyňské desky, specifikace dle PD</t>
  </si>
  <si>
    <t xml:space="preserve">Dřezový sifon s flexi přepadem a clickcklak uzávěrem </t>
  </si>
  <si>
    <t>Baterie umyvadlová stoján. ruční, bez otvír.odpadu, standard vč. flexo hadiček</t>
  </si>
  <si>
    <t xml:space="preserve">Ventil pračkový se zpět.klapkou a filtrem </t>
  </si>
  <si>
    <t>Sifon pračkový HL404.1, D 40/50 mm nerezový, podomít.uzáv. s přivzd.vent. krycí deska 225x100mm</t>
  </si>
  <si>
    <t>Sifon pračkový HL410, D 40 mm, nástěnný PP - bílý - pro připojení myčky</t>
  </si>
  <si>
    <t>Kondenzační sifon podomítkový HL138 zápachová uzávěrka</t>
  </si>
  <si>
    <t>Montáž potrubí plastového čtyřhranného do 0,03 m2</t>
  </si>
  <si>
    <t>Montáž potrubí plastového kruhového do d 100 mm</t>
  </si>
  <si>
    <t>Montáž potrubí plastového kruhového do d 200 mm</t>
  </si>
  <si>
    <t>Montáž stříšky nebo hlavice plech.4hran.do 0,07 m2</t>
  </si>
  <si>
    <t>Nadstřěšní větrací protidešťová hlavice</t>
  </si>
  <si>
    <t xml:space="preserve">Další nespecifikovaný materiál </t>
  </si>
  <si>
    <t>Ventil term.přímý,vnitř.z. Heimeier STANDARD DN 15 vč. s termostatickou hlavicí Heimeier B</t>
  </si>
  <si>
    <t>Tlaková zkouška Cu potrubí do D 35</t>
  </si>
  <si>
    <t>Dveře dřevěné vnitřní 1křídlové 70x197 cm včetně obložkové zárubně dle specifikace v PD (ref. výrobek Fenix)</t>
  </si>
  <si>
    <t>Dveře dřevěné vnitřní 1křídlové prosklené 80x197 cm včetně obložkové zárubně dle specifikace v PD (ref. výrobek Fenix)</t>
  </si>
  <si>
    <t>Dveře dřevěné vnitřní 1křídlové 80x197 cm včetně obložkové zárubně dle specifikace v PD (ref. výrobek Fenix)</t>
  </si>
  <si>
    <t>Dveře dřevěné vstupní 1křídlové 80x197 cm, s požární odlností EI30DP3, dle specifikace v PD (ref. výrobek Fenix)</t>
  </si>
  <si>
    <t>Montáž kliky, štítku a vložky</t>
  </si>
  <si>
    <t>Montáž zárubní montovat.1kř. hl. 150, š. do 80 cm</t>
  </si>
  <si>
    <t>Montáž obložkové zárubně a dřevěného křídla dveří</t>
  </si>
  <si>
    <t>Deska varná vestavná plynová dle specifikace v PD (např. MORA VDP 645 GB3)</t>
  </si>
  <si>
    <t>Vestavná el. trouba dle specifikace v PD (např. MORA VT 433 BX)</t>
  </si>
  <si>
    <t>Vestavná nerezová digestoř dle specifikace v PD (FABER MAXIMA TOUCH EV8 X A60), vč. montáže</t>
  </si>
  <si>
    <t>Osazení ocelových uhelníků L 50/50/3mm vč. provedení kapsy</t>
  </si>
  <si>
    <t>Montáž podlah keram.,režné hladké, včetně lepícího tmelu, 33x33cm vč. spárování</t>
  </si>
  <si>
    <t>Hydroizolační koutová těsnící páska vč. rohových tvarovek (vororovné plochy)vč. prořezu</t>
  </si>
  <si>
    <t>Poznámky</t>
  </si>
  <si>
    <t>Deska z EPS 100, 1000x5000x40 (20, 30)</t>
  </si>
  <si>
    <t>Deska z EPS 100, 1000x5000x40 (50, 30)</t>
  </si>
  <si>
    <t>DP1,2 - M</t>
  </si>
  <si>
    <t>Montáž tepelné izolace podlah volně kladenými deskami 2 vrstvy</t>
  </si>
  <si>
    <t xml:space="preserve">Mazanina betonová C16/20 tl. 5 - 8 cm </t>
  </si>
  <si>
    <t xml:space="preserve">DP1,2 </t>
  </si>
  <si>
    <t>Montáž dilatačního pásku podél stěn, vč. materiálu 15x100x1000 mm</t>
  </si>
  <si>
    <t>Ocelový plech 330/2000/5 mm</t>
  </si>
  <si>
    <t>Obsyp pískem podél kanalizačního potrubí</t>
  </si>
  <si>
    <t>DP2a</t>
  </si>
  <si>
    <t>poznámky</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</si>
</sst>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
    <numFmt numFmtId="167" formatCode="0.0"/>
    <numFmt numFmtId="168" formatCode="#,##0.0"/>
    <numFmt numFmtId="169" formatCode="0.0000"/>
    <numFmt numFmtId="170" formatCode="0.000"/>
    <numFmt numFmtId="171" formatCode="0.00000"/>
    <numFmt numFmtId="172" formatCode="&quot;Yes&quot;;&quot;Yes&quot;;&quot;No&quot;"/>
    <numFmt numFmtId="173" formatCode="&quot;True&quot;;&quot;True&quot;;&quot;False&quot;"/>
    <numFmt numFmtId="174" formatCode="&quot;On&quot;;&quot;On&quot;;&quot;Off&quot;"/>
    <numFmt numFmtId="175" formatCode="[$€-2]\ #\ ##,000_);[Red]\([$€-2]\ #\ ##,000\)"/>
    <numFmt numFmtId="176" formatCode="#,##0\ &quot;Kč&quot;"/>
    <numFmt numFmtId="177" formatCode="#,##0.0\ &quot;Kč&quot;"/>
    <numFmt numFmtId="178" formatCode="[$¥€-2]\ #\ ##,000_);[Red]\([$€-2]\ #\ ##,000\)"/>
    <numFmt numFmtId="179" formatCode="#,##0\ _K_č"/>
    <numFmt numFmtId="180" formatCode="#,##0.00\ &quot;Kč&quot;"/>
    <numFmt numFmtId="181" formatCode="[$€-2]\ #,##0.00_);[Red]\([$€-2]\ #,##0.00\)"/>
    <numFmt numFmtId="182" formatCode="_(#,##0_);[Red]\-\ #,##0_);&quot;–&quot;??;_(@_)"/>
    <numFmt numFmtId="183" formatCode="_-* #,##0\ &quot;Kč&quot;_-;\-* #,##0\ &quot;Kč&quot;_-;_-* &quot;-&quot;??\ &quot;Kč&quot;_-;_-@_-"/>
    <numFmt numFmtId="184" formatCode="#,##0.000\ &quot;Kč&quot;"/>
  </numFmts>
  <fonts count="62">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CE"/>
      <family val="2"/>
    </font>
    <font>
      <b/>
      <sz val="10"/>
      <name val="Arial CE"/>
      <family val="2"/>
    </font>
    <font>
      <i/>
      <sz val="10"/>
      <name val="Arial CE"/>
      <family val="2"/>
    </font>
    <font>
      <sz val="14"/>
      <name val="Arial CE"/>
      <family val="2"/>
    </font>
    <font>
      <sz val="18"/>
      <name val="Arial CE"/>
      <family val="2"/>
    </font>
    <font>
      <b/>
      <sz val="16"/>
      <name val="Arial CE"/>
      <family val="2"/>
    </font>
    <font>
      <u val="single"/>
      <sz val="13"/>
      <color indexed="12"/>
      <name val="Arial CE"/>
      <family val="2"/>
    </font>
    <font>
      <b/>
      <sz val="11"/>
      <name val="Arial CE"/>
      <family val="2"/>
    </font>
    <font>
      <b/>
      <sz val="12"/>
      <name val="Arial CE"/>
      <family val="2"/>
    </font>
    <font>
      <b/>
      <sz val="14"/>
      <name val="Arial CE"/>
      <family val="2"/>
    </font>
    <font>
      <sz val="7"/>
      <name val="Arial CE"/>
      <family val="2"/>
    </font>
    <font>
      <sz val="11"/>
      <name val="Arial CE"/>
      <family val="2"/>
    </font>
    <font>
      <b/>
      <sz val="10"/>
      <name val="Arial"/>
      <family val="2"/>
    </font>
    <font>
      <u val="single"/>
      <sz val="10"/>
      <color indexed="20"/>
      <name val="Arial CE"/>
      <family val="2"/>
    </font>
    <font>
      <i/>
      <sz val="10"/>
      <name val="Arial"/>
      <family val="2"/>
    </font>
    <font>
      <b/>
      <sz val="12"/>
      <name val="Arial"/>
      <family val="2"/>
    </font>
    <font>
      <sz val="8"/>
      <name val="Arial"/>
      <family val="2"/>
    </font>
    <font>
      <b/>
      <sz val="8"/>
      <name val="Arial"/>
      <family val="2"/>
    </font>
    <font>
      <i/>
      <sz val="10"/>
      <color indexed="49"/>
      <name val="Arial"/>
      <family val="2"/>
    </font>
    <font>
      <b/>
      <sz val="11"/>
      <color indexed="8"/>
      <name val="Arial"/>
      <family val="2"/>
    </font>
    <font>
      <b/>
      <sz val="10"/>
      <color indexed="8"/>
      <name val="Arial"/>
      <family val="2"/>
    </font>
    <font>
      <sz val="10"/>
      <color indexed="10"/>
      <name val="Arial CE"/>
      <family val="2"/>
    </font>
    <font>
      <sz val="10"/>
      <color indexed="8"/>
      <name val="Arial CE"/>
      <family val="2"/>
    </font>
    <font>
      <b/>
      <sz val="10"/>
      <color indexed="10"/>
      <name val="Arial CE"/>
      <family val="2"/>
    </font>
    <font>
      <sz val="7"/>
      <color indexed="10"/>
      <name val="Arial CE"/>
      <family val="2"/>
    </font>
    <font>
      <sz val="11"/>
      <color indexed="10"/>
      <name val="Arial CE"/>
      <family val="2"/>
    </font>
    <font>
      <i/>
      <sz val="10"/>
      <color indexed="30"/>
      <name val="Arial"/>
      <family val="2"/>
    </font>
    <font>
      <sz val="10"/>
      <color indexed="40"/>
      <name val="Arial"/>
      <family val="2"/>
    </font>
    <font>
      <b/>
      <sz val="10"/>
      <color indexed="8"/>
      <name val="Arial CE"/>
      <family val="2"/>
    </font>
    <font>
      <sz val="7"/>
      <color indexed="8"/>
      <name val="Arial CE"/>
      <family val="2"/>
    </font>
    <font>
      <sz val="11"/>
      <color indexed="8"/>
      <name val="Arial CE"/>
      <family val="2"/>
    </font>
    <font>
      <sz val="8"/>
      <color indexed="10"/>
      <name val="Arial"/>
      <family val="2"/>
    </font>
    <font>
      <sz val="10"/>
      <color rgb="FFFF0000"/>
      <name val="Arial CE"/>
      <family val="2"/>
    </font>
    <font>
      <b/>
      <sz val="10"/>
      <color rgb="FFFF0000"/>
      <name val="Arial CE"/>
      <family val="2"/>
    </font>
    <font>
      <sz val="7"/>
      <color rgb="FFFF0000"/>
      <name val="Arial CE"/>
      <family val="2"/>
    </font>
    <font>
      <sz val="11"/>
      <color rgb="FFFF0000"/>
      <name val="Arial CE"/>
      <family val="2"/>
    </font>
    <font>
      <i/>
      <sz val="10"/>
      <color rgb="FF0070C0"/>
      <name val="Arial"/>
      <family val="2"/>
    </font>
    <font>
      <sz val="10"/>
      <color theme="1"/>
      <name val="Arial CE"/>
      <family val="2"/>
    </font>
    <font>
      <b/>
      <sz val="10"/>
      <color theme="1"/>
      <name val="Arial CE"/>
      <family val="2"/>
    </font>
    <font>
      <sz val="7"/>
      <color theme="1"/>
      <name val="Arial CE"/>
      <family val="2"/>
    </font>
    <font>
      <sz val="11"/>
      <color theme="1"/>
      <name val="Arial CE"/>
      <family val="2"/>
    </font>
    <font>
      <sz val="8"/>
      <color rgb="FFFF0000"/>
      <name val="Arial"/>
      <family val="2"/>
    </font>
    <font>
      <sz val="10"/>
      <color rgb="FF00B0F0"/>
      <name val="Arial"/>
      <family val="2"/>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44"/>
        <bgColor indexed="64"/>
      </patternFill>
    </fill>
    <fill>
      <patternFill patternType="solid">
        <fgColor theme="0" tint="-0.24997000396251678"/>
        <bgColor indexed="64"/>
      </patternFill>
    </fill>
  </fills>
  <borders count="35">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hair"/>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hair">
        <color indexed="8"/>
      </bottom>
    </border>
    <border>
      <left>
        <color indexed="63"/>
      </left>
      <right>
        <color indexed="63"/>
      </right>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hair"/>
      <bottom>
        <color indexed="63"/>
      </bottom>
    </border>
    <border>
      <left>
        <color indexed="63"/>
      </left>
      <right>
        <color indexed="63"/>
      </right>
      <top style="medium"/>
      <bottom style="hair"/>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25" fillId="0" borderId="0" applyNumberFormat="0" applyFill="0" applyBorder="0" applyAlignment="0" applyProtection="0"/>
    <xf numFmtId="0" fontId="5" fillId="10" borderId="0" applyNumberFormat="0" applyBorder="0" applyAlignment="0" applyProtection="0"/>
    <xf numFmtId="0" fontId="6" fillId="9"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 fillId="0" borderId="0">
      <alignment/>
      <protection/>
    </xf>
    <xf numFmtId="0" fontId="0" fillId="0" borderId="0">
      <alignment/>
      <protection/>
    </xf>
    <xf numFmtId="0" fontId="32" fillId="0" borderId="0" applyNumberFormat="0" applyFill="0" applyBorder="0" applyAlignment="0" applyProtection="0"/>
    <xf numFmtId="0" fontId="0" fillId="4" borderId="5" applyNumberFormat="0" applyAlignment="0" applyProtection="0"/>
    <xf numFmtId="9" fontId="0" fillId="0" borderId="0" applyFill="0" applyBorder="0" applyAlignment="0" applyProtection="0"/>
    <xf numFmtId="9" fontId="1" fillId="0" borderId="0" applyFont="0" applyFill="0" applyBorder="0" applyAlignment="0" applyProtection="0"/>
    <xf numFmtId="0" fontId="12" fillId="0" borderId="6" applyNumberFormat="0" applyFill="0" applyAlignment="0" applyProtection="0"/>
    <xf numFmtId="0" fontId="13" fillId="11" borderId="0" applyNumberFormat="0" applyBorder="0" applyAlignment="0" applyProtection="0"/>
    <xf numFmtId="0" fontId="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0" fillId="0" borderId="0" applyNumberFormat="0" applyFill="0" applyBorder="0" applyAlignment="0" applyProtection="0"/>
    <xf numFmtId="0" fontId="4" fillId="0" borderId="1" applyNumberFormat="0" applyFill="0" applyAlignment="0" applyProtection="0"/>
    <xf numFmtId="0" fontId="15" fillId="3" borderId="7" applyNumberFormat="0" applyAlignment="0" applyProtection="0"/>
    <xf numFmtId="0" fontId="16" fillId="2" borderId="7" applyNumberFormat="0" applyAlignment="0" applyProtection="0"/>
    <xf numFmtId="0" fontId="17" fillId="2" borderId="8"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cellStyleXfs>
  <cellXfs count="277">
    <xf numFmtId="0" fontId="0" fillId="0" borderId="0" xfId="0" applyAlignment="1">
      <alignment/>
    </xf>
    <xf numFmtId="9" fontId="0" fillId="0" borderId="9" xfId="69"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Alignment="1" applyProtection="1">
      <alignment/>
      <protection/>
    </xf>
    <xf numFmtId="167" fontId="19" fillId="0" borderId="10" xfId="0" applyNumberFormat="1" applyFont="1" applyBorder="1" applyAlignment="1" applyProtection="1">
      <alignment horizontal="right"/>
      <protection/>
    </xf>
    <xf numFmtId="0" fontId="19" fillId="0" borderId="10" xfId="0" applyFont="1" applyBorder="1" applyAlignment="1" applyProtection="1">
      <alignment horizontal="right"/>
      <protection/>
    </xf>
    <xf numFmtId="0" fontId="51" fillId="0" borderId="0" xfId="0" applyFont="1" applyAlignment="1" applyProtection="1">
      <alignment/>
      <protection/>
    </xf>
    <xf numFmtId="0" fontId="19" fillId="0" borderId="11" xfId="0" applyFont="1" applyBorder="1" applyAlignment="1" applyProtection="1">
      <alignment horizontal="right"/>
      <protection/>
    </xf>
    <xf numFmtId="167" fontId="0" fillId="0" borderId="0" xfId="0" applyNumberFormat="1" applyFont="1" applyAlignment="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0" fillId="0" borderId="0" xfId="0" applyFont="1" applyAlignment="1" applyProtection="1">
      <alignment vertical="center"/>
      <protection/>
    </xf>
    <xf numFmtId="0" fontId="21" fillId="0" borderId="12" xfId="0" applyFont="1" applyBorder="1" applyAlignment="1" applyProtection="1">
      <alignment vertical="center"/>
      <protection/>
    </xf>
    <xf numFmtId="0" fontId="0" fillId="0" borderId="13" xfId="0" applyFont="1" applyBorder="1" applyAlignment="1" applyProtection="1">
      <alignment/>
      <protection/>
    </xf>
    <xf numFmtId="167" fontId="0" fillId="0" borderId="13" xfId="0" applyNumberFormat="1" applyFont="1" applyBorder="1" applyAlignment="1" applyProtection="1">
      <alignment/>
      <protection/>
    </xf>
    <xf numFmtId="0" fontId="21" fillId="0" borderId="14" xfId="0" applyFont="1" applyBorder="1" applyAlignment="1" applyProtection="1">
      <alignment horizontal="right"/>
      <protection/>
    </xf>
    <xf numFmtId="0" fontId="23" fillId="0" borderId="15" xfId="0" applyFont="1" applyBorder="1" applyAlignment="1" applyProtection="1">
      <alignment vertical="center"/>
      <protection/>
    </xf>
    <xf numFmtId="0" fontId="0" fillId="0" borderId="16" xfId="0" applyFont="1" applyBorder="1" applyAlignment="1" applyProtection="1">
      <alignment/>
      <protection/>
    </xf>
    <xf numFmtId="167" fontId="0" fillId="0" borderId="16" xfId="0" applyNumberFormat="1" applyFont="1" applyBorder="1" applyAlignment="1" applyProtection="1">
      <alignment/>
      <protection/>
    </xf>
    <xf numFmtId="0" fontId="24" fillId="0" borderId="17" xfId="0" applyFont="1" applyBorder="1" applyAlignment="1" applyProtection="1">
      <alignment horizontal="right"/>
      <protection/>
    </xf>
    <xf numFmtId="0" fontId="20" fillId="0" borderId="0" xfId="0" applyFont="1" applyAlignment="1" applyProtection="1">
      <alignment/>
      <protection/>
    </xf>
    <xf numFmtId="0" fontId="20" fillId="0" borderId="0" xfId="0" applyFont="1" applyBorder="1" applyAlignment="1" applyProtection="1">
      <alignment/>
      <protection/>
    </xf>
    <xf numFmtId="0" fontId="0" fillId="0" borderId="0" xfId="66" applyNumberFormat="1" applyFont="1" applyFill="1" applyBorder="1" applyAlignment="1" applyProtection="1">
      <alignment horizontal="left" vertical="center"/>
      <protection/>
    </xf>
    <xf numFmtId="0" fontId="25" fillId="16" borderId="18" xfId="54" applyNumberFormat="1" applyFill="1" applyBorder="1" applyAlignment="1" applyProtection="1">
      <alignment horizontal="left" vertical="center"/>
      <protection/>
    </xf>
    <xf numFmtId="0" fontId="20" fillId="16" borderId="18" xfId="0" applyFont="1" applyFill="1" applyBorder="1" applyAlignment="1" applyProtection="1">
      <alignment/>
      <protection/>
    </xf>
    <xf numFmtId="176" fontId="20" fillId="0" borderId="18" xfId="0" applyNumberFormat="1" applyFont="1" applyBorder="1" applyAlignment="1" applyProtection="1">
      <alignment/>
      <protection/>
    </xf>
    <xf numFmtId="0" fontId="52" fillId="0" borderId="0" xfId="0" applyFont="1" applyAlignment="1" applyProtection="1">
      <alignment/>
      <protection/>
    </xf>
    <xf numFmtId="183" fontId="1" fillId="0" borderId="0" xfId="57" applyNumberFormat="1" applyAlignment="1" applyProtection="1">
      <alignment/>
      <protection/>
    </xf>
    <xf numFmtId="183" fontId="0" fillId="0" borderId="0" xfId="0" applyNumberFormat="1" applyFont="1" applyAlignment="1" applyProtection="1">
      <alignment/>
      <protection/>
    </xf>
    <xf numFmtId="0" fontId="0" fillId="0" borderId="0" xfId="66" applyNumberFormat="1" applyFont="1" applyFill="1" applyBorder="1" applyAlignment="1" applyProtection="1">
      <alignment horizontal="left" vertical="center" indent="1"/>
      <protection/>
    </xf>
    <xf numFmtId="0" fontId="0" fillId="0" borderId="0" xfId="66" applyNumberFormat="1" applyFont="1" applyFill="1" applyBorder="1" applyAlignment="1" applyProtection="1">
      <alignment horizontal="left" vertical="center" indent="1"/>
      <protection/>
    </xf>
    <xf numFmtId="0" fontId="0" fillId="0" borderId="0" xfId="66" applyFont="1" applyAlignment="1" applyProtection="1">
      <alignment horizontal="left" vertical="center" indent="1"/>
      <protection/>
    </xf>
    <xf numFmtId="0" fontId="25" fillId="16" borderId="18" xfId="54" applyFill="1" applyBorder="1" applyAlignment="1" applyProtection="1">
      <alignment horizontal="left" vertical="center"/>
      <protection/>
    </xf>
    <xf numFmtId="183" fontId="0" fillId="0" borderId="0" xfId="0" applyNumberFormat="1" applyFont="1" applyAlignment="1" applyProtection="1">
      <alignment/>
      <protection/>
    </xf>
    <xf numFmtId="0" fontId="0" fillId="0" borderId="0" xfId="0" applyFont="1" applyBorder="1" applyAlignment="1" applyProtection="1">
      <alignment vertical="center"/>
      <protection/>
    </xf>
    <xf numFmtId="167" fontId="0" fillId="0" borderId="0" xfId="0" applyNumberFormat="1" applyFont="1" applyBorder="1" applyAlignment="1" applyProtection="1">
      <alignment/>
      <protection/>
    </xf>
    <xf numFmtId="176" fontId="0" fillId="0" borderId="0" xfId="0" applyNumberFormat="1" applyFont="1" applyBorder="1" applyAlignment="1" applyProtection="1">
      <alignment/>
      <protection/>
    </xf>
    <xf numFmtId="0" fontId="26" fillId="0" borderId="9" xfId="0" applyFont="1" applyBorder="1" applyAlignment="1" applyProtection="1">
      <alignment vertical="center"/>
      <protection/>
    </xf>
    <xf numFmtId="0" fontId="0" fillId="0" borderId="9" xfId="0" applyFont="1" applyBorder="1" applyAlignment="1" applyProtection="1">
      <alignment/>
      <protection/>
    </xf>
    <xf numFmtId="0" fontId="0" fillId="0" borderId="9" xfId="0" applyFont="1" applyBorder="1" applyAlignment="1" applyProtection="1">
      <alignment vertical="center"/>
      <protection/>
    </xf>
    <xf numFmtId="167" fontId="0" fillId="0" borderId="9" xfId="0" applyNumberFormat="1" applyFont="1" applyBorder="1" applyAlignment="1" applyProtection="1">
      <alignment/>
      <protection/>
    </xf>
    <xf numFmtId="3" fontId="20" fillId="0" borderId="9" xfId="0" applyNumberFormat="1" applyFont="1" applyBorder="1" applyAlignment="1" applyProtection="1">
      <alignment/>
      <protection/>
    </xf>
    <xf numFmtId="0" fontId="0" fillId="0" borderId="0" xfId="0" applyFont="1" applyFill="1" applyAlignment="1" applyProtection="1">
      <alignment/>
      <protection/>
    </xf>
    <xf numFmtId="0" fontId="20" fillId="0" borderId="9" xfId="0" applyFont="1" applyBorder="1" applyAlignment="1" applyProtection="1">
      <alignment vertical="center"/>
      <protection/>
    </xf>
    <xf numFmtId="3" fontId="0" fillId="0" borderId="9" xfId="0" applyNumberFormat="1" applyFont="1" applyBorder="1" applyAlignment="1" applyProtection="1">
      <alignment horizontal="right"/>
      <protection/>
    </xf>
    <xf numFmtId="176" fontId="20" fillId="0" borderId="9" xfId="0" applyNumberFormat="1" applyFont="1" applyBorder="1" applyAlignment="1" applyProtection="1">
      <alignment/>
      <protection/>
    </xf>
    <xf numFmtId="176" fontId="0" fillId="0" borderId="9" xfId="0" applyNumberFormat="1" applyFont="1" applyBorder="1" applyAlignment="1" applyProtection="1">
      <alignment/>
      <protection/>
    </xf>
    <xf numFmtId="0" fontId="0" fillId="0" borderId="19" xfId="0" applyFont="1" applyBorder="1" applyAlignment="1" applyProtection="1">
      <alignment vertical="center"/>
      <protection/>
    </xf>
    <xf numFmtId="0" fontId="0" fillId="0" borderId="19" xfId="0" applyFont="1" applyBorder="1" applyAlignment="1" applyProtection="1">
      <alignment/>
      <protection/>
    </xf>
    <xf numFmtId="10" fontId="0" fillId="0" borderId="19" xfId="69" applyNumberFormat="1" applyFill="1" applyBorder="1" applyAlignment="1" applyProtection="1">
      <alignment vertical="center"/>
      <protection/>
    </xf>
    <xf numFmtId="0" fontId="26" fillId="0" borderId="20" xfId="0" applyFont="1" applyBorder="1" applyAlignment="1" applyProtection="1">
      <alignment vertical="center"/>
      <protection/>
    </xf>
    <xf numFmtId="0" fontId="0" fillId="0" borderId="21" xfId="0" applyFont="1" applyBorder="1" applyAlignment="1" applyProtection="1">
      <alignment/>
      <protection/>
    </xf>
    <xf numFmtId="167" fontId="0" fillId="0" borderId="21" xfId="0" applyNumberFormat="1" applyFont="1" applyBorder="1" applyAlignment="1" applyProtection="1">
      <alignment/>
      <protection/>
    </xf>
    <xf numFmtId="176" fontId="20" fillId="0" borderId="22" xfId="0" applyNumberFormat="1" applyFont="1" applyBorder="1" applyAlignment="1" applyProtection="1">
      <alignment/>
      <protection/>
    </xf>
    <xf numFmtId="0" fontId="0" fillId="0" borderId="23" xfId="0" applyFont="1" applyBorder="1" applyAlignment="1" applyProtection="1">
      <alignment vertical="center"/>
      <protection/>
    </xf>
    <xf numFmtId="0" fontId="0" fillId="0" borderId="23" xfId="0" applyFont="1" applyBorder="1" applyAlignment="1" applyProtection="1">
      <alignment/>
      <protection/>
    </xf>
    <xf numFmtId="167" fontId="0" fillId="0" borderId="23" xfId="0" applyNumberFormat="1" applyFont="1" applyBorder="1" applyAlignment="1" applyProtection="1">
      <alignment/>
      <protection/>
    </xf>
    <xf numFmtId="0" fontId="0" fillId="0" borderId="24" xfId="0" applyFont="1" applyBorder="1" applyAlignment="1" applyProtection="1">
      <alignment vertical="center"/>
      <protection/>
    </xf>
    <xf numFmtId="0" fontId="0" fillId="0" borderId="24" xfId="0" applyFont="1" applyBorder="1" applyAlignment="1" applyProtection="1">
      <alignment/>
      <protection/>
    </xf>
    <xf numFmtId="167" fontId="0" fillId="0" borderId="24" xfId="0" applyNumberFormat="1" applyFont="1" applyBorder="1" applyAlignment="1" applyProtection="1">
      <alignment/>
      <protection/>
    </xf>
    <xf numFmtId="0" fontId="27" fillId="0" borderId="24" xfId="0" applyFont="1" applyBorder="1" applyAlignment="1" applyProtection="1">
      <alignment vertical="center"/>
      <protection/>
    </xf>
    <xf numFmtId="0" fontId="38" fillId="0" borderId="0" xfId="0" applyFont="1" applyFill="1" applyBorder="1" applyAlignment="1" applyProtection="1">
      <alignment horizontal="left"/>
      <protection/>
    </xf>
    <xf numFmtId="0" fontId="0" fillId="0" borderId="0" xfId="0" applyAlignment="1" applyProtection="1">
      <alignment/>
      <protection/>
    </xf>
    <xf numFmtId="0" fontId="39" fillId="0" borderId="0" xfId="0" applyFont="1" applyFill="1" applyBorder="1" applyAlignment="1" applyProtection="1">
      <alignment horizontal="left"/>
      <protection/>
    </xf>
    <xf numFmtId="182" fontId="39" fillId="0" borderId="0" xfId="0" applyNumberFormat="1" applyFont="1" applyAlignment="1" applyProtection="1">
      <alignment/>
      <protection/>
    </xf>
    <xf numFmtId="183" fontId="20" fillId="0" borderId="0" xfId="0" applyNumberFormat="1" applyFont="1" applyAlignment="1" applyProtection="1">
      <alignment/>
      <protection/>
    </xf>
    <xf numFmtId="176" fontId="20" fillId="0" borderId="0" xfId="0" applyNumberFormat="1" applyFont="1" applyAlignment="1" applyProtection="1">
      <alignment/>
      <protection/>
    </xf>
    <xf numFmtId="0" fontId="28" fillId="0" borderId="0" xfId="0" applyFont="1" applyFill="1" applyBorder="1" applyAlignment="1" applyProtection="1">
      <alignment vertical="center"/>
      <protection/>
    </xf>
    <xf numFmtId="0" fontId="20" fillId="0" borderId="0" xfId="0" applyFont="1" applyAlignment="1" applyProtection="1">
      <alignment vertical="center"/>
      <protection/>
    </xf>
    <xf numFmtId="3" fontId="0" fillId="2" borderId="0" xfId="0" applyNumberFormat="1" applyFont="1" applyFill="1" applyBorder="1" applyAlignment="1" applyProtection="1">
      <alignment vertical="center"/>
      <protection/>
    </xf>
    <xf numFmtId="4" fontId="0" fillId="0" borderId="0" xfId="66" applyNumberFormat="1" applyFont="1" applyFill="1" applyBorder="1" applyProtection="1">
      <alignment/>
      <protection/>
    </xf>
    <xf numFmtId="167" fontId="0" fillId="0" borderId="0" xfId="66" applyNumberFormat="1" applyFont="1" applyFill="1" applyBorder="1" applyProtection="1">
      <alignment/>
      <protection/>
    </xf>
    <xf numFmtId="167" fontId="0" fillId="0" borderId="0" xfId="0" applyNumberFormat="1" applyFont="1" applyFill="1" applyBorder="1" applyAlignment="1" applyProtection="1">
      <alignment horizontal="left" vertical="top" wrapText="1"/>
      <protection/>
    </xf>
    <xf numFmtId="0" fontId="29" fillId="0" borderId="0" xfId="0" applyFont="1" applyBorder="1" applyAlignment="1" applyProtection="1">
      <alignment/>
      <protection/>
    </xf>
    <xf numFmtId="0" fontId="29" fillId="0" borderId="0" xfId="0" applyFont="1" applyFill="1" applyBorder="1" applyAlignment="1" applyProtection="1">
      <alignment horizontal="center"/>
      <protection/>
    </xf>
    <xf numFmtId="0" fontId="29" fillId="0" borderId="0" xfId="0" applyFont="1" applyAlignment="1" applyProtection="1">
      <alignment vertical="center"/>
      <protection/>
    </xf>
    <xf numFmtId="0" fontId="29" fillId="0" borderId="0" xfId="0" applyFont="1" applyAlignment="1" applyProtection="1">
      <alignment/>
      <protection/>
    </xf>
    <xf numFmtId="167" fontId="29" fillId="0" borderId="0" xfId="0" applyNumberFormat="1" applyFont="1" applyAlignment="1" applyProtection="1">
      <alignment/>
      <protection/>
    </xf>
    <xf numFmtId="0" fontId="53" fillId="0" borderId="0" xfId="0" applyFont="1" applyAlignment="1" applyProtection="1">
      <alignment/>
      <protection/>
    </xf>
    <xf numFmtId="0" fontId="29" fillId="0" borderId="0" xfId="0" applyFont="1" applyFill="1" applyAlignment="1" applyProtection="1">
      <alignment/>
      <protection/>
    </xf>
    <xf numFmtId="0" fontId="0" fillId="0" borderId="0" xfId="0" applyFont="1" applyFill="1" applyBorder="1" applyAlignment="1" applyProtection="1">
      <alignment/>
      <protection/>
    </xf>
    <xf numFmtId="4" fontId="0" fillId="0" borderId="0" xfId="0" applyNumberFormat="1" applyFont="1" applyFill="1" applyBorder="1" applyAlignment="1" applyProtection="1">
      <alignment/>
      <protection/>
    </xf>
    <xf numFmtId="0" fontId="0" fillId="0" borderId="0" xfId="66" applyFont="1" applyFill="1" applyBorder="1" applyAlignment="1" applyProtection="1">
      <alignment vertical="center"/>
      <protection/>
    </xf>
    <xf numFmtId="49" fontId="3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4" fontId="0" fillId="0" borderId="0" xfId="0" applyNumberFormat="1" applyFont="1" applyBorder="1" applyAlignment="1" applyProtection="1">
      <alignment/>
      <protection/>
    </xf>
    <xf numFmtId="0" fontId="0" fillId="0" borderId="25" xfId="0" applyFont="1" applyBorder="1" applyAlignment="1" applyProtection="1">
      <alignment/>
      <protection/>
    </xf>
    <xf numFmtId="0" fontId="30" fillId="0" borderId="0" xfId="66"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5" fillId="17" borderId="25" xfId="54" applyNumberFormat="1" applyFill="1" applyBorder="1" applyAlignment="1" applyProtection="1">
      <alignment vertical="center"/>
      <protection/>
    </xf>
    <xf numFmtId="0" fontId="54" fillId="0" borderId="0" xfId="0" applyFont="1" applyAlignment="1" applyProtection="1">
      <alignment/>
      <protection/>
    </xf>
    <xf numFmtId="0" fontId="30" fillId="0" borderId="0" xfId="0" applyFont="1" applyFill="1" applyAlignment="1" applyProtection="1">
      <alignment/>
      <protection/>
    </xf>
    <xf numFmtId="0" fontId="30" fillId="0" borderId="0" xfId="0" applyFont="1" applyAlignment="1" applyProtection="1">
      <alignment/>
      <protection/>
    </xf>
    <xf numFmtId="0" fontId="1" fillId="0" borderId="0" xfId="66" applyFont="1" applyFill="1" applyBorder="1" applyAlignment="1" applyProtection="1">
      <alignment vertical="center"/>
      <protection/>
    </xf>
    <xf numFmtId="3" fontId="1" fillId="0" borderId="0" xfId="0" applyNumberFormat="1" applyFont="1" applyFill="1" applyBorder="1" applyAlignment="1" applyProtection="1">
      <alignment horizontal="center" vertical="center"/>
      <protection/>
    </xf>
    <xf numFmtId="3" fontId="1" fillId="0" borderId="18" xfId="0" applyNumberFormat="1" applyFont="1" applyFill="1" applyBorder="1" applyAlignment="1" applyProtection="1">
      <alignment horizontal="left" vertical="center" wrapText="1"/>
      <protection/>
    </xf>
    <xf numFmtId="3" fontId="1" fillId="0" borderId="18" xfId="0" applyNumberFormat="1" applyFont="1" applyFill="1" applyBorder="1" applyAlignment="1" applyProtection="1">
      <alignment horizontal="left" vertical="center"/>
      <protection/>
    </xf>
    <xf numFmtId="177" fontId="1" fillId="18" borderId="18" xfId="0" applyNumberFormat="1" applyFont="1" applyFill="1" applyBorder="1" applyAlignment="1" applyProtection="1">
      <alignment vertical="center"/>
      <protection/>
    </xf>
    <xf numFmtId="177" fontId="1" fillId="0" borderId="18" xfId="0" applyNumberFormat="1" applyFont="1" applyFill="1" applyBorder="1" applyAlignment="1" applyProtection="1">
      <alignment vertical="center"/>
      <protection/>
    </xf>
    <xf numFmtId="170" fontId="0" fillId="0" borderId="0" xfId="0" applyNumberFormat="1" applyFont="1" applyFill="1" applyAlignment="1" applyProtection="1">
      <alignment/>
      <protection/>
    </xf>
    <xf numFmtId="3" fontId="1" fillId="0" borderId="18" xfId="0" applyNumberFormat="1" applyFont="1" applyBorder="1" applyAlignment="1" applyProtection="1">
      <alignment horizontal="left" vertical="center" wrapText="1"/>
      <protection/>
    </xf>
    <xf numFmtId="0" fontId="51" fillId="0" borderId="0" xfId="0" applyFont="1" applyFill="1" applyAlignment="1" applyProtection="1">
      <alignment/>
      <protection/>
    </xf>
    <xf numFmtId="170" fontId="0" fillId="0" borderId="0" xfId="0" applyNumberFormat="1" applyFont="1" applyAlignment="1" applyProtection="1">
      <alignment/>
      <protection/>
    </xf>
    <xf numFmtId="167" fontId="55" fillId="0" borderId="18" xfId="0" applyNumberFormat="1" applyFont="1" applyFill="1" applyBorder="1" applyAlignment="1" applyProtection="1">
      <alignment horizontal="left" vertical="center"/>
      <protection/>
    </xf>
    <xf numFmtId="0" fontId="1" fillId="0" borderId="0" xfId="66" applyFont="1" applyAlignment="1" applyProtection="1">
      <alignment vertical="center"/>
      <protection/>
    </xf>
    <xf numFmtId="3" fontId="1" fillId="0" borderId="0" xfId="0" applyNumberFormat="1" applyFont="1" applyAlignment="1" applyProtection="1">
      <alignment horizontal="center" vertical="center"/>
      <protection/>
    </xf>
    <xf numFmtId="3" fontId="1" fillId="0" borderId="18" xfId="0" applyNumberFormat="1" applyFont="1" applyBorder="1" applyAlignment="1" applyProtection="1">
      <alignment horizontal="left" vertical="center"/>
      <protection/>
    </xf>
    <xf numFmtId="170" fontId="0" fillId="0" borderId="0" xfId="0" applyNumberFormat="1" applyAlignment="1" applyProtection="1">
      <alignment/>
      <protection/>
    </xf>
    <xf numFmtId="177" fontId="1" fillId="0" borderId="18" xfId="0" applyNumberFormat="1" applyFont="1" applyBorder="1" applyAlignment="1" applyProtection="1">
      <alignment vertical="center"/>
      <protection/>
    </xf>
    <xf numFmtId="170" fontId="20" fillId="0" borderId="0" xfId="0" applyNumberFormat="1" applyFont="1" applyAlignment="1" applyProtection="1">
      <alignment/>
      <protection/>
    </xf>
    <xf numFmtId="0" fontId="31" fillId="6" borderId="26" xfId="66" applyFont="1" applyFill="1" applyBorder="1" applyAlignment="1" applyProtection="1">
      <alignment vertical="center" wrapText="1"/>
      <protection/>
    </xf>
    <xf numFmtId="0" fontId="1" fillId="6" borderId="27" xfId="66" applyFont="1" applyFill="1" applyBorder="1" applyProtection="1">
      <alignment/>
      <protection/>
    </xf>
    <xf numFmtId="177" fontId="1" fillId="6" borderId="27" xfId="0" applyNumberFormat="1" applyFont="1" applyFill="1" applyBorder="1" applyAlignment="1" applyProtection="1">
      <alignment/>
      <protection/>
    </xf>
    <xf numFmtId="177" fontId="1" fillId="6" borderId="22" xfId="0" applyNumberFormat="1" applyFont="1" applyFill="1" applyBorder="1" applyAlignment="1" applyProtection="1">
      <alignment/>
      <protection/>
    </xf>
    <xf numFmtId="0" fontId="0" fillId="0" borderId="0" xfId="66" applyFont="1" applyFill="1" applyBorder="1" applyAlignment="1" applyProtection="1">
      <alignment vertical="center" wrapText="1"/>
      <protection/>
    </xf>
    <xf numFmtId="0" fontId="0" fillId="0" borderId="0" xfId="66" applyFont="1" applyFill="1" applyBorder="1" applyProtection="1">
      <alignment/>
      <protection/>
    </xf>
    <xf numFmtId="3" fontId="0" fillId="0" borderId="0" xfId="0" applyNumberFormat="1" applyFont="1" applyBorder="1" applyAlignment="1" applyProtection="1">
      <alignment/>
      <protection/>
    </xf>
    <xf numFmtId="0" fontId="26" fillId="0" borderId="0" xfId="0" applyNumberFormat="1" applyFont="1" applyFill="1" applyBorder="1" applyAlignment="1" applyProtection="1">
      <alignment horizontal="center" vertical="center"/>
      <protection/>
    </xf>
    <xf numFmtId="167" fontId="51" fillId="0" borderId="0" xfId="0" applyNumberFormat="1" applyFont="1" applyBorder="1" applyAlignment="1" applyProtection="1">
      <alignment/>
      <protection/>
    </xf>
    <xf numFmtId="167" fontId="1" fillId="0" borderId="0" xfId="0" applyNumberFormat="1" applyFont="1" applyFill="1" applyBorder="1" applyAlignment="1" applyProtection="1">
      <alignment horizontal="right" vertical="center"/>
      <protection/>
    </xf>
    <xf numFmtId="0" fontId="0" fillId="0" borderId="28" xfId="66" applyFont="1" applyFill="1" applyBorder="1" applyAlignment="1" applyProtection="1">
      <alignment vertical="center" wrapText="1"/>
      <protection/>
    </xf>
    <xf numFmtId="0" fontId="20" fillId="6" borderId="26" xfId="66" applyFont="1" applyFill="1" applyBorder="1" applyAlignment="1" applyProtection="1">
      <alignment vertical="center" wrapText="1"/>
      <protection/>
    </xf>
    <xf numFmtId="0" fontId="0" fillId="6" borderId="27" xfId="66" applyFont="1" applyFill="1" applyBorder="1" applyProtection="1">
      <alignment/>
      <protection/>
    </xf>
    <xf numFmtId="167" fontId="0" fillId="6" borderId="27" xfId="0" applyNumberFormat="1" applyFont="1" applyFill="1" applyBorder="1" applyAlignment="1" applyProtection="1">
      <alignment/>
      <protection/>
    </xf>
    <xf numFmtId="0" fontId="0" fillId="0" borderId="0" xfId="0" applyFill="1" applyAlignment="1" applyProtection="1">
      <alignment/>
      <protection/>
    </xf>
    <xf numFmtId="167" fontId="55" fillId="0" borderId="18" xfId="0" applyNumberFormat="1" applyFont="1" applyBorder="1" applyAlignment="1" applyProtection="1">
      <alignment horizontal="left" vertical="center"/>
      <protection/>
    </xf>
    <xf numFmtId="3" fontId="37" fillId="0" borderId="0" xfId="0" applyNumberFormat="1" applyFont="1" applyFill="1" applyBorder="1" applyAlignment="1" applyProtection="1">
      <alignment horizontal="center" vertical="center"/>
      <protection/>
    </xf>
    <xf numFmtId="3" fontId="37" fillId="0" borderId="18" xfId="0" applyNumberFormat="1" applyFont="1" applyFill="1" applyBorder="1" applyAlignment="1" applyProtection="1">
      <alignment horizontal="left" vertical="center" wrapText="1"/>
      <protection/>
    </xf>
    <xf numFmtId="3" fontId="37" fillId="0" borderId="18" xfId="0" applyNumberFormat="1" applyFont="1" applyFill="1" applyBorder="1" applyAlignment="1" applyProtection="1">
      <alignment horizontal="left" vertical="center"/>
      <protection/>
    </xf>
    <xf numFmtId="177" fontId="37" fillId="0" borderId="18" xfId="0" applyNumberFormat="1" applyFont="1" applyFill="1" applyBorder="1" applyAlignment="1" applyProtection="1">
      <alignment vertical="center"/>
      <protection/>
    </xf>
    <xf numFmtId="3" fontId="1" fillId="0" borderId="0" xfId="0" applyNumberFormat="1" applyFont="1" applyFill="1" applyBorder="1" applyAlignment="1" applyProtection="1">
      <alignment horizontal="left" vertical="center"/>
      <protection/>
    </xf>
    <xf numFmtId="177" fontId="1" fillId="0" borderId="0" xfId="0" applyNumberFormat="1" applyFont="1" applyFill="1" applyBorder="1" applyAlignment="1" applyProtection="1">
      <alignment vertical="center"/>
      <protection/>
    </xf>
    <xf numFmtId="3" fontId="37" fillId="0" borderId="18" xfId="0" applyNumberFormat="1" applyFont="1" applyBorder="1" applyAlignment="1" applyProtection="1">
      <alignment horizontal="left" vertical="center" wrapText="1"/>
      <protection/>
    </xf>
    <xf numFmtId="3" fontId="37" fillId="0" borderId="18" xfId="0" applyNumberFormat="1" applyFont="1" applyBorder="1" applyAlignment="1" applyProtection="1">
      <alignment horizontal="left" vertical="center"/>
      <protection/>
    </xf>
    <xf numFmtId="177" fontId="37" fillId="0" borderId="18" xfId="0" applyNumberFormat="1" applyFont="1" applyBorder="1" applyAlignment="1" applyProtection="1">
      <alignment vertical="center"/>
      <protection/>
    </xf>
    <xf numFmtId="0" fontId="0" fillId="0" borderId="28" xfId="66" applyFont="1" applyFill="1" applyBorder="1" applyAlignment="1" applyProtection="1">
      <alignment vertical="center" wrapText="1"/>
      <protection/>
    </xf>
    <xf numFmtId="0" fontId="0" fillId="0" borderId="28" xfId="66" applyBorder="1" applyAlignment="1" applyProtection="1">
      <alignment vertical="center" wrapText="1"/>
      <protection/>
    </xf>
    <xf numFmtId="0" fontId="0" fillId="0" borderId="28" xfId="66" applyFont="1" applyBorder="1" applyAlignment="1" applyProtection="1">
      <alignment vertical="center" wrapText="1"/>
      <protection/>
    </xf>
    <xf numFmtId="0" fontId="26" fillId="0" borderId="0" xfId="0" applyFont="1" applyAlignment="1" applyProtection="1">
      <alignment horizontal="center" vertical="center"/>
      <protection/>
    </xf>
    <xf numFmtId="0" fontId="26" fillId="0" borderId="0" xfId="0" applyFont="1" applyAlignment="1" applyProtection="1">
      <alignment horizontal="center" vertical="center"/>
      <protection/>
    </xf>
    <xf numFmtId="3" fontId="1" fillId="0" borderId="0" xfId="0" applyNumberFormat="1" applyFont="1" applyAlignment="1" applyProtection="1">
      <alignment horizontal="left" vertical="center"/>
      <protection/>
    </xf>
    <xf numFmtId="177" fontId="1" fillId="0" borderId="0" xfId="0" applyNumberFormat="1" applyFont="1" applyAlignment="1" applyProtection="1">
      <alignment vertical="center"/>
      <protection/>
    </xf>
    <xf numFmtId="167" fontId="0" fillId="6" borderId="27" xfId="0" applyNumberFormat="1" applyFill="1" applyBorder="1" applyAlignment="1" applyProtection="1">
      <alignment/>
      <protection/>
    </xf>
    <xf numFmtId="0" fontId="26" fillId="0" borderId="0" xfId="0" applyFont="1" applyFill="1" applyAlignment="1" applyProtection="1">
      <alignment horizontal="center" vertical="center"/>
      <protection/>
    </xf>
    <xf numFmtId="0" fontId="0" fillId="0" borderId="0" xfId="0" applyFont="1" applyAlignment="1" applyProtection="1">
      <alignment wrapText="1"/>
      <protection/>
    </xf>
    <xf numFmtId="0" fontId="25" fillId="0" borderId="0" xfId="54" applyAlignment="1" applyProtection="1">
      <alignment/>
      <protection/>
    </xf>
    <xf numFmtId="3" fontId="37" fillId="0" borderId="0" xfId="0" applyNumberFormat="1" applyFont="1" applyAlignment="1" applyProtection="1">
      <alignment horizontal="center" vertical="center"/>
      <protection/>
    </xf>
    <xf numFmtId="3" fontId="1" fillId="0" borderId="0" xfId="0" applyNumberFormat="1" applyFont="1" applyFill="1" applyBorder="1" applyAlignment="1" applyProtection="1">
      <alignment horizontal="left" vertical="center" wrapText="1"/>
      <protection/>
    </xf>
    <xf numFmtId="0" fontId="56" fillId="0" borderId="0" xfId="0" applyFont="1" applyAlignment="1" applyProtection="1">
      <alignment horizontal="center" vertical="center"/>
      <protection locked="0"/>
    </xf>
    <xf numFmtId="0" fontId="57" fillId="0" borderId="0" xfId="0" applyFont="1" applyAlignment="1" applyProtection="1">
      <alignment horizontal="center" vertical="center"/>
      <protection locked="0"/>
    </xf>
    <xf numFmtId="0" fontId="56" fillId="0" borderId="0" xfId="0" applyFont="1" applyFill="1" applyAlignment="1" applyProtection="1">
      <alignment horizontal="center" vertical="center"/>
      <protection locked="0"/>
    </xf>
    <xf numFmtId="0" fontId="58" fillId="0" borderId="0" xfId="0" applyFont="1" applyAlignment="1" applyProtection="1">
      <alignment horizontal="center" vertical="center"/>
      <protection locked="0"/>
    </xf>
    <xf numFmtId="0" fontId="59" fillId="0" borderId="0" xfId="0" applyFont="1" applyFill="1" applyAlignment="1" applyProtection="1">
      <alignment horizontal="center" vertical="center"/>
      <protection locked="0"/>
    </xf>
    <xf numFmtId="167" fontId="56" fillId="0" borderId="0" xfId="0" applyNumberFormat="1" applyFont="1" applyFill="1" applyBorder="1" applyAlignment="1" applyProtection="1">
      <alignment horizontal="center" vertical="center"/>
      <protection locked="0"/>
    </xf>
    <xf numFmtId="0" fontId="0" fillId="0" borderId="0" xfId="0" applyAlignment="1" applyProtection="1">
      <alignment/>
      <protection locked="0"/>
    </xf>
    <xf numFmtId="0" fontId="34" fillId="0" borderId="0" xfId="0" applyFont="1" applyAlignment="1" applyProtection="1">
      <alignment/>
      <protection/>
    </xf>
    <xf numFmtId="0" fontId="35" fillId="0" borderId="0" xfId="0" applyFont="1" applyAlignment="1" applyProtection="1">
      <alignment/>
      <protection/>
    </xf>
    <xf numFmtId="0" fontId="35" fillId="0" borderId="0" xfId="0" applyFont="1" applyAlignment="1" applyProtection="1">
      <alignment horizontal="center"/>
      <protection/>
    </xf>
    <xf numFmtId="0" fontId="34" fillId="0" borderId="29" xfId="0" applyFont="1" applyBorder="1" applyAlignment="1" applyProtection="1">
      <alignment/>
      <protection/>
    </xf>
    <xf numFmtId="0" fontId="36" fillId="0" borderId="0" xfId="0" applyFont="1" applyAlignment="1" applyProtection="1">
      <alignment/>
      <protection/>
    </xf>
    <xf numFmtId="4" fontId="35" fillId="0" borderId="0" xfId="0" applyNumberFormat="1" applyFont="1" applyAlignment="1" applyProtection="1">
      <alignment/>
      <protection/>
    </xf>
    <xf numFmtId="0" fontId="19" fillId="0" borderId="0" xfId="0" applyFont="1" applyAlignment="1" applyProtection="1">
      <alignment/>
      <protection/>
    </xf>
    <xf numFmtId="2" fontId="19" fillId="0" borderId="0" xfId="0" applyNumberFormat="1" applyFont="1" applyAlignment="1" applyProtection="1">
      <alignment/>
      <protection/>
    </xf>
    <xf numFmtId="4" fontId="36" fillId="0" borderId="0" xfId="0" applyNumberFormat="1" applyFont="1" applyAlignment="1" applyProtection="1">
      <alignment/>
      <protection/>
    </xf>
    <xf numFmtId="0" fontId="35" fillId="0" borderId="0" xfId="0" applyFont="1" applyAlignment="1" applyProtection="1">
      <alignment wrapText="1"/>
      <protection/>
    </xf>
    <xf numFmtId="4" fontId="60" fillId="0" borderId="0" xfId="0" applyNumberFormat="1" applyFont="1" applyAlignment="1" applyProtection="1">
      <alignment/>
      <protection/>
    </xf>
    <xf numFmtId="0" fontId="60" fillId="0" borderId="0" xfId="0" applyFont="1" applyAlignment="1" applyProtection="1">
      <alignment/>
      <protection/>
    </xf>
    <xf numFmtId="9" fontId="36" fillId="0" borderId="0" xfId="70" applyFont="1" applyAlignment="1" applyProtection="1">
      <alignment/>
      <protection/>
    </xf>
    <xf numFmtId="9" fontId="35" fillId="0" borderId="0" xfId="70" applyFont="1" applyAlignment="1" applyProtection="1">
      <alignment/>
      <protection/>
    </xf>
    <xf numFmtId="0" fontId="36" fillId="0" borderId="29" xfId="0" applyFont="1" applyBorder="1" applyAlignment="1" applyProtection="1">
      <alignment/>
      <protection/>
    </xf>
    <xf numFmtId="0" fontId="35" fillId="0" borderId="29" xfId="0" applyFont="1" applyBorder="1" applyAlignment="1" applyProtection="1">
      <alignment/>
      <protection/>
    </xf>
    <xf numFmtId="4" fontId="36" fillId="0" borderId="29" xfId="0" applyNumberFormat="1" applyFont="1" applyBorder="1" applyAlignment="1" applyProtection="1">
      <alignment/>
      <protection/>
    </xf>
    <xf numFmtId="0" fontId="0" fillId="0" borderId="0" xfId="0" applyAlignment="1" applyProtection="1">
      <alignment horizontal="left" vertical="center" wrapText="1"/>
      <protection/>
    </xf>
    <xf numFmtId="3" fontId="0" fillId="0" borderId="0" xfId="0" applyNumberFormat="1" applyAlignment="1" applyProtection="1">
      <alignment horizontal="left" vertical="center"/>
      <protection/>
    </xf>
    <xf numFmtId="0" fontId="0" fillId="0" borderId="0" xfId="0" applyAlignment="1" applyProtection="1">
      <alignment horizontal="center"/>
      <protection/>
    </xf>
    <xf numFmtId="3" fontId="1" fillId="0" borderId="0" xfId="0" applyNumberFormat="1" applyFont="1" applyAlignment="1">
      <alignment horizontal="center" vertical="center"/>
    </xf>
    <xf numFmtId="3" fontId="1" fillId="0" borderId="18" xfId="0" applyNumberFormat="1" applyFont="1" applyBorder="1" applyAlignment="1">
      <alignment horizontal="left" vertical="center" wrapText="1"/>
    </xf>
    <xf numFmtId="3" fontId="1" fillId="0" borderId="18" xfId="0" applyNumberFormat="1" applyFont="1" applyBorder="1" applyAlignment="1">
      <alignment horizontal="left" vertical="center"/>
    </xf>
    <xf numFmtId="177" fontId="1" fillId="0" borderId="18" xfId="0" applyNumberFormat="1" applyFont="1" applyBorder="1" applyAlignment="1">
      <alignment vertical="center"/>
    </xf>
    <xf numFmtId="0" fontId="1" fillId="0" borderId="0" xfId="66" applyFont="1" applyAlignment="1">
      <alignment vertical="center"/>
      <protection/>
    </xf>
    <xf numFmtId="177" fontId="1" fillId="0" borderId="18" xfId="0" applyNumberFormat="1" applyFont="1" applyFill="1" applyBorder="1" applyAlignment="1">
      <alignment vertical="center"/>
    </xf>
    <xf numFmtId="0" fontId="0" fillId="0" borderId="0" xfId="0" applyFont="1" applyAlignment="1" applyProtection="1">
      <alignment horizontal="center" vertical="center"/>
      <protection locked="0"/>
    </xf>
    <xf numFmtId="0" fontId="51" fillId="0" borderId="0" xfId="0" applyFont="1" applyFill="1" applyAlignment="1" applyProtection="1">
      <alignment horizontal="center" vertical="center"/>
      <protection locked="0"/>
    </xf>
    <xf numFmtId="0" fontId="0" fillId="19" borderId="0" xfId="0" applyFont="1" applyFill="1" applyAlignment="1" applyProtection="1">
      <alignment vertical="center"/>
      <protection/>
    </xf>
    <xf numFmtId="177" fontId="0" fillId="0" borderId="0" xfId="0" applyNumberFormat="1" applyAlignment="1" applyProtection="1">
      <alignment/>
      <protection/>
    </xf>
    <xf numFmtId="0" fontId="51" fillId="0" borderId="0" xfId="0" applyFont="1" applyAlignment="1" applyProtection="1">
      <alignment/>
      <protection locked="0"/>
    </xf>
    <xf numFmtId="0" fontId="51" fillId="0" borderId="0" xfId="0" applyFont="1" applyAlignment="1" applyProtection="1">
      <alignment horizontal="left" vertical="center"/>
      <protection locked="0"/>
    </xf>
    <xf numFmtId="177" fontId="51" fillId="0" borderId="0" xfId="0" applyNumberFormat="1" applyFont="1" applyFill="1" applyAlignment="1" applyProtection="1">
      <alignment horizontal="center" vertical="center"/>
      <protection locked="0"/>
    </xf>
    <xf numFmtId="177" fontId="51" fillId="0" borderId="0" xfId="0" applyNumberFormat="1" applyFont="1" applyAlignment="1" applyProtection="1">
      <alignment horizontal="center" vertical="center"/>
      <protection locked="0"/>
    </xf>
    <xf numFmtId="0" fontId="51" fillId="0" borderId="0" xfId="0" applyFont="1" applyAlignment="1" applyProtection="1">
      <alignment horizontal="center" vertical="center"/>
      <protection locked="0"/>
    </xf>
    <xf numFmtId="0" fontId="51" fillId="0" borderId="0" xfId="0" applyFont="1" applyFill="1" applyAlignment="1" applyProtection="1">
      <alignment horizontal="left" vertical="center"/>
      <protection locked="0"/>
    </xf>
    <xf numFmtId="176" fontId="56" fillId="0" borderId="0" xfId="0" applyNumberFormat="1" applyFont="1" applyAlignment="1" applyProtection="1">
      <alignment horizontal="center" vertical="center"/>
      <protection locked="0"/>
    </xf>
    <xf numFmtId="170" fontId="19" fillId="0" borderId="10" xfId="0" applyNumberFormat="1" applyFont="1" applyBorder="1" applyAlignment="1" applyProtection="1">
      <alignment horizontal="right"/>
      <protection/>
    </xf>
    <xf numFmtId="170" fontId="0" fillId="0" borderId="13" xfId="0" applyNumberFormat="1" applyFont="1" applyBorder="1" applyAlignment="1" applyProtection="1">
      <alignment/>
      <protection/>
    </xf>
    <xf numFmtId="170" fontId="0" fillId="0" borderId="16" xfId="0" applyNumberFormat="1" applyFont="1" applyBorder="1" applyAlignment="1" applyProtection="1">
      <alignment/>
      <protection/>
    </xf>
    <xf numFmtId="170" fontId="20" fillId="0" borderId="18" xfId="0" applyNumberFormat="1" applyFont="1" applyBorder="1" applyAlignment="1" applyProtection="1">
      <alignment/>
      <protection/>
    </xf>
    <xf numFmtId="170" fontId="0" fillId="0" borderId="0" xfId="0" applyNumberFormat="1" applyFont="1" applyBorder="1" applyAlignment="1" applyProtection="1">
      <alignment/>
      <protection/>
    </xf>
    <xf numFmtId="170" fontId="27" fillId="0" borderId="9" xfId="0" applyNumberFormat="1" applyFont="1" applyBorder="1" applyAlignment="1" applyProtection="1">
      <alignment/>
      <protection/>
    </xf>
    <xf numFmtId="170" fontId="0" fillId="0" borderId="9" xfId="0" applyNumberFormat="1" applyFont="1" applyBorder="1" applyAlignment="1" applyProtection="1">
      <alignment/>
      <protection/>
    </xf>
    <xf numFmtId="170" fontId="0" fillId="0" borderId="19" xfId="0" applyNumberFormat="1" applyFont="1" applyBorder="1" applyAlignment="1" applyProtection="1">
      <alignment/>
      <protection/>
    </xf>
    <xf numFmtId="170" fontId="0" fillId="0" borderId="21" xfId="0" applyNumberFormat="1" applyFont="1" applyBorder="1" applyAlignment="1" applyProtection="1">
      <alignment/>
      <protection/>
    </xf>
    <xf numFmtId="170" fontId="0" fillId="0" borderId="23" xfId="0" applyNumberFormat="1" applyFont="1" applyBorder="1" applyAlignment="1" applyProtection="1">
      <alignment/>
      <protection/>
    </xf>
    <xf numFmtId="170" fontId="0" fillId="0" borderId="24" xfId="0" applyNumberFormat="1" applyFont="1" applyBorder="1" applyAlignment="1" applyProtection="1">
      <alignment/>
      <protection/>
    </xf>
    <xf numFmtId="170" fontId="0" fillId="0" borderId="0" xfId="66" applyNumberFormat="1" applyFont="1" applyFill="1" applyBorder="1" applyProtection="1">
      <alignment/>
      <protection/>
    </xf>
    <xf numFmtId="170" fontId="29" fillId="0" borderId="0" xfId="0" applyNumberFormat="1" applyFont="1" applyAlignment="1" applyProtection="1">
      <alignment/>
      <protection/>
    </xf>
    <xf numFmtId="170" fontId="0" fillId="0" borderId="0" xfId="0" applyNumberFormat="1" applyFont="1" applyFill="1" applyBorder="1" applyAlignment="1" applyProtection="1">
      <alignment horizontal="left" vertical="top" wrapText="1"/>
      <protection/>
    </xf>
    <xf numFmtId="170" fontId="0" fillId="0" borderId="0" xfId="0" applyNumberFormat="1" applyFont="1" applyFill="1" applyBorder="1" applyAlignment="1" applyProtection="1">
      <alignment/>
      <protection/>
    </xf>
    <xf numFmtId="170" fontId="1" fillId="0" borderId="18" xfId="0" applyNumberFormat="1" applyFont="1" applyFill="1" applyBorder="1" applyAlignment="1" applyProtection="1">
      <alignment horizontal="right" vertical="center"/>
      <protection/>
    </xf>
    <xf numFmtId="170" fontId="1" fillId="0" borderId="18" xfId="0" applyNumberFormat="1" applyFont="1" applyBorder="1" applyAlignment="1" applyProtection="1">
      <alignment horizontal="right" vertical="center"/>
      <protection/>
    </xf>
    <xf numFmtId="170" fontId="1" fillId="6" borderId="27" xfId="0" applyNumberFormat="1" applyFont="1" applyFill="1" applyBorder="1" applyAlignment="1" applyProtection="1">
      <alignment/>
      <protection/>
    </xf>
    <xf numFmtId="170" fontId="0" fillId="6" borderId="27" xfId="0" applyNumberFormat="1" applyFont="1" applyFill="1" applyBorder="1" applyAlignment="1" applyProtection="1">
      <alignment/>
      <protection/>
    </xf>
    <xf numFmtId="170" fontId="37" fillId="0" borderId="18" xfId="0" applyNumberFormat="1" applyFont="1" applyFill="1" applyBorder="1" applyAlignment="1" applyProtection="1">
      <alignment horizontal="right" vertical="center"/>
      <protection/>
    </xf>
    <xf numFmtId="170" fontId="37" fillId="0" borderId="18" xfId="0" applyNumberFormat="1" applyFont="1" applyBorder="1" applyAlignment="1" applyProtection="1">
      <alignment horizontal="right" vertical="center"/>
      <protection/>
    </xf>
    <xf numFmtId="170" fontId="25" fillId="17" borderId="25" xfId="54" applyNumberFormat="1" applyFill="1" applyBorder="1" applyAlignment="1" applyProtection="1">
      <alignment vertical="center"/>
      <protection/>
    </xf>
    <xf numFmtId="170" fontId="0" fillId="6" borderId="27" xfId="0" applyNumberFormat="1" applyFill="1" applyBorder="1" applyAlignment="1" applyProtection="1">
      <alignment/>
      <protection/>
    </xf>
    <xf numFmtId="170" fontId="1" fillId="0" borderId="18" xfId="0" applyNumberFormat="1" applyFont="1" applyBorder="1" applyAlignment="1">
      <alignment horizontal="right" vertical="center"/>
    </xf>
    <xf numFmtId="170" fontId="1" fillId="0" borderId="0" xfId="0" applyNumberFormat="1" applyFont="1" applyFill="1" applyBorder="1" applyAlignment="1" applyProtection="1">
      <alignment horizontal="right" vertical="center"/>
      <protection/>
    </xf>
    <xf numFmtId="0" fontId="56" fillId="19" borderId="0" xfId="0" applyFont="1" applyFill="1" applyAlignment="1" applyProtection="1">
      <alignment horizontal="center" vertical="center"/>
      <protection locked="0"/>
    </xf>
    <xf numFmtId="0" fontId="1" fillId="0" borderId="0" xfId="66" applyFont="1" applyFill="1" applyBorder="1" applyAlignment="1">
      <alignment vertical="center"/>
      <protection/>
    </xf>
    <xf numFmtId="3" fontId="1" fillId="0" borderId="0" xfId="0" applyNumberFormat="1" applyFont="1" applyFill="1" applyBorder="1" applyAlignment="1">
      <alignment horizontal="center" vertical="center"/>
    </xf>
    <xf numFmtId="3" fontId="1" fillId="0" borderId="18" xfId="0" applyNumberFormat="1" applyFont="1" applyFill="1" applyBorder="1" applyAlignment="1">
      <alignment horizontal="left" vertical="center" wrapText="1"/>
    </xf>
    <xf numFmtId="3" fontId="1" fillId="0" borderId="18" xfId="0" applyNumberFormat="1" applyFont="1" applyFill="1" applyBorder="1" applyAlignment="1">
      <alignment horizontal="left" vertical="center"/>
    </xf>
    <xf numFmtId="167" fontId="1" fillId="0" borderId="18" xfId="0" applyNumberFormat="1" applyFont="1" applyFill="1" applyBorder="1" applyAlignment="1">
      <alignment horizontal="right" vertical="center"/>
    </xf>
    <xf numFmtId="0" fontId="41" fillId="19" borderId="0" xfId="0" applyFont="1" applyFill="1" applyAlignment="1" applyProtection="1">
      <alignment horizontal="center" vertical="center"/>
      <protection locked="0"/>
    </xf>
    <xf numFmtId="0" fontId="0" fillId="0" borderId="0" xfId="0" applyFont="1" applyAlignment="1">
      <alignment/>
    </xf>
    <xf numFmtId="170" fontId="0" fillId="0" borderId="0" xfId="0" applyNumberFormat="1" applyFont="1" applyAlignment="1">
      <alignment/>
    </xf>
    <xf numFmtId="0" fontId="0" fillId="0" borderId="0" xfId="0" applyFont="1" applyAlignment="1" applyProtection="1">
      <alignment/>
      <protection locked="0"/>
    </xf>
    <xf numFmtId="0" fontId="40" fillId="0" borderId="0" xfId="0" applyFont="1" applyAlignment="1">
      <alignment/>
    </xf>
    <xf numFmtId="0" fontId="0" fillId="0" borderId="0" xfId="0" applyFont="1" applyFill="1" applyAlignment="1">
      <alignment/>
    </xf>
    <xf numFmtId="0" fontId="0" fillId="20" borderId="0" xfId="0" applyFill="1" applyAlignment="1" applyProtection="1">
      <alignment/>
      <protection/>
    </xf>
    <xf numFmtId="0" fontId="51" fillId="20" borderId="0" xfId="0" applyFont="1" applyFill="1" applyAlignment="1" applyProtection="1">
      <alignment/>
      <protection/>
    </xf>
    <xf numFmtId="183" fontId="0" fillId="0" borderId="0" xfId="0" applyNumberFormat="1" applyFont="1" applyAlignment="1" applyProtection="1">
      <alignment/>
      <protection/>
    </xf>
    <xf numFmtId="166" fontId="56" fillId="0" borderId="0" xfId="0" applyNumberFormat="1" applyFont="1" applyAlignment="1" applyProtection="1">
      <alignment horizontal="center" vertical="center"/>
      <protection locked="0"/>
    </xf>
    <xf numFmtId="0" fontId="19" fillId="0" borderId="10" xfId="0" applyFont="1" applyBorder="1" applyAlignment="1" applyProtection="1">
      <alignment horizontal="right"/>
      <protection locked="0"/>
    </xf>
    <xf numFmtId="0" fontId="20" fillId="0" borderId="0" xfId="0" applyFont="1" applyAlignment="1" applyProtection="1">
      <alignment/>
      <protection locked="0"/>
    </xf>
    <xf numFmtId="0" fontId="29" fillId="0" borderId="0" xfId="0" applyFont="1" applyAlignment="1" applyProtection="1">
      <alignment/>
      <protection locked="0"/>
    </xf>
    <xf numFmtId="0" fontId="30" fillId="0" borderId="0" xfId="0" applyFont="1" applyAlignment="1" applyProtection="1">
      <alignment/>
      <protection locked="0"/>
    </xf>
    <xf numFmtId="0" fontId="25" fillId="17" borderId="25" xfId="54" applyFill="1" applyBorder="1" applyAlignment="1" applyProtection="1">
      <alignment vertical="center"/>
      <protection/>
    </xf>
    <xf numFmtId="3" fontId="33" fillId="21" borderId="25" xfId="0" applyNumberFormat="1" applyFont="1" applyFill="1" applyBorder="1" applyAlignment="1" applyProtection="1">
      <alignment horizontal="left" vertical="center" wrapText="1"/>
      <protection/>
    </xf>
    <xf numFmtId="3" fontId="1" fillId="22" borderId="25" xfId="0" applyNumberFormat="1" applyFont="1" applyFill="1" applyBorder="1" applyAlignment="1" applyProtection="1">
      <alignment horizontal="left" vertical="center" wrapText="1"/>
      <protection/>
    </xf>
    <xf numFmtId="167" fontId="0" fillId="0" borderId="0" xfId="0" applyNumberFormat="1" applyFont="1" applyFill="1" applyBorder="1" applyAlignment="1" applyProtection="1">
      <alignment horizontal="left" vertical="top" wrapText="1"/>
      <protection/>
    </xf>
    <xf numFmtId="0" fontId="25" fillId="17" borderId="25" xfId="54" applyNumberFormat="1" applyFill="1" applyBorder="1" applyAlignment="1" applyProtection="1">
      <alignment vertical="center"/>
      <protection/>
    </xf>
    <xf numFmtId="0" fontId="22" fillId="0" borderId="30" xfId="0" applyFont="1" applyBorder="1" applyAlignment="1" applyProtection="1">
      <alignment horizontal="center" vertical="center" wrapText="1"/>
      <protection/>
    </xf>
    <xf numFmtId="0" fontId="22" fillId="0" borderId="31" xfId="0" applyFont="1" applyBorder="1" applyAlignment="1" applyProtection="1">
      <alignment horizontal="center" vertical="center" wrapText="1"/>
      <protection/>
    </xf>
    <xf numFmtId="0" fontId="22" fillId="0" borderId="32" xfId="0" applyFont="1" applyBorder="1" applyAlignment="1" applyProtection="1">
      <alignment horizontal="center" vertical="center" wrapText="1"/>
      <protection/>
    </xf>
    <xf numFmtId="0" fontId="22" fillId="0" borderId="12" xfId="0" applyFont="1" applyBorder="1" applyAlignment="1" applyProtection="1">
      <alignment horizontal="left" vertical="center" wrapText="1"/>
      <protection/>
    </xf>
    <xf numFmtId="0" fontId="22" fillId="0" borderId="13" xfId="0" applyFont="1" applyBorder="1" applyAlignment="1" applyProtection="1">
      <alignment horizontal="left" vertical="center" wrapText="1"/>
      <protection/>
    </xf>
    <xf numFmtId="0" fontId="22" fillId="0" borderId="14" xfId="0" applyFont="1" applyBorder="1" applyAlignment="1" applyProtection="1">
      <alignment horizontal="left" vertical="center" wrapText="1"/>
      <protection/>
    </xf>
    <xf numFmtId="167" fontId="0" fillId="0" borderId="0" xfId="0" applyNumberFormat="1" applyFill="1" applyBorder="1" applyAlignment="1" applyProtection="1">
      <alignment horizontal="left" vertical="top" wrapText="1"/>
      <protection/>
    </xf>
    <xf numFmtId="167" fontId="0" fillId="0" borderId="0" xfId="0" applyNumberFormat="1" applyFont="1" applyFill="1" applyBorder="1" applyAlignment="1" applyProtection="1">
      <alignment horizontal="left" vertical="top"/>
      <protection/>
    </xf>
    <xf numFmtId="176" fontId="27" fillId="0" borderId="9" xfId="0" applyNumberFormat="1" applyFont="1" applyBorder="1" applyAlignment="1" applyProtection="1">
      <alignment horizontal="right"/>
      <protection/>
    </xf>
    <xf numFmtId="176" fontId="27" fillId="0" borderId="27" xfId="0" applyNumberFormat="1" applyFont="1" applyBorder="1" applyAlignment="1" applyProtection="1">
      <alignment horizontal="right"/>
      <protection/>
    </xf>
    <xf numFmtId="3" fontId="33" fillId="22" borderId="33" xfId="0" applyNumberFormat="1" applyFont="1" applyFill="1" applyBorder="1" applyAlignment="1" applyProtection="1">
      <alignment horizontal="left" vertical="center" wrapText="1"/>
      <protection/>
    </xf>
    <xf numFmtId="3" fontId="0" fillId="0" borderId="0" xfId="0" applyNumberFormat="1" applyFill="1" applyBorder="1" applyAlignment="1" applyProtection="1">
      <alignment horizontal="left" vertical="center" wrapText="1"/>
      <protection/>
    </xf>
    <xf numFmtId="3" fontId="0" fillId="0" borderId="0" xfId="0" applyNumberFormat="1" applyFont="1" applyFill="1" applyBorder="1" applyAlignment="1" applyProtection="1">
      <alignment horizontal="left" vertical="center" wrapText="1"/>
      <protection/>
    </xf>
    <xf numFmtId="0" fontId="1" fillId="0" borderId="0" xfId="0" applyFont="1" applyAlignment="1" applyProtection="1">
      <alignment horizontal="justify"/>
      <protection/>
    </xf>
    <xf numFmtId="0" fontId="25" fillId="17" borderId="34" xfId="54" applyNumberFormat="1" applyFill="1" applyBorder="1" applyAlignment="1" applyProtection="1">
      <alignment vertical="center"/>
      <protection/>
    </xf>
    <xf numFmtId="167" fontId="0" fillId="0" borderId="0" xfId="0" applyNumberFormat="1" applyAlignment="1" applyProtection="1">
      <alignment horizontal="left" vertical="top" wrapText="1"/>
      <protection/>
    </xf>
    <xf numFmtId="0" fontId="34" fillId="0" borderId="0" xfId="0" applyFont="1" applyAlignment="1" applyProtection="1">
      <alignment/>
      <protection/>
    </xf>
    <xf numFmtId="0" fontId="0" fillId="0" borderId="0" xfId="0" applyAlignment="1" applyProtection="1">
      <alignment/>
      <protection/>
    </xf>
    <xf numFmtId="167" fontId="0" fillId="0" borderId="0" xfId="0" applyNumberFormat="1" applyAlignment="1" applyProtection="1">
      <alignment vertical="top" wrapText="1"/>
      <protection/>
    </xf>
    <xf numFmtId="0" fontId="0" fillId="0" borderId="0" xfId="0" applyAlignment="1" applyProtection="1">
      <alignment horizontal="left" vertical="center" wrapText="1"/>
      <protection/>
    </xf>
    <xf numFmtId="3" fontId="0" fillId="2" borderId="0" xfId="0" applyNumberFormat="1" applyFill="1" applyAlignment="1" applyProtection="1">
      <alignment horizontal="left" vertical="center"/>
      <protection/>
    </xf>
    <xf numFmtId="167" fontId="0" fillId="0" borderId="0" xfId="0" applyNumberFormat="1" applyAlignment="1" applyProtection="1">
      <alignment horizontal="left" vertical="top"/>
      <protection/>
    </xf>
    <xf numFmtId="3" fontId="0" fillId="0" borderId="0" xfId="0" applyNumberFormat="1" applyAlignment="1" applyProtection="1">
      <alignment horizontal="left" vertical="center"/>
      <protection/>
    </xf>
    <xf numFmtId="0" fontId="35" fillId="0" borderId="0" xfId="0" applyFont="1" applyAlignment="1" applyProtection="1">
      <alignment/>
      <protection locked="0"/>
    </xf>
    <xf numFmtId="4" fontId="35" fillId="23" borderId="0" xfId="0" applyNumberFormat="1" applyFont="1" applyFill="1" applyAlignment="1" applyProtection="1">
      <alignment/>
      <protection locked="0"/>
    </xf>
    <xf numFmtId="2" fontId="19" fillId="23" borderId="0" xfId="0" applyNumberFormat="1" applyFont="1" applyFill="1" applyAlignment="1" applyProtection="1">
      <alignment/>
      <protection locked="0"/>
    </xf>
    <xf numFmtId="166" fontId="1" fillId="18" borderId="9" xfId="0" applyNumberFormat="1" applyFont="1" applyFill="1" applyBorder="1" applyAlignment="1" applyProtection="1">
      <alignment vertical="center"/>
      <protection locked="0"/>
    </xf>
    <xf numFmtId="177" fontId="1" fillId="18" borderId="18" xfId="0" applyNumberFormat="1" applyFont="1" applyFill="1" applyBorder="1" applyAlignment="1" applyProtection="1">
      <alignment vertical="center"/>
      <protection locked="0"/>
    </xf>
    <xf numFmtId="166" fontId="1" fillId="18" borderId="18" xfId="0" applyNumberFormat="1" applyFont="1" applyFill="1" applyBorder="1" applyAlignment="1" applyProtection="1">
      <alignment vertical="center"/>
      <protection locked="0"/>
    </xf>
    <xf numFmtId="177" fontId="37" fillId="18" borderId="18" xfId="0" applyNumberFormat="1" applyFont="1" applyFill="1" applyBorder="1" applyAlignment="1" applyProtection="1">
      <alignment vertical="center"/>
      <protection locked="0"/>
    </xf>
    <xf numFmtId="166" fontId="1" fillId="18" borderId="0" xfId="0" applyNumberFormat="1" applyFont="1" applyFill="1" applyBorder="1" applyAlignment="1" applyProtection="1">
      <alignment vertical="center"/>
      <protection locked="0"/>
    </xf>
    <xf numFmtId="9" fontId="0" fillId="18" borderId="18" xfId="69" applyFill="1" applyBorder="1" applyAlignment="1" applyProtection="1">
      <alignment vertical="center"/>
      <protection locked="0"/>
    </xf>
    <xf numFmtId="166" fontId="1" fillId="18" borderId="0" xfId="0" applyNumberFormat="1" applyFont="1" applyFill="1" applyAlignment="1" applyProtection="1">
      <alignment vertical="center"/>
      <protection locked="0"/>
    </xf>
    <xf numFmtId="177" fontId="61" fillId="18" borderId="18" xfId="0" applyNumberFormat="1" applyFont="1" applyFill="1" applyBorder="1" applyAlignment="1" applyProtection="1">
      <alignment vertical="center"/>
      <protection locked="0"/>
    </xf>
  </cellXfs>
  <cellStyles count="7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_BRILSTAR" xfId="66"/>
    <cellStyle name="Followed Hyperlink" xfId="67"/>
    <cellStyle name="Poznámka" xfId="68"/>
    <cellStyle name="Percent" xfId="69"/>
    <cellStyle name="Procenta 2" xfId="70"/>
    <cellStyle name="Propojená buňka" xfId="71"/>
    <cellStyle name="Správně" xfId="72"/>
    <cellStyle name="Špatně" xfId="73"/>
    <cellStyle name="TableStyleLight1" xfId="74"/>
    <cellStyle name="TableStyleLight1 2" xfId="75"/>
    <cellStyle name="TableStyleLight1 3" xfId="76"/>
    <cellStyle name="TableStyleLight1 4" xfId="77"/>
    <cellStyle name="Text upozornění" xfId="78"/>
    <cellStyle name="Title" xfId="79"/>
    <cellStyle name="Total" xfId="80"/>
    <cellStyle name="Vstup" xfId="81"/>
    <cellStyle name="Výpočet" xfId="82"/>
    <cellStyle name="Výstup" xfId="83"/>
    <cellStyle name="Vysvětlující text" xfId="84"/>
    <cellStyle name="Warning Text" xfId="85"/>
    <cellStyle name="Zvýraznění 1" xfId="86"/>
    <cellStyle name="Zvýraznění 2" xfId="87"/>
    <cellStyle name="Zvýraznění 3" xfId="88"/>
    <cellStyle name="Zvýraznění 4" xfId="89"/>
    <cellStyle name="Zvýraznění 5" xfId="90"/>
    <cellStyle name="Zvýraznění 6" xfId="91"/>
  </cellStyles>
  <dxfs count="4">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za.cz/mora-vdp-645gb3-d5129956.htm?kampan=adw2_bile-elektro_pla_all_bile-elektro-css_vestavne_c_9062895_1o5_MORVD001&amp;gclid=EAIaIQobChMIpc_ysJiP5QIVWOd3Ch3d4wJUEAYYBSABEgLruPD_BwE" TargetMode="External" /><Relationship Id="rId2" Type="http://schemas.openxmlformats.org/officeDocument/2006/relationships/hyperlink" Target="https://www.alza.cz/mora-vt-433-bx-d5129962.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414"/>
  <sheetViews>
    <sheetView showGridLines="0" tabSelected="1" zoomScaleSheetLayoutView="55" workbookViewId="0" topLeftCell="A1">
      <selection activeCell="R216" sqref="R216"/>
    </sheetView>
  </sheetViews>
  <sheetFormatPr defaultColWidth="9.00390625" defaultRowHeight="12.75"/>
  <cols>
    <col min="1" max="1" width="4.375" style="2" customWidth="1"/>
    <col min="2" max="2" width="12.875" style="3" customWidth="1"/>
    <col min="3" max="3" width="54.625" style="12" customWidth="1"/>
    <col min="4" max="4" width="6.875" style="4" customWidth="1"/>
    <col min="5" max="5" width="10.625" style="103" bestFit="1" customWidth="1"/>
    <col min="6" max="6" width="12.625" style="9" customWidth="1"/>
    <col min="7" max="7" width="15.375" style="4" customWidth="1"/>
    <col min="8" max="8" width="14.125" style="149" customWidth="1"/>
    <col min="9" max="9" width="14.125" style="7" hidden="1" customWidth="1"/>
    <col min="10" max="10" width="14.125" style="43" hidden="1" customWidth="1"/>
    <col min="11" max="17" width="14.125" style="4" hidden="1" customWidth="1"/>
    <col min="18" max="18" width="14.125" style="227" customWidth="1"/>
    <col min="19" max="16384" width="9.125" style="4" customWidth="1"/>
  </cols>
  <sheetData>
    <row r="2" spans="3:18" ht="12.75">
      <c r="C2" s="184"/>
      <c r="E2" s="193" t="s">
        <v>2</v>
      </c>
      <c r="F2" s="5" t="s">
        <v>3</v>
      </c>
      <c r="G2" s="6" t="s">
        <v>4</v>
      </c>
      <c r="J2" s="8" t="s">
        <v>284</v>
      </c>
      <c r="K2" s="8" t="s">
        <v>285</v>
      </c>
      <c r="L2" s="8" t="s">
        <v>286</v>
      </c>
      <c r="R2" s="234" t="s">
        <v>470</v>
      </c>
    </row>
    <row r="3" spans="3:12" ht="12.75">
      <c r="C3" s="184"/>
      <c r="J3" s="10"/>
      <c r="K3" s="10"/>
      <c r="L3" s="11"/>
    </row>
    <row r="4" spans="10:12" ht="12.75">
      <c r="J4" s="10"/>
      <c r="K4" s="10"/>
      <c r="L4" s="11"/>
    </row>
    <row r="5" spans="3:12" ht="44.25" customHeight="1">
      <c r="C5" s="243" t="s">
        <v>315</v>
      </c>
      <c r="D5" s="244"/>
      <c r="E5" s="244"/>
      <c r="F5" s="244"/>
      <c r="G5" s="245"/>
      <c r="J5" s="10"/>
      <c r="K5" s="10"/>
      <c r="L5" s="11"/>
    </row>
    <row r="6" spans="3:12" ht="37.5" customHeight="1">
      <c r="C6" s="246" t="s">
        <v>252</v>
      </c>
      <c r="D6" s="247"/>
      <c r="E6" s="247"/>
      <c r="F6" s="247"/>
      <c r="G6" s="248"/>
      <c r="J6" s="10"/>
      <c r="K6" s="10"/>
      <c r="L6" s="11"/>
    </row>
    <row r="7" spans="3:12" ht="12.75">
      <c r="C7" s="13"/>
      <c r="D7" s="14"/>
      <c r="E7" s="194"/>
      <c r="F7" s="15"/>
      <c r="G7" s="16"/>
      <c r="J7" s="10"/>
      <c r="K7" s="10"/>
      <c r="L7" s="11"/>
    </row>
    <row r="8" spans="3:12" ht="23.25">
      <c r="C8" s="17" t="s">
        <v>5</v>
      </c>
      <c r="D8" s="18"/>
      <c r="E8" s="195"/>
      <c r="F8" s="19"/>
      <c r="G8" s="20"/>
      <c r="J8" s="10"/>
      <c r="K8" s="10"/>
      <c r="L8" s="11"/>
    </row>
    <row r="9" spans="10:12" ht="12.75">
      <c r="J9" s="10"/>
      <c r="K9" s="10"/>
      <c r="L9" s="11"/>
    </row>
    <row r="10" spans="10:12" ht="12.75">
      <c r="J10" s="21"/>
      <c r="K10" s="21"/>
      <c r="L10" s="11"/>
    </row>
    <row r="11" spans="1:18" s="21" customFormat="1" ht="16.5">
      <c r="A11" s="22"/>
      <c r="B11" s="23">
        <v>1</v>
      </c>
      <c r="C11" s="24" t="str">
        <f>Kapitola_1</f>
        <v>Přípravné a bourací práce</v>
      </c>
      <c r="D11" s="25"/>
      <c r="E11" s="196"/>
      <c r="F11" s="26"/>
      <c r="G11" s="26">
        <f>+Cena_1</f>
        <v>0</v>
      </c>
      <c r="H11" s="150"/>
      <c r="I11" s="27"/>
      <c r="J11" s="28">
        <f>SUMIF(H$80:H$115,"O",G$80:G$115)</f>
        <v>0</v>
      </c>
      <c r="K11" s="28">
        <f>SUMIF(H$80:H$115,"i",G$80:G$115)</f>
        <v>0</v>
      </c>
      <c r="L11" s="29">
        <f>SUM(J11:K11)</f>
        <v>0</v>
      </c>
      <c r="R11" s="235"/>
    </row>
    <row r="12" spans="1:18" s="21" customFormat="1" ht="16.5">
      <c r="A12" s="22"/>
      <c r="B12" s="23">
        <v>2</v>
      </c>
      <c r="C12" s="24" t="str">
        <f>Kapitola_2</f>
        <v>Stavební úpravy bytové jednotky</v>
      </c>
      <c r="D12" s="25"/>
      <c r="E12" s="196"/>
      <c r="F12" s="26"/>
      <c r="G12" s="26">
        <f>SUM(F13:F27)</f>
        <v>0</v>
      </c>
      <c r="H12" s="150"/>
      <c r="I12" s="27"/>
      <c r="R12" s="235"/>
    </row>
    <row r="13" spans="1:18" s="21" customFormat="1" ht="16.5">
      <c r="A13" s="22"/>
      <c r="B13" s="30" t="s">
        <v>38</v>
      </c>
      <c r="C13" s="24" t="str">
        <f>Kapitola_2a</f>
        <v>Stěny a příčky</v>
      </c>
      <c r="D13" s="25"/>
      <c r="E13" s="196"/>
      <c r="F13" s="26">
        <f>+Cena_2a</f>
        <v>0</v>
      </c>
      <c r="G13" s="26"/>
      <c r="H13" s="150"/>
      <c r="I13" s="27"/>
      <c r="J13" s="28">
        <f>SUMIF(H$120:H$129,"O",G$120:G$129)</f>
        <v>0</v>
      </c>
      <c r="K13" s="28">
        <f>SUMIF(H$120:H$129,"i",G$120:G$129)</f>
        <v>0</v>
      </c>
      <c r="L13" s="29">
        <f aca="true" t="shared" si="0" ref="L13:L28">SUM(J13:K13)</f>
        <v>0</v>
      </c>
      <c r="R13" s="235"/>
    </row>
    <row r="14" spans="1:18" s="21" customFormat="1" ht="16.5">
      <c r="A14" s="22"/>
      <c r="B14" s="30" t="s">
        <v>39</v>
      </c>
      <c r="C14" s="24" t="str">
        <f>Kapitola_2b</f>
        <v>Stropy a stropní konstrukce</v>
      </c>
      <c r="D14" s="25"/>
      <c r="E14" s="196"/>
      <c r="F14" s="26">
        <f>+Cena_2b</f>
        <v>0</v>
      </c>
      <c r="G14" s="26"/>
      <c r="H14" s="150"/>
      <c r="I14" s="27"/>
      <c r="J14" s="28">
        <f>SUMIF(H$134:H$144,"O",G$134:G$144)</f>
        <v>0</v>
      </c>
      <c r="K14" s="28">
        <f>SUMIF(H$134:H$144,"i",G$134:G$144)</f>
        <v>0</v>
      </c>
      <c r="L14" s="29">
        <f t="shared" si="0"/>
        <v>0</v>
      </c>
      <c r="R14" s="235"/>
    </row>
    <row r="15" spans="1:18" s="21" customFormat="1" ht="16.5">
      <c r="A15" s="22"/>
      <c r="B15" s="30" t="s">
        <v>40</v>
      </c>
      <c r="C15" s="24" t="str">
        <f>Kapitola_2c</f>
        <v>Úpravy povrchů vnitřní (stěny, stropy)</v>
      </c>
      <c r="D15" s="25"/>
      <c r="E15" s="196"/>
      <c r="F15" s="26">
        <f>+Cena_2c</f>
        <v>0</v>
      </c>
      <c r="G15" s="26"/>
      <c r="H15" s="150"/>
      <c r="I15" s="27"/>
      <c r="J15" s="28">
        <f>SUMIF(H$149:H$181,"O",G$149:G$181)</f>
        <v>0</v>
      </c>
      <c r="K15" s="28">
        <f>SUMIF(H$149:H$181,"i",G$149:G$181)</f>
        <v>0</v>
      </c>
      <c r="L15" s="29">
        <f t="shared" si="0"/>
        <v>0</v>
      </c>
      <c r="R15" s="235"/>
    </row>
    <row r="16" spans="1:18" s="21" customFormat="1" ht="16.5">
      <c r="A16" s="22"/>
      <c r="B16" s="30" t="s">
        <v>41</v>
      </c>
      <c r="C16" s="24" t="str">
        <f>Kapitola_2d</f>
        <v>Zdravotechnika - vnitřní kanalizace</v>
      </c>
      <c r="D16" s="25"/>
      <c r="E16" s="196"/>
      <c r="F16" s="26">
        <f>+Cena_2d</f>
        <v>0</v>
      </c>
      <c r="G16" s="26"/>
      <c r="H16" s="150"/>
      <c r="I16" s="27"/>
      <c r="J16" s="28">
        <f>SUMIF(H$186:H$201,"O",G$186:G$201)</f>
        <v>0</v>
      </c>
      <c r="K16" s="28">
        <f>SUMIF(H$186:H$201,"i",G$186:G$201)</f>
        <v>0</v>
      </c>
      <c r="L16" s="29">
        <f t="shared" si="0"/>
        <v>0</v>
      </c>
      <c r="R16" s="235"/>
    </row>
    <row r="17" spans="1:18" s="21" customFormat="1" ht="16.5">
      <c r="A17" s="22"/>
      <c r="B17" s="30" t="s">
        <v>42</v>
      </c>
      <c r="C17" s="24" t="str">
        <f>Kapitola_2e</f>
        <v>Zdravotechnika - vnitřní vodovod</v>
      </c>
      <c r="D17" s="25"/>
      <c r="E17" s="196"/>
      <c r="F17" s="26">
        <f>+Cena_2e</f>
        <v>0</v>
      </c>
      <c r="G17" s="26"/>
      <c r="H17" s="150"/>
      <c r="I17" s="27"/>
      <c r="J17" s="28">
        <f>SUMIF(H$206:H$219,"O",G$206:G$219)</f>
        <v>0</v>
      </c>
      <c r="K17" s="28">
        <f>SUMIF(H$206:H$219,"i",G$206:G$219)</f>
        <v>0</v>
      </c>
      <c r="L17" s="29">
        <f t="shared" si="0"/>
        <v>0</v>
      </c>
      <c r="R17" s="235"/>
    </row>
    <row r="18" spans="1:18" s="21" customFormat="1" ht="16.5">
      <c r="A18" s="22"/>
      <c r="B18" s="30" t="s">
        <v>43</v>
      </c>
      <c r="C18" s="24" t="str">
        <f>+C222</f>
        <v>Plynovod</v>
      </c>
      <c r="D18" s="25"/>
      <c r="E18" s="196"/>
      <c r="F18" s="26">
        <f>+G248</f>
        <v>0</v>
      </c>
      <c r="G18" s="26"/>
      <c r="H18" s="150"/>
      <c r="I18" s="27"/>
      <c r="J18" s="28">
        <f>SUMIF(H$224:H$247,"O",G$224:G$247)</f>
        <v>0</v>
      </c>
      <c r="K18" s="28">
        <f>SUMIF(H$224:H$247,"i",G$224:G$247)</f>
        <v>0</v>
      </c>
      <c r="L18" s="29">
        <f>SUM(J18:K18)</f>
        <v>0</v>
      </c>
      <c r="R18" s="235"/>
    </row>
    <row r="19" spans="1:18" s="21" customFormat="1" ht="16.5">
      <c r="A19" s="22"/>
      <c r="B19" s="30" t="s">
        <v>44</v>
      </c>
      <c r="C19" s="24" t="str">
        <f>Kapitola_2f</f>
        <v>Zdravotechnika - zařizovací předměty, armatury </v>
      </c>
      <c r="D19" s="25"/>
      <c r="E19" s="196"/>
      <c r="F19" s="26">
        <f>+Cena_2f</f>
        <v>0</v>
      </c>
      <c r="G19" s="26"/>
      <c r="H19" s="150"/>
      <c r="I19" s="27"/>
      <c r="J19" s="28">
        <f>SUMIF(H$252:H$279,"O",G$252:G$279)</f>
        <v>0</v>
      </c>
      <c r="K19" s="28">
        <f>SUMIF(H$253:H$279,"i",G$253:G$279)</f>
        <v>0</v>
      </c>
      <c r="L19" s="29">
        <f>SUM(J19:K19)</f>
        <v>0</v>
      </c>
      <c r="R19" s="235"/>
    </row>
    <row r="20" spans="1:18" s="21" customFormat="1" ht="16.5">
      <c r="A20" s="22"/>
      <c r="B20" s="30" t="s">
        <v>55</v>
      </c>
      <c r="C20" s="24" t="str">
        <f>Kapitola_2g</f>
        <v>Elektroinstalace - silnoproud </v>
      </c>
      <c r="D20" s="25"/>
      <c r="E20" s="196"/>
      <c r="F20" s="26">
        <f>+Cena_2g</f>
        <v>0</v>
      </c>
      <c r="G20" s="26"/>
      <c r="H20" s="150"/>
      <c r="I20" s="27"/>
      <c r="J20" s="28">
        <f>SUMIF(H$284:H$286,"O",G$284:G$286)</f>
        <v>0</v>
      </c>
      <c r="K20" s="28">
        <f>SUMIF(H$284:H$286,"i",G$284:G$286)</f>
        <v>0</v>
      </c>
      <c r="L20" s="29">
        <f t="shared" si="0"/>
        <v>0</v>
      </c>
      <c r="R20" s="235"/>
    </row>
    <row r="21" spans="1:18" s="21" customFormat="1" ht="16.5">
      <c r="A21" s="22"/>
      <c r="B21" s="30" t="s">
        <v>104</v>
      </c>
      <c r="C21" s="24" t="str">
        <f>Kapitola_2h</f>
        <v>Elektroinstalace - slaboproud</v>
      </c>
      <c r="D21" s="25"/>
      <c r="E21" s="196"/>
      <c r="F21" s="26">
        <f>+Cena_2h</f>
        <v>0</v>
      </c>
      <c r="G21" s="26"/>
      <c r="H21" s="150"/>
      <c r="I21" s="27"/>
      <c r="J21" s="28">
        <f>SUMIF(H$291:H$292,"O",G$291:G$292)</f>
        <v>0</v>
      </c>
      <c r="K21" s="28">
        <f>SUMIF(H$291:H$292,"i",G$291:G$292)</f>
        <v>0</v>
      </c>
      <c r="L21" s="29">
        <f t="shared" si="0"/>
        <v>0</v>
      </c>
      <c r="R21" s="235"/>
    </row>
    <row r="22" spans="1:18" s="21" customFormat="1" ht="16.5">
      <c r="A22" s="22"/>
      <c r="B22" s="31" t="s">
        <v>105</v>
      </c>
      <c r="C22" s="24" t="str">
        <f>Kapitola_2i</f>
        <v>Vzduchotechnika</v>
      </c>
      <c r="D22" s="25"/>
      <c r="E22" s="196"/>
      <c r="F22" s="26">
        <f>+Cena_2i</f>
        <v>0</v>
      </c>
      <c r="G22" s="26"/>
      <c r="H22" s="150"/>
      <c r="I22" s="27"/>
      <c r="J22" s="28">
        <f>SUMIF(H$298:H$313,"O",G$298:G$313)</f>
        <v>0</v>
      </c>
      <c r="K22" s="28">
        <f>SUMIF(H$297:H$313,"i",G$297:G$313)</f>
        <v>0</v>
      </c>
      <c r="L22" s="29">
        <f t="shared" si="0"/>
        <v>0</v>
      </c>
      <c r="R22" s="235"/>
    </row>
    <row r="23" spans="2:18" s="21" customFormat="1" ht="16.5">
      <c r="B23" s="32" t="s">
        <v>106</v>
      </c>
      <c r="C23" s="33" t="str">
        <f>+C316</f>
        <v>Etážové topení</v>
      </c>
      <c r="D23" s="25"/>
      <c r="E23" s="196"/>
      <c r="F23" s="26">
        <f>+G337</f>
        <v>0</v>
      </c>
      <c r="G23" s="26"/>
      <c r="H23" s="150"/>
      <c r="I23" s="27"/>
      <c r="J23" s="28">
        <f>SUMIF(H$318:H$336,"O",G$318:G$336)</f>
        <v>0</v>
      </c>
      <c r="K23" s="28">
        <f>SUMIF(H$318:H$336,"i",G$318:G$336)</f>
        <v>0</v>
      </c>
      <c r="L23" s="29">
        <f>SUM(J23:K23)</f>
        <v>0</v>
      </c>
      <c r="R23" s="235"/>
    </row>
    <row r="24" spans="1:18" s="21" customFormat="1" ht="16.5">
      <c r="A24" s="22"/>
      <c r="B24" s="31" t="s">
        <v>107</v>
      </c>
      <c r="C24" s="24" t="str">
        <f>Kapitola_2j</f>
        <v>Konstrukce truhlářské</v>
      </c>
      <c r="D24" s="25"/>
      <c r="E24" s="196"/>
      <c r="F24" s="26">
        <f>+Cena_2j</f>
        <v>0</v>
      </c>
      <c r="G24" s="26"/>
      <c r="H24" s="150"/>
      <c r="I24" s="27"/>
      <c r="J24" s="28">
        <f>SUMIF(H$341:H$353,"O",G$341:G$353)</f>
        <v>0</v>
      </c>
      <c r="K24" s="28">
        <f>SUMIF(H$341:H$353,"i",G$341:G$353)</f>
        <v>0</v>
      </c>
      <c r="L24" s="29">
        <f t="shared" si="0"/>
        <v>0</v>
      </c>
      <c r="R24" s="235"/>
    </row>
    <row r="25" spans="1:18" s="21" customFormat="1" ht="16.5">
      <c r="A25" s="22"/>
      <c r="B25" s="31" t="s">
        <v>108</v>
      </c>
      <c r="C25" s="24" t="str">
        <f>Kapitola_2k</f>
        <v>Konstrukce zámečnické</v>
      </c>
      <c r="D25" s="25"/>
      <c r="E25" s="196"/>
      <c r="F25" s="26">
        <f>+Cena_2k</f>
        <v>0</v>
      </c>
      <c r="G25" s="26"/>
      <c r="H25" s="150"/>
      <c r="I25" s="27"/>
      <c r="J25" s="28">
        <f>SUMIF(H$358:H$362,"O",G$358:G$362)</f>
        <v>0</v>
      </c>
      <c r="K25" s="28">
        <f>SUMIF(H$358:H$362,"i",G$358:G$362)</f>
        <v>0</v>
      </c>
      <c r="L25" s="29">
        <f t="shared" si="0"/>
        <v>0</v>
      </c>
      <c r="R25" s="235"/>
    </row>
    <row r="26" spans="1:18" s="21" customFormat="1" ht="16.5">
      <c r="A26" s="22"/>
      <c r="B26" s="31" t="s">
        <v>206</v>
      </c>
      <c r="C26" s="24" t="str">
        <f>Kapitola_2l</f>
        <v>Podlahy z dlaždic</v>
      </c>
      <c r="D26" s="25"/>
      <c r="E26" s="196"/>
      <c r="F26" s="26">
        <f>+Cena_2l</f>
        <v>0</v>
      </c>
      <c r="G26" s="26"/>
      <c r="H26" s="150"/>
      <c r="I26" s="27"/>
      <c r="J26" s="28">
        <f>SUMIF(H$367:H$385,"O",G$367:G$385)</f>
        <v>0</v>
      </c>
      <c r="K26" s="28">
        <f>SUMIF(H$367:H$385,"i",G$367:G$385)</f>
        <v>0</v>
      </c>
      <c r="L26" s="29">
        <f t="shared" si="0"/>
        <v>0</v>
      </c>
      <c r="R26" s="235"/>
    </row>
    <row r="27" spans="1:18" s="21" customFormat="1" ht="16.5">
      <c r="A27" s="22"/>
      <c r="B27" s="31" t="s">
        <v>318</v>
      </c>
      <c r="C27" s="24" t="str">
        <f>Kapitola_2m</f>
        <v>Podlahy dřevěné a povlakové</v>
      </c>
      <c r="D27" s="25"/>
      <c r="E27" s="196"/>
      <c r="F27" s="26">
        <f>+Cena_2m</f>
        <v>0</v>
      </c>
      <c r="G27" s="26"/>
      <c r="H27" s="150"/>
      <c r="I27" s="27"/>
      <c r="J27" s="28">
        <f>SUMIF(H$390:H$406,"O",G$390:G$406)</f>
        <v>0</v>
      </c>
      <c r="K27" s="28">
        <f>SUMIF(H$390:H$406,"i",G$390:G$406)</f>
        <v>0</v>
      </c>
      <c r="L27" s="29">
        <f t="shared" si="0"/>
        <v>0</v>
      </c>
      <c r="R27" s="235"/>
    </row>
    <row r="28" spans="1:18" s="21" customFormat="1" ht="16.5">
      <c r="A28" s="22"/>
      <c r="B28" s="23">
        <v>3</v>
      </c>
      <c r="C28" s="24" t="str">
        <f>Dokoncovaci_prace</f>
        <v>Dokončovací práce</v>
      </c>
      <c r="D28" s="25"/>
      <c r="E28" s="196"/>
      <c r="F28" s="26"/>
      <c r="G28" s="26">
        <f>Cena_dokoncovaci_prace</f>
        <v>0</v>
      </c>
      <c r="H28" s="150"/>
      <c r="I28" s="27"/>
      <c r="J28" s="28">
        <f>SUMIF(H$410:H$412,"O",G$410:G$412)</f>
        <v>0</v>
      </c>
      <c r="K28" s="28">
        <f>SUMIF(H$410:H$411,"i",G$410:G$411)</f>
        <v>0</v>
      </c>
      <c r="L28" s="29">
        <f t="shared" si="0"/>
        <v>0</v>
      </c>
      <c r="R28" s="235"/>
    </row>
    <row r="29" spans="3:12" ht="12.75">
      <c r="C29" s="35"/>
      <c r="D29" s="2"/>
      <c r="E29" s="197"/>
      <c r="F29" s="37"/>
      <c r="G29" s="37"/>
      <c r="J29" s="10"/>
      <c r="K29" s="10"/>
      <c r="L29" s="10"/>
    </row>
    <row r="30" spans="3:12" ht="15" customHeight="1">
      <c r="C30" s="38" t="s">
        <v>6</v>
      </c>
      <c r="D30" s="39"/>
      <c r="E30" s="198"/>
      <c r="F30" s="251">
        <f>SUM(G11:G28)</f>
        <v>0</v>
      </c>
      <c r="G30" s="251"/>
      <c r="H30" s="192"/>
      <c r="J30" s="34">
        <f>SUM(J11:J29)</f>
        <v>0</v>
      </c>
      <c r="K30" s="34">
        <f>SUM(K11:K29)</f>
        <v>0</v>
      </c>
      <c r="L30" s="34">
        <f>SUM(J30:K30)</f>
        <v>0</v>
      </c>
    </row>
    <row r="31" spans="3:12" ht="12.75">
      <c r="C31" s="40"/>
      <c r="D31" s="39"/>
      <c r="E31" s="199"/>
      <c r="F31" s="41"/>
      <c r="G31" s="42"/>
      <c r="L31" s="232"/>
    </row>
    <row r="32" spans="3:12" ht="12.75">
      <c r="C32" s="44" t="s">
        <v>7</v>
      </c>
      <c r="D32" s="39"/>
      <c r="E32" s="199"/>
      <c r="F32" s="45"/>
      <c r="G32" s="46">
        <f>+G33+G34</f>
        <v>0</v>
      </c>
      <c r="L32" s="232">
        <f>SUM(L11:L28)</f>
        <v>0</v>
      </c>
    </row>
    <row r="33" spans="3:7" ht="12.75">
      <c r="C33" s="40" t="s">
        <v>8</v>
      </c>
      <c r="D33" s="39"/>
      <c r="E33" s="199"/>
      <c r="F33" s="269"/>
      <c r="G33" s="47">
        <f>ROUND($F$30*F33,0)</f>
        <v>0</v>
      </c>
    </row>
    <row r="34" spans="3:7" ht="12.75">
      <c r="C34" s="40" t="s">
        <v>184</v>
      </c>
      <c r="D34" s="39"/>
      <c r="E34" s="199"/>
      <c r="F34" s="269"/>
      <c r="G34" s="47">
        <f>ROUND($F$30*F34,0)</f>
        <v>0</v>
      </c>
    </row>
    <row r="35" spans="3:7" ht="13.5" thickBot="1">
      <c r="C35" s="48"/>
      <c r="D35" s="49"/>
      <c r="E35" s="200"/>
      <c r="F35" s="50"/>
      <c r="G35" s="37"/>
    </row>
    <row r="36" spans="3:7" ht="15.75" thickBot="1">
      <c r="C36" s="51" t="s">
        <v>200</v>
      </c>
      <c r="D36" s="52"/>
      <c r="E36" s="201"/>
      <c r="F36" s="53"/>
      <c r="G36" s="54">
        <f>+F30+G32</f>
        <v>0</v>
      </c>
    </row>
    <row r="37" spans="3:8" ht="12.75">
      <c r="C37" s="55"/>
      <c r="D37" s="56"/>
      <c r="E37" s="202"/>
      <c r="F37" s="57"/>
      <c r="G37" s="56"/>
      <c r="H37" s="151"/>
    </row>
    <row r="38" spans="3:8" ht="12.75">
      <c r="C38" s="40" t="s">
        <v>9</v>
      </c>
      <c r="D38" s="39"/>
      <c r="E38" s="199"/>
      <c r="F38" s="1">
        <v>0.15</v>
      </c>
      <c r="G38" s="47">
        <f>ROUND((F30+G33+G34)*F38,0)</f>
        <v>0</v>
      </c>
      <c r="H38" s="151"/>
    </row>
    <row r="39" spans="3:7" ht="12.75">
      <c r="C39" s="40" t="s">
        <v>9</v>
      </c>
      <c r="D39" s="39"/>
      <c r="E39" s="199"/>
      <c r="F39" s="1">
        <v>0.21</v>
      </c>
      <c r="G39" s="47">
        <v>0</v>
      </c>
    </row>
    <row r="40" spans="3:7" ht="13.5" thickBot="1">
      <c r="C40" s="58"/>
      <c r="D40" s="59"/>
      <c r="E40" s="203"/>
      <c r="F40" s="60"/>
      <c r="G40" s="59"/>
    </row>
    <row r="41" spans="3:7" ht="16.5" thickBot="1">
      <c r="C41" s="61" t="s">
        <v>10</v>
      </c>
      <c r="D41" s="59"/>
      <c r="E41" s="203"/>
      <c r="F41" s="252">
        <f>F30+G33+G34+G38+G39</f>
        <v>0</v>
      </c>
      <c r="G41" s="252"/>
    </row>
    <row r="44" spans="3:7" ht="15">
      <c r="C44" s="62" t="s">
        <v>194</v>
      </c>
      <c r="D44" s="63"/>
      <c r="E44" s="108"/>
      <c r="F44" s="63"/>
      <c r="G44" s="63"/>
    </row>
    <row r="45" spans="3:8" ht="12.75">
      <c r="C45" s="64" t="s">
        <v>195</v>
      </c>
      <c r="D45" s="65"/>
      <c r="E45" s="108"/>
      <c r="F45" s="63"/>
      <c r="G45" s="66">
        <f>+J30</f>
        <v>0</v>
      </c>
      <c r="H45" s="233" t="e">
        <f>+G45/F30</f>
        <v>#DIV/0!</v>
      </c>
    </row>
    <row r="46" spans="3:8" ht="12.75">
      <c r="C46" s="64" t="s">
        <v>196</v>
      </c>
      <c r="D46" s="65"/>
      <c r="E46" s="108"/>
      <c r="F46" s="63"/>
      <c r="G46" s="66">
        <f>+K30</f>
        <v>0</v>
      </c>
      <c r="H46" s="233" t="e">
        <f>+G46/F30</f>
        <v>#DIV/0!</v>
      </c>
    </row>
    <row r="47" spans="3:7" ht="12.75">
      <c r="C47" s="63"/>
      <c r="D47" s="63"/>
      <c r="E47" s="108"/>
      <c r="F47" s="63"/>
      <c r="G47" s="11"/>
    </row>
    <row r="48" spans="3:7" ht="15">
      <c r="C48" s="62" t="s">
        <v>197</v>
      </c>
      <c r="D48" s="63"/>
      <c r="E48" s="108"/>
      <c r="F48" s="63"/>
      <c r="G48" s="11"/>
    </row>
    <row r="49" spans="3:7" ht="12.75">
      <c r="C49" s="64" t="s">
        <v>195</v>
      </c>
      <c r="D49" s="65"/>
      <c r="E49" s="108"/>
      <c r="F49" s="63"/>
      <c r="G49" s="67" t="e">
        <f>+H45*G32</f>
        <v>#DIV/0!</v>
      </c>
    </row>
    <row r="50" spans="3:7" ht="12.75">
      <c r="C50" s="64" t="s">
        <v>196</v>
      </c>
      <c r="D50" s="65"/>
      <c r="E50" s="108"/>
      <c r="F50" s="63"/>
      <c r="G50" s="67" t="e">
        <f>+H46*G32</f>
        <v>#DIV/0!</v>
      </c>
    </row>
    <row r="51" spans="3:7" ht="12.75">
      <c r="C51" s="63"/>
      <c r="D51" s="63"/>
      <c r="E51" s="108"/>
      <c r="F51" s="63"/>
      <c r="G51" s="11"/>
    </row>
    <row r="52" spans="3:7" ht="15">
      <c r="C52" s="62" t="s">
        <v>198</v>
      </c>
      <c r="D52" s="63"/>
      <c r="E52" s="108"/>
      <c r="F52" s="63"/>
      <c r="G52" s="11"/>
    </row>
    <row r="53" spans="3:8" ht="12.75">
      <c r="C53" s="64" t="s">
        <v>195</v>
      </c>
      <c r="D53" s="65"/>
      <c r="E53" s="108"/>
      <c r="F53" s="63"/>
      <c r="G53" s="66" t="e">
        <f>+G45+G49</f>
        <v>#DIV/0!</v>
      </c>
      <c r="H53" s="233" t="e">
        <f>+G53/G36</f>
        <v>#DIV/0!</v>
      </c>
    </row>
    <row r="54" spans="3:8" ht="12.75">
      <c r="C54" s="64" t="s">
        <v>196</v>
      </c>
      <c r="D54" s="65"/>
      <c r="E54" s="108"/>
      <c r="F54" s="63"/>
      <c r="G54" s="66" t="e">
        <f>+G46+G50</f>
        <v>#DIV/0!</v>
      </c>
      <c r="H54" s="233" t="e">
        <f>+G54/G36</f>
        <v>#DIV/0!</v>
      </c>
    </row>
    <row r="56" spans="3:7" ht="18">
      <c r="C56" s="68" t="s">
        <v>47</v>
      </c>
      <c r="D56" s="2"/>
      <c r="E56" s="197"/>
      <c r="F56" s="36"/>
      <c r="G56" s="2"/>
    </row>
    <row r="57" ht="7.5" customHeight="1"/>
    <row r="58" ht="12.75">
      <c r="C58" s="69" t="s">
        <v>11</v>
      </c>
    </row>
    <row r="59" spans="3:7" ht="12.75">
      <c r="C59" s="70" t="s">
        <v>12</v>
      </c>
      <c r="D59" s="71"/>
      <c r="E59" s="204"/>
      <c r="F59" s="72"/>
      <c r="G59" s="71"/>
    </row>
    <row r="60" spans="3:7" ht="38.25" customHeight="1">
      <c r="C60" s="249" t="s">
        <v>50</v>
      </c>
      <c r="D60" s="241"/>
      <c r="E60" s="241"/>
      <c r="F60" s="241"/>
      <c r="G60" s="241"/>
    </row>
    <row r="61" spans="3:7" ht="12.75">
      <c r="C61" s="250" t="s">
        <v>13</v>
      </c>
      <c r="D61" s="250"/>
      <c r="E61" s="250"/>
      <c r="F61" s="250"/>
      <c r="G61" s="250"/>
    </row>
    <row r="62" spans="3:7" ht="38.25" customHeight="1">
      <c r="C62" s="249" t="s">
        <v>51</v>
      </c>
      <c r="D62" s="241"/>
      <c r="E62" s="241"/>
      <c r="F62" s="241"/>
      <c r="G62" s="241"/>
    </row>
    <row r="63" spans="3:7" ht="25.5" customHeight="1">
      <c r="C63" s="249" t="s">
        <v>52</v>
      </c>
      <c r="D63" s="241"/>
      <c r="E63" s="241"/>
      <c r="F63" s="241"/>
      <c r="G63" s="241"/>
    </row>
    <row r="64" spans="3:7" ht="12.75">
      <c r="C64" s="250" t="s">
        <v>14</v>
      </c>
      <c r="D64" s="250"/>
      <c r="E64" s="250"/>
      <c r="F64" s="250"/>
      <c r="G64" s="250"/>
    </row>
    <row r="65" spans="3:7" ht="12.75" customHeight="1">
      <c r="C65" s="249" t="s">
        <v>53</v>
      </c>
      <c r="D65" s="241"/>
      <c r="E65" s="241"/>
      <c r="F65" s="241"/>
      <c r="G65" s="241"/>
    </row>
    <row r="66" spans="3:7" ht="12.75" customHeight="1">
      <c r="C66" s="249" t="s">
        <v>54</v>
      </c>
      <c r="D66" s="241"/>
      <c r="E66" s="241"/>
      <c r="F66" s="241"/>
      <c r="G66" s="241"/>
    </row>
    <row r="67" spans="3:7" ht="39" customHeight="1">
      <c r="C67" s="254" t="s">
        <v>32</v>
      </c>
      <c r="D67" s="255"/>
      <c r="E67" s="255"/>
      <c r="F67" s="255"/>
      <c r="G67" s="255"/>
    </row>
    <row r="68" spans="1:18" s="77" customFormat="1" ht="9.75">
      <c r="A68" s="74"/>
      <c r="B68" s="75"/>
      <c r="C68" s="76"/>
      <c r="E68" s="205"/>
      <c r="F68" s="78"/>
      <c r="H68" s="152"/>
      <c r="I68" s="79"/>
      <c r="J68" s="80"/>
      <c r="R68" s="236"/>
    </row>
    <row r="69" spans="3:7" ht="38.25" customHeight="1">
      <c r="C69" s="241" t="s">
        <v>15</v>
      </c>
      <c r="D69" s="241"/>
      <c r="E69" s="241"/>
      <c r="F69" s="241"/>
      <c r="G69" s="241"/>
    </row>
    <row r="70" spans="1:18" s="77" customFormat="1" ht="7.5" customHeight="1">
      <c r="A70" s="74"/>
      <c r="B70" s="75"/>
      <c r="C70" s="73"/>
      <c r="D70" s="73"/>
      <c r="E70" s="206"/>
      <c r="F70" s="73"/>
      <c r="G70" s="73"/>
      <c r="H70" s="152"/>
      <c r="I70" s="79"/>
      <c r="J70" s="80"/>
      <c r="R70" s="236"/>
    </row>
    <row r="71" spans="3:7" ht="27.75" customHeight="1">
      <c r="C71" s="241" t="s">
        <v>16</v>
      </c>
      <c r="D71" s="241"/>
      <c r="E71" s="241"/>
      <c r="F71" s="241"/>
      <c r="G71" s="241"/>
    </row>
    <row r="72" spans="3:7" ht="26.25" customHeight="1">
      <c r="C72" s="73" t="s">
        <v>17</v>
      </c>
      <c r="D72" s="73"/>
      <c r="E72" s="206"/>
      <c r="F72" s="73"/>
      <c r="G72" s="73"/>
    </row>
    <row r="73" spans="3:7" ht="15.75" customHeight="1">
      <c r="C73" s="249" t="s">
        <v>48</v>
      </c>
      <c r="D73" s="249"/>
      <c r="E73" s="249"/>
      <c r="F73" s="249"/>
      <c r="G73" s="249"/>
    </row>
    <row r="74" spans="3:7" ht="93" customHeight="1">
      <c r="C74" s="256" t="s">
        <v>28</v>
      </c>
      <c r="D74" s="256"/>
      <c r="E74" s="256"/>
      <c r="F74" s="256"/>
      <c r="G74" s="256"/>
    </row>
    <row r="75" spans="4:7" ht="12.75">
      <c r="D75" s="81"/>
      <c r="E75" s="207"/>
      <c r="F75" s="82"/>
      <c r="G75" s="81"/>
    </row>
    <row r="76" spans="3:7" ht="12.75">
      <c r="C76" s="239" t="s">
        <v>35</v>
      </c>
      <c r="D76" s="240"/>
      <c r="E76" s="240"/>
      <c r="F76" s="240"/>
      <c r="G76" s="240"/>
    </row>
    <row r="77" spans="1:7" ht="14.25" customHeight="1">
      <c r="A77" s="83"/>
      <c r="B77" s="84"/>
      <c r="C77" s="239" t="s">
        <v>34</v>
      </c>
      <c r="D77" s="240"/>
      <c r="E77" s="240"/>
      <c r="F77" s="240"/>
      <c r="G77" s="240"/>
    </row>
    <row r="78" spans="1:7" ht="7.5" customHeight="1">
      <c r="A78" s="83"/>
      <c r="B78" s="85"/>
      <c r="C78" s="35"/>
      <c r="D78" s="2"/>
      <c r="E78" s="197"/>
      <c r="F78" s="86"/>
      <c r="G78" s="87"/>
    </row>
    <row r="79" spans="1:18" s="93" customFormat="1" ht="16.5">
      <c r="A79" s="88"/>
      <c r="B79" s="89">
        <v>1</v>
      </c>
      <c r="C79" s="242" t="s">
        <v>207</v>
      </c>
      <c r="D79" s="242"/>
      <c r="E79" s="242"/>
      <c r="F79" s="242"/>
      <c r="G79" s="242"/>
      <c r="H79" s="153"/>
      <c r="I79" s="91"/>
      <c r="J79" s="92"/>
      <c r="R79" s="237"/>
    </row>
    <row r="80" spans="1:17" ht="18" customHeight="1">
      <c r="A80" s="94">
        <v>1</v>
      </c>
      <c r="B80" s="95"/>
      <c r="C80" s="96" t="s">
        <v>288</v>
      </c>
      <c r="D80" s="97" t="s">
        <v>18</v>
      </c>
      <c r="E80" s="208">
        <v>1</v>
      </c>
      <c r="F80" s="270"/>
      <c r="G80" s="99">
        <f aca="true" t="shared" si="1" ref="G80:G101">E80*F80</f>
        <v>0</v>
      </c>
      <c r="H80" s="149" t="s">
        <v>193</v>
      </c>
      <c r="M80" s="43"/>
      <c r="P80" s="100">
        <f>0.068*E80</f>
        <v>0.068</v>
      </c>
      <c r="Q80" s="63" t="s">
        <v>23</v>
      </c>
    </row>
    <row r="81" spans="1:17" ht="25.5">
      <c r="A81" s="94">
        <f aca="true" t="shared" si="2" ref="A81:A114">A80+1</f>
        <v>2</v>
      </c>
      <c r="B81" s="95"/>
      <c r="C81" s="96" t="s">
        <v>287</v>
      </c>
      <c r="D81" s="97" t="s">
        <v>18</v>
      </c>
      <c r="E81" s="208">
        <v>1</v>
      </c>
      <c r="F81" s="270"/>
      <c r="G81" s="99">
        <f t="shared" si="1"/>
        <v>0</v>
      </c>
      <c r="H81" s="149" t="s">
        <v>193</v>
      </c>
      <c r="M81" s="43">
        <f>2.1*0.3*0.016</f>
        <v>0.01008</v>
      </c>
      <c r="N81" s="4">
        <v>0.7</v>
      </c>
      <c r="P81" s="100">
        <f>+E81*M81*N81</f>
        <v>0.007056</v>
      </c>
      <c r="Q81" s="63" t="s">
        <v>23</v>
      </c>
    </row>
    <row r="82" spans="1:17" ht="12.75">
      <c r="A82" s="94">
        <f t="shared" si="2"/>
        <v>3</v>
      </c>
      <c r="B82" s="95"/>
      <c r="C82" s="96" t="s">
        <v>99</v>
      </c>
      <c r="D82" s="97" t="s">
        <v>21</v>
      </c>
      <c r="E82" s="208">
        <v>7</v>
      </c>
      <c r="F82" s="270"/>
      <c r="G82" s="99">
        <f t="shared" si="1"/>
        <v>0</v>
      </c>
      <c r="H82" s="149" t="s">
        <v>193</v>
      </c>
      <c r="M82" s="43"/>
      <c r="P82" s="100">
        <f>0.014*E82</f>
        <v>0.098</v>
      </c>
      <c r="Q82" s="63" t="s">
        <v>23</v>
      </c>
    </row>
    <row r="83" spans="1:17" ht="28.5" customHeight="1">
      <c r="A83" s="94">
        <f t="shared" si="2"/>
        <v>4</v>
      </c>
      <c r="B83" s="95"/>
      <c r="C83" s="96" t="s">
        <v>270</v>
      </c>
      <c r="D83" s="97" t="s">
        <v>21</v>
      </c>
      <c r="E83" s="208">
        <v>7</v>
      </c>
      <c r="F83" s="270"/>
      <c r="G83" s="99">
        <f t="shared" si="1"/>
        <v>0</v>
      </c>
      <c r="H83" s="151" t="s">
        <v>193</v>
      </c>
      <c r="M83" s="43"/>
      <c r="P83" s="100">
        <f>0.02*E83</f>
        <v>0.14</v>
      </c>
      <c r="Q83" s="63" t="s">
        <v>23</v>
      </c>
    </row>
    <row r="84" spans="1:17" ht="19.5" customHeight="1">
      <c r="A84" s="94">
        <f t="shared" si="2"/>
        <v>5</v>
      </c>
      <c r="B84" s="95"/>
      <c r="C84" s="96" t="s">
        <v>345</v>
      </c>
      <c r="D84" s="97" t="s">
        <v>18</v>
      </c>
      <c r="E84" s="208">
        <v>1</v>
      </c>
      <c r="F84" s="270"/>
      <c r="G84" s="99">
        <f t="shared" si="1"/>
        <v>0</v>
      </c>
      <c r="H84" s="151" t="s">
        <v>193</v>
      </c>
      <c r="M84" s="43"/>
      <c r="P84" s="100">
        <f>5*0.015</f>
        <v>0.075</v>
      </c>
      <c r="Q84" s="63" t="s">
        <v>23</v>
      </c>
    </row>
    <row r="85" spans="1:17" ht="25.5">
      <c r="A85" s="94">
        <f t="shared" si="2"/>
        <v>6</v>
      </c>
      <c r="B85" s="95"/>
      <c r="C85" s="96" t="s">
        <v>297</v>
      </c>
      <c r="D85" s="97" t="s">
        <v>19</v>
      </c>
      <c r="E85" s="208">
        <f>0.05*E158</f>
        <v>9.291435000000003</v>
      </c>
      <c r="F85" s="270"/>
      <c r="G85" s="99">
        <f>E85*F85</f>
        <v>0</v>
      </c>
      <c r="H85" s="151" t="s">
        <v>193</v>
      </c>
      <c r="M85" s="43">
        <v>0.01</v>
      </c>
      <c r="N85" s="4">
        <v>2.1</v>
      </c>
      <c r="O85" s="4">
        <f>+E85*M85</f>
        <v>0.09291435000000003</v>
      </c>
      <c r="P85" s="100">
        <f>+N85*O85</f>
        <v>0.19512013500000008</v>
      </c>
      <c r="Q85" s="63"/>
    </row>
    <row r="86" spans="1:17" ht="12.75">
      <c r="A86" s="94">
        <f t="shared" si="2"/>
        <v>7</v>
      </c>
      <c r="B86" s="95"/>
      <c r="C86" s="96" t="s">
        <v>225</v>
      </c>
      <c r="D86" s="97" t="s">
        <v>19</v>
      </c>
      <c r="E86" s="208">
        <f>+(2*0.7+2*1.6)*0.8</f>
        <v>3.6799999999999997</v>
      </c>
      <c r="F86" s="270"/>
      <c r="G86" s="99">
        <f>E86*F86</f>
        <v>0</v>
      </c>
      <c r="H86" s="151" t="s">
        <v>193</v>
      </c>
      <c r="M86" s="43">
        <v>0.1</v>
      </c>
      <c r="N86" s="4">
        <v>2.1</v>
      </c>
      <c r="O86" s="4">
        <f>+E86*M86</f>
        <v>0.368</v>
      </c>
      <c r="P86" s="100">
        <f>+N86*O86</f>
        <v>0.7728</v>
      </c>
      <c r="Q86" s="63"/>
    </row>
    <row r="87" spans="1:17" ht="12.75">
      <c r="A87" s="94">
        <f t="shared" si="2"/>
        <v>8</v>
      </c>
      <c r="B87" s="95"/>
      <c r="C87" s="96" t="s">
        <v>271</v>
      </c>
      <c r="D87" s="97" t="s">
        <v>19</v>
      </c>
      <c r="E87" s="208">
        <f>2.3*2.05+1.25*1.5+2*0.6</f>
        <v>7.789999999999999</v>
      </c>
      <c r="F87" s="270"/>
      <c r="G87" s="99">
        <f t="shared" si="1"/>
        <v>0</v>
      </c>
      <c r="H87" s="151" t="s">
        <v>193</v>
      </c>
      <c r="M87" s="43"/>
      <c r="P87" s="100">
        <f>0.02*E87*1600/1000</f>
        <v>0.24928</v>
      </c>
      <c r="Q87" s="63" t="s">
        <v>23</v>
      </c>
    </row>
    <row r="88" spans="1:17" ht="12.75">
      <c r="A88" s="94">
        <f t="shared" si="2"/>
        <v>9</v>
      </c>
      <c r="B88" s="95"/>
      <c r="C88" s="96" t="s">
        <v>272</v>
      </c>
      <c r="D88" s="97" t="s">
        <v>19</v>
      </c>
      <c r="E88" s="208">
        <f>0.8*1.9</f>
        <v>1.52</v>
      </c>
      <c r="F88" s="270"/>
      <c r="G88" s="99">
        <f t="shared" si="1"/>
        <v>0</v>
      </c>
      <c r="H88" s="151" t="s">
        <v>193</v>
      </c>
      <c r="M88" s="43">
        <v>0.015</v>
      </c>
      <c r="N88" s="4">
        <v>0.6</v>
      </c>
      <c r="P88" s="100">
        <f>+E88*M88*N88</f>
        <v>0.01368</v>
      </c>
      <c r="Q88" s="63"/>
    </row>
    <row r="89" spans="1:17" ht="12.75">
      <c r="A89" s="94">
        <f t="shared" si="2"/>
        <v>10</v>
      </c>
      <c r="B89" s="95"/>
      <c r="C89" s="96" t="s">
        <v>419</v>
      </c>
      <c r="D89" s="97" t="s">
        <v>19</v>
      </c>
      <c r="E89" s="208">
        <f>7.7+0.9+1.2+2.8+10.2</f>
        <v>22.799999999999997</v>
      </c>
      <c r="F89" s="270"/>
      <c r="G89" s="99">
        <f t="shared" si="1"/>
        <v>0</v>
      </c>
      <c r="H89" s="151" t="s">
        <v>193</v>
      </c>
      <c r="M89" s="43"/>
      <c r="P89" s="100"/>
      <c r="Q89" s="63"/>
    </row>
    <row r="90" spans="1:17" ht="25.5">
      <c r="A90" s="94">
        <f t="shared" si="2"/>
        <v>11</v>
      </c>
      <c r="B90" s="95"/>
      <c r="C90" s="96" t="s">
        <v>420</v>
      </c>
      <c r="D90" s="97" t="s">
        <v>201</v>
      </c>
      <c r="E90" s="208">
        <f>(7.7+0.9+1.2+2.8+10.2)*0.07</f>
        <v>1.5959999999999999</v>
      </c>
      <c r="F90" s="270"/>
      <c r="G90" s="99">
        <f t="shared" si="1"/>
        <v>0</v>
      </c>
      <c r="H90" s="151" t="s">
        <v>193</v>
      </c>
      <c r="M90" s="43">
        <v>0.08</v>
      </c>
      <c r="N90" s="43">
        <v>2.2</v>
      </c>
      <c r="O90" s="43"/>
      <c r="P90" s="100">
        <f>+E90*M90*N90</f>
        <v>0.280896</v>
      </c>
      <c r="Q90" s="63"/>
    </row>
    <row r="91" spans="1:17" ht="12.75">
      <c r="A91" s="94">
        <f>A90+1</f>
        <v>12</v>
      </c>
      <c r="B91" s="95"/>
      <c r="C91" s="96" t="s">
        <v>213</v>
      </c>
      <c r="D91" s="97" t="s">
        <v>201</v>
      </c>
      <c r="E91" s="208">
        <f>+(7.7+0.9+1.2+2.8+10.2)*0.07+(14.5+23.1)*0.09</f>
        <v>4.9799999999999995</v>
      </c>
      <c r="F91" s="270"/>
      <c r="G91" s="99">
        <f t="shared" si="1"/>
        <v>0</v>
      </c>
      <c r="H91" s="151" t="s">
        <v>193</v>
      </c>
      <c r="M91" s="43"/>
      <c r="N91" s="43">
        <v>1</v>
      </c>
      <c r="O91" s="43"/>
      <c r="P91" s="100">
        <f>+E91*N91</f>
        <v>4.9799999999999995</v>
      </c>
      <c r="Q91" s="63"/>
    </row>
    <row r="92" spans="1:17" ht="25.5">
      <c r="A92" s="94">
        <f t="shared" si="2"/>
        <v>13</v>
      </c>
      <c r="B92" s="95"/>
      <c r="C92" s="101" t="s">
        <v>349</v>
      </c>
      <c r="D92" s="97" t="s">
        <v>19</v>
      </c>
      <c r="E92" s="208">
        <f>14.5+23.1</f>
        <v>37.6</v>
      </c>
      <c r="F92" s="270"/>
      <c r="G92" s="99">
        <f t="shared" si="1"/>
        <v>0</v>
      </c>
      <c r="H92" s="151" t="s">
        <v>193</v>
      </c>
      <c r="I92" s="102"/>
      <c r="M92" s="43">
        <v>0.02</v>
      </c>
      <c r="N92" s="43">
        <v>0.6</v>
      </c>
      <c r="O92" s="43"/>
      <c r="P92" s="100">
        <f>+E92*M92*N92</f>
        <v>0.4512</v>
      </c>
      <c r="Q92" s="63"/>
    </row>
    <row r="93" spans="1:17" ht="12.75">
      <c r="A93" s="94">
        <f t="shared" si="2"/>
        <v>14</v>
      </c>
      <c r="B93" s="95"/>
      <c r="C93" s="96" t="s">
        <v>273</v>
      </c>
      <c r="D93" s="97" t="s">
        <v>201</v>
      </c>
      <c r="E93" s="208">
        <f>+E92*0.03</f>
        <v>1.128</v>
      </c>
      <c r="F93" s="270"/>
      <c r="G93" s="99">
        <f t="shared" si="1"/>
        <v>0</v>
      </c>
      <c r="H93" s="151" t="s">
        <v>193</v>
      </c>
      <c r="M93" s="43">
        <v>0.03</v>
      </c>
      <c r="N93" s="43">
        <v>0.8</v>
      </c>
      <c r="O93" s="43"/>
      <c r="P93" s="100">
        <f>+E93*M93*N93</f>
        <v>0.027072</v>
      </c>
      <c r="Q93" s="63"/>
    </row>
    <row r="94" spans="1:17" ht="12.75">
      <c r="A94" s="94">
        <f t="shared" si="2"/>
        <v>15</v>
      </c>
      <c r="B94" s="95"/>
      <c r="C94" s="96" t="s">
        <v>289</v>
      </c>
      <c r="D94" s="97" t="s">
        <v>201</v>
      </c>
      <c r="E94" s="208">
        <f>5*8.85*0.06*0.08</f>
        <v>0.21239999999999998</v>
      </c>
      <c r="F94" s="270"/>
      <c r="G94" s="99">
        <f t="shared" si="1"/>
        <v>0</v>
      </c>
      <c r="H94" s="151" t="s">
        <v>193</v>
      </c>
      <c r="M94" s="43">
        <f>0.1*0.1</f>
        <v>0.010000000000000002</v>
      </c>
      <c r="N94" s="43">
        <v>0.8</v>
      </c>
      <c r="O94" s="43"/>
      <c r="P94" s="100">
        <f>+E94*M94*N94</f>
        <v>0.0016992</v>
      </c>
      <c r="Q94" s="63"/>
    </row>
    <row r="95" spans="1:17" ht="12.75">
      <c r="A95" s="94">
        <f t="shared" si="2"/>
        <v>16</v>
      </c>
      <c r="B95" s="95"/>
      <c r="C95" s="96" t="s">
        <v>290</v>
      </c>
      <c r="D95" s="97" t="s">
        <v>19</v>
      </c>
      <c r="E95" s="208">
        <f>0.87*0.58</f>
        <v>0.5045999999999999</v>
      </c>
      <c r="F95" s="270"/>
      <c r="G95" s="99">
        <f t="shared" si="1"/>
        <v>0</v>
      </c>
      <c r="H95" s="151" t="s">
        <v>193</v>
      </c>
      <c r="M95" s="43"/>
      <c r="N95" s="43"/>
      <c r="O95" s="43"/>
      <c r="P95" s="100"/>
      <c r="Q95" s="63"/>
    </row>
    <row r="96" spans="1:17" ht="12.75">
      <c r="A96" s="94">
        <f t="shared" si="2"/>
        <v>17</v>
      </c>
      <c r="B96" s="95"/>
      <c r="C96" s="96" t="s">
        <v>100</v>
      </c>
      <c r="D96" s="97" t="s">
        <v>21</v>
      </c>
      <c r="E96" s="208">
        <v>1</v>
      </c>
      <c r="F96" s="270"/>
      <c r="G96" s="99">
        <f t="shared" si="1"/>
        <v>0</v>
      </c>
      <c r="H96" s="151" t="s">
        <v>193</v>
      </c>
      <c r="M96" s="43"/>
      <c r="P96" s="100">
        <f>E96*0.03</f>
        <v>0.03</v>
      </c>
      <c r="Q96" s="63" t="s">
        <v>23</v>
      </c>
    </row>
    <row r="97" spans="1:17" ht="12.75">
      <c r="A97" s="94">
        <f t="shared" si="2"/>
        <v>18</v>
      </c>
      <c r="B97" s="95"/>
      <c r="C97" s="96" t="s">
        <v>101</v>
      </c>
      <c r="D97" s="97" t="s">
        <v>21</v>
      </c>
      <c r="E97" s="208">
        <v>1</v>
      </c>
      <c r="F97" s="270"/>
      <c r="G97" s="99">
        <f t="shared" si="1"/>
        <v>0</v>
      </c>
      <c r="H97" s="151" t="s">
        <v>193</v>
      </c>
      <c r="M97" s="43"/>
      <c r="P97" s="100">
        <f>0.02*E97</f>
        <v>0.02</v>
      </c>
      <c r="Q97" s="63" t="s">
        <v>23</v>
      </c>
    </row>
    <row r="98" spans="1:17" ht="12.75">
      <c r="A98" s="94">
        <f t="shared" si="2"/>
        <v>19</v>
      </c>
      <c r="B98" s="95"/>
      <c r="C98" s="96" t="s">
        <v>241</v>
      </c>
      <c r="D98" s="97" t="s">
        <v>21</v>
      </c>
      <c r="E98" s="208">
        <v>1</v>
      </c>
      <c r="F98" s="270"/>
      <c r="G98" s="99">
        <f t="shared" si="1"/>
        <v>0</v>
      </c>
      <c r="H98" s="151" t="s">
        <v>193</v>
      </c>
      <c r="M98" s="43"/>
      <c r="P98" s="100"/>
      <c r="Q98" s="63"/>
    </row>
    <row r="99" spans="1:17" ht="12.75">
      <c r="A99" s="94">
        <f t="shared" si="2"/>
        <v>20</v>
      </c>
      <c r="B99" s="95"/>
      <c r="C99" s="96" t="s">
        <v>102</v>
      </c>
      <c r="D99" s="97" t="s">
        <v>21</v>
      </c>
      <c r="E99" s="208">
        <v>2</v>
      </c>
      <c r="F99" s="270"/>
      <c r="G99" s="99">
        <f t="shared" si="1"/>
        <v>0</v>
      </c>
      <c r="H99" s="151" t="s">
        <v>193</v>
      </c>
      <c r="M99" s="43"/>
      <c r="P99" s="100"/>
      <c r="Q99" s="63"/>
    </row>
    <row r="100" spans="1:17" ht="12.75">
      <c r="A100" s="94">
        <f t="shared" si="2"/>
        <v>21</v>
      </c>
      <c r="B100" s="95"/>
      <c r="C100" s="96" t="s">
        <v>226</v>
      </c>
      <c r="D100" s="97" t="s">
        <v>21</v>
      </c>
      <c r="E100" s="208">
        <v>1</v>
      </c>
      <c r="F100" s="270"/>
      <c r="G100" s="99">
        <f t="shared" si="1"/>
        <v>0</v>
      </c>
      <c r="H100" s="151" t="s">
        <v>193</v>
      </c>
      <c r="M100" s="43"/>
      <c r="P100" s="100">
        <f>0.38*E100</f>
        <v>0.38</v>
      </c>
      <c r="Q100" s="63" t="s">
        <v>23</v>
      </c>
    </row>
    <row r="101" spans="1:17" ht="12.75">
      <c r="A101" s="94">
        <f t="shared" si="2"/>
        <v>22</v>
      </c>
      <c r="B101" s="95"/>
      <c r="C101" s="96" t="s">
        <v>204</v>
      </c>
      <c r="D101" s="97" t="s">
        <v>18</v>
      </c>
      <c r="E101" s="208">
        <v>1</v>
      </c>
      <c r="F101" s="270"/>
      <c r="G101" s="99">
        <f t="shared" si="1"/>
        <v>0</v>
      </c>
      <c r="H101" s="151" t="s">
        <v>193</v>
      </c>
      <c r="M101" s="43"/>
      <c r="P101" s="100">
        <f>0.02*E101</f>
        <v>0.02</v>
      </c>
      <c r="Q101" s="63" t="s">
        <v>23</v>
      </c>
    </row>
    <row r="102" spans="1:17" ht="12.75">
      <c r="A102" s="94">
        <f t="shared" si="2"/>
        <v>23</v>
      </c>
      <c r="B102" s="95"/>
      <c r="C102" s="96" t="s">
        <v>274</v>
      </c>
      <c r="D102" s="97" t="s">
        <v>19</v>
      </c>
      <c r="E102" s="208">
        <f>+(2.22*2.45)-0.7*2.05+(4.27+1.58)*2.45-0.8*2.05-0.7*2.05-0.87*0.58+0.92*2.45-0.9*2.05</f>
        <v>15.165899999999999</v>
      </c>
      <c r="F102" s="270"/>
      <c r="G102" s="99">
        <f aca="true" t="shared" si="3" ref="G102:G111">E102*F102</f>
        <v>0</v>
      </c>
      <c r="H102" s="151" t="s">
        <v>193</v>
      </c>
      <c r="M102" s="43"/>
      <c r="N102" s="4">
        <v>2.1</v>
      </c>
      <c r="O102" s="43">
        <f>+E102*0.1</f>
        <v>1.5165899999999999</v>
      </c>
      <c r="P102" s="103">
        <f>+O102*N102</f>
        <v>3.1848389999999998</v>
      </c>
      <c r="Q102" s="63" t="s">
        <v>23</v>
      </c>
    </row>
    <row r="103" spans="1:17" ht="12.75">
      <c r="A103" s="94"/>
      <c r="B103" s="95"/>
      <c r="C103" s="104" t="s">
        <v>319</v>
      </c>
      <c r="D103" s="97"/>
      <c r="E103" s="208"/>
      <c r="F103" s="270"/>
      <c r="G103" s="99"/>
      <c r="H103" s="151"/>
      <c r="M103" s="43"/>
      <c r="O103" s="43"/>
      <c r="P103" s="103"/>
      <c r="Q103" s="63"/>
    </row>
    <row r="104" spans="1:17" ht="12.75">
      <c r="A104" s="94"/>
      <c r="B104" s="95"/>
      <c r="C104" s="104" t="s">
        <v>320</v>
      </c>
      <c r="D104" s="97"/>
      <c r="E104" s="208"/>
      <c r="F104" s="270"/>
      <c r="G104" s="99"/>
      <c r="H104" s="151"/>
      <c r="M104" s="43"/>
      <c r="O104" s="43"/>
      <c r="P104" s="103"/>
      <c r="Q104" s="63"/>
    </row>
    <row r="105" spans="1:17" ht="12.75">
      <c r="A105" s="94"/>
      <c r="B105" s="95"/>
      <c r="C105" s="104" t="s">
        <v>321</v>
      </c>
      <c r="D105" s="97"/>
      <c r="E105" s="208"/>
      <c r="F105" s="270"/>
      <c r="G105" s="99"/>
      <c r="H105" s="151"/>
      <c r="M105" s="43"/>
      <c r="O105" s="43"/>
      <c r="P105" s="103"/>
      <c r="Q105" s="63"/>
    </row>
    <row r="106" spans="1:17" ht="12.75">
      <c r="A106" s="94">
        <f>A102+1</f>
        <v>24</v>
      </c>
      <c r="B106" s="95"/>
      <c r="C106" s="96" t="s">
        <v>322</v>
      </c>
      <c r="D106" s="97" t="s">
        <v>19</v>
      </c>
      <c r="E106" s="208">
        <v>23.1</v>
      </c>
      <c r="F106" s="270"/>
      <c r="G106" s="99">
        <f>E106*F106</f>
        <v>0</v>
      </c>
      <c r="H106" s="151" t="s">
        <v>193</v>
      </c>
      <c r="M106" s="43"/>
      <c r="O106" s="43"/>
      <c r="P106" s="103"/>
      <c r="Q106" s="63"/>
    </row>
    <row r="107" spans="1:16" ht="12.75">
      <c r="A107" s="94">
        <f>A106+1</f>
        <v>25</v>
      </c>
      <c r="B107" s="95"/>
      <c r="C107" s="96" t="s">
        <v>173</v>
      </c>
      <c r="D107" s="97" t="s">
        <v>19</v>
      </c>
      <c r="E107" s="208">
        <f>2*0.58*1.33+3*1.32*1.35+0.9*2.2</f>
        <v>8.8688</v>
      </c>
      <c r="F107" s="270"/>
      <c r="G107" s="99">
        <f t="shared" si="3"/>
        <v>0</v>
      </c>
      <c r="H107" s="151" t="s">
        <v>193</v>
      </c>
      <c r="M107" s="43"/>
      <c r="P107" s="103"/>
    </row>
    <row r="108" spans="1:18" s="63" customFormat="1" ht="12.75">
      <c r="A108" s="105">
        <f>A107+1</f>
        <v>26</v>
      </c>
      <c r="B108" s="106"/>
      <c r="C108" s="96" t="s">
        <v>418</v>
      </c>
      <c r="D108" s="107" t="s">
        <v>18</v>
      </c>
      <c r="E108" s="209">
        <v>1</v>
      </c>
      <c r="F108" s="270"/>
      <c r="G108" s="99">
        <f t="shared" si="3"/>
        <v>0</v>
      </c>
      <c r="H108" s="149" t="s">
        <v>193</v>
      </c>
      <c r="I108" s="7"/>
      <c r="P108" s="108"/>
      <c r="R108" s="155"/>
    </row>
    <row r="109" spans="1:17" ht="12.75">
      <c r="A109" s="105">
        <f>A108+1</f>
        <v>27</v>
      </c>
      <c r="B109" s="95"/>
      <c r="C109" s="96" t="s">
        <v>299</v>
      </c>
      <c r="D109" s="97" t="s">
        <v>18</v>
      </c>
      <c r="E109" s="208">
        <v>1</v>
      </c>
      <c r="F109" s="270"/>
      <c r="G109" s="99">
        <f t="shared" si="3"/>
        <v>0</v>
      </c>
      <c r="H109" s="151" t="s">
        <v>193</v>
      </c>
      <c r="M109" s="43"/>
      <c r="P109" s="103">
        <v>0.02</v>
      </c>
      <c r="Q109" s="4" t="s">
        <v>23</v>
      </c>
    </row>
    <row r="110" spans="1:18" s="63" customFormat="1" ht="25.5">
      <c r="A110" s="105">
        <f t="shared" si="2"/>
        <v>28</v>
      </c>
      <c r="B110" s="106"/>
      <c r="C110" s="101" t="s">
        <v>350</v>
      </c>
      <c r="D110" s="107" t="s">
        <v>18</v>
      </c>
      <c r="E110" s="209">
        <v>1</v>
      </c>
      <c r="F110" s="270"/>
      <c r="G110" s="109">
        <f>E110*F110</f>
        <v>0</v>
      </c>
      <c r="H110" s="149" t="s">
        <v>193</v>
      </c>
      <c r="M110" s="63">
        <f>0.3*0.001</f>
        <v>0.0003</v>
      </c>
      <c r="N110" s="63">
        <v>2.1</v>
      </c>
      <c r="P110" s="63">
        <f>+M110*N110</f>
        <v>0.0006299999999999999</v>
      </c>
      <c r="R110" s="155"/>
    </row>
    <row r="111" spans="1:17" ht="12.75">
      <c r="A111" s="105">
        <f t="shared" si="2"/>
        <v>29</v>
      </c>
      <c r="B111" s="95"/>
      <c r="C111" s="96" t="s">
        <v>96</v>
      </c>
      <c r="D111" s="97" t="s">
        <v>23</v>
      </c>
      <c r="E111" s="208">
        <f>+P111</f>
        <v>11.015272334999997</v>
      </c>
      <c r="F111" s="270"/>
      <c r="G111" s="99">
        <f t="shared" si="3"/>
        <v>0</v>
      </c>
      <c r="H111" s="151" t="s">
        <v>193</v>
      </c>
      <c r="M111" s="43"/>
      <c r="P111" s="110">
        <f>SUM(P80:P110)</f>
        <v>11.015272334999997</v>
      </c>
      <c r="Q111" s="21" t="s">
        <v>23</v>
      </c>
    </row>
    <row r="112" spans="1:8" ht="12.75">
      <c r="A112" s="105">
        <f t="shared" si="2"/>
        <v>30</v>
      </c>
      <c r="B112" s="95"/>
      <c r="C112" s="96" t="s">
        <v>97</v>
      </c>
      <c r="D112" s="97" t="s">
        <v>23</v>
      </c>
      <c r="E112" s="208">
        <f>+E111</f>
        <v>11.015272334999997</v>
      </c>
      <c r="F112" s="270"/>
      <c r="G112" s="99">
        <f>E112*F112</f>
        <v>0</v>
      </c>
      <c r="H112" s="151" t="s">
        <v>193</v>
      </c>
    </row>
    <row r="113" spans="1:8" ht="12.75">
      <c r="A113" s="94">
        <f t="shared" si="2"/>
        <v>31</v>
      </c>
      <c r="B113" s="95"/>
      <c r="C113" s="96" t="s">
        <v>98</v>
      </c>
      <c r="D113" s="97" t="s">
        <v>23</v>
      </c>
      <c r="E113" s="208">
        <f>+P111</f>
        <v>11.015272334999997</v>
      </c>
      <c r="F113" s="270"/>
      <c r="G113" s="99">
        <f>E113*F113</f>
        <v>0</v>
      </c>
      <c r="H113" s="151" t="s">
        <v>193</v>
      </c>
    </row>
    <row r="114" spans="1:8" ht="25.5">
      <c r="A114" s="94">
        <f t="shared" si="2"/>
        <v>32</v>
      </c>
      <c r="B114" s="95"/>
      <c r="C114" s="96" t="s">
        <v>103</v>
      </c>
      <c r="D114" s="97" t="s">
        <v>23</v>
      </c>
      <c r="E114" s="208">
        <f>+P82+P92+P93+P94+P81+P88</f>
        <v>0.5987072</v>
      </c>
      <c r="F114" s="270"/>
      <c r="G114" s="99">
        <f>E114*F114</f>
        <v>0</v>
      </c>
      <c r="H114" s="151" t="s">
        <v>193</v>
      </c>
    </row>
    <row r="115" spans="1:8" ht="26.25" thickBot="1">
      <c r="A115" s="94">
        <f>A114+1</f>
        <v>33</v>
      </c>
      <c r="B115" s="95"/>
      <c r="C115" s="96" t="s">
        <v>95</v>
      </c>
      <c r="D115" s="97" t="s">
        <v>23</v>
      </c>
      <c r="E115" s="208">
        <f>+P80+P97+P96+P111</f>
        <v>11.133272334999997</v>
      </c>
      <c r="F115" s="270"/>
      <c r="G115" s="99">
        <f>E115*F115</f>
        <v>0</v>
      </c>
      <c r="H115" s="151" t="s">
        <v>193</v>
      </c>
    </row>
    <row r="116" spans="1:8" ht="13.5" thickBot="1">
      <c r="A116" s="94"/>
      <c r="B116" s="95"/>
      <c r="C116" s="111" t="s">
        <v>20</v>
      </c>
      <c r="D116" s="112"/>
      <c r="E116" s="210"/>
      <c r="F116" s="113"/>
      <c r="G116" s="114">
        <f>SUBTOTAL(9,G80:G115)</f>
        <v>0</v>
      </c>
      <c r="H116" s="183"/>
    </row>
    <row r="117" spans="1:8" ht="12.75">
      <c r="A117" s="94"/>
      <c r="B117" s="95"/>
      <c r="C117" s="115"/>
      <c r="D117" s="116"/>
      <c r="E117" s="197"/>
      <c r="F117" s="36"/>
      <c r="G117" s="117"/>
      <c r="H117" s="151"/>
    </row>
    <row r="118" spans="1:8" ht="16.5">
      <c r="A118" s="94"/>
      <c r="B118" s="89" t="s">
        <v>29</v>
      </c>
      <c r="C118" s="242" t="s">
        <v>174</v>
      </c>
      <c r="D118" s="242"/>
      <c r="E118" s="242"/>
      <c r="F118" s="242"/>
      <c r="G118" s="242"/>
      <c r="H118" s="151"/>
    </row>
    <row r="119" spans="1:8" ht="16.5">
      <c r="A119" s="94"/>
      <c r="B119" s="118" t="s">
        <v>38</v>
      </c>
      <c r="C119" s="242" t="s">
        <v>56</v>
      </c>
      <c r="D119" s="242"/>
      <c r="E119" s="242"/>
      <c r="F119" s="242"/>
      <c r="G119" s="242"/>
      <c r="H119" s="151"/>
    </row>
    <row r="120" spans="1:10" ht="38.25">
      <c r="A120" s="94">
        <f>+A115+1</f>
        <v>34</v>
      </c>
      <c r="B120" s="95"/>
      <c r="C120" s="101" t="s">
        <v>291</v>
      </c>
      <c r="D120" s="107" t="s">
        <v>19</v>
      </c>
      <c r="E120" s="209">
        <f>+(3.05+1.19)*2.47-2*0.8*2.05</f>
        <v>7.192800000000002</v>
      </c>
      <c r="F120" s="270"/>
      <c r="G120" s="109">
        <f>E120*F120</f>
        <v>0</v>
      </c>
      <c r="H120" s="151" t="s">
        <v>199</v>
      </c>
      <c r="I120" s="119"/>
      <c r="J120" s="4"/>
    </row>
    <row r="121" spans="1:8" ht="12.75">
      <c r="A121" s="94"/>
      <c r="B121" s="95"/>
      <c r="C121" s="104" t="s">
        <v>352</v>
      </c>
      <c r="D121" s="97"/>
      <c r="E121" s="208"/>
      <c r="F121" s="270"/>
      <c r="G121" s="99"/>
      <c r="H121" s="151"/>
    </row>
    <row r="122" spans="1:10" ht="38.25">
      <c r="A122" s="94">
        <f>+A120+1</f>
        <v>35</v>
      </c>
      <c r="B122" s="95"/>
      <c r="C122" s="101" t="s">
        <v>275</v>
      </c>
      <c r="D122" s="107" t="s">
        <v>19</v>
      </c>
      <c r="E122" s="209">
        <f>0.92*2.47-0.8*2.05+2.39*2.47</f>
        <v>6.535700000000001</v>
      </c>
      <c r="F122" s="270"/>
      <c r="G122" s="109">
        <f>E122*F122</f>
        <v>0</v>
      </c>
      <c r="H122" s="151" t="s">
        <v>199</v>
      </c>
      <c r="I122" s="119"/>
      <c r="J122" s="4"/>
    </row>
    <row r="123" spans="1:10" ht="12.75">
      <c r="A123" s="94"/>
      <c r="B123" s="95"/>
      <c r="C123" s="104" t="s">
        <v>323</v>
      </c>
      <c r="D123" s="97"/>
      <c r="E123" s="208"/>
      <c r="F123" s="270"/>
      <c r="G123" s="99"/>
      <c r="H123" s="151"/>
      <c r="I123" s="119"/>
      <c r="J123" s="120"/>
    </row>
    <row r="124" spans="1:10" ht="12.75">
      <c r="A124" s="94"/>
      <c r="B124" s="95"/>
      <c r="C124" s="104" t="s">
        <v>353</v>
      </c>
      <c r="D124" s="97"/>
      <c r="E124" s="208"/>
      <c r="F124" s="270"/>
      <c r="G124" s="99"/>
      <c r="H124" s="151"/>
      <c r="I124" s="119"/>
      <c r="J124" s="120"/>
    </row>
    <row r="125" spans="1:10" ht="38.25">
      <c r="A125" s="94">
        <f>A122+1</f>
        <v>36</v>
      </c>
      <c r="B125" s="95"/>
      <c r="C125" s="101" t="s">
        <v>324</v>
      </c>
      <c r="D125" s="107" t="s">
        <v>19</v>
      </c>
      <c r="E125" s="209">
        <f>1.125*2.47+(0.88+0.6)*2</f>
        <v>5.73875</v>
      </c>
      <c r="F125" s="270"/>
      <c r="G125" s="109">
        <f>E125*F125</f>
        <v>0</v>
      </c>
      <c r="H125" s="151" t="s">
        <v>199</v>
      </c>
      <c r="I125" s="119"/>
      <c r="J125" s="4"/>
    </row>
    <row r="126" spans="1:10" ht="12.75">
      <c r="A126" s="94"/>
      <c r="B126" s="95"/>
      <c r="C126" s="104" t="s">
        <v>385</v>
      </c>
      <c r="D126" s="97"/>
      <c r="E126" s="208"/>
      <c r="F126" s="270"/>
      <c r="G126" s="99"/>
      <c r="H126" s="151"/>
      <c r="I126" s="119"/>
      <c r="J126" s="120"/>
    </row>
    <row r="127" spans="1:10" ht="38.25">
      <c r="A127" s="94">
        <f>A125+1</f>
        <v>37</v>
      </c>
      <c r="B127" s="95"/>
      <c r="C127" s="101" t="s">
        <v>359</v>
      </c>
      <c r="D127" s="107" t="s">
        <v>19</v>
      </c>
      <c r="E127" s="208">
        <f>0.6*(1.6+0.7)*2</f>
        <v>2.76</v>
      </c>
      <c r="F127" s="270"/>
      <c r="G127" s="99">
        <f>E127*F127</f>
        <v>0</v>
      </c>
      <c r="H127" s="151" t="s">
        <v>199</v>
      </c>
      <c r="J127" s="4"/>
    </row>
    <row r="128" spans="1:10" ht="15.75" customHeight="1">
      <c r="A128" s="94">
        <f>A127+1</f>
        <v>38</v>
      </c>
      <c r="B128" s="106" t="s">
        <v>276</v>
      </c>
      <c r="C128" s="101" t="s">
        <v>292</v>
      </c>
      <c r="D128" s="107" t="s">
        <v>21</v>
      </c>
      <c r="E128" s="209">
        <v>2</v>
      </c>
      <c r="F128" s="270"/>
      <c r="G128" s="109">
        <f>E128*F128</f>
        <v>0</v>
      </c>
      <c r="H128" s="151" t="s">
        <v>199</v>
      </c>
      <c r="J128" s="4"/>
    </row>
    <row r="129" spans="1:8" ht="13.5" thickBot="1">
      <c r="A129" s="4">
        <f>A128+1</f>
        <v>39</v>
      </c>
      <c r="B129" s="95"/>
      <c r="C129" s="121" t="s">
        <v>49</v>
      </c>
      <c r="D129" s="97" t="s">
        <v>27</v>
      </c>
      <c r="E129" s="208">
        <f>SUM(G120:G127)</f>
        <v>0</v>
      </c>
      <c r="F129" s="271"/>
      <c r="G129" s="99">
        <f>E129*F129</f>
        <v>0</v>
      </c>
      <c r="H129" s="151" t="s">
        <v>199</v>
      </c>
    </row>
    <row r="130" spans="1:8" ht="13.5" thickBot="1">
      <c r="A130" s="94"/>
      <c r="B130" s="95"/>
      <c r="C130" s="122" t="s">
        <v>20</v>
      </c>
      <c r="D130" s="123"/>
      <c r="E130" s="211"/>
      <c r="F130" s="124"/>
      <c r="G130" s="114">
        <f>SUBTOTAL(9,G120:G129)</f>
        <v>0</v>
      </c>
      <c r="H130" s="183"/>
    </row>
    <row r="131" spans="1:8" ht="12.75">
      <c r="A131" s="94"/>
      <c r="B131" s="95"/>
      <c r="C131" s="115"/>
      <c r="D131" s="116"/>
      <c r="E131" s="197"/>
      <c r="F131" s="36"/>
      <c r="G131" s="117"/>
      <c r="H131" s="151"/>
    </row>
    <row r="132" spans="1:8" ht="16.5">
      <c r="A132" s="94"/>
      <c r="B132" s="118" t="s">
        <v>39</v>
      </c>
      <c r="C132" s="242" t="s">
        <v>57</v>
      </c>
      <c r="D132" s="242"/>
      <c r="E132" s="242"/>
      <c r="F132" s="242"/>
      <c r="G132" s="242"/>
      <c r="H132" s="151"/>
    </row>
    <row r="133" spans="1:10" ht="52.5" customHeight="1">
      <c r="A133" s="94"/>
      <c r="B133" s="89"/>
      <c r="C133" s="239" t="s">
        <v>75</v>
      </c>
      <c r="D133" s="239"/>
      <c r="E133" s="239"/>
      <c r="F133" s="239"/>
      <c r="G133" s="239"/>
      <c r="H133" s="218"/>
      <c r="J133" s="125"/>
    </row>
    <row r="134" spans="1:10" ht="38.25">
      <c r="A134" s="94">
        <f>A129+1</f>
        <v>40</v>
      </c>
      <c r="B134" s="95" t="s">
        <v>295</v>
      </c>
      <c r="C134" s="96" t="s">
        <v>331</v>
      </c>
      <c r="D134" s="97" t="s">
        <v>19</v>
      </c>
      <c r="E134" s="208">
        <f>5.5+3.7+4</f>
        <v>13.2</v>
      </c>
      <c r="F134" s="270"/>
      <c r="G134" s="99">
        <f>E134*F134</f>
        <v>0</v>
      </c>
      <c r="H134" s="151" t="s">
        <v>199</v>
      </c>
      <c r="J134" s="4"/>
    </row>
    <row r="135" spans="1:10" ht="12.75">
      <c r="A135" s="105"/>
      <c r="B135" s="106"/>
      <c r="C135" s="126" t="s">
        <v>403</v>
      </c>
      <c r="D135" s="107"/>
      <c r="E135" s="209"/>
      <c r="F135" s="270"/>
      <c r="G135" s="109"/>
      <c r="J135" s="4"/>
    </row>
    <row r="136" spans="1:21" s="225" customFormat="1" ht="12.75">
      <c r="A136" s="219">
        <f>A134+1</f>
        <v>41</v>
      </c>
      <c r="B136" s="220"/>
      <c r="C136" s="221" t="s">
        <v>421</v>
      </c>
      <c r="D136" s="222" t="s">
        <v>19</v>
      </c>
      <c r="E136" s="223">
        <f>3.7+4</f>
        <v>7.7</v>
      </c>
      <c r="F136" s="270"/>
      <c r="G136" s="181">
        <f>E136*F136</f>
        <v>0</v>
      </c>
      <c r="H136" s="224" t="s">
        <v>199</v>
      </c>
      <c r="I136" s="7"/>
      <c r="Q136" s="226"/>
      <c r="R136" s="227"/>
      <c r="U136" s="227"/>
    </row>
    <row r="137" spans="1:21" s="225" customFormat="1" ht="12.75">
      <c r="A137" s="219">
        <f>A136+1</f>
        <v>42</v>
      </c>
      <c r="B137" s="220"/>
      <c r="C137" s="221" t="s">
        <v>422</v>
      </c>
      <c r="D137" s="222" t="s">
        <v>19</v>
      </c>
      <c r="E137" s="223">
        <v>5.5</v>
      </c>
      <c r="F137" s="270"/>
      <c r="G137" s="181">
        <f>E137*F137</f>
        <v>0</v>
      </c>
      <c r="H137" s="224" t="s">
        <v>199</v>
      </c>
      <c r="I137" s="7"/>
      <c r="Q137" s="226"/>
      <c r="R137" s="227"/>
      <c r="U137" s="227"/>
    </row>
    <row r="138" spans="1:10" ht="12.75">
      <c r="A138" s="219">
        <f>A137+1</f>
        <v>43</v>
      </c>
      <c r="B138" s="106" t="s">
        <v>402</v>
      </c>
      <c r="C138" s="101" t="s">
        <v>404</v>
      </c>
      <c r="D138" s="107" t="s">
        <v>19</v>
      </c>
      <c r="E138" s="209">
        <f>1.1+(0.35+0.15)*4.17</f>
        <v>3.185</v>
      </c>
      <c r="F138" s="270"/>
      <c r="G138" s="109">
        <f>E138*F138</f>
        <v>0</v>
      </c>
      <c r="H138" s="149" t="s">
        <v>199</v>
      </c>
      <c r="J138" s="4"/>
    </row>
    <row r="139" spans="1:10" ht="12.75">
      <c r="A139" s="105"/>
      <c r="B139" s="106"/>
      <c r="C139" s="126" t="s">
        <v>405</v>
      </c>
      <c r="D139" s="107"/>
      <c r="E139" s="209"/>
      <c r="F139" s="270"/>
      <c r="G139" s="109"/>
      <c r="J139" s="4"/>
    </row>
    <row r="140" spans="1:8" ht="12.75">
      <c r="A140" s="94">
        <f>A138+1</f>
        <v>44</v>
      </c>
      <c r="B140" s="127" t="s">
        <v>186</v>
      </c>
      <c r="C140" s="128" t="s">
        <v>74</v>
      </c>
      <c r="D140" s="129" t="s">
        <v>19</v>
      </c>
      <c r="E140" s="212">
        <f>(3.7+4)*1.1</f>
        <v>8.47</v>
      </c>
      <c r="F140" s="272"/>
      <c r="G140" s="130">
        <f>E140*F140</f>
        <v>0</v>
      </c>
      <c r="H140" s="151" t="s">
        <v>199</v>
      </c>
    </row>
    <row r="141" spans="1:8" ht="12.75">
      <c r="A141" s="94">
        <f>A140+1</f>
        <v>45</v>
      </c>
      <c r="B141" s="127" t="s">
        <v>293</v>
      </c>
      <c r="C141" s="128" t="s">
        <v>294</v>
      </c>
      <c r="D141" s="129" t="s">
        <v>19</v>
      </c>
      <c r="E141" s="213">
        <f>(5.5+(0.35+0.15)*4.17+1.1*1)*1.1</f>
        <v>9.553500000000001</v>
      </c>
      <c r="F141" s="272"/>
      <c r="G141" s="130">
        <f>E141*F141</f>
        <v>0</v>
      </c>
      <c r="H141" s="151" t="s">
        <v>199</v>
      </c>
    </row>
    <row r="142" spans="1:8" ht="25.5">
      <c r="A142" s="94">
        <f>A141+1</f>
        <v>46</v>
      </c>
      <c r="B142" s="95" t="s">
        <v>240</v>
      </c>
      <c r="C142" s="96" t="s">
        <v>249</v>
      </c>
      <c r="D142" s="97" t="s">
        <v>21</v>
      </c>
      <c r="E142" s="208">
        <v>2</v>
      </c>
      <c r="F142" s="270"/>
      <c r="G142" s="99">
        <f>E142*F142</f>
        <v>0</v>
      </c>
      <c r="H142" s="151" t="s">
        <v>199</v>
      </c>
    </row>
    <row r="143" spans="1:10" ht="12.75">
      <c r="A143" s="94">
        <f>A142+1</f>
        <v>47</v>
      </c>
      <c r="B143" s="95" t="s">
        <v>295</v>
      </c>
      <c r="C143" s="96" t="s">
        <v>86</v>
      </c>
      <c r="D143" s="97" t="s">
        <v>19</v>
      </c>
      <c r="E143" s="208">
        <f>+E134</f>
        <v>13.2</v>
      </c>
      <c r="F143" s="270"/>
      <c r="G143" s="99">
        <f>E143*F143</f>
        <v>0</v>
      </c>
      <c r="H143" s="154" t="s">
        <v>199</v>
      </c>
      <c r="J143" s="125"/>
    </row>
    <row r="144" spans="1:8" ht="13.5" thickBot="1">
      <c r="A144" s="94">
        <f>A143+1</f>
        <v>48</v>
      </c>
      <c r="B144" s="95"/>
      <c r="C144" s="96" t="s">
        <v>46</v>
      </c>
      <c r="D144" s="131" t="s">
        <v>27</v>
      </c>
      <c r="E144" s="208">
        <f>SUM(G140:G142)</f>
        <v>0</v>
      </c>
      <c r="F144" s="273"/>
      <c r="G144" s="132">
        <f>E144*F144</f>
        <v>0</v>
      </c>
      <c r="H144" s="151" t="s">
        <v>199</v>
      </c>
    </row>
    <row r="145" spans="1:8" ht="13.5" thickBot="1">
      <c r="A145" s="94"/>
      <c r="B145" s="95"/>
      <c r="C145" s="122" t="s">
        <v>20</v>
      </c>
      <c r="D145" s="123"/>
      <c r="E145" s="211"/>
      <c r="F145" s="124"/>
      <c r="G145" s="114">
        <f>SUBTOTAL(9,G134:G144)</f>
        <v>0</v>
      </c>
      <c r="H145" s="183"/>
    </row>
    <row r="146" spans="1:8" ht="12.75">
      <c r="A146" s="94"/>
      <c r="B146" s="95"/>
      <c r="C146" s="115"/>
      <c r="D146" s="116"/>
      <c r="E146" s="197"/>
      <c r="F146" s="36"/>
      <c r="G146" s="117"/>
      <c r="H146" s="151"/>
    </row>
    <row r="147" spans="1:8" ht="16.5">
      <c r="A147" s="94"/>
      <c r="B147" s="118" t="s">
        <v>40</v>
      </c>
      <c r="C147" s="242" t="s">
        <v>210</v>
      </c>
      <c r="D147" s="242"/>
      <c r="E147" s="242"/>
      <c r="F147" s="242"/>
      <c r="G147" s="242"/>
      <c r="H147" s="151"/>
    </row>
    <row r="148" spans="1:10" ht="30" customHeight="1">
      <c r="A148" s="94"/>
      <c r="B148" s="95"/>
      <c r="C148" s="240" t="s">
        <v>58</v>
      </c>
      <c r="D148" s="240"/>
      <c r="E148" s="240"/>
      <c r="F148" s="240"/>
      <c r="G148" s="240"/>
      <c r="H148" s="154"/>
      <c r="J148" s="125"/>
    </row>
    <row r="149" spans="1:10" ht="65.25" customHeight="1">
      <c r="A149" s="94">
        <f>A144+1</f>
        <v>49</v>
      </c>
      <c r="B149" s="95" t="s">
        <v>214</v>
      </c>
      <c r="C149" s="96" t="s">
        <v>296</v>
      </c>
      <c r="D149" s="97" t="s">
        <v>19</v>
      </c>
      <c r="E149" s="208">
        <f>+E85+(2*0.6+1.25*1.5+1.57*2.4-0.27*1.39)+0.15*25</f>
        <v>19.509135000000004</v>
      </c>
      <c r="F149" s="270"/>
      <c r="G149" s="99">
        <f>E149*F149</f>
        <v>0</v>
      </c>
      <c r="H149" s="154" t="s">
        <v>193</v>
      </c>
      <c r="J149" s="102"/>
    </row>
    <row r="150" spans="1:10" ht="25.5">
      <c r="A150" s="94">
        <f>A149+1</f>
        <v>50</v>
      </c>
      <c r="B150" s="95" t="s">
        <v>215</v>
      </c>
      <c r="C150" s="101" t="s">
        <v>423</v>
      </c>
      <c r="D150" s="107" t="s">
        <v>19</v>
      </c>
      <c r="E150" s="208">
        <v>237.5</v>
      </c>
      <c r="F150" s="270"/>
      <c r="G150" s="109">
        <f>E150*F150</f>
        <v>0</v>
      </c>
      <c r="H150" s="154" t="s">
        <v>193</v>
      </c>
      <c r="J150" s="125"/>
    </row>
    <row r="151" spans="1:10" ht="25.5">
      <c r="A151" s="94">
        <f>A150+1</f>
        <v>51</v>
      </c>
      <c r="B151" s="95"/>
      <c r="C151" s="101" t="s">
        <v>424</v>
      </c>
      <c r="D151" s="107" t="s">
        <v>19</v>
      </c>
      <c r="E151" s="209">
        <v>197.49</v>
      </c>
      <c r="F151" s="270"/>
      <c r="G151" s="109">
        <f>E151*F151</f>
        <v>0</v>
      </c>
      <c r="H151" s="154" t="s">
        <v>193</v>
      </c>
      <c r="J151" s="125"/>
    </row>
    <row r="152" spans="1:10" ht="12.75">
      <c r="A152" s="94"/>
      <c r="B152" s="95"/>
      <c r="C152" s="104" t="s">
        <v>325</v>
      </c>
      <c r="D152" s="97"/>
      <c r="E152" s="208"/>
      <c r="F152" s="270"/>
      <c r="G152" s="99"/>
      <c r="H152" s="154"/>
      <c r="J152" s="125"/>
    </row>
    <row r="153" spans="1:10" ht="12.75">
      <c r="A153" s="94"/>
      <c r="B153" s="95"/>
      <c r="C153" s="104" t="s">
        <v>326</v>
      </c>
      <c r="D153" s="97"/>
      <c r="E153" s="208"/>
      <c r="F153" s="270"/>
      <c r="G153" s="99"/>
      <c r="H153" s="154"/>
      <c r="J153" s="125"/>
    </row>
    <row r="154" spans="1:10" ht="12.75">
      <c r="A154" s="94"/>
      <c r="B154" s="95"/>
      <c r="C154" s="104" t="s">
        <v>328</v>
      </c>
      <c r="D154" s="97"/>
      <c r="E154" s="208"/>
      <c r="F154" s="270"/>
      <c r="G154" s="99"/>
      <c r="H154" s="154"/>
      <c r="J154" s="125"/>
    </row>
    <row r="155" spans="1:10" ht="12.75">
      <c r="A155" s="94"/>
      <c r="B155" s="95"/>
      <c r="C155" s="104" t="s">
        <v>354</v>
      </c>
      <c r="D155" s="97"/>
      <c r="E155" s="208"/>
      <c r="F155" s="270"/>
      <c r="G155" s="99"/>
      <c r="H155" s="154"/>
      <c r="J155" s="125"/>
    </row>
    <row r="156" spans="1:10" ht="12.75">
      <c r="A156" s="94"/>
      <c r="B156" s="95"/>
      <c r="C156" s="104" t="s">
        <v>356</v>
      </c>
      <c r="D156" s="97"/>
      <c r="E156" s="208"/>
      <c r="F156" s="270"/>
      <c r="G156" s="99"/>
      <c r="H156" s="154"/>
      <c r="J156" s="125"/>
    </row>
    <row r="157" spans="1:10" ht="12.75">
      <c r="A157" s="94"/>
      <c r="B157" s="95"/>
      <c r="C157" s="104" t="s">
        <v>355</v>
      </c>
      <c r="D157" s="97"/>
      <c r="E157" s="208"/>
      <c r="F157" s="270"/>
      <c r="G157" s="99"/>
      <c r="H157" s="154"/>
      <c r="J157" s="125"/>
    </row>
    <row r="158" spans="1:8" ht="25.5">
      <c r="A158" s="94">
        <f>A151+1</f>
        <v>52</v>
      </c>
      <c r="B158" s="95"/>
      <c r="C158" s="96" t="s">
        <v>221</v>
      </c>
      <c r="D158" s="97" t="s">
        <v>19</v>
      </c>
      <c r="E158" s="208">
        <f>20.2*2.45-2*0.9*2.05-0.85*2-2*0.57*1.39-1.32*1.35+1.97*2.45+3.25*(2.45-0.6)+24.7+15.26*2.45-0.9*2.05-1.3*1.36+14.4+19.8*2.45-2*0.9*2.05-0.87*2.02-0.885*2.22-1.335*1.36+22.1</f>
        <v>185.82870000000005</v>
      </c>
      <c r="F158" s="270"/>
      <c r="G158" s="99">
        <f aca="true" t="shared" si="4" ref="G158:G181">E158*F158</f>
        <v>0</v>
      </c>
      <c r="H158" s="151" t="s">
        <v>193</v>
      </c>
    </row>
    <row r="159" spans="1:8" ht="12.75">
      <c r="A159" s="94"/>
      <c r="B159" s="95"/>
      <c r="C159" s="104" t="s">
        <v>358</v>
      </c>
      <c r="D159" s="97"/>
      <c r="E159" s="208"/>
      <c r="F159" s="270"/>
      <c r="G159" s="99"/>
      <c r="H159" s="151"/>
    </row>
    <row r="160" spans="1:8" ht="12.75">
      <c r="A160" s="94"/>
      <c r="B160" s="95"/>
      <c r="C160" s="104" t="s">
        <v>327</v>
      </c>
      <c r="D160" s="97"/>
      <c r="E160" s="208"/>
      <c r="F160" s="270"/>
      <c r="G160" s="99"/>
      <c r="H160" s="151"/>
    </row>
    <row r="161" spans="1:8" ht="12.75">
      <c r="A161" s="94"/>
      <c r="B161" s="95"/>
      <c r="C161" s="104" t="s">
        <v>357</v>
      </c>
      <c r="D161" s="97"/>
      <c r="E161" s="208"/>
      <c r="F161" s="270"/>
      <c r="G161" s="99"/>
      <c r="H161" s="151"/>
    </row>
    <row r="162" spans="1:8" ht="12.75">
      <c r="A162" s="94">
        <f>A158+1</f>
        <v>53</v>
      </c>
      <c r="B162" s="95" t="s">
        <v>330</v>
      </c>
      <c r="C162" s="96" t="s">
        <v>185</v>
      </c>
      <c r="D162" s="97" t="s">
        <v>19</v>
      </c>
      <c r="E162" s="208">
        <f>+E151+E179</f>
        <v>203.72</v>
      </c>
      <c r="F162" s="270"/>
      <c r="G162" s="99">
        <f>E162*F162</f>
        <v>0</v>
      </c>
      <c r="H162" s="151" t="s">
        <v>193</v>
      </c>
    </row>
    <row r="163" spans="1:8" ht="12.75">
      <c r="A163" s="94">
        <f>A162+1</f>
        <v>54</v>
      </c>
      <c r="B163" s="95" t="s">
        <v>329</v>
      </c>
      <c r="C163" s="96" t="s">
        <v>425</v>
      </c>
      <c r="D163" s="97" t="s">
        <v>19</v>
      </c>
      <c r="E163" s="208">
        <f>E164</f>
        <v>37.638799999999996</v>
      </c>
      <c r="F163" s="270"/>
      <c r="G163" s="99">
        <f t="shared" si="4"/>
        <v>0</v>
      </c>
      <c r="H163" s="151" t="s">
        <v>193</v>
      </c>
    </row>
    <row r="164" spans="1:8" ht="25.5">
      <c r="A164" s="94">
        <f>A163+1</f>
        <v>55</v>
      </c>
      <c r="B164" s="95" t="s">
        <v>217</v>
      </c>
      <c r="C164" s="96" t="s">
        <v>300</v>
      </c>
      <c r="D164" s="97" t="s">
        <v>19</v>
      </c>
      <c r="E164" s="208">
        <f>+(8.1+8.12)*2.4-2*0.8*2.05-2*(0.57-2*0.15)*1.38+4.56*0.6</f>
        <v>37.638799999999996</v>
      </c>
      <c r="F164" s="270"/>
      <c r="G164" s="99">
        <f t="shared" si="4"/>
        <v>0</v>
      </c>
      <c r="H164" s="151" t="s">
        <v>193</v>
      </c>
    </row>
    <row r="165" spans="1:8" ht="12.75">
      <c r="A165" s="94">
        <f aca="true" t="shared" si="5" ref="A165:A181">A164+1</f>
        <v>56</v>
      </c>
      <c r="B165" s="127" t="s">
        <v>218</v>
      </c>
      <c r="C165" s="128" t="s">
        <v>175</v>
      </c>
      <c r="D165" s="129" t="s">
        <v>19</v>
      </c>
      <c r="E165" s="212">
        <f>+E164*1.1-E166</f>
        <v>32.19788</v>
      </c>
      <c r="F165" s="272"/>
      <c r="G165" s="130">
        <f t="shared" si="4"/>
        <v>0</v>
      </c>
      <c r="H165" s="151" t="s">
        <v>193</v>
      </c>
    </row>
    <row r="166" spans="1:8" ht="25.5">
      <c r="A166" s="94">
        <f t="shared" si="5"/>
        <v>57</v>
      </c>
      <c r="B166" s="127" t="s">
        <v>219</v>
      </c>
      <c r="C166" s="128" t="s">
        <v>222</v>
      </c>
      <c r="D166" s="129" t="s">
        <v>19</v>
      </c>
      <c r="E166" s="212">
        <f>(0.4*(8.1-0.8-0.27+8.12-0.8-0.27)+4.56*0.6)*1.1</f>
        <v>9.204799999999999</v>
      </c>
      <c r="F166" s="272"/>
      <c r="G166" s="130">
        <f t="shared" si="4"/>
        <v>0</v>
      </c>
      <c r="H166" s="151" t="s">
        <v>193</v>
      </c>
    </row>
    <row r="167" spans="1:8" ht="12.75">
      <c r="A167" s="94">
        <f t="shared" si="5"/>
        <v>58</v>
      </c>
      <c r="B167" s="95" t="s">
        <v>217</v>
      </c>
      <c r="C167" s="96" t="s">
        <v>427</v>
      </c>
      <c r="D167" s="97" t="s">
        <v>22</v>
      </c>
      <c r="E167" s="208">
        <f>E168</f>
        <v>0.66</v>
      </c>
      <c r="F167" s="270"/>
      <c r="G167" s="99">
        <f t="shared" si="4"/>
        <v>0</v>
      </c>
      <c r="H167" s="151" t="s">
        <v>193</v>
      </c>
    </row>
    <row r="168" spans="1:8" ht="25.5">
      <c r="A168" s="94">
        <f t="shared" si="5"/>
        <v>59</v>
      </c>
      <c r="B168" s="127" t="s">
        <v>220</v>
      </c>
      <c r="C168" s="128" t="s">
        <v>426</v>
      </c>
      <c r="D168" s="129" t="s">
        <v>22</v>
      </c>
      <c r="E168" s="212">
        <f>(0.6)*1.1</f>
        <v>0.66</v>
      </c>
      <c r="F168" s="272"/>
      <c r="G168" s="130">
        <f t="shared" si="4"/>
        <v>0</v>
      </c>
      <c r="H168" s="151" t="s">
        <v>193</v>
      </c>
    </row>
    <row r="169" spans="1:8" ht="12.75">
      <c r="A169" s="94">
        <f>A168+1</f>
        <v>60</v>
      </c>
      <c r="B169" s="95" t="s">
        <v>374</v>
      </c>
      <c r="C169" s="96" t="s">
        <v>59</v>
      </c>
      <c r="D169" s="97" t="s">
        <v>21</v>
      </c>
      <c r="E169" s="208">
        <f>+E170+E171</f>
        <v>3</v>
      </c>
      <c r="F169" s="270"/>
      <c r="G169" s="99">
        <f t="shared" si="4"/>
        <v>0</v>
      </c>
      <c r="H169" s="151" t="s">
        <v>199</v>
      </c>
    </row>
    <row r="170" spans="1:8" ht="38.25">
      <c r="A170" s="94">
        <f t="shared" si="5"/>
        <v>61</v>
      </c>
      <c r="B170" s="127" t="s">
        <v>228</v>
      </c>
      <c r="C170" s="133" t="s">
        <v>242</v>
      </c>
      <c r="D170" s="134" t="s">
        <v>21</v>
      </c>
      <c r="E170" s="213">
        <v>1</v>
      </c>
      <c r="F170" s="272"/>
      <c r="G170" s="135">
        <f t="shared" si="4"/>
        <v>0</v>
      </c>
      <c r="H170" s="151" t="s">
        <v>199</v>
      </c>
    </row>
    <row r="171" spans="1:8" ht="25.5">
      <c r="A171" s="94">
        <f t="shared" si="5"/>
        <v>62</v>
      </c>
      <c r="B171" s="127" t="s">
        <v>375</v>
      </c>
      <c r="C171" s="133" t="s">
        <v>376</v>
      </c>
      <c r="D171" s="134" t="s">
        <v>21</v>
      </c>
      <c r="E171" s="213">
        <v>2</v>
      </c>
      <c r="F171" s="272"/>
      <c r="G171" s="135">
        <f t="shared" si="4"/>
        <v>0</v>
      </c>
      <c r="H171" s="151" t="s">
        <v>199</v>
      </c>
    </row>
    <row r="172" spans="1:8" ht="25.5">
      <c r="A172" s="94">
        <f t="shared" si="5"/>
        <v>63</v>
      </c>
      <c r="B172" s="95" t="s">
        <v>217</v>
      </c>
      <c r="C172" s="96" t="s">
        <v>68</v>
      </c>
      <c r="D172" s="97" t="s">
        <v>19</v>
      </c>
      <c r="E172" s="208">
        <f>(1.75+0.85)*1.7</f>
        <v>4.42</v>
      </c>
      <c r="F172" s="270"/>
      <c r="G172" s="99">
        <f t="shared" si="4"/>
        <v>0</v>
      </c>
      <c r="H172" s="151" t="s">
        <v>193</v>
      </c>
    </row>
    <row r="173" spans="1:8" ht="12.75">
      <c r="A173" s="94">
        <f t="shared" si="5"/>
        <v>64</v>
      </c>
      <c r="B173" s="127" t="s">
        <v>220</v>
      </c>
      <c r="C173" s="128" t="s">
        <v>73</v>
      </c>
      <c r="D173" s="129" t="s">
        <v>33</v>
      </c>
      <c r="E173" s="212">
        <f>+E172*1.5</f>
        <v>6.63</v>
      </c>
      <c r="F173" s="272"/>
      <c r="G173" s="130">
        <f t="shared" si="4"/>
        <v>0</v>
      </c>
      <c r="H173" s="151" t="s">
        <v>193</v>
      </c>
    </row>
    <row r="174" spans="1:21" s="225" customFormat="1" ht="12.75">
      <c r="A174" s="94">
        <f t="shared" si="5"/>
        <v>65</v>
      </c>
      <c r="B174" s="220" t="s">
        <v>70</v>
      </c>
      <c r="C174" s="221" t="s">
        <v>428</v>
      </c>
      <c r="D174" s="222" t="s">
        <v>22</v>
      </c>
      <c r="E174" s="208">
        <f>E175</f>
        <v>2</v>
      </c>
      <c r="F174" s="270"/>
      <c r="G174" s="181">
        <f t="shared" si="4"/>
        <v>0</v>
      </c>
      <c r="H174" s="224" t="s">
        <v>193</v>
      </c>
      <c r="I174" s="228"/>
      <c r="N174" s="229"/>
      <c r="Q174" s="226"/>
      <c r="R174" s="227"/>
      <c r="U174" s="227"/>
    </row>
    <row r="175" spans="1:8" ht="25.5">
      <c r="A175" s="94">
        <f t="shared" si="5"/>
        <v>66</v>
      </c>
      <c r="B175" s="127" t="s">
        <v>220</v>
      </c>
      <c r="C175" s="128" t="s">
        <v>212</v>
      </c>
      <c r="D175" s="129" t="s">
        <v>22</v>
      </c>
      <c r="E175" s="212">
        <v>2</v>
      </c>
      <c r="F175" s="272"/>
      <c r="G175" s="130">
        <f t="shared" si="4"/>
        <v>0</v>
      </c>
      <c r="H175" s="151" t="s">
        <v>193</v>
      </c>
    </row>
    <row r="176" spans="1:10" ht="12.75">
      <c r="A176" s="94">
        <f t="shared" si="5"/>
        <v>67</v>
      </c>
      <c r="B176" s="95" t="s">
        <v>216</v>
      </c>
      <c r="C176" s="96" t="s">
        <v>190</v>
      </c>
      <c r="D176" s="97" t="s">
        <v>19</v>
      </c>
      <c r="E176" s="208">
        <f>+E150</f>
        <v>237.5</v>
      </c>
      <c r="F176" s="270"/>
      <c r="G176" s="99">
        <f t="shared" si="4"/>
        <v>0</v>
      </c>
      <c r="H176" s="151" t="s">
        <v>193</v>
      </c>
      <c r="J176" s="125"/>
    </row>
    <row r="177" spans="1:10" ht="12.75">
      <c r="A177" s="94">
        <f t="shared" si="5"/>
        <v>68</v>
      </c>
      <c r="B177" s="95"/>
      <c r="C177" s="96" t="s">
        <v>191</v>
      </c>
      <c r="D177" s="97" t="s">
        <v>19</v>
      </c>
      <c r="E177" s="208">
        <f>9.9+14.5+22.7</f>
        <v>47.099999999999994</v>
      </c>
      <c r="F177" s="270"/>
      <c r="G177" s="99">
        <f t="shared" si="4"/>
        <v>0</v>
      </c>
      <c r="H177" s="151" t="s">
        <v>193</v>
      </c>
      <c r="J177" s="125"/>
    </row>
    <row r="178" spans="1:10" ht="12.75">
      <c r="A178" s="94">
        <f t="shared" si="5"/>
        <v>69</v>
      </c>
      <c r="B178" s="95"/>
      <c r="C178" s="96" t="s">
        <v>209</v>
      </c>
      <c r="D178" s="97" t="s">
        <v>18</v>
      </c>
      <c r="E178" s="208">
        <v>1</v>
      </c>
      <c r="F178" s="270"/>
      <c r="G178" s="99">
        <f t="shared" si="4"/>
        <v>0</v>
      </c>
      <c r="H178" s="151" t="s">
        <v>193</v>
      </c>
      <c r="J178" s="125"/>
    </row>
    <row r="179" spans="1:10" ht="38.25">
      <c r="A179" s="94">
        <f t="shared" si="5"/>
        <v>70</v>
      </c>
      <c r="B179" s="95" t="s">
        <v>229</v>
      </c>
      <c r="C179" s="96" t="s">
        <v>313</v>
      </c>
      <c r="D179" s="97" t="s">
        <v>22</v>
      </c>
      <c r="E179" s="208">
        <f>1.7+2.43+2.1</f>
        <v>6.23</v>
      </c>
      <c r="F179" s="270"/>
      <c r="G179" s="99">
        <f t="shared" si="4"/>
        <v>0</v>
      </c>
      <c r="H179" s="151" t="s">
        <v>193</v>
      </c>
      <c r="J179" s="125"/>
    </row>
    <row r="180" spans="1:10" ht="38.25">
      <c r="A180" s="94">
        <f t="shared" si="5"/>
        <v>71</v>
      </c>
      <c r="B180" s="95" t="s">
        <v>298</v>
      </c>
      <c r="C180" s="101" t="s">
        <v>316</v>
      </c>
      <c r="D180" s="97" t="s">
        <v>18</v>
      </c>
      <c r="E180" s="208">
        <v>1</v>
      </c>
      <c r="F180" s="270"/>
      <c r="G180" s="99">
        <f t="shared" si="4"/>
        <v>0</v>
      </c>
      <c r="H180" s="151" t="s">
        <v>193</v>
      </c>
      <c r="J180" s="125"/>
    </row>
    <row r="181" spans="1:8" ht="13.5" thickBot="1">
      <c r="A181" s="94">
        <f t="shared" si="5"/>
        <v>72</v>
      </c>
      <c r="B181" s="95"/>
      <c r="C181" s="121" t="s">
        <v>49</v>
      </c>
      <c r="D181" s="97" t="s">
        <v>27</v>
      </c>
      <c r="E181" s="208">
        <f>+G149+G150+G165+G166+G168+G170+G173+G175+G162+G176+G177+G178+G179++G163+G151+G180</f>
        <v>0</v>
      </c>
      <c r="F181" s="271"/>
      <c r="G181" s="99">
        <f t="shared" si="4"/>
        <v>0</v>
      </c>
      <c r="H181" s="151" t="s">
        <v>193</v>
      </c>
    </row>
    <row r="182" spans="1:8" ht="13.5" thickBot="1">
      <c r="A182" s="94"/>
      <c r="B182" s="95"/>
      <c r="C182" s="122" t="s">
        <v>20</v>
      </c>
      <c r="D182" s="123"/>
      <c r="E182" s="211"/>
      <c r="F182" s="124"/>
      <c r="G182" s="114">
        <f>SUBTOTAL(9,G149:G181)</f>
        <v>0</v>
      </c>
      <c r="H182" s="183"/>
    </row>
    <row r="183" spans="1:8" ht="12.75">
      <c r="A183" s="94"/>
      <c r="B183" s="95"/>
      <c r="C183" s="115"/>
      <c r="D183" s="116"/>
      <c r="E183" s="197"/>
      <c r="F183" s="36"/>
      <c r="G183" s="117"/>
      <c r="H183" s="151"/>
    </row>
    <row r="184" spans="1:8" ht="16.5">
      <c r="A184" s="94"/>
      <c r="B184" s="118" t="s">
        <v>41</v>
      </c>
      <c r="C184" s="90" t="s">
        <v>60</v>
      </c>
      <c r="D184" s="90"/>
      <c r="E184" s="214"/>
      <c r="F184" s="90"/>
      <c r="G184" s="90"/>
      <c r="H184" s="151"/>
    </row>
    <row r="185" spans="1:8" ht="52.5" customHeight="1">
      <c r="A185" s="94"/>
      <c r="B185" s="89"/>
      <c r="C185" s="239" t="s">
        <v>123</v>
      </c>
      <c r="D185" s="239"/>
      <c r="E185" s="239"/>
      <c r="F185" s="239"/>
      <c r="G185" s="239"/>
      <c r="H185" s="151"/>
    </row>
    <row r="186" spans="1:8" ht="12.75">
      <c r="A186" s="94">
        <f>A181+1</f>
        <v>73</v>
      </c>
      <c r="B186" s="95" t="s">
        <v>30</v>
      </c>
      <c r="C186" s="136" t="s">
        <v>77</v>
      </c>
      <c r="D186" s="97" t="s">
        <v>22</v>
      </c>
      <c r="E186" s="208">
        <f>6.4+3.6+1.5</f>
        <v>11.5</v>
      </c>
      <c r="F186" s="270"/>
      <c r="G186" s="99">
        <f aca="true" t="shared" si="6" ref="G186:G201">E186*F186</f>
        <v>0</v>
      </c>
      <c r="H186" s="151" t="s">
        <v>193</v>
      </c>
    </row>
    <row r="187" spans="1:8" ht="12.75">
      <c r="A187" s="94">
        <f aca="true" t="shared" si="7" ref="A187:A201">A186+1</f>
        <v>74</v>
      </c>
      <c r="B187" s="95" t="s">
        <v>30</v>
      </c>
      <c r="C187" s="136" t="s">
        <v>78</v>
      </c>
      <c r="D187" s="97" t="s">
        <v>22</v>
      </c>
      <c r="E187" s="208">
        <v>3</v>
      </c>
      <c r="F187" s="270"/>
      <c r="G187" s="99">
        <f t="shared" si="6"/>
        <v>0</v>
      </c>
      <c r="H187" s="151" t="s">
        <v>193</v>
      </c>
    </row>
    <row r="188" spans="1:8" ht="12.75">
      <c r="A188" s="94">
        <f t="shared" si="7"/>
        <v>75</v>
      </c>
      <c r="B188" s="95" t="s">
        <v>30</v>
      </c>
      <c r="C188" s="136" t="s">
        <v>79</v>
      </c>
      <c r="D188" s="97" t="s">
        <v>22</v>
      </c>
      <c r="E188" s="208">
        <v>0.5</v>
      </c>
      <c r="F188" s="270"/>
      <c r="G188" s="99">
        <f t="shared" si="6"/>
        <v>0</v>
      </c>
      <c r="H188" s="151" t="s">
        <v>193</v>
      </c>
    </row>
    <row r="189" spans="1:8" ht="12.75">
      <c r="A189" s="94">
        <f t="shared" si="7"/>
        <v>76</v>
      </c>
      <c r="B189" s="95" t="s">
        <v>30</v>
      </c>
      <c r="C189" s="136" t="s">
        <v>93</v>
      </c>
      <c r="D189" s="97" t="s">
        <v>21</v>
      </c>
      <c r="E189" s="208">
        <v>3</v>
      </c>
      <c r="F189" s="270"/>
      <c r="G189" s="99">
        <f t="shared" si="6"/>
        <v>0</v>
      </c>
      <c r="H189" s="151" t="s">
        <v>193</v>
      </c>
    </row>
    <row r="190" spans="1:8" ht="12.75">
      <c r="A190" s="94">
        <f t="shared" si="7"/>
        <v>77</v>
      </c>
      <c r="B190" s="95" t="s">
        <v>30</v>
      </c>
      <c r="C190" s="136" t="s">
        <v>82</v>
      </c>
      <c r="D190" s="97" t="s">
        <v>21</v>
      </c>
      <c r="E190" s="208">
        <v>9</v>
      </c>
      <c r="F190" s="270"/>
      <c r="G190" s="99">
        <f t="shared" si="6"/>
        <v>0</v>
      </c>
      <c r="H190" s="151" t="s">
        <v>193</v>
      </c>
    </row>
    <row r="191" spans="1:8" ht="12.75">
      <c r="A191" s="94">
        <f t="shared" si="7"/>
        <v>78</v>
      </c>
      <c r="B191" s="95" t="s">
        <v>30</v>
      </c>
      <c r="C191" s="136" t="s">
        <v>0</v>
      </c>
      <c r="D191" s="97" t="s">
        <v>21</v>
      </c>
      <c r="E191" s="208">
        <v>2</v>
      </c>
      <c r="F191" s="270"/>
      <c r="G191" s="99">
        <f t="shared" si="6"/>
        <v>0</v>
      </c>
      <c r="H191" s="151" t="s">
        <v>193</v>
      </c>
    </row>
    <row r="192" spans="1:8" ht="12.75">
      <c r="A192" s="94">
        <f t="shared" si="7"/>
        <v>79</v>
      </c>
      <c r="B192" s="95" t="s">
        <v>30</v>
      </c>
      <c r="C192" s="136" t="s">
        <v>80</v>
      </c>
      <c r="D192" s="97" t="s">
        <v>21</v>
      </c>
      <c r="E192" s="208">
        <v>2</v>
      </c>
      <c r="F192" s="270"/>
      <c r="G192" s="99">
        <f t="shared" si="6"/>
        <v>0</v>
      </c>
      <c r="H192" s="151" t="s">
        <v>193</v>
      </c>
    </row>
    <row r="193" spans="1:8" ht="12.75">
      <c r="A193" s="94">
        <f t="shared" si="7"/>
        <v>80</v>
      </c>
      <c r="B193" s="95" t="s">
        <v>30</v>
      </c>
      <c r="C193" s="121" t="s">
        <v>187</v>
      </c>
      <c r="D193" s="97" t="s">
        <v>21</v>
      </c>
      <c r="E193" s="208">
        <v>4</v>
      </c>
      <c r="F193" s="270"/>
      <c r="G193" s="99">
        <f t="shared" si="6"/>
        <v>0</v>
      </c>
      <c r="H193" s="151" t="s">
        <v>193</v>
      </c>
    </row>
    <row r="194" spans="1:8" ht="12.75">
      <c r="A194" s="94">
        <f t="shared" si="7"/>
        <v>81</v>
      </c>
      <c r="B194" s="95" t="s">
        <v>30</v>
      </c>
      <c r="C194" s="136" t="s">
        <v>81</v>
      </c>
      <c r="D194" s="97" t="s">
        <v>21</v>
      </c>
      <c r="E194" s="208">
        <v>1</v>
      </c>
      <c r="F194" s="270"/>
      <c r="G194" s="99">
        <f t="shared" si="6"/>
        <v>0</v>
      </c>
      <c r="H194" s="151" t="s">
        <v>193</v>
      </c>
    </row>
    <row r="195" spans="1:8" ht="12.75">
      <c r="A195" s="94">
        <f t="shared" si="7"/>
        <v>82</v>
      </c>
      <c r="B195" s="95" t="s">
        <v>30</v>
      </c>
      <c r="C195" s="121" t="s">
        <v>332</v>
      </c>
      <c r="D195" s="97" t="s">
        <v>21</v>
      </c>
      <c r="E195" s="208">
        <v>1</v>
      </c>
      <c r="F195" s="270"/>
      <c r="G195" s="99">
        <f t="shared" si="6"/>
        <v>0</v>
      </c>
      <c r="H195" s="151" t="s">
        <v>193</v>
      </c>
    </row>
    <row r="196" spans="1:18" s="63" customFormat="1" ht="25.5">
      <c r="A196" s="94">
        <f t="shared" si="7"/>
        <v>83</v>
      </c>
      <c r="B196" s="106" t="s">
        <v>30</v>
      </c>
      <c r="C196" s="137" t="s">
        <v>372</v>
      </c>
      <c r="D196" s="107" t="s">
        <v>21</v>
      </c>
      <c r="E196" s="209">
        <v>1</v>
      </c>
      <c r="F196" s="270"/>
      <c r="G196" s="109">
        <f t="shared" si="6"/>
        <v>0</v>
      </c>
      <c r="H196" s="149" t="s">
        <v>193</v>
      </c>
      <c r="I196" s="7"/>
      <c r="R196" s="155"/>
    </row>
    <row r="197" spans="1:8" ht="12.75">
      <c r="A197" s="94">
        <f t="shared" si="7"/>
        <v>84</v>
      </c>
      <c r="B197" s="95" t="s">
        <v>31</v>
      </c>
      <c r="C197" s="136" t="s">
        <v>83</v>
      </c>
      <c r="D197" s="97" t="s">
        <v>18</v>
      </c>
      <c r="E197" s="208">
        <v>1</v>
      </c>
      <c r="F197" s="270"/>
      <c r="G197" s="99">
        <f t="shared" si="6"/>
        <v>0</v>
      </c>
      <c r="H197" s="151" t="s">
        <v>193</v>
      </c>
    </row>
    <row r="198" spans="1:8" ht="12.75">
      <c r="A198" s="94">
        <f t="shared" si="7"/>
        <v>85</v>
      </c>
      <c r="B198" s="95" t="s">
        <v>31</v>
      </c>
      <c r="C198" s="96" t="s">
        <v>211</v>
      </c>
      <c r="D198" s="97" t="s">
        <v>18</v>
      </c>
      <c r="E198" s="208">
        <v>1</v>
      </c>
      <c r="F198" s="270"/>
      <c r="G198" s="99">
        <f t="shared" si="6"/>
        <v>0</v>
      </c>
      <c r="H198" s="151" t="s">
        <v>193</v>
      </c>
    </row>
    <row r="199" spans="1:8" ht="12.75">
      <c r="A199" s="94">
        <f t="shared" si="7"/>
        <v>86</v>
      </c>
      <c r="B199" s="95" t="s">
        <v>31</v>
      </c>
      <c r="C199" s="96" t="s">
        <v>119</v>
      </c>
      <c r="D199" s="97" t="s">
        <v>27</v>
      </c>
      <c r="E199" s="208">
        <f>SUM(G186:G196)</f>
        <v>0</v>
      </c>
      <c r="F199" s="271"/>
      <c r="G199" s="99">
        <f t="shared" si="6"/>
        <v>0</v>
      </c>
      <c r="H199" s="151" t="s">
        <v>193</v>
      </c>
    </row>
    <row r="200" spans="1:8" ht="12.75">
      <c r="A200" s="94">
        <f t="shared" si="7"/>
        <v>87</v>
      </c>
      <c r="B200" s="95" t="s">
        <v>31</v>
      </c>
      <c r="C200" s="96" t="s">
        <v>120</v>
      </c>
      <c r="D200" s="97" t="s">
        <v>27</v>
      </c>
      <c r="E200" s="208">
        <f>+E199</f>
        <v>0</v>
      </c>
      <c r="F200" s="271"/>
      <c r="G200" s="99">
        <f t="shared" si="6"/>
        <v>0</v>
      </c>
      <c r="H200" s="151" t="s">
        <v>193</v>
      </c>
    </row>
    <row r="201" spans="1:8" ht="13.5" thickBot="1">
      <c r="A201" s="94">
        <f t="shared" si="7"/>
        <v>88</v>
      </c>
      <c r="B201" s="95"/>
      <c r="C201" s="96" t="s">
        <v>46</v>
      </c>
      <c r="D201" s="131" t="s">
        <v>27</v>
      </c>
      <c r="E201" s="208">
        <f>+E200</f>
        <v>0</v>
      </c>
      <c r="F201" s="273"/>
      <c r="G201" s="132">
        <f t="shared" si="6"/>
        <v>0</v>
      </c>
      <c r="H201" s="151" t="s">
        <v>193</v>
      </c>
    </row>
    <row r="202" spans="1:8" ht="13.5" thickBot="1">
      <c r="A202" s="94"/>
      <c r="B202" s="95"/>
      <c r="C202" s="122" t="s">
        <v>20</v>
      </c>
      <c r="D202" s="123"/>
      <c r="E202" s="211"/>
      <c r="F202" s="124"/>
      <c r="G202" s="114">
        <f>SUBTOTAL(9,G186:G201)</f>
        <v>0</v>
      </c>
      <c r="H202" s="183"/>
    </row>
    <row r="203" spans="1:8" ht="12.75">
      <c r="A203" s="94"/>
      <c r="B203" s="95"/>
      <c r="C203" s="115"/>
      <c r="D203" s="116"/>
      <c r="E203" s="197"/>
      <c r="F203" s="36"/>
      <c r="G203" s="117"/>
      <c r="H203" s="151"/>
    </row>
    <row r="204" spans="1:8" ht="16.5">
      <c r="A204" s="94"/>
      <c r="B204" s="118" t="s">
        <v>42</v>
      </c>
      <c r="C204" s="242" t="s">
        <v>61</v>
      </c>
      <c r="D204" s="242"/>
      <c r="E204" s="242"/>
      <c r="F204" s="242"/>
      <c r="G204" s="242"/>
      <c r="H204" s="151"/>
    </row>
    <row r="205" spans="1:8" ht="52.5" customHeight="1">
      <c r="A205" s="94"/>
      <c r="B205" s="89"/>
      <c r="C205" s="239" t="s">
        <v>94</v>
      </c>
      <c r="D205" s="239"/>
      <c r="E205" s="239"/>
      <c r="F205" s="239"/>
      <c r="G205" s="239"/>
      <c r="H205" s="151"/>
    </row>
    <row r="206" spans="1:18" s="63" customFormat="1" ht="12.75">
      <c r="A206" s="105">
        <f>A201+1</f>
        <v>89</v>
      </c>
      <c r="B206" s="106" t="s">
        <v>30</v>
      </c>
      <c r="C206" s="138" t="s">
        <v>360</v>
      </c>
      <c r="D206" s="107" t="s">
        <v>18</v>
      </c>
      <c r="E206" s="209">
        <v>1</v>
      </c>
      <c r="F206" s="270"/>
      <c r="G206" s="109">
        <f>E206*F206</f>
        <v>0</v>
      </c>
      <c r="H206" s="149" t="s">
        <v>193</v>
      </c>
      <c r="R206" s="155"/>
    </row>
    <row r="207" spans="1:8" ht="12.75">
      <c r="A207" s="105">
        <f>A206+1</f>
        <v>90</v>
      </c>
      <c r="B207" s="95" t="s">
        <v>429</v>
      </c>
      <c r="C207" s="138" t="s">
        <v>406</v>
      </c>
      <c r="D207" s="97" t="s">
        <v>22</v>
      </c>
      <c r="E207" s="208">
        <f>13.6+15.2</f>
        <v>28.799999999999997</v>
      </c>
      <c r="F207" s="270"/>
      <c r="G207" s="99">
        <f>E207*F207</f>
        <v>0</v>
      </c>
      <c r="H207" s="151" t="s">
        <v>193</v>
      </c>
    </row>
    <row r="208" spans="1:8" ht="12.75">
      <c r="A208" s="105">
        <f>A207+1</f>
        <v>91</v>
      </c>
      <c r="B208" s="95" t="s">
        <v>429</v>
      </c>
      <c r="C208" s="138" t="s">
        <v>407</v>
      </c>
      <c r="D208" s="97" t="s">
        <v>22</v>
      </c>
      <c r="E208" s="208">
        <v>2.5</v>
      </c>
      <c r="F208" s="270"/>
      <c r="G208" s="99">
        <f aca="true" t="shared" si="8" ref="G208:G219">E208*F208</f>
        <v>0</v>
      </c>
      <c r="H208" s="151" t="s">
        <v>193</v>
      </c>
    </row>
    <row r="209" spans="1:8" ht="12.75">
      <c r="A209" s="94">
        <f aca="true" t="shared" si="9" ref="A209:A219">A208+1</f>
        <v>92</v>
      </c>
      <c r="B209" s="95" t="s">
        <v>429</v>
      </c>
      <c r="C209" s="121" t="s">
        <v>182</v>
      </c>
      <c r="D209" s="97" t="s">
        <v>22</v>
      </c>
      <c r="E209" s="208">
        <v>13.6</v>
      </c>
      <c r="F209" s="270"/>
      <c r="G209" s="99">
        <f t="shared" si="8"/>
        <v>0</v>
      </c>
      <c r="H209" s="151" t="s">
        <v>193</v>
      </c>
    </row>
    <row r="210" spans="1:8" ht="12.75">
      <c r="A210" s="94">
        <f t="shared" si="9"/>
        <v>93</v>
      </c>
      <c r="B210" s="95" t="s">
        <v>429</v>
      </c>
      <c r="C210" s="121" t="s">
        <v>183</v>
      </c>
      <c r="D210" s="97" t="s">
        <v>22</v>
      </c>
      <c r="E210" s="208">
        <f>+E208</f>
        <v>2.5</v>
      </c>
      <c r="F210" s="270"/>
      <c r="G210" s="99">
        <f t="shared" si="8"/>
        <v>0</v>
      </c>
      <c r="H210" s="151" t="s">
        <v>193</v>
      </c>
    </row>
    <row r="211" spans="1:8" ht="12.75">
      <c r="A211" s="94">
        <f t="shared" si="9"/>
        <v>94</v>
      </c>
      <c r="B211" s="95" t="s">
        <v>429</v>
      </c>
      <c r="C211" s="121" t="s">
        <v>177</v>
      </c>
      <c r="D211" s="97" t="s">
        <v>22</v>
      </c>
      <c r="E211" s="208">
        <v>15.2</v>
      </c>
      <c r="F211" s="270"/>
      <c r="G211" s="99">
        <f t="shared" si="8"/>
        <v>0</v>
      </c>
      <c r="H211" s="151" t="s">
        <v>193</v>
      </c>
    </row>
    <row r="212" spans="1:8" ht="12.75">
      <c r="A212" s="94">
        <f t="shared" si="9"/>
        <v>95</v>
      </c>
      <c r="B212" s="95" t="s">
        <v>429</v>
      </c>
      <c r="C212" s="121" t="s">
        <v>1</v>
      </c>
      <c r="D212" s="97" t="s">
        <v>22</v>
      </c>
      <c r="E212" s="208">
        <v>0</v>
      </c>
      <c r="F212" s="270"/>
      <c r="G212" s="99">
        <f t="shared" si="8"/>
        <v>0</v>
      </c>
      <c r="H212" s="151" t="s">
        <v>193</v>
      </c>
    </row>
    <row r="213" spans="1:8" ht="12.75">
      <c r="A213" s="94">
        <f t="shared" si="9"/>
        <v>96</v>
      </c>
      <c r="B213" s="95" t="s">
        <v>31</v>
      </c>
      <c r="C213" s="121" t="s">
        <v>431</v>
      </c>
      <c r="D213" s="97" t="s">
        <v>21</v>
      </c>
      <c r="E213" s="208">
        <f>E214+E215</f>
        <v>6</v>
      </c>
      <c r="F213" s="270"/>
      <c r="G213" s="99">
        <f t="shared" si="8"/>
        <v>0</v>
      </c>
      <c r="H213" s="151" t="s">
        <v>193</v>
      </c>
    </row>
    <row r="214" spans="1:8" ht="12.75">
      <c r="A214" s="94">
        <f t="shared" si="9"/>
        <v>97</v>
      </c>
      <c r="B214" s="127" t="s">
        <v>30</v>
      </c>
      <c r="C214" s="128" t="s">
        <v>430</v>
      </c>
      <c r="D214" s="129" t="s">
        <v>21</v>
      </c>
      <c r="E214" s="212">
        <v>4</v>
      </c>
      <c r="F214" s="272"/>
      <c r="G214" s="130">
        <f t="shared" si="8"/>
        <v>0</v>
      </c>
      <c r="H214" s="151" t="s">
        <v>193</v>
      </c>
    </row>
    <row r="215" spans="1:8" ht="12.75">
      <c r="A215" s="94">
        <f t="shared" si="9"/>
        <v>98</v>
      </c>
      <c r="B215" s="127" t="s">
        <v>30</v>
      </c>
      <c r="C215" s="128" t="s">
        <v>432</v>
      </c>
      <c r="D215" s="129" t="s">
        <v>21</v>
      </c>
      <c r="E215" s="212">
        <v>2</v>
      </c>
      <c r="F215" s="272"/>
      <c r="G215" s="130">
        <f t="shared" si="8"/>
        <v>0</v>
      </c>
      <c r="H215" s="151" t="s">
        <v>193</v>
      </c>
    </row>
    <row r="216" spans="1:8" ht="25.5">
      <c r="A216" s="94">
        <f t="shared" si="9"/>
        <v>99</v>
      </c>
      <c r="B216" s="95" t="s">
        <v>31</v>
      </c>
      <c r="C216" s="121" t="s">
        <v>84</v>
      </c>
      <c r="D216" s="97" t="s">
        <v>22</v>
      </c>
      <c r="E216" s="208">
        <f>+E206+E208</f>
        <v>3.5</v>
      </c>
      <c r="F216" s="270"/>
      <c r="G216" s="99">
        <f t="shared" si="8"/>
        <v>0</v>
      </c>
      <c r="H216" s="151" t="s">
        <v>193</v>
      </c>
    </row>
    <row r="217" spans="1:8" ht="12.75">
      <c r="A217" s="94">
        <f t="shared" si="9"/>
        <v>100</v>
      </c>
      <c r="B217" s="95" t="s">
        <v>31</v>
      </c>
      <c r="C217" s="121" t="s">
        <v>85</v>
      </c>
      <c r="D217" s="97" t="s">
        <v>22</v>
      </c>
      <c r="E217" s="208">
        <f>+E216</f>
        <v>3.5</v>
      </c>
      <c r="F217" s="270"/>
      <c r="G217" s="99">
        <f t="shared" si="8"/>
        <v>0</v>
      </c>
      <c r="H217" s="151" t="s">
        <v>193</v>
      </c>
    </row>
    <row r="218" spans="1:8" ht="12.75">
      <c r="A218" s="94">
        <f t="shared" si="9"/>
        <v>101</v>
      </c>
      <c r="B218" s="95" t="s">
        <v>31</v>
      </c>
      <c r="C218" s="96" t="s">
        <v>176</v>
      </c>
      <c r="D218" s="97" t="s">
        <v>18</v>
      </c>
      <c r="E218" s="208">
        <v>1</v>
      </c>
      <c r="F218" s="270"/>
      <c r="G218" s="99">
        <f t="shared" si="8"/>
        <v>0</v>
      </c>
      <c r="H218" s="151" t="s">
        <v>193</v>
      </c>
    </row>
    <row r="219" spans="1:8" ht="13.5" thickBot="1">
      <c r="A219" s="94">
        <f t="shared" si="9"/>
        <v>102</v>
      </c>
      <c r="B219" s="95"/>
      <c r="C219" s="96" t="s">
        <v>46</v>
      </c>
      <c r="D219" s="131" t="s">
        <v>27</v>
      </c>
      <c r="E219" s="208">
        <f>SUM(G206:G213)</f>
        <v>0</v>
      </c>
      <c r="F219" s="273"/>
      <c r="G219" s="132">
        <f t="shared" si="8"/>
        <v>0</v>
      </c>
      <c r="H219" s="151" t="s">
        <v>193</v>
      </c>
    </row>
    <row r="220" spans="1:8" ht="13.5" thickBot="1">
      <c r="A220" s="94"/>
      <c r="B220" s="95"/>
      <c r="C220" s="122" t="s">
        <v>20</v>
      </c>
      <c r="D220" s="123"/>
      <c r="E220" s="211"/>
      <c r="F220" s="124"/>
      <c r="G220" s="114">
        <f>SUBTOTAL(9,G206:G219)</f>
        <v>0</v>
      </c>
      <c r="H220" s="183"/>
    </row>
    <row r="221" spans="1:8" ht="12.75">
      <c r="A221" s="94"/>
      <c r="B221" s="95"/>
      <c r="C221" s="115"/>
      <c r="D221" s="116"/>
      <c r="E221" s="197"/>
      <c r="F221" s="36"/>
      <c r="G221" s="117"/>
      <c r="H221" s="151"/>
    </row>
    <row r="222" spans="1:18" s="63" customFormat="1" ht="16.5">
      <c r="A222" s="105"/>
      <c r="B222" s="139" t="s">
        <v>43</v>
      </c>
      <c r="C222" s="238" t="s">
        <v>243</v>
      </c>
      <c r="D222" s="238"/>
      <c r="E222" s="238"/>
      <c r="F222" s="238"/>
      <c r="G222" s="238"/>
      <c r="H222" s="155"/>
      <c r="R222" s="155"/>
    </row>
    <row r="223" spans="1:18" s="63" customFormat="1" ht="53.25" customHeight="1">
      <c r="A223" s="105"/>
      <c r="B223" s="140"/>
      <c r="C223" s="239" t="s">
        <v>244</v>
      </c>
      <c r="D223" s="239"/>
      <c r="E223" s="239"/>
      <c r="F223" s="239"/>
      <c r="G223" s="239"/>
      <c r="H223" s="155"/>
      <c r="R223" s="155"/>
    </row>
    <row r="224" spans="1:18" s="63" customFormat="1" ht="12.75">
      <c r="A224" s="105">
        <f>A219+1</f>
        <v>103</v>
      </c>
      <c r="B224" s="106" t="s">
        <v>429</v>
      </c>
      <c r="C224" s="138" t="s">
        <v>301</v>
      </c>
      <c r="D224" s="107" t="s">
        <v>22</v>
      </c>
      <c r="E224" s="209">
        <f>7.8+2.6</f>
        <v>10.4</v>
      </c>
      <c r="F224" s="98"/>
      <c r="G224" s="109">
        <f aca="true" t="shared" si="10" ref="G224:G247">E224*F224</f>
        <v>0</v>
      </c>
      <c r="H224" s="151" t="s">
        <v>193</v>
      </c>
      <c r="I224" s="230"/>
      <c r="R224" s="155"/>
    </row>
    <row r="225" spans="1:18" s="63" customFormat="1" ht="12.75">
      <c r="A225" s="105">
        <f aca="true" t="shared" si="11" ref="A225:A247">+A224+1</f>
        <v>104</v>
      </c>
      <c r="B225" s="106" t="s">
        <v>429</v>
      </c>
      <c r="C225" s="138" t="s">
        <v>245</v>
      </c>
      <c r="D225" s="107" t="s">
        <v>22</v>
      </c>
      <c r="E225" s="209">
        <v>0.4</v>
      </c>
      <c r="F225" s="270"/>
      <c r="G225" s="109">
        <f t="shared" si="10"/>
        <v>0</v>
      </c>
      <c r="H225" s="151" t="s">
        <v>193</v>
      </c>
      <c r="R225" s="155"/>
    </row>
    <row r="226" spans="1:18" s="63" customFormat="1" ht="12.75">
      <c r="A226" s="105">
        <f t="shared" si="11"/>
        <v>105</v>
      </c>
      <c r="B226" s="106" t="s">
        <v>429</v>
      </c>
      <c r="C226" s="138" t="s">
        <v>351</v>
      </c>
      <c r="D226" s="107" t="s">
        <v>22</v>
      </c>
      <c r="E226" s="209">
        <v>0.5</v>
      </c>
      <c r="F226" s="270"/>
      <c r="G226" s="109">
        <f>E226*F226</f>
        <v>0</v>
      </c>
      <c r="H226" s="151" t="s">
        <v>193</v>
      </c>
      <c r="R226" s="155"/>
    </row>
    <row r="227" spans="1:18" s="63" customFormat="1" ht="25.5">
      <c r="A227" s="105">
        <f>A226+1</f>
        <v>106</v>
      </c>
      <c r="B227" s="106" t="s">
        <v>429</v>
      </c>
      <c r="C227" s="138" t="s">
        <v>361</v>
      </c>
      <c r="D227" s="107" t="s">
        <v>21</v>
      </c>
      <c r="E227" s="209">
        <v>1</v>
      </c>
      <c r="F227" s="270"/>
      <c r="G227" s="109">
        <f t="shared" si="10"/>
        <v>0</v>
      </c>
      <c r="H227" s="149" t="s">
        <v>193</v>
      </c>
      <c r="R227" s="155"/>
    </row>
    <row r="228" spans="1:18" s="63" customFormat="1" ht="12.75">
      <c r="A228" s="105">
        <f t="shared" si="11"/>
        <v>107</v>
      </c>
      <c r="B228" s="106" t="s">
        <v>30</v>
      </c>
      <c r="C228" s="138" t="s">
        <v>246</v>
      </c>
      <c r="D228" s="107" t="s">
        <v>21</v>
      </c>
      <c r="E228" s="209">
        <v>1</v>
      </c>
      <c r="F228" s="270"/>
      <c r="G228" s="109">
        <f t="shared" si="10"/>
        <v>0</v>
      </c>
      <c r="H228" s="151" t="s">
        <v>193</v>
      </c>
      <c r="R228" s="155"/>
    </row>
    <row r="229" spans="1:18" s="63" customFormat="1" ht="12.75">
      <c r="A229" s="105">
        <f t="shared" si="11"/>
        <v>108</v>
      </c>
      <c r="B229" s="106" t="s">
        <v>30</v>
      </c>
      <c r="C229" s="136" t="s">
        <v>302</v>
      </c>
      <c r="D229" s="107" t="s">
        <v>21</v>
      </c>
      <c r="E229" s="209">
        <v>1</v>
      </c>
      <c r="F229" s="270"/>
      <c r="G229" s="109">
        <f t="shared" si="10"/>
        <v>0</v>
      </c>
      <c r="H229" s="151" t="s">
        <v>193</v>
      </c>
      <c r="R229" s="155"/>
    </row>
    <row r="230" spans="1:18" s="63" customFormat="1" ht="12.75">
      <c r="A230" s="105">
        <f t="shared" si="11"/>
        <v>109</v>
      </c>
      <c r="B230" s="106" t="s">
        <v>30</v>
      </c>
      <c r="C230" s="136" t="s">
        <v>362</v>
      </c>
      <c r="D230" s="107" t="s">
        <v>21</v>
      </c>
      <c r="E230" s="209">
        <v>1</v>
      </c>
      <c r="F230" s="270"/>
      <c r="G230" s="109">
        <f t="shared" si="10"/>
        <v>0</v>
      </c>
      <c r="H230" s="149" t="s">
        <v>193</v>
      </c>
      <c r="R230" s="155"/>
    </row>
    <row r="231" spans="1:18" s="63" customFormat="1" ht="12.75">
      <c r="A231" s="105">
        <f t="shared" si="11"/>
        <v>110</v>
      </c>
      <c r="B231" s="106" t="s">
        <v>30</v>
      </c>
      <c r="C231" s="136" t="s">
        <v>363</v>
      </c>
      <c r="D231" s="107" t="s">
        <v>18</v>
      </c>
      <c r="E231" s="209">
        <v>1</v>
      </c>
      <c r="F231" s="270"/>
      <c r="G231" s="109">
        <f t="shared" si="10"/>
        <v>0</v>
      </c>
      <c r="H231" s="149" t="s">
        <v>193</v>
      </c>
      <c r="R231" s="155"/>
    </row>
    <row r="232" spans="1:18" s="63" customFormat="1" ht="12.75">
      <c r="A232" s="105">
        <f t="shared" si="11"/>
        <v>111</v>
      </c>
      <c r="B232" s="106" t="s">
        <v>30</v>
      </c>
      <c r="C232" s="101" t="s">
        <v>377</v>
      </c>
      <c r="D232" s="107" t="s">
        <v>21</v>
      </c>
      <c r="E232" s="209">
        <v>1</v>
      </c>
      <c r="F232" s="270"/>
      <c r="G232" s="109">
        <f t="shared" si="10"/>
        <v>0</v>
      </c>
      <c r="H232" s="149" t="s">
        <v>193</v>
      </c>
      <c r="R232" s="155"/>
    </row>
    <row r="233" spans="1:18" s="63" customFormat="1" ht="25.5">
      <c r="A233" s="105">
        <f t="shared" si="11"/>
        <v>112</v>
      </c>
      <c r="B233" s="106" t="s">
        <v>30</v>
      </c>
      <c r="C233" s="101" t="s">
        <v>364</v>
      </c>
      <c r="D233" s="107" t="s">
        <v>21</v>
      </c>
      <c r="E233" s="209">
        <v>1</v>
      </c>
      <c r="F233" s="270"/>
      <c r="G233" s="109">
        <f aca="true" t="shared" si="12" ref="G233:G238">E233*F233</f>
        <v>0</v>
      </c>
      <c r="H233" s="149" t="s">
        <v>193</v>
      </c>
      <c r="R233" s="155"/>
    </row>
    <row r="234" spans="1:18" s="63" customFormat="1" ht="12.75">
      <c r="A234" s="105">
        <f t="shared" si="11"/>
        <v>113</v>
      </c>
      <c r="B234" s="106" t="s">
        <v>30</v>
      </c>
      <c r="C234" s="101" t="s">
        <v>365</v>
      </c>
      <c r="D234" s="107" t="s">
        <v>21</v>
      </c>
      <c r="E234" s="209">
        <v>1</v>
      </c>
      <c r="F234" s="270"/>
      <c r="G234" s="109">
        <f t="shared" si="12"/>
        <v>0</v>
      </c>
      <c r="H234" s="149" t="s">
        <v>193</v>
      </c>
      <c r="R234" s="155"/>
    </row>
    <row r="235" spans="1:18" s="63" customFormat="1" ht="38.25">
      <c r="A235" s="105">
        <f t="shared" si="11"/>
        <v>114</v>
      </c>
      <c r="B235" s="106" t="s">
        <v>30</v>
      </c>
      <c r="C235" s="101" t="s">
        <v>366</v>
      </c>
      <c r="D235" s="107" t="s">
        <v>22</v>
      </c>
      <c r="E235" s="209">
        <f>3.5+3.1</f>
        <v>6.6</v>
      </c>
      <c r="F235" s="270"/>
      <c r="G235" s="109">
        <f t="shared" si="12"/>
        <v>0</v>
      </c>
      <c r="H235" s="149" t="s">
        <v>193</v>
      </c>
      <c r="R235" s="155"/>
    </row>
    <row r="236" spans="1:18" s="63" customFormat="1" ht="12.75">
      <c r="A236" s="105">
        <f t="shared" si="11"/>
        <v>115</v>
      </c>
      <c r="B236" s="106" t="s">
        <v>30</v>
      </c>
      <c r="C236" s="101" t="s">
        <v>367</v>
      </c>
      <c r="D236" s="107" t="s">
        <v>21</v>
      </c>
      <c r="E236" s="209">
        <v>4</v>
      </c>
      <c r="F236" s="270"/>
      <c r="G236" s="109">
        <f t="shared" si="12"/>
        <v>0</v>
      </c>
      <c r="H236" s="149" t="s">
        <v>193</v>
      </c>
      <c r="R236" s="155"/>
    </row>
    <row r="237" spans="1:18" s="63" customFormat="1" ht="12.75">
      <c r="A237" s="105">
        <f t="shared" si="11"/>
        <v>116</v>
      </c>
      <c r="B237" s="106" t="s">
        <v>30</v>
      </c>
      <c r="C237" s="101" t="s">
        <v>368</v>
      </c>
      <c r="D237" s="107" t="s">
        <v>21</v>
      </c>
      <c r="E237" s="209">
        <v>2</v>
      </c>
      <c r="F237" s="270"/>
      <c r="G237" s="109">
        <f t="shared" si="12"/>
        <v>0</v>
      </c>
      <c r="H237" s="149" t="s">
        <v>193</v>
      </c>
      <c r="R237" s="155"/>
    </row>
    <row r="238" spans="1:18" s="63" customFormat="1" ht="12.75">
      <c r="A238" s="105">
        <f t="shared" si="11"/>
        <v>117</v>
      </c>
      <c r="B238" s="106"/>
      <c r="C238" s="101" t="s">
        <v>369</v>
      </c>
      <c r="D238" s="107" t="s">
        <v>21</v>
      </c>
      <c r="E238" s="209">
        <v>1</v>
      </c>
      <c r="F238" s="270"/>
      <c r="G238" s="109">
        <f t="shared" si="12"/>
        <v>0</v>
      </c>
      <c r="H238" s="149" t="s">
        <v>193</v>
      </c>
      <c r="R238" s="155"/>
    </row>
    <row r="239" spans="1:18" s="63" customFormat="1" ht="38.25">
      <c r="A239" s="105">
        <f t="shared" si="11"/>
        <v>118</v>
      </c>
      <c r="B239" s="106" t="s">
        <v>30</v>
      </c>
      <c r="C239" s="101" t="s">
        <v>370</v>
      </c>
      <c r="D239" s="107" t="s">
        <v>22</v>
      </c>
      <c r="E239" s="209">
        <f>13+2</f>
        <v>15</v>
      </c>
      <c r="F239" s="270"/>
      <c r="G239" s="109">
        <f t="shared" si="10"/>
        <v>0</v>
      </c>
      <c r="H239" s="149" t="s">
        <v>193</v>
      </c>
      <c r="R239" s="155"/>
    </row>
    <row r="240" spans="1:18" s="63" customFormat="1" ht="12.75">
      <c r="A240" s="105">
        <f t="shared" si="11"/>
        <v>119</v>
      </c>
      <c r="B240" s="106" t="s">
        <v>30</v>
      </c>
      <c r="C240" s="101" t="s">
        <v>371</v>
      </c>
      <c r="D240" s="107" t="s">
        <v>21</v>
      </c>
      <c r="E240" s="209">
        <v>1</v>
      </c>
      <c r="F240" s="270"/>
      <c r="G240" s="109">
        <f t="shared" si="10"/>
        <v>0</v>
      </c>
      <c r="H240" s="149" t="s">
        <v>193</v>
      </c>
      <c r="R240" s="155"/>
    </row>
    <row r="241" spans="1:18" s="63" customFormat="1" ht="25.5">
      <c r="A241" s="105">
        <f t="shared" si="11"/>
        <v>120</v>
      </c>
      <c r="B241" s="106" t="s">
        <v>31</v>
      </c>
      <c r="C241" s="96" t="s">
        <v>333</v>
      </c>
      <c r="D241" s="107" t="s">
        <v>18</v>
      </c>
      <c r="E241" s="209">
        <v>1</v>
      </c>
      <c r="F241" s="270"/>
      <c r="G241" s="109">
        <f>E241*F241</f>
        <v>0</v>
      </c>
      <c r="H241" s="151" t="s">
        <v>193</v>
      </c>
      <c r="R241" s="155"/>
    </row>
    <row r="242" spans="1:18" s="63" customFormat="1" ht="12.75">
      <c r="A242" s="105">
        <f t="shared" si="11"/>
        <v>121</v>
      </c>
      <c r="B242" s="176" t="s">
        <v>31</v>
      </c>
      <c r="C242" s="177" t="s">
        <v>414</v>
      </c>
      <c r="D242" s="178" t="s">
        <v>22</v>
      </c>
      <c r="E242" s="216">
        <v>13.5</v>
      </c>
      <c r="F242" s="270"/>
      <c r="G242" s="179">
        <f>E242*F242</f>
        <v>0</v>
      </c>
      <c r="H242" s="182" t="s">
        <v>193</v>
      </c>
      <c r="I242" s="7"/>
      <c r="R242" s="155"/>
    </row>
    <row r="243" spans="1:18" s="63" customFormat="1" ht="12.75">
      <c r="A243" s="105">
        <f t="shared" si="11"/>
        <v>122</v>
      </c>
      <c r="B243" s="106" t="s">
        <v>31</v>
      </c>
      <c r="C243" s="101" t="s">
        <v>119</v>
      </c>
      <c r="D243" s="107" t="s">
        <v>27</v>
      </c>
      <c r="E243" s="209">
        <f>SUM(G224:G240)</f>
        <v>0</v>
      </c>
      <c r="F243" s="274"/>
      <c r="G243" s="109">
        <f t="shared" si="10"/>
        <v>0</v>
      </c>
      <c r="H243" s="151" t="s">
        <v>193</v>
      </c>
      <c r="R243" s="155"/>
    </row>
    <row r="244" spans="1:18" s="63" customFormat="1" ht="12.75">
      <c r="A244" s="105">
        <f t="shared" si="11"/>
        <v>123</v>
      </c>
      <c r="B244" s="106" t="s">
        <v>37</v>
      </c>
      <c r="C244" s="138" t="s">
        <v>346</v>
      </c>
      <c r="D244" s="107" t="s">
        <v>22</v>
      </c>
      <c r="E244" s="208">
        <f>+E224+E225+E226</f>
        <v>11.3</v>
      </c>
      <c r="F244" s="270"/>
      <c r="G244" s="109">
        <f t="shared" si="10"/>
        <v>0</v>
      </c>
      <c r="H244" s="151" t="s">
        <v>193</v>
      </c>
      <c r="R244" s="155"/>
    </row>
    <row r="245" spans="1:18" s="63" customFormat="1" ht="12.75">
      <c r="A245" s="105">
        <f t="shared" si="11"/>
        <v>124</v>
      </c>
      <c r="B245" s="106" t="s">
        <v>31</v>
      </c>
      <c r="C245" s="138" t="s">
        <v>247</v>
      </c>
      <c r="D245" s="107" t="s">
        <v>18</v>
      </c>
      <c r="E245" s="209">
        <v>1</v>
      </c>
      <c r="F245" s="270"/>
      <c r="G245" s="109">
        <f t="shared" si="10"/>
        <v>0</v>
      </c>
      <c r="H245" s="151" t="s">
        <v>193</v>
      </c>
      <c r="R245" s="155"/>
    </row>
    <row r="246" spans="1:18" s="63" customFormat="1" ht="12.75">
      <c r="A246" s="105">
        <f t="shared" si="11"/>
        <v>125</v>
      </c>
      <c r="B246" s="106" t="s">
        <v>31</v>
      </c>
      <c r="C246" s="138" t="s">
        <v>248</v>
      </c>
      <c r="D246" s="107" t="s">
        <v>18</v>
      </c>
      <c r="E246" s="209">
        <v>1</v>
      </c>
      <c r="F246" s="270"/>
      <c r="G246" s="109">
        <f>E246*F246</f>
        <v>0</v>
      </c>
      <c r="H246" s="151" t="s">
        <v>193</v>
      </c>
      <c r="R246" s="155"/>
    </row>
    <row r="247" spans="1:18" s="63" customFormat="1" ht="13.5" thickBot="1">
      <c r="A247" s="105">
        <f t="shared" si="11"/>
        <v>126</v>
      </c>
      <c r="B247" s="106"/>
      <c r="C247" s="101" t="s">
        <v>46</v>
      </c>
      <c r="D247" s="141" t="s">
        <v>27</v>
      </c>
      <c r="E247" s="209">
        <f>SUM(G224:G240,G244)</f>
        <v>0</v>
      </c>
      <c r="F247" s="273"/>
      <c r="G247" s="142">
        <f t="shared" si="10"/>
        <v>0</v>
      </c>
      <c r="H247" s="151" t="s">
        <v>193</v>
      </c>
      <c r="R247" s="155"/>
    </row>
    <row r="248" spans="1:18" s="63" customFormat="1" ht="13.5" thickBot="1">
      <c r="A248" s="105"/>
      <c r="B248" s="106"/>
      <c r="C248" s="122" t="s">
        <v>20</v>
      </c>
      <c r="D248" s="123"/>
      <c r="E248" s="215"/>
      <c r="F248" s="143"/>
      <c r="G248" s="114">
        <f>SUBTOTAL(9,G224:G247)</f>
        <v>0</v>
      </c>
      <c r="H248" s="186"/>
      <c r="I248" s="185"/>
      <c r="R248" s="155"/>
    </row>
    <row r="249" spans="1:8" ht="12.75">
      <c r="A249" s="94"/>
      <c r="B249" s="95"/>
      <c r="C249" s="115"/>
      <c r="D249" s="116"/>
      <c r="E249" s="197"/>
      <c r="F249" s="36"/>
      <c r="G249" s="117"/>
      <c r="H249" s="188"/>
    </row>
    <row r="250" spans="1:8" ht="16.5">
      <c r="A250" s="94"/>
      <c r="B250" s="118" t="s">
        <v>44</v>
      </c>
      <c r="C250" s="242" t="s">
        <v>62</v>
      </c>
      <c r="D250" s="242"/>
      <c r="E250" s="242"/>
      <c r="F250" s="242"/>
      <c r="G250" s="242"/>
      <c r="H250" s="151"/>
    </row>
    <row r="251" spans="1:8" ht="62.25" customHeight="1">
      <c r="A251" s="94"/>
      <c r="B251" s="89"/>
      <c r="C251" s="239" t="s">
        <v>121</v>
      </c>
      <c r="D251" s="239"/>
      <c r="E251" s="239"/>
      <c r="F251" s="239"/>
      <c r="G251" s="239"/>
      <c r="H251" s="151"/>
    </row>
    <row r="252" spans="1:10" ht="12.75">
      <c r="A252" s="94">
        <f>A247+1</f>
        <v>127</v>
      </c>
      <c r="B252" s="95" t="s">
        <v>31</v>
      </c>
      <c r="C252" s="96" t="s">
        <v>433</v>
      </c>
      <c r="D252" s="97" t="s">
        <v>21</v>
      </c>
      <c r="E252" s="208">
        <v>1</v>
      </c>
      <c r="F252" s="270"/>
      <c r="G252" s="99">
        <f aca="true" t="shared" si="13" ref="G252:G271">E252*F252</f>
        <v>0</v>
      </c>
      <c r="H252" s="151" t="s">
        <v>193</v>
      </c>
      <c r="J252" s="125"/>
    </row>
    <row r="253" spans="1:8" ht="25.5">
      <c r="A253" s="94">
        <f>A252+1</f>
        <v>128</v>
      </c>
      <c r="B253" s="127" t="s">
        <v>30</v>
      </c>
      <c r="C253" s="128" t="s">
        <v>303</v>
      </c>
      <c r="D253" s="129" t="s">
        <v>21</v>
      </c>
      <c r="E253" s="212">
        <v>1</v>
      </c>
      <c r="F253" s="272"/>
      <c r="G253" s="130">
        <f t="shared" si="13"/>
        <v>0</v>
      </c>
      <c r="H253" s="151" t="s">
        <v>193</v>
      </c>
    </row>
    <row r="254" spans="1:10" ht="12.75">
      <c r="A254" s="94">
        <f aca="true" t="shared" si="14" ref="A254:A268">A253+1</f>
        <v>129</v>
      </c>
      <c r="B254" s="95" t="s">
        <v>31</v>
      </c>
      <c r="C254" s="96" t="s">
        <v>434</v>
      </c>
      <c r="D254" s="97" t="s">
        <v>21</v>
      </c>
      <c r="E254" s="208">
        <v>1</v>
      </c>
      <c r="F254" s="270"/>
      <c r="G254" s="99">
        <f>E254*F254</f>
        <v>0</v>
      </c>
      <c r="H254" s="151" t="s">
        <v>193</v>
      </c>
      <c r="J254" s="125"/>
    </row>
    <row r="255" spans="1:8" ht="25.5">
      <c r="A255" s="94">
        <f t="shared" si="14"/>
        <v>130</v>
      </c>
      <c r="B255" s="127" t="s">
        <v>30</v>
      </c>
      <c r="C255" s="128" t="s">
        <v>304</v>
      </c>
      <c r="D255" s="129" t="s">
        <v>21</v>
      </c>
      <c r="E255" s="212">
        <v>1</v>
      </c>
      <c r="F255" s="272"/>
      <c r="G255" s="130">
        <f t="shared" si="13"/>
        <v>0</v>
      </c>
      <c r="H255" s="151" t="s">
        <v>193</v>
      </c>
    </row>
    <row r="256" spans="1:8" ht="12.75">
      <c r="A256" s="94">
        <f t="shared" si="14"/>
        <v>131</v>
      </c>
      <c r="B256" s="127" t="s">
        <v>30</v>
      </c>
      <c r="C256" s="128" t="s">
        <v>305</v>
      </c>
      <c r="D256" s="129" t="s">
        <v>21</v>
      </c>
      <c r="E256" s="212">
        <v>1</v>
      </c>
      <c r="F256" s="272"/>
      <c r="G256" s="130">
        <f t="shared" si="13"/>
        <v>0</v>
      </c>
      <c r="H256" s="151" t="s">
        <v>193</v>
      </c>
    </row>
    <row r="257" spans="1:10" ht="12.75">
      <c r="A257" s="94">
        <f t="shared" si="14"/>
        <v>132</v>
      </c>
      <c r="B257" s="95" t="s">
        <v>31</v>
      </c>
      <c r="C257" s="96" t="s">
        <v>435</v>
      </c>
      <c r="D257" s="97" t="s">
        <v>21</v>
      </c>
      <c r="E257" s="208">
        <v>2</v>
      </c>
      <c r="F257" s="270"/>
      <c r="G257" s="99">
        <f t="shared" si="13"/>
        <v>0</v>
      </c>
      <c r="H257" s="151" t="s">
        <v>193</v>
      </c>
      <c r="J257" s="125"/>
    </row>
    <row r="258" spans="1:8" ht="25.5">
      <c r="A258" s="94">
        <f t="shared" si="14"/>
        <v>133</v>
      </c>
      <c r="B258" s="127" t="s">
        <v>30</v>
      </c>
      <c r="C258" s="128" t="s">
        <v>205</v>
      </c>
      <c r="D258" s="129" t="s">
        <v>21</v>
      </c>
      <c r="E258" s="212">
        <v>1</v>
      </c>
      <c r="F258" s="272"/>
      <c r="G258" s="130">
        <f t="shared" si="13"/>
        <v>0</v>
      </c>
      <c r="H258" s="151" t="s">
        <v>193</v>
      </c>
    </row>
    <row r="259" spans="1:8" ht="12.75">
      <c r="A259" s="94">
        <f t="shared" si="14"/>
        <v>134</v>
      </c>
      <c r="B259" s="127" t="s">
        <v>30</v>
      </c>
      <c r="C259" s="128" t="s">
        <v>436</v>
      </c>
      <c r="D259" s="129" t="s">
        <v>21</v>
      </c>
      <c r="E259" s="212">
        <v>1</v>
      </c>
      <c r="F259" s="272"/>
      <c r="G259" s="130">
        <f t="shared" si="13"/>
        <v>0</v>
      </c>
      <c r="H259" s="151" t="s">
        <v>193</v>
      </c>
    </row>
    <row r="260" spans="1:10" ht="25.5">
      <c r="A260" s="94">
        <f t="shared" si="14"/>
        <v>135</v>
      </c>
      <c r="B260" s="95" t="s">
        <v>30</v>
      </c>
      <c r="C260" s="96" t="s">
        <v>277</v>
      </c>
      <c r="D260" s="97" t="s">
        <v>21</v>
      </c>
      <c r="E260" s="208">
        <v>1</v>
      </c>
      <c r="F260" s="270"/>
      <c r="G260" s="99">
        <f t="shared" si="13"/>
        <v>0</v>
      </c>
      <c r="H260" s="151" t="s">
        <v>193</v>
      </c>
      <c r="J260" s="125"/>
    </row>
    <row r="261" spans="1:8" ht="12.75">
      <c r="A261" s="94">
        <f t="shared" si="14"/>
        <v>136</v>
      </c>
      <c r="B261" s="95" t="s">
        <v>31</v>
      </c>
      <c r="C261" s="96" t="s">
        <v>437</v>
      </c>
      <c r="D261" s="97" t="s">
        <v>21</v>
      </c>
      <c r="E261" s="208">
        <v>4</v>
      </c>
      <c r="F261" s="270"/>
      <c r="G261" s="99">
        <f t="shared" si="13"/>
        <v>0</v>
      </c>
      <c r="H261" s="151" t="s">
        <v>193</v>
      </c>
    </row>
    <row r="262" spans="1:8" ht="12.75">
      <c r="A262" s="94">
        <f t="shared" si="14"/>
        <v>137</v>
      </c>
      <c r="B262" s="127" t="s">
        <v>30</v>
      </c>
      <c r="C262" s="128" t="s">
        <v>438</v>
      </c>
      <c r="D262" s="129" t="s">
        <v>21</v>
      </c>
      <c r="E262" s="212">
        <v>2</v>
      </c>
      <c r="F262" s="272"/>
      <c r="G262" s="130">
        <f t="shared" si="13"/>
        <v>0</v>
      </c>
      <c r="H262" s="151" t="s">
        <v>193</v>
      </c>
    </row>
    <row r="263" spans="1:8" ht="12.75">
      <c r="A263" s="94">
        <f t="shared" si="14"/>
        <v>138</v>
      </c>
      <c r="B263" s="127" t="s">
        <v>30</v>
      </c>
      <c r="C263" s="128" t="s">
        <v>439</v>
      </c>
      <c r="D263" s="129" t="s">
        <v>21</v>
      </c>
      <c r="E263" s="212">
        <v>1</v>
      </c>
      <c r="F263" s="272"/>
      <c r="G263" s="130">
        <f t="shared" si="13"/>
        <v>0</v>
      </c>
      <c r="H263" s="151" t="s">
        <v>193</v>
      </c>
    </row>
    <row r="264" spans="1:8" ht="12.75">
      <c r="A264" s="94">
        <f t="shared" si="14"/>
        <v>139</v>
      </c>
      <c r="B264" s="127" t="s">
        <v>30</v>
      </c>
      <c r="C264" s="128" t="s">
        <v>443</v>
      </c>
      <c r="D264" s="129" t="s">
        <v>21</v>
      </c>
      <c r="E264" s="212">
        <v>1</v>
      </c>
      <c r="F264" s="272"/>
      <c r="G264" s="130">
        <f t="shared" si="13"/>
        <v>0</v>
      </c>
      <c r="H264" s="151" t="s">
        <v>193</v>
      </c>
    </row>
    <row r="265" spans="1:10" ht="25.5">
      <c r="A265" s="94">
        <f t="shared" si="14"/>
        <v>140</v>
      </c>
      <c r="B265" s="95" t="s">
        <v>429</v>
      </c>
      <c r="C265" s="96" t="s">
        <v>279</v>
      </c>
      <c r="D265" s="97" t="s">
        <v>21</v>
      </c>
      <c r="E265" s="208">
        <v>1</v>
      </c>
      <c r="F265" s="270"/>
      <c r="G265" s="99">
        <f t="shared" si="13"/>
        <v>0</v>
      </c>
      <c r="H265" s="151" t="s">
        <v>193</v>
      </c>
      <c r="J265" s="125"/>
    </row>
    <row r="266" spans="1:10" ht="12.75">
      <c r="A266" s="94">
        <f t="shared" si="14"/>
        <v>141</v>
      </c>
      <c r="B266" s="95" t="s">
        <v>429</v>
      </c>
      <c r="C266" s="96" t="s">
        <v>441</v>
      </c>
      <c r="D266" s="97" t="s">
        <v>21</v>
      </c>
      <c r="E266" s="208">
        <v>1</v>
      </c>
      <c r="F266" s="270"/>
      <c r="G266" s="99">
        <f t="shared" si="13"/>
        <v>0</v>
      </c>
      <c r="H266" s="151" t="s">
        <v>193</v>
      </c>
      <c r="J266" s="125"/>
    </row>
    <row r="267" spans="1:10" ht="25.5">
      <c r="A267" s="94">
        <f t="shared" si="14"/>
        <v>142</v>
      </c>
      <c r="B267" s="95" t="s">
        <v>429</v>
      </c>
      <c r="C267" s="96" t="s">
        <v>440</v>
      </c>
      <c r="D267" s="97" t="s">
        <v>21</v>
      </c>
      <c r="E267" s="208">
        <v>1</v>
      </c>
      <c r="F267" s="270"/>
      <c r="G267" s="99">
        <f t="shared" si="13"/>
        <v>0</v>
      </c>
      <c r="H267" s="151" t="s">
        <v>193</v>
      </c>
      <c r="J267" s="125"/>
    </row>
    <row r="268" spans="1:10" ht="25.5">
      <c r="A268" s="94">
        <f t="shared" si="14"/>
        <v>143</v>
      </c>
      <c r="B268" s="95" t="s">
        <v>429</v>
      </c>
      <c r="C268" s="96" t="s">
        <v>444</v>
      </c>
      <c r="D268" s="97" t="s">
        <v>21</v>
      </c>
      <c r="E268" s="208">
        <v>2</v>
      </c>
      <c r="F268" s="270"/>
      <c r="G268" s="99">
        <f t="shared" si="13"/>
        <v>0</v>
      </c>
      <c r="H268" s="151" t="s">
        <v>193</v>
      </c>
      <c r="J268" s="125"/>
    </row>
    <row r="269" spans="1:10" ht="25.5">
      <c r="A269" s="94">
        <f>A268+1</f>
        <v>144</v>
      </c>
      <c r="B269" s="95" t="s">
        <v>429</v>
      </c>
      <c r="C269" s="96" t="s">
        <v>278</v>
      </c>
      <c r="D269" s="97" t="s">
        <v>21</v>
      </c>
      <c r="E269" s="208">
        <v>1</v>
      </c>
      <c r="F269" s="270"/>
      <c r="G269" s="99">
        <f>E269*F269</f>
        <v>0</v>
      </c>
      <c r="H269" s="151" t="s">
        <v>193</v>
      </c>
      <c r="J269" s="125"/>
    </row>
    <row r="270" spans="1:10" ht="25.5">
      <c r="A270" s="94">
        <f>A267+1</f>
        <v>143</v>
      </c>
      <c r="B270" s="95" t="s">
        <v>429</v>
      </c>
      <c r="C270" s="96" t="s">
        <v>442</v>
      </c>
      <c r="D270" s="97" t="s">
        <v>21</v>
      </c>
      <c r="E270" s="208">
        <v>1</v>
      </c>
      <c r="F270" s="270"/>
      <c r="G270" s="99">
        <f t="shared" si="13"/>
        <v>0</v>
      </c>
      <c r="H270" s="151" t="s">
        <v>193</v>
      </c>
      <c r="J270" s="125"/>
    </row>
    <row r="271" spans="1:10" ht="25.5">
      <c r="A271" s="94">
        <f>A269+1</f>
        <v>145</v>
      </c>
      <c r="B271" s="95" t="s">
        <v>429</v>
      </c>
      <c r="C271" s="96" t="s">
        <v>111</v>
      </c>
      <c r="D271" s="97" t="s">
        <v>21</v>
      </c>
      <c r="E271" s="208">
        <v>1</v>
      </c>
      <c r="F271" s="270"/>
      <c r="G271" s="99">
        <f t="shared" si="13"/>
        <v>0</v>
      </c>
      <c r="H271" s="151" t="s">
        <v>193</v>
      </c>
      <c r="J271" s="125"/>
    </row>
    <row r="272" spans="1:8" ht="12.75">
      <c r="A272" s="94">
        <f>A271+1</f>
        <v>146</v>
      </c>
      <c r="B272" s="95" t="s">
        <v>429</v>
      </c>
      <c r="C272" s="96" t="s">
        <v>122</v>
      </c>
      <c r="D272" s="97" t="s">
        <v>21</v>
      </c>
      <c r="E272" s="208">
        <v>6</v>
      </c>
      <c r="F272" s="270"/>
      <c r="G272" s="99">
        <f aca="true" t="shared" si="15" ref="G272:G279">E272*F272</f>
        <v>0</v>
      </c>
      <c r="H272" s="151" t="s">
        <v>193</v>
      </c>
    </row>
    <row r="273" spans="1:8" ht="12.75">
      <c r="A273" s="94">
        <f aca="true" t="shared" si="16" ref="A273:A279">A272+1</f>
        <v>147</v>
      </c>
      <c r="B273" s="95" t="s">
        <v>429</v>
      </c>
      <c r="C273" s="96" t="s">
        <v>445</v>
      </c>
      <c r="D273" s="97" t="s">
        <v>21</v>
      </c>
      <c r="E273" s="208">
        <v>2</v>
      </c>
      <c r="F273" s="270"/>
      <c r="G273" s="99">
        <f t="shared" si="15"/>
        <v>0</v>
      </c>
      <c r="H273" s="151" t="s">
        <v>193</v>
      </c>
    </row>
    <row r="274" spans="1:8" ht="12.75">
      <c r="A274" s="94">
        <f t="shared" si="16"/>
        <v>148</v>
      </c>
      <c r="B274" s="95" t="s">
        <v>429</v>
      </c>
      <c r="C274" s="96" t="s">
        <v>178</v>
      </c>
      <c r="D274" s="97" t="s">
        <v>21</v>
      </c>
      <c r="E274" s="208">
        <v>1</v>
      </c>
      <c r="F274" s="270"/>
      <c r="G274" s="99">
        <f t="shared" si="15"/>
        <v>0</v>
      </c>
      <c r="H274" s="151" t="s">
        <v>193</v>
      </c>
    </row>
    <row r="275" spans="1:8" ht="25.5">
      <c r="A275" s="94">
        <f t="shared" si="16"/>
        <v>149</v>
      </c>
      <c r="B275" s="95" t="s">
        <v>429</v>
      </c>
      <c r="C275" s="96" t="s">
        <v>446</v>
      </c>
      <c r="D275" s="97" t="s">
        <v>21</v>
      </c>
      <c r="E275" s="208">
        <v>1</v>
      </c>
      <c r="F275" s="270"/>
      <c r="G275" s="99">
        <f t="shared" si="15"/>
        <v>0</v>
      </c>
      <c r="H275" s="151" t="s">
        <v>193</v>
      </c>
    </row>
    <row r="276" spans="1:8" ht="25.5">
      <c r="A276" s="94">
        <f t="shared" si="16"/>
        <v>150</v>
      </c>
      <c r="B276" s="95" t="s">
        <v>429</v>
      </c>
      <c r="C276" s="96" t="s">
        <v>447</v>
      </c>
      <c r="D276" s="97" t="s">
        <v>21</v>
      </c>
      <c r="E276" s="208">
        <v>1</v>
      </c>
      <c r="F276" s="270"/>
      <c r="G276" s="99">
        <f t="shared" si="15"/>
        <v>0</v>
      </c>
      <c r="H276" s="151" t="s">
        <v>193</v>
      </c>
    </row>
    <row r="277" spans="1:8" ht="12.75">
      <c r="A277" s="94">
        <f t="shared" si="16"/>
        <v>151</v>
      </c>
      <c r="B277" s="95" t="s">
        <v>429</v>
      </c>
      <c r="C277" s="96" t="s">
        <v>448</v>
      </c>
      <c r="D277" s="97" t="s">
        <v>21</v>
      </c>
      <c r="E277" s="208">
        <v>1</v>
      </c>
      <c r="F277" s="270"/>
      <c r="G277" s="99">
        <f t="shared" si="15"/>
        <v>0</v>
      </c>
      <c r="H277" s="151" t="s">
        <v>193</v>
      </c>
    </row>
    <row r="278" spans="1:8" ht="12.75">
      <c r="A278" s="94">
        <f t="shared" si="16"/>
        <v>152</v>
      </c>
      <c r="B278" s="95" t="s">
        <v>31</v>
      </c>
      <c r="C278" s="96" t="s">
        <v>120</v>
      </c>
      <c r="D278" s="97" t="s">
        <v>27</v>
      </c>
      <c r="E278" s="208">
        <f>SUM(G253,G255,G256,G258,G259,G262:G264,G265:G277)</f>
        <v>0</v>
      </c>
      <c r="F278" s="271"/>
      <c r="G278" s="99">
        <f t="shared" si="15"/>
        <v>0</v>
      </c>
      <c r="H278" s="151" t="s">
        <v>193</v>
      </c>
    </row>
    <row r="279" spans="1:8" ht="12.75" customHeight="1" thickBot="1">
      <c r="A279" s="94">
        <f t="shared" si="16"/>
        <v>153</v>
      </c>
      <c r="B279" s="95"/>
      <c r="C279" s="96" t="s">
        <v>46</v>
      </c>
      <c r="D279" s="131" t="s">
        <v>27</v>
      </c>
      <c r="E279" s="208">
        <f>+E278</f>
        <v>0</v>
      </c>
      <c r="F279" s="273"/>
      <c r="G279" s="132">
        <f t="shared" si="15"/>
        <v>0</v>
      </c>
      <c r="H279" s="151" t="s">
        <v>193</v>
      </c>
    </row>
    <row r="280" spans="1:8" ht="13.5" thickBot="1">
      <c r="A280" s="94"/>
      <c r="B280" s="95"/>
      <c r="C280" s="122" t="s">
        <v>20</v>
      </c>
      <c r="D280" s="123"/>
      <c r="E280" s="211"/>
      <c r="F280" s="124"/>
      <c r="G280" s="114">
        <f>SUBTOTAL(9,G252:G279)</f>
        <v>0</v>
      </c>
      <c r="H280" s="183"/>
    </row>
    <row r="281" spans="1:8" ht="12.75">
      <c r="A281" s="94"/>
      <c r="B281" s="95"/>
      <c r="C281" s="115"/>
      <c r="D281" s="116"/>
      <c r="E281" s="197"/>
      <c r="F281" s="36"/>
      <c r="G281" s="117"/>
      <c r="H281" s="151"/>
    </row>
    <row r="282" spans="1:8" ht="16.5">
      <c r="A282" s="94"/>
      <c r="B282" s="118" t="s">
        <v>55</v>
      </c>
      <c r="C282" s="242" t="s">
        <v>250</v>
      </c>
      <c r="D282" s="242"/>
      <c r="E282" s="242"/>
      <c r="F282" s="242"/>
      <c r="G282" s="242"/>
      <c r="H282" s="151"/>
    </row>
    <row r="283" spans="1:8" ht="38.25" customHeight="1">
      <c r="A283" s="94"/>
      <c r="B283" s="89"/>
      <c r="C283" s="239" t="s">
        <v>115</v>
      </c>
      <c r="D283" s="240"/>
      <c r="E283" s="240"/>
      <c r="F283" s="240"/>
      <c r="G283" s="240"/>
      <c r="H283" s="151"/>
    </row>
    <row r="284" spans="1:8" ht="12.75">
      <c r="A284" s="94">
        <f>+A279+1</f>
        <v>154</v>
      </c>
      <c r="B284" s="95"/>
      <c r="C284" s="96" t="s">
        <v>112</v>
      </c>
      <c r="D284" s="97" t="s">
        <v>117</v>
      </c>
      <c r="E284" s="208">
        <v>1</v>
      </c>
      <c r="F284" s="99">
        <f>+ESA_ESI!H37</f>
        <v>0</v>
      </c>
      <c r="G284" s="99">
        <f>E284*F284</f>
        <v>0</v>
      </c>
      <c r="H284" s="151" t="s">
        <v>193</v>
      </c>
    </row>
    <row r="285" spans="1:8" ht="12.75">
      <c r="A285" s="94">
        <f>A284+1</f>
        <v>155</v>
      </c>
      <c r="B285" s="95"/>
      <c r="C285" s="96" t="s">
        <v>113</v>
      </c>
      <c r="D285" s="97" t="s">
        <v>117</v>
      </c>
      <c r="E285" s="208">
        <v>1</v>
      </c>
      <c r="F285" s="99">
        <f>+ESA_ESI!H49</f>
        <v>0</v>
      </c>
      <c r="G285" s="99">
        <f>E285*F285</f>
        <v>0</v>
      </c>
      <c r="H285" s="151" t="s">
        <v>193</v>
      </c>
    </row>
    <row r="286" spans="1:8" ht="13.5" thickBot="1">
      <c r="A286" s="180">
        <f>A285+1</f>
        <v>156</v>
      </c>
      <c r="B286" s="176"/>
      <c r="C286" s="177" t="s">
        <v>415</v>
      </c>
      <c r="D286" s="178" t="s">
        <v>117</v>
      </c>
      <c r="E286" s="216">
        <v>1</v>
      </c>
      <c r="F286" s="181">
        <f>0.9*ESA_ESI!H69</f>
        <v>0</v>
      </c>
      <c r="G286" s="179">
        <f>E286*F286</f>
        <v>0</v>
      </c>
      <c r="H286" s="149" t="s">
        <v>193</v>
      </c>
    </row>
    <row r="287" spans="1:8" ht="13.5" thickBot="1">
      <c r="A287" s="94"/>
      <c r="B287" s="95"/>
      <c r="C287" s="122" t="s">
        <v>20</v>
      </c>
      <c r="D287" s="123"/>
      <c r="E287" s="211"/>
      <c r="F287" s="124"/>
      <c r="G287" s="114">
        <f>SUBTOTAL(9,G284:G286)</f>
        <v>0</v>
      </c>
      <c r="H287" s="187"/>
    </row>
    <row r="288" spans="1:8" ht="12.75">
      <c r="A288" s="94"/>
      <c r="B288" s="95"/>
      <c r="C288" s="115"/>
      <c r="D288" s="116"/>
      <c r="E288" s="197"/>
      <c r="F288" s="36"/>
      <c r="G288" s="117"/>
      <c r="H288" s="188"/>
    </row>
    <row r="289" spans="1:8" ht="16.5">
      <c r="A289" s="94"/>
      <c r="B289" s="118" t="s">
        <v>104</v>
      </c>
      <c r="C289" s="242" t="s">
        <v>251</v>
      </c>
      <c r="D289" s="242"/>
      <c r="E289" s="242"/>
      <c r="F289" s="242"/>
      <c r="G289" s="242"/>
      <c r="H289" s="151"/>
    </row>
    <row r="290" spans="1:8" ht="38.25" customHeight="1">
      <c r="A290" s="94"/>
      <c r="B290" s="89"/>
      <c r="C290" s="239" t="s">
        <v>116</v>
      </c>
      <c r="D290" s="240"/>
      <c r="E290" s="240"/>
      <c r="F290" s="240"/>
      <c r="G290" s="240"/>
      <c r="H290" s="151"/>
    </row>
    <row r="291" spans="1:8" ht="12.75">
      <c r="A291" s="94">
        <f>+A286+1</f>
        <v>157</v>
      </c>
      <c r="B291" s="95"/>
      <c r="C291" s="96" t="s">
        <v>172</v>
      </c>
      <c r="D291" s="97" t="s">
        <v>117</v>
      </c>
      <c r="E291" s="208">
        <v>1</v>
      </c>
      <c r="F291" s="99">
        <f>+ESA_ESI!H65</f>
        <v>0</v>
      </c>
      <c r="G291" s="99">
        <f>E291*F291</f>
        <v>0</v>
      </c>
      <c r="H291" s="151" t="s">
        <v>193</v>
      </c>
    </row>
    <row r="292" spans="1:8" ht="13.5" thickBot="1">
      <c r="A292" s="94">
        <f>A291+1</f>
        <v>158</v>
      </c>
      <c r="B292" s="95"/>
      <c r="C292" s="177" t="s">
        <v>416</v>
      </c>
      <c r="D292" s="178" t="s">
        <v>117</v>
      </c>
      <c r="E292" s="216">
        <v>1</v>
      </c>
      <c r="F292" s="181">
        <f>0.1*ESA_ESI!H69</f>
        <v>0</v>
      </c>
      <c r="G292" s="179">
        <f>E292*F292</f>
        <v>0</v>
      </c>
      <c r="H292" s="149" t="s">
        <v>193</v>
      </c>
    </row>
    <row r="293" spans="1:8" ht="13.5" thickBot="1">
      <c r="A293" s="94"/>
      <c r="B293" s="95"/>
      <c r="C293" s="122" t="s">
        <v>20</v>
      </c>
      <c r="D293" s="123"/>
      <c r="E293" s="211"/>
      <c r="F293" s="124"/>
      <c r="G293" s="114">
        <f>SUBTOTAL(9,G291:G292)</f>
        <v>0</v>
      </c>
      <c r="H293" s="189"/>
    </row>
    <row r="294" spans="1:8" ht="14.25" customHeight="1" thickBot="1">
      <c r="A294" s="94"/>
      <c r="B294" s="95"/>
      <c r="C294" s="115"/>
      <c r="D294" s="116"/>
      <c r="E294" s="197"/>
      <c r="F294" s="36"/>
      <c r="G294" s="117"/>
      <c r="H294" s="151"/>
    </row>
    <row r="295" spans="1:8" ht="16.5">
      <c r="A295" s="94"/>
      <c r="B295" s="118" t="s">
        <v>105</v>
      </c>
      <c r="C295" s="257" t="s">
        <v>63</v>
      </c>
      <c r="D295" s="257"/>
      <c r="E295" s="257"/>
      <c r="F295" s="257"/>
      <c r="G295" s="257"/>
      <c r="H295" s="151"/>
    </row>
    <row r="296" spans="1:8" ht="63.75" customHeight="1">
      <c r="A296" s="94"/>
      <c r="B296" s="89"/>
      <c r="C296" s="239" t="s">
        <v>118</v>
      </c>
      <c r="D296" s="239"/>
      <c r="E296" s="239"/>
      <c r="F296" s="239"/>
      <c r="G296" s="239"/>
      <c r="H296" s="151"/>
    </row>
    <row r="297" spans="1:18" s="63" customFormat="1" ht="12.75">
      <c r="A297" s="94">
        <f>A292+1</f>
        <v>159</v>
      </c>
      <c r="B297" s="106" t="s">
        <v>31</v>
      </c>
      <c r="C297" s="101" t="s">
        <v>449</v>
      </c>
      <c r="D297" s="107" t="s">
        <v>22</v>
      </c>
      <c r="E297" s="209">
        <f>E298</f>
        <v>9.2</v>
      </c>
      <c r="F297" s="270"/>
      <c r="G297" s="109">
        <f>E297*F297</f>
        <v>0</v>
      </c>
      <c r="H297" s="149" t="s">
        <v>199</v>
      </c>
      <c r="I297" s="7"/>
      <c r="R297" s="155"/>
    </row>
    <row r="298" spans="1:8" ht="25.5">
      <c r="A298" s="94">
        <f>A297+1</f>
        <v>160</v>
      </c>
      <c r="B298" s="127" t="s">
        <v>30</v>
      </c>
      <c r="C298" s="128" t="s">
        <v>334</v>
      </c>
      <c r="D298" s="129" t="s">
        <v>22</v>
      </c>
      <c r="E298" s="212">
        <v>9.2</v>
      </c>
      <c r="F298" s="272"/>
      <c r="G298" s="130">
        <f>E298*F298</f>
        <v>0</v>
      </c>
      <c r="H298" s="151" t="s">
        <v>199</v>
      </c>
    </row>
    <row r="299" spans="1:8" ht="12.75">
      <c r="A299" s="94">
        <f>A298+1</f>
        <v>161</v>
      </c>
      <c r="B299" s="127" t="s">
        <v>30</v>
      </c>
      <c r="C299" s="128" t="s">
        <v>335</v>
      </c>
      <c r="D299" s="129" t="s">
        <v>21</v>
      </c>
      <c r="E299" s="212">
        <v>2</v>
      </c>
      <c r="F299" s="272"/>
      <c r="G299" s="130">
        <f aca="true" t="shared" si="17" ref="G299:G305">E299*F299</f>
        <v>0</v>
      </c>
      <c r="H299" s="151" t="s">
        <v>199</v>
      </c>
    </row>
    <row r="300" spans="1:8" ht="12.75">
      <c r="A300" s="94">
        <f>A299+1</f>
        <v>162</v>
      </c>
      <c r="B300" s="127" t="s">
        <v>30</v>
      </c>
      <c r="C300" s="128" t="s">
        <v>336</v>
      </c>
      <c r="D300" s="129" t="s">
        <v>21</v>
      </c>
      <c r="E300" s="212">
        <v>2</v>
      </c>
      <c r="F300" s="272"/>
      <c r="G300" s="130">
        <f t="shared" si="17"/>
        <v>0</v>
      </c>
      <c r="H300" s="151" t="s">
        <v>199</v>
      </c>
    </row>
    <row r="301" spans="1:8" ht="12.75">
      <c r="A301" s="94">
        <f>A300+1</f>
        <v>163</v>
      </c>
      <c r="B301" s="127" t="s">
        <v>30</v>
      </c>
      <c r="C301" s="128" t="s">
        <v>337</v>
      </c>
      <c r="D301" s="129" t="s">
        <v>21</v>
      </c>
      <c r="E301" s="212">
        <v>2</v>
      </c>
      <c r="F301" s="272"/>
      <c r="G301" s="130">
        <f t="shared" si="17"/>
        <v>0</v>
      </c>
      <c r="H301" s="151" t="s">
        <v>199</v>
      </c>
    </row>
    <row r="302" spans="1:8" ht="12.75">
      <c r="A302" s="94">
        <f>A301+1</f>
        <v>164</v>
      </c>
      <c r="B302" s="127" t="s">
        <v>30</v>
      </c>
      <c r="C302" s="128" t="s">
        <v>342</v>
      </c>
      <c r="D302" s="129" t="s">
        <v>21</v>
      </c>
      <c r="E302" s="212">
        <v>1</v>
      </c>
      <c r="F302" s="272"/>
      <c r="G302" s="130">
        <f>E302*F302</f>
        <v>0</v>
      </c>
      <c r="H302" s="151" t="s">
        <v>199</v>
      </c>
    </row>
    <row r="303" spans="1:8" ht="12.75">
      <c r="A303" s="94">
        <f>A301+1</f>
        <v>164</v>
      </c>
      <c r="B303" s="127" t="s">
        <v>30</v>
      </c>
      <c r="C303" s="128" t="s">
        <v>338</v>
      </c>
      <c r="D303" s="129" t="s">
        <v>21</v>
      </c>
      <c r="E303" s="212">
        <v>1</v>
      </c>
      <c r="F303" s="272"/>
      <c r="G303" s="130">
        <f t="shared" si="17"/>
        <v>0</v>
      </c>
      <c r="H303" s="151" t="s">
        <v>199</v>
      </c>
    </row>
    <row r="304" spans="1:18" s="63" customFormat="1" ht="12.75">
      <c r="A304" s="94">
        <f>A302+1</f>
        <v>165</v>
      </c>
      <c r="B304" s="106" t="s">
        <v>31</v>
      </c>
      <c r="C304" s="101" t="s">
        <v>450</v>
      </c>
      <c r="D304" s="107" t="s">
        <v>22</v>
      </c>
      <c r="E304" s="209">
        <f>E305</f>
        <v>1</v>
      </c>
      <c r="F304" s="270"/>
      <c r="G304" s="109">
        <f t="shared" si="17"/>
        <v>0</v>
      </c>
      <c r="H304" s="149" t="s">
        <v>199</v>
      </c>
      <c r="I304" s="7"/>
      <c r="R304" s="155"/>
    </row>
    <row r="305" spans="1:8" ht="12.75">
      <c r="A305" s="94">
        <f>A303+1</f>
        <v>165</v>
      </c>
      <c r="B305" s="127" t="s">
        <v>30</v>
      </c>
      <c r="C305" s="128" t="s">
        <v>339</v>
      </c>
      <c r="D305" s="129" t="s">
        <v>22</v>
      </c>
      <c r="E305" s="212">
        <v>1</v>
      </c>
      <c r="F305" s="272"/>
      <c r="G305" s="130">
        <f t="shared" si="17"/>
        <v>0</v>
      </c>
      <c r="H305" s="151" t="s">
        <v>199</v>
      </c>
    </row>
    <row r="306" spans="1:18" s="63" customFormat="1" ht="12.75">
      <c r="A306" s="94">
        <f>A304+1</f>
        <v>166</v>
      </c>
      <c r="B306" s="106" t="s">
        <v>31</v>
      </c>
      <c r="C306" s="101" t="s">
        <v>451</v>
      </c>
      <c r="D306" s="107" t="s">
        <v>22</v>
      </c>
      <c r="E306" s="209">
        <f>E307</f>
        <v>1</v>
      </c>
      <c r="F306" s="270"/>
      <c r="G306" s="109">
        <f>E306*F306</f>
        <v>0</v>
      </c>
      <c r="H306" s="149" t="s">
        <v>199</v>
      </c>
      <c r="I306" s="7"/>
      <c r="R306" s="155"/>
    </row>
    <row r="307" spans="1:8" ht="12.75">
      <c r="A307" s="94">
        <f>A305+1</f>
        <v>166</v>
      </c>
      <c r="B307" s="127" t="s">
        <v>30</v>
      </c>
      <c r="C307" s="128" t="s">
        <v>341</v>
      </c>
      <c r="D307" s="129" t="s">
        <v>22</v>
      </c>
      <c r="E307" s="212">
        <v>1</v>
      </c>
      <c r="F307" s="272"/>
      <c r="G307" s="130">
        <f aca="true" t="shared" si="18" ref="G307:G313">E307*F307</f>
        <v>0</v>
      </c>
      <c r="H307" s="151" t="s">
        <v>199</v>
      </c>
    </row>
    <row r="308" spans="1:8" ht="12.75">
      <c r="A308" s="94">
        <f aca="true" t="shared" si="19" ref="A308:A313">A307+1</f>
        <v>167</v>
      </c>
      <c r="B308" s="127" t="s">
        <v>30</v>
      </c>
      <c r="C308" s="128" t="s">
        <v>340</v>
      </c>
      <c r="D308" s="129" t="s">
        <v>21</v>
      </c>
      <c r="E308" s="212">
        <v>1</v>
      </c>
      <c r="F308" s="272"/>
      <c r="G308" s="130">
        <f t="shared" si="18"/>
        <v>0</v>
      </c>
      <c r="H308" s="151" t="s">
        <v>199</v>
      </c>
    </row>
    <row r="309" spans="1:8" ht="12.75">
      <c r="A309" s="94">
        <f t="shared" si="19"/>
        <v>168</v>
      </c>
      <c r="B309" s="106" t="s">
        <v>31</v>
      </c>
      <c r="C309" s="101" t="s">
        <v>452</v>
      </c>
      <c r="D309" s="107" t="s">
        <v>21</v>
      </c>
      <c r="E309" s="209">
        <v>1</v>
      </c>
      <c r="F309" s="270"/>
      <c r="G309" s="109">
        <f t="shared" si="18"/>
        <v>0</v>
      </c>
      <c r="H309" s="149" t="s">
        <v>199</v>
      </c>
    </row>
    <row r="310" spans="1:8" ht="12.75">
      <c r="A310" s="94">
        <f t="shared" si="19"/>
        <v>169</v>
      </c>
      <c r="B310" s="127" t="s">
        <v>30</v>
      </c>
      <c r="C310" s="128" t="s">
        <v>453</v>
      </c>
      <c r="D310" s="129" t="s">
        <v>22</v>
      </c>
      <c r="E310" s="212">
        <v>1</v>
      </c>
      <c r="F310" s="272"/>
      <c r="G310" s="130">
        <f t="shared" si="18"/>
        <v>0</v>
      </c>
      <c r="H310" s="151" t="s">
        <v>199</v>
      </c>
    </row>
    <row r="311" spans="1:8" ht="12.75">
      <c r="A311" s="94">
        <f t="shared" si="19"/>
        <v>170</v>
      </c>
      <c r="B311" s="106" t="s">
        <v>31</v>
      </c>
      <c r="C311" s="101" t="s">
        <v>119</v>
      </c>
      <c r="D311" s="107" t="s">
        <v>27</v>
      </c>
      <c r="E311" s="209">
        <f>SUM(G299:G303,G308)</f>
        <v>0</v>
      </c>
      <c r="F311" s="271"/>
      <c r="G311" s="109">
        <f t="shared" si="18"/>
        <v>0</v>
      </c>
      <c r="H311" s="149" t="s">
        <v>199</v>
      </c>
    </row>
    <row r="312" spans="1:8" ht="15.75" customHeight="1">
      <c r="A312" s="94">
        <f t="shared" si="19"/>
        <v>171</v>
      </c>
      <c r="B312" s="106" t="s">
        <v>31</v>
      </c>
      <c r="C312" s="101" t="s">
        <v>120</v>
      </c>
      <c r="D312" s="107" t="s">
        <v>27</v>
      </c>
      <c r="E312" s="209">
        <f>SUM(G298:G303,G305,G307:G308,G310)</f>
        <v>0</v>
      </c>
      <c r="F312" s="271"/>
      <c r="G312" s="109">
        <f t="shared" si="18"/>
        <v>0</v>
      </c>
      <c r="H312" s="149" t="s">
        <v>199</v>
      </c>
    </row>
    <row r="313" spans="1:8" ht="13.5" thickBot="1">
      <c r="A313" s="94">
        <f t="shared" si="19"/>
        <v>172</v>
      </c>
      <c r="B313" s="106"/>
      <c r="C313" s="101" t="s">
        <v>46</v>
      </c>
      <c r="D313" s="141" t="s">
        <v>27</v>
      </c>
      <c r="E313" s="209">
        <f>+E312</f>
        <v>0</v>
      </c>
      <c r="F313" s="275"/>
      <c r="G313" s="142">
        <f t="shared" si="18"/>
        <v>0</v>
      </c>
      <c r="H313" s="149" t="s">
        <v>199</v>
      </c>
    </row>
    <row r="314" spans="1:8" ht="13.5" thickBot="1">
      <c r="A314" s="94"/>
      <c r="B314" s="95"/>
      <c r="C314" s="122" t="s">
        <v>20</v>
      </c>
      <c r="D314" s="123"/>
      <c r="E314" s="211"/>
      <c r="F314" s="124"/>
      <c r="G314" s="114">
        <f>SUM(G297:G313)</f>
        <v>0</v>
      </c>
      <c r="H314" s="190"/>
    </row>
    <row r="315" spans="1:7" ht="12.75">
      <c r="A315" s="94"/>
      <c r="B315" s="95"/>
      <c r="C315" s="115"/>
      <c r="D315" s="116"/>
      <c r="E315" s="197"/>
      <c r="F315" s="36"/>
      <c r="G315" s="117"/>
    </row>
    <row r="316" spans="1:7" ht="16.5">
      <c r="A316" s="105"/>
      <c r="B316" s="139" t="s">
        <v>106</v>
      </c>
      <c r="C316" s="238" t="s">
        <v>317</v>
      </c>
      <c r="D316" s="238"/>
      <c r="E316" s="238"/>
      <c r="F316" s="238"/>
      <c r="G316" s="238"/>
    </row>
    <row r="317" spans="1:7" ht="92.25" customHeight="1">
      <c r="A317" s="105"/>
      <c r="B317" s="144"/>
      <c r="C317" s="239" t="s">
        <v>401</v>
      </c>
      <c r="D317" s="240"/>
      <c r="E317" s="240"/>
      <c r="F317" s="240"/>
      <c r="G317" s="240"/>
    </row>
    <row r="318" spans="1:9" ht="12.75">
      <c r="A318" s="105">
        <f>A313+1</f>
        <v>173</v>
      </c>
      <c r="B318" s="106" t="s">
        <v>429</v>
      </c>
      <c r="C318" s="101" t="s">
        <v>386</v>
      </c>
      <c r="D318" s="107" t="s">
        <v>22</v>
      </c>
      <c r="E318" s="209">
        <v>38</v>
      </c>
      <c r="F318" s="270"/>
      <c r="G318" s="109">
        <f>E318*F318</f>
        <v>0</v>
      </c>
      <c r="H318" s="149" t="s">
        <v>193</v>
      </c>
      <c r="I318" s="231"/>
    </row>
    <row r="319" spans="1:9" ht="12.75">
      <c r="A319" s="105">
        <f>A318+1</f>
        <v>174</v>
      </c>
      <c r="B319" s="106" t="s">
        <v>429</v>
      </c>
      <c r="C319" s="101" t="s">
        <v>387</v>
      </c>
      <c r="D319" s="107" t="s">
        <v>22</v>
      </c>
      <c r="E319" s="209">
        <v>18</v>
      </c>
      <c r="F319" s="270"/>
      <c r="G319" s="109">
        <f aca="true" t="shared" si="20" ref="G319:G336">E319*F319</f>
        <v>0</v>
      </c>
      <c r="H319" s="149" t="s">
        <v>193</v>
      </c>
      <c r="I319" s="231"/>
    </row>
    <row r="320" spans="1:8" ht="12.75">
      <c r="A320" s="105">
        <f aca="true" t="shared" si="21" ref="A320:A336">A319+1</f>
        <v>175</v>
      </c>
      <c r="B320" s="106" t="s">
        <v>429</v>
      </c>
      <c r="C320" s="101" t="s">
        <v>388</v>
      </c>
      <c r="D320" s="107" t="s">
        <v>22</v>
      </c>
      <c r="E320" s="209">
        <v>16</v>
      </c>
      <c r="F320" s="270"/>
      <c r="G320" s="109">
        <f t="shared" si="20"/>
        <v>0</v>
      </c>
      <c r="H320" s="149" t="s">
        <v>193</v>
      </c>
    </row>
    <row r="321" spans="1:8" ht="12.75">
      <c r="A321" s="105">
        <f t="shared" si="21"/>
        <v>176</v>
      </c>
      <c r="B321" s="106" t="s">
        <v>31</v>
      </c>
      <c r="C321" s="101" t="s">
        <v>456</v>
      </c>
      <c r="D321" s="107" t="s">
        <v>22</v>
      </c>
      <c r="E321" s="209">
        <f>+E318+E319+E320</f>
        <v>72</v>
      </c>
      <c r="F321" s="270"/>
      <c r="G321" s="109">
        <f t="shared" si="20"/>
        <v>0</v>
      </c>
      <c r="H321" s="149" t="s">
        <v>193</v>
      </c>
    </row>
    <row r="322" spans="1:8" ht="12.75">
      <c r="A322" s="105">
        <f t="shared" si="21"/>
        <v>177</v>
      </c>
      <c r="B322" s="106" t="s">
        <v>429</v>
      </c>
      <c r="C322" s="101" t="s">
        <v>389</v>
      </c>
      <c r="D322" s="101" t="s">
        <v>21</v>
      </c>
      <c r="E322" s="209">
        <v>1</v>
      </c>
      <c r="F322" s="270"/>
      <c r="G322" s="109">
        <f t="shared" si="20"/>
        <v>0</v>
      </c>
      <c r="H322" s="149" t="s">
        <v>193</v>
      </c>
    </row>
    <row r="323" spans="1:8" ht="12.75">
      <c r="A323" s="105">
        <f t="shared" si="21"/>
        <v>178</v>
      </c>
      <c r="B323" s="106"/>
      <c r="C323" s="101" t="s">
        <v>390</v>
      </c>
      <c r="D323" s="101" t="s">
        <v>21</v>
      </c>
      <c r="E323" s="209">
        <v>1</v>
      </c>
      <c r="F323" s="270"/>
      <c r="G323" s="109">
        <f t="shared" si="20"/>
        <v>0</v>
      </c>
      <c r="H323" s="149" t="s">
        <v>193</v>
      </c>
    </row>
    <row r="324" spans="1:8" ht="12.75">
      <c r="A324" s="105">
        <f t="shared" si="21"/>
        <v>179</v>
      </c>
      <c r="B324" s="106"/>
      <c r="C324" s="101" t="s">
        <v>391</v>
      </c>
      <c r="D324" s="101" t="s">
        <v>21</v>
      </c>
      <c r="E324" s="209">
        <v>4</v>
      </c>
      <c r="F324" s="270"/>
      <c r="G324" s="109">
        <f t="shared" si="20"/>
        <v>0</v>
      </c>
      <c r="H324" s="149" t="s">
        <v>193</v>
      </c>
    </row>
    <row r="325" spans="1:8" ht="12.75">
      <c r="A325" s="105">
        <f t="shared" si="21"/>
        <v>180</v>
      </c>
      <c r="B325" s="106" t="s">
        <v>429</v>
      </c>
      <c r="C325" s="101" t="s">
        <v>392</v>
      </c>
      <c r="D325" s="101" t="s">
        <v>21</v>
      </c>
      <c r="E325" s="209">
        <v>6</v>
      </c>
      <c r="F325" s="270"/>
      <c r="G325" s="109">
        <f t="shared" si="20"/>
        <v>0</v>
      </c>
      <c r="H325" s="149" t="s">
        <v>193</v>
      </c>
    </row>
    <row r="326" spans="1:9" ht="25.5">
      <c r="A326" s="105">
        <f t="shared" si="21"/>
        <v>181</v>
      </c>
      <c r="B326" s="106" t="s">
        <v>429</v>
      </c>
      <c r="C326" s="101" t="s">
        <v>455</v>
      </c>
      <c r="D326" s="101" t="s">
        <v>21</v>
      </c>
      <c r="E326" s="209">
        <v>5</v>
      </c>
      <c r="F326" s="270"/>
      <c r="G326" s="109">
        <f t="shared" si="20"/>
        <v>0</v>
      </c>
      <c r="H326" s="149" t="s">
        <v>193</v>
      </c>
      <c r="I326" s="231"/>
    </row>
    <row r="327" spans="1:9" ht="25.5">
      <c r="A327" s="105">
        <f t="shared" si="21"/>
        <v>182</v>
      </c>
      <c r="B327" s="106" t="s">
        <v>429</v>
      </c>
      <c r="C327" s="101" t="s">
        <v>393</v>
      </c>
      <c r="D327" s="101" t="s">
        <v>21</v>
      </c>
      <c r="E327" s="209">
        <v>1</v>
      </c>
      <c r="F327" s="270"/>
      <c r="G327" s="109">
        <f t="shared" si="20"/>
        <v>0</v>
      </c>
      <c r="H327" s="149" t="s">
        <v>193</v>
      </c>
      <c r="I327" s="231"/>
    </row>
    <row r="328" spans="1:9" ht="25.5">
      <c r="A328" s="105">
        <f t="shared" si="21"/>
        <v>183</v>
      </c>
      <c r="B328" s="106" t="s">
        <v>429</v>
      </c>
      <c r="C328" s="101" t="s">
        <v>394</v>
      </c>
      <c r="D328" s="101" t="s">
        <v>21</v>
      </c>
      <c r="E328" s="209">
        <v>3</v>
      </c>
      <c r="F328" s="270"/>
      <c r="G328" s="109">
        <f t="shared" si="20"/>
        <v>0</v>
      </c>
      <c r="H328" s="149" t="s">
        <v>193</v>
      </c>
      <c r="I328" s="231"/>
    </row>
    <row r="329" spans="1:9" ht="25.5">
      <c r="A329" s="105">
        <f t="shared" si="21"/>
        <v>184</v>
      </c>
      <c r="B329" s="106" t="s">
        <v>429</v>
      </c>
      <c r="C329" s="101" t="s">
        <v>395</v>
      </c>
      <c r="D329" s="101" t="s">
        <v>21</v>
      </c>
      <c r="E329" s="209">
        <v>1</v>
      </c>
      <c r="F329" s="270"/>
      <c r="G329" s="109">
        <f t="shared" si="20"/>
        <v>0</v>
      </c>
      <c r="H329" s="149" t="s">
        <v>193</v>
      </c>
      <c r="I329" s="231"/>
    </row>
    <row r="330" spans="1:8" ht="25.5">
      <c r="A330" s="105">
        <f t="shared" si="21"/>
        <v>185</v>
      </c>
      <c r="B330" s="106"/>
      <c r="C330" s="101" t="s">
        <v>396</v>
      </c>
      <c r="D330" s="101" t="s">
        <v>22</v>
      </c>
      <c r="E330" s="209">
        <v>29</v>
      </c>
      <c r="F330" s="270"/>
      <c r="G330" s="109">
        <f t="shared" si="20"/>
        <v>0</v>
      </c>
      <c r="H330" s="149" t="s">
        <v>193</v>
      </c>
    </row>
    <row r="331" spans="1:8" ht="25.5">
      <c r="A331" s="105">
        <f t="shared" si="21"/>
        <v>186</v>
      </c>
      <c r="B331" s="106"/>
      <c r="C331" s="101" t="s">
        <v>397</v>
      </c>
      <c r="D331" s="101" t="s">
        <v>22</v>
      </c>
      <c r="E331" s="209">
        <v>14</v>
      </c>
      <c r="F331" s="270"/>
      <c r="G331" s="109">
        <f t="shared" si="20"/>
        <v>0</v>
      </c>
      <c r="H331" s="149" t="s">
        <v>193</v>
      </c>
    </row>
    <row r="332" spans="1:8" ht="25.5">
      <c r="A332" s="105">
        <f t="shared" si="21"/>
        <v>187</v>
      </c>
      <c r="B332" s="106"/>
      <c r="C332" s="101" t="s">
        <v>398</v>
      </c>
      <c r="D332" s="107" t="s">
        <v>22</v>
      </c>
      <c r="E332" s="209">
        <v>12</v>
      </c>
      <c r="F332" s="270"/>
      <c r="G332" s="109">
        <f t="shared" si="20"/>
        <v>0</v>
      </c>
      <c r="H332" s="149" t="s">
        <v>193</v>
      </c>
    </row>
    <row r="333" spans="1:8" ht="12.75">
      <c r="A333" s="105">
        <f t="shared" si="21"/>
        <v>188</v>
      </c>
      <c r="B333" s="106"/>
      <c r="C333" s="101" t="s">
        <v>454</v>
      </c>
      <c r="D333" s="107" t="s">
        <v>18</v>
      </c>
      <c r="E333" s="209">
        <v>1</v>
      </c>
      <c r="F333" s="270"/>
      <c r="G333" s="109">
        <f t="shared" si="20"/>
        <v>0</v>
      </c>
      <c r="H333" s="149" t="s">
        <v>193</v>
      </c>
    </row>
    <row r="334" spans="1:8" ht="12.75">
      <c r="A334" s="105">
        <f t="shared" si="21"/>
        <v>189</v>
      </c>
      <c r="B334" s="106"/>
      <c r="C334" s="101" t="s">
        <v>399</v>
      </c>
      <c r="D334" s="107" t="s">
        <v>18</v>
      </c>
      <c r="E334" s="209">
        <v>1</v>
      </c>
      <c r="F334" s="270"/>
      <c r="G334" s="109">
        <f t="shared" si="20"/>
        <v>0</v>
      </c>
      <c r="H334" s="149" t="s">
        <v>193</v>
      </c>
    </row>
    <row r="335" spans="1:8" ht="12.75">
      <c r="A335" s="105">
        <f t="shared" si="21"/>
        <v>190</v>
      </c>
      <c r="B335" s="106"/>
      <c r="C335" s="101" t="s">
        <v>400</v>
      </c>
      <c r="D335" s="107" t="s">
        <v>18</v>
      </c>
      <c r="E335" s="209">
        <v>1</v>
      </c>
      <c r="F335" s="270"/>
      <c r="G335" s="109">
        <f t="shared" si="20"/>
        <v>0</v>
      </c>
      <c r="H335" s="149" t="s">
        <v>193</v>
      </c>
    </row>
    <row r="336" spans="1:8" ht="13.5" thickBot="1">
      <c r="A336" s="105">
        <f t="shared" si="21"/>
        <v>191</v>
      </c>
      <c r="B336" s="106"/>
      <c r="C336" s="101" t="s">
        <v>46</v>
      </c>
      <c r="D336" s="107" t="s">
        <v>27</v>
      </c>
      <c r="E336" s="209">
        <f>SUM(G318:G320,G322:G333)</f>
        <v>0</v>
      </c>
      <c r="F336" s="275"/>
      <c r="G336" s="142">
        <f t="shared" si="20"/>
        <v>0</v>
      </c>
      <c r="H336" s="149" t="s">
        <v>193</v>
      </c>
    </row>
    <row r="337" spans="1:8" ht="13.5" thickBot="1">
      <c r="A337" s="105"/>
      <c r="B337" s="106"/>
      <c r="C337" s="122" t="s">
        <v>20</v>
      </c>
      <c r="D337" s="123"/>
      <c r="E337" s="215"/>
      <c r="F337" s="143"/>
      <c r="G337" s="114">
        <f>SUBTOTAL(9,G318:G336)</f>
        <v>0</v>
      </c>
      <c r="H337" s="190"/>
    </row>
    <row r="338" spans="1:8" ht="12.75">
      <c r="A338" s="94"/>
      <c r="B338" s="95"/>
      <c r="C338" s="115"/>
      <c r="D338" s="116"/>
      <c r="E338" s="197"/>
      <c r="F338" s="36"/>
      <c r="G338" s="117"/>
      <c r="H338" s="151"/>
    </row>
    <row r="339" spans="1:8" ht="16.5">
      <c r="A339" s="94"/>
      <c r="B339" s="118" t="s">
        <v>107</v>
      </c>
      <c r="C339" s="242" t="s">
        <v>64</v>
      </c>
      <c r="D339" s="242"/>
      <c r="E339" s="242"/>
      <c r="F339" s="242"/>
      <c r="G339" s="242"/>
      <c r="H339" s="151"/>
    </row>
    <row r="340" spans="1:8" ht="66.75" customHeight="1">
      <c r="A340" s="94"/>
      <c r="B340" s="89"/>
      <c r="C340" s="239" t="s">
        <v>90</v>
      </c>
      <c r="D340" s="240"/>
      <c r="E340" s="240"/>
      <c r="F340" s="240"/>
      <c r="G340" s="240"/>
      <c r="H340" s="151"/>
    </row>
    <row r="341" spans="1:8" ht="12.75">
      <c r="A341" s="94">
        <f>A336+1</f>
        <v>192</v>
      </c>
      <c r="B341" s="95" t="s">
        <v>307</v>
      </c>
      <c r="C341" s="96" t="s">
        <v>463</v>
      </c>
      <c r="D341" s="97" t="s">
        <v>21</v>
      </c>
      <c r="E341" s="208">
        <f>+E343+E344+E345+E346</f>
        <v>6</v>
      </c>
      <c r="F341" s="270"/>
      <c r="G341" s="99">
        <f aca="true" t="shared" si="22" ref="G341:G353">E341*F341</f>
        <v>0</v>
      </c>
      <c r="H341" s="151" t="s">
        <v>193</v>
      </c>
    </row>
    <row r="342" spans="1:8" ht="12.75">
      <c r="A342" s="94">
        <f aca="true" t="shared" si="23" ref="A342:A352">A341+1</f>
        <v>193</v>
      </c>
      <c r="B342" s="95" t="s">
        <v>308</v>
      </c>
      <c r="C342" s="96" t="s">
        <v>309</v>
      </c>
      <c r="D342" s="97" t="s">
        <v>21</v>
      </c>
      <c r="E342" s="208">
        <v>1</v>
      </c>
      <c r="F342" s="270"/>
      <c r="G342" s="99">
        <f aca="true" t="shared" si="24" ref="G342:G347">E342*F342</f>
        <v>0</v>
      </c>
      <c r="H342" s="151" t="s">
        <v>193</v>
      </c>
    </row>
    <row r="343" spans="1:8" ht="25.5">
      <c r="A343" s="94">
        <f t="shared" si="23"/>
        <v>194</v>
      </c>
      <c r="B343" s="95" t="s">
        <v>92</v>
      </c>
      <c r="C343" s="96" t="s">
        <v>457</v>
      </c>
      <c r="D343" s="97" t="s">
        <v>21</v>
      </c>
      <c r="E343" s="208">
        <v>2</v>
      </c>
      <c r="F343" s="270"/>
      <c r="G343" s="99">
        <f t="shared" si="24"/>
        <v>0</v>
      </c>
      <c r="H343" s="151" t="s">
        <v>193</v>
      </c>
    </row>
    <row r="344" spans="1:8" ht="25.5">
      <c r="A344" s="94">
        <f t="shared" si="23"/>
        <v>195</v>
      </c>
      <c r="B344" s="95" t="s">
        <v>179</v>
      </c>
      <c r="C344" s="96" t="s">
        <v>458</v>
      </c>
      <c r="D344" s="97" t="s">
        <v>21</v>
      </c>
      <c r="E344" s="208">
        <v>2</v>
      </c>
      <c r="F344" s="270"/>
      <c r="G344" s="99">
        <f t="shared" si="24"/>
        <v>0</v>
      </c>
      <c r="H344" s="151" t="s">
        <v>193</v>
      </c>
    </row>
    <row r="345" spans="1:8" ht="25.5">
      <c r="A345" s="94">
        <f t="shared" si="23"/>
        <v>196</v>
      </c>
      <c r="B345" s="95" t="s">
        <v>230</v>
      </c>
      <c r="C345" s="96" t="s">
        <v>459</v>
      </c>
      <c r="D345" s="97" t="s">
        <v>21</v>
      </c>
      <c r="E345" s="208">
        <v>1</v>
      </c>
      <c r="F345" s="270"/>
      <c r="G345" s="99">
        <f t="shared" si="24"/>
        <v>0</v>
      </c>
      <c r="H345" s="151" t="s">
        <v>193</v>
      </c>
    </row>
    <row r="346" spans="1:8" ht="25.5">
      <c r="A346" s="94">
        <f t="shared" si="23"/>
        <v>197</v>
      </c>
      <c r="B346" s="95" t="s">
        <v>91</v>
      </c>
      <c r="C346" s="96" t="s">
        <v>460</v>
      </c>
      <c r="D346" s="97" t="s">
        <v>21</v>
      </c>
      <c r="E346" s="208">
        <v>1</v>
      </c>
      <c r="F346" s="270"/>
      <c r="G346" s="99">
        <f t="shared" si="24"/>
        <v>0</v>
      </c>
      <c r="H346" s="151" t="s">
        <v>193</v>
      </c>
    </row>
    <row r="347" spans="1:8" ht="12.75">
      <c r="A347" s="94">
        <f t="shared" si="23"/>
        <v>198</v>
      </c>
      <c r="B347" s="95" t="s">
        <v>31</v>
      </c>
      <c r="C347" s="96" t="s">
        <v>461</v>
      </c>
      <c r="D347" s="97" t="s">
        <v>21</v>
      </c>
      <c r="E347" s="208">
        <f>SUM(E343:E346)</f>
        <v>6</v>
      </c>
      <c r="F347" s="270"/>
      <c r="G347" s="99">
        <f t="shared" si="24"/>
        <v>0</v>
      </c>
      <c r="H347" s="151" t="s">
        <v>193</v>
      </c>
    </row>
    <row r="348" spans="1:8" ht="25.5">
      <c r="A348" s="94">
        <f t="shared" si="23"/>
        <v>199</v>
      </c>
      <c r="B348" s="95" t="s">
        <v>223</v>
      </c>
      <c r="C348" s="96" t="s">
        <v>306</v>
      </c>
      <c r="D348" s="97" t="s">
        <v>21</v>
      </c>
      <c r="E348" s="208">
        <v>1</v>
      </c>
      <c r="F348" s="270"/>
      <c r="G348" s="99">
        <f t="shared" si="22"/>
        <v>0</v>
      </c>
      <c r="H348" s="151" t="s">
        <v>193</v>
      </c>
    </row>
    <row r="349" spans="1:8" ht="12.75">
      <c r="A349" s="94">
        <f t="shared" si="23"/>
        <v>200</v>
      </c>
      <c r="B349" s="95"/>
      <c r="C349" s="96" t="s">
        <v>110</v>
      </c>
      <c r="D349" s="97" t="s">
        <v>21</v>
      </c>
      <c r="E349" s="208">
        <v>1</v>
      </c>
      <c r="F349" s="270"/>
      <c r="G349" s="99">
        <f t="shared" si="22"/>
        <v>0</v>
      </c>
      <c r="H349" s="151" t="s">
        <v>193</v>
      </c>
    </row>
    <row r="350" spans="1:15" ht="39">
      <c r="A350" s="94">
        <f t="shared" si="23"/>
        <v>201</v>
      </c>
      <c r="B350" s="127" t="s">
        <v>30</v>
      </c>
      <c r="C350" s="128" t="s">
        <v>464</v>
      </c>
      <c r="D350" s="129" t="s">
        <v>21</v>
      </c>
      <c r="E350" s="212">
        <v>1</v>
      </c>
      <c r="F350" s="272"/>
      <c r="G350" s="130">
        <f t="shared" si="22"/>
        <v>0</v>
      </c>
      <c r="H350" s="151" t="s">
        <v>193</v>
      </c>
      <c r="I350" s="145" t="s">
        <v>409</v>
      </c>
      <c r="J350" s="146" t="s">
        <v>410</v>
      </c>
      <c r="K350" s="7"/>
      <c r="L350" s="63"/>
      <c r="M350" s="63"/>
      <c r="N350" s="63"/>
      <c r="O350" s="63"/>
    </row>
    <row r="351" spans="1:15" ht="39">
      <c r="A351" s="94">
        <f t="shared" si="23"/>
        <v>202</v>
      </c>
      <c r="B351" s="127" t="s">
        <v>30</v>
      </c>
      <c r="C351" s="128" t="s">
        <v>465</v>
      </c>
      <c r="D351" s="129" t="s">
        <v>21</v>
      </c>
      <c r="E351" s="212">
        <v>1</v>
      </c>
      <c r="F351" s="272"/>
      <c r="G351" s="130">
        <f t="shared" si="22"/>
        <v>0</v>
      </c>
      <c r="H351" s="151" t="s">
        <v>193</v>
      </c>
      <c r="I351" s="145" t="s">
        <v>408</v>
      </c>
      <c r="J351" s="146" t="s">
        <v>411</v>
      </c>
      <c r="K351" s="7"/>
      <c r="L351" s="63"/>
      <c r="M351" s="63"/>
      <c r="N351" s="63"/>
      <c r="O351" s="63"/>
    </row>
    <row r="352" spans="1:15" ht="64.5">
      <c r="A352" s="94">
        <f t="shared" si="23"/>
        <v>203</v>
      </c>
      <c r="B352" s="95" t="s">
        <v>429</v>
      </c>
      <c r="C352" s="96" t="s">
        <v>466</v>
      </c>
      <c r="D352" s="97" t="s">
        <v>21</v>
      </c>
      <c r="E352" s="208">
        <v>1</v>
      </c>
      <c r="F352" s="270"/>
      <c r="G352" s="99">
        <f t="shared" si="22"/>
        <v>0</v>
      </c>
      <c r="H352" s="151" t="s">
        <v>193</v>
      </c>
      <c r="I352" s="145" t="s">
        <v>413</v>
      </c>
      <c r="J352" s="146" t="s">
        <v>412</v>
      </c>
      <c r="K352" s="7"/>
      <c r="L352" s="63"/>
      <c r="M352" s="63"/>
      <c r="N352" s="63"/>
      <c r="O352" s="63"/>
    </row>
    <row r="353" spans="1:8" ht="13.5" thickBot="1">
      <c r="A353" s="94">
        <f>A352+1</f>
        <v>204</v>
      </c>
      <c r="B353" s="95"/>
      <c r="C353" s="96" t="s">
        <v>46</v>
      </c>
      <c r="D353" s="131" t="s">
        <v>27</v>
      </c>
      <c r="E353" s="208">
        <f>SUM(G343:G346,G348:G352)</f>
        <v>0</v>
      </c>
      <c r="F353" s="273"/>
      <c r="G353" s="132">
        <f t="shared" si="22"/>
        <v>0</v>
      </c>
      <c r="H353" s="151" t="s">
        <v>193</v>
      </c>
    </row>
    <row r="354" spans="1:8" ht="13.5" thickBot="1">
      <c r="A354" s="94"/>
      <c r="B354" s="95"/>
      <c r="C354" s="122" t="s">
        <v>20</v>
      </c>
      <c r="D354" s="123"/>
      <c r="E354" s="211"/>
      <c r="F354" s="124"/>
      <c r="G354" s="114">
        <f>SUM(G341:G353)</f>
        <v>0</v>
      </c>
      <c r="H354" s="190"/>
    </row>
    <row r="355" spans="1:10" ht="12.75">
      <c r="A355" s="94"/>
      <c r="B355" s="95"/>
      <c r="C355" s="115"/>
      <c r="D355" s="116"/>
      <c r="E355" s="197"/>
      <c r="F355" s="36"/>
      <c r="G355" s="117"/>
      <c r="H355" s="151"/>
      <c r="J355" s="43" t="s">
        <v>224</v>
      </c>
    </row>
    <row r="356" spans="1:8" ht="16.5">
      <c r="A356" s="94"/>
      <c r="B356" s="118" t="s">
        <v>108</v>
      </c>
      <c r="C356" s="242" t="s">
        <v>45</v>
      </c>
      <c r="D356" s="242"/>
      <c r="E356" s="242"/>
      <c r="F356" s="242"/>
      <c r="G356" s="242"/>
      <c r="H356" s="151"/>
    </row>
    <row r="357" spans="1:8" ht="66.75" customHeight="1">
      <c r="A357" s="94"/>
      <c r="B357" s="89"/>
      <c r="C357" s="239" t="s">
        <v>90</v>
      </c>
      <c r="D357" s="240"/>
      <c r="E357" s="240"/>
      <c r="F357" s="240"/>
      <c r="G357" s="240"/>
      <c r="H357" s="151"/>
    </row>
    <row r="358" spans="1:8" ht="12.75">
      <c r="A358" s="94">
        <f>A353+1</f>
        <v>205</v>
      </c>
      <c r="B358" s="95" t="s">
        <v>227</v>
      </c>
      <c r="C358" s="96" t="s">
        <v>467</v>
      </c>
      <c r="D358" s="97" t="s">
        <v>21</v>
      </c>
      <c r="E358" s="208">
        <v>2</v>
      </c>
      <c r="F358" s="270"/>
      <c r="G358" s="99">
        <f>E358*F358</f>
        <v>0</v>
      </c>
      <c r="H358" s="151" t="s">
        <v>193</v>
      </c>
    </row>
    <row r="359" spans="1:8" ht="12.75">
      <c r="A359" s="94">
        <f>A358+1</f>
        <v>206</v>
      </c>
      <c r="B359" s="127" t="s">
        <v>30</v>
      </c>
      <c r="C359" s="128" t="s">
        <v>280</v>
      </c>
      <c r="D359" s="129" t="s">
        <v>33</v>
      </c>
      <c r="E359" s="212">
        <f>+E358*1.1</f>
        <v>2.2</v>
      </c>
      <c r="F359" s="276"/>
      <c r="G359" s="130">
        <f>E359*F359</f>
        <v>0</v>
      </c>
      <c r="H359" s="151" t="s">
        <v>193</v>
      </c>
    </row>
    <row r="360" spans="1:8" ht="12.75">
      <c r="A360" s="94">
        <f>A359+1</f>
        <v>207</v>
      </c>
      <c r="B360" s="95" t="s">
        <v>31</v>
      </c>
      <c r="C360" s="96" t="s">
        <v>462</v>
      </c>
      <c r="D360" s="97" t="s">
        <v>21</v>
      </c>
      <c r="E360" s="208">
        <v>1</v>
      </c>
      <c r="F360" s="270"/>
      <c r="G360" s="99">
        <f>E360*F360</f>
        <v>0</v>
      </c>
      <c r="H360" s="151" t="s">
        <v>193</v>
      </c>
    </row>
    <row r="361" spans="1:8" ht="25.5">
      <c r="A361" s="94">
        <f>A360+1</f>
        <v>208</v>
      </c>
      <c r="B361" s="127"/>
      <c r="C361" s="128" t="s">
        <v>310</v>
      </c>
      <c r="D361" s="129" t="s">
        <v>21</v>
      </c>
      <c r="E361" s="212">
        <v>1</v>
      </c>
      <c r="F361" s="276"/>
      <c r="G361" s="130">
        <f>E361*F361</f>
        <v>0</v>
      </c>
      <c r="H361" s="151" t="s">
        <v>193</v>
      </c>
    </row>
    <row r="362" spans="1:8" ht="13.5" thickBot="1">
      <c r="A362" s="94">
        <f>A361+1</f>
        <v>209</v>
      </c>
      <c r="B362" s="95"/>
      <c r="C362" s="96" t="s">
        <v>46</v>
      </c>
      <c r="D362" s="131" t="s">
        <v>27</v>
      </c>
      <c r="E362" s="208">
        <f>G359+G361</f>
        <v>0</v>
      </c>
      <c r="F362" s="273"/>
      <c r="G362" s="132">
        <f>E362*F362</f>
        <v>0</v>
      </c>
      <c r="H362" s="151" t="s">
        <v>193</v>
      </c>
    </row>
    <row r="363" spans="1:8" ht="13.5" thickBot="1">
      <c r="A363" s="94"/>
      <c r="B363" s="95"/>
      <c r="C363" s="122" t="s">
        <v>20</v>
      </c>
      <c r="D363" s="123"/>
      <c r="E363" s="211"/>
      <c r="F363" s="124"/>
      <c r="G363" s="114">
        <f>SUBTOTAL(9,G358:G362)</f>
        <v>0</v>
      </c>
      <c r="H363" s="190"/>
    </row>
    <row r="364" spans="1:8" ht="12.75">
      <c r="A364" s="94"/>
      <c r="B364" s="95"/>
      <c r="C364" s="115"/>
      <c r="D364" s="116"/>
      <c r="E364" s="197"/>
      <c r="F364" s="36"/>
      <c r="G364" s="117"/>
      <c r="H364" s="151"/>
    </row>
    <row r="365" spans="1:8" ht="16.5">
      <c r="A365" s="94"/>
      <c r="B365" s="118" t="s">
        <v>206</v>
      </c>
      <c r="C365" s="242" t="s">
        <v>65</v>
      </c>
      <c r="D365" s="242"/>
      <c r="E365" s="242"/>
      <c r="F365" s="242"/>
      <c r="G365" s="242"/>
      <c r="H365" s="151"/>
    </row>
    <row r="366" spans="1:8" ht="52.5" customHeight="1">
      <c r="A366" s="94"/>
      <c r="B366" s="89"/>
      <c r="C366" s="239" t="s">
        <v>76</v>
      </c>
      <c r="D366" s="240"/>
      <c r="E366" s="240"/>
      <c r="F366" s="240"/>
      <c r="G366" s="240"/>
      <c r="H366" s="151"/>
    </row>
    <row r="367" spans="1:8" ht="12.75">
      <c r="A367" s="94">
        <f>+A362+1</f>
        <v>210</v>
      </c>
      <c r="B367" s="127" t="s">
        <v>281</v>
      </c>
      <c r="C367" s="133" t="s">
        <v>471</v>
      </c>
      <c r="D367" s="129" t="s">
        <v>201</v>
      </c>
      <c r="E367" s="212">
        <f>5.5*0.06+(3.7+4)*0.07</f>
        <v>0.869</v>
      </c>
      <c r="F367" s="272"/>
      <c r="G367" s="130">
        <f aca="true" t="shared" si="25" ref="G367:G385">E367*F367</f>
        <v>0</v>
      </c>
      <c r="H367" s="151" t="s">
        <v>193</v>
      </c>
    </row>
    <row r="368" spans="1:8" ht="25.5">
      <c r="A368" s="94">
        <f>A367+1</f>
        <v>211</v>
      </c>
      <c r="B368" s="106" t="s">
        <v>282</v>
      </c>
      <c r="C368" s="101" t="s">
        <v>474</v>
      </c>
      <c r="D368" s="97" t="s">
        <v>19</v>
      </c>
      <c r="E368" s="208">
        <f>+E367</f>
        <v>0.869</v>
      </c>
      <c r="F368" s="270"/>
      <c r="G368" s="99">
        <f t="shared" si="25"/>
        <v>0</v>
      </c>
      <c r="H368" s="151" t="s">
        <v>193</v>
      </c>
    </row>
    <row r="369" spans="1:8" ht="12.75">
      <c r="A369" s="94">
        <f aca="true" t="shared" si="26" ref="A369:A374">+A368+1</f>
        <v>212</v>
      </c>
      <c r="B369" s="95" t="s">
        <v>283</v>
      </c>
      <c r="C369" s="96" t="s">
        <v>475</v>
      </c>
      <c r="D369" s="97" t="s">
        <v>201</v>
      </c>
      <c r="E369" s="208">
        <f>5.5*0.065+7.7*0.055</f>
        <v>0.781</v>
      </c>
      <c r="F369" s="270"/>
      <c r="G369" s="99">
        <f t="shared" si="25"/>
        <v>0</v>
      </c>
      <c r="H369" s="151" t="s">
        <v>193</v>
      </c>
    </row>
    <row r="370" spans="1:8" ht="25.5">
      <c r="A370" s="94">
        <f t="shared" si="26"/>
        <v>213</v>
      </c>
      <c r="B370" s="95" t="s">
        <v>283</v>
      </c>
      <c r="C370" s="96" t="s">
        <v>477</v>
      </c>
      <c r="D370" s="97" t="s">
        <v>22</v>
      </c>
      <c r="E370" s="208">
        <f>10.2-0.8*2-0.7-2+8.1-0.7+8.1-0.7</f>
        <v>20.7</v>
      </c>
      <c r="F370" s="270"/>
      <c r="G370" s="99">
        <f t="shared" si="25"/>
        <v>0</v>
      </c>
      <c r="H370" s="151" t="s">
        <v>193</v>
      </c>
    </row>
    <row r="371" spans="1:8" ht="12.75">
      <c r="A371" s="94">
        <f t="shared" si="26"/>
        <v>214</v>
      </c>
      <c r="B371" s="95" t="s">
        <v>283</v>
      </c>
      <c r="C371" s="96" t="s">
        <v>233</v>
      </c>
      <c r="D371" s="97" t="s">
        <v>23</v>
      </c>
      <c r="E371" s="208">
        <f>2*E368*1.2/1000</f>
        <v>0.0020856</v>
      </c>
      <c r="F371" s="270"/>
      <c r="G371" s="99">
        <f t="shared" si="25"/>
        <v>0</v>
      </c>
      <c r="H371" s="151" t="s">
        <v>193</v>
      </c>
    </row>
    <row r="372" spans="1:8" ht="12.75">
      <c r="A372" s="94">
        <f t="shared" si="26"/>
        <v>215</v>
      </c>
      <c r="B372" s="95" t="s">
        <v>283</v>
      </c>
      <c r="C372" s="96" t="s">
        <v>234</v>
      </c>
      <c r="D372" s="97" t="s">
        <v>19</v>
      </c>
      <c r="E372" s="208">
        <f>1.1*E368</f>
        <v>0.9559000000000001</v>
      </c>
      <c r="F372" s="270"/>
      <c r="G372" s="99">
        <f t="shared" si="25"/>
        <v>0</v>
      </c>
      <c r="H372" s="151" t="s">
        <v>193</v>
      </c>
    </row>
    <row r="373" spans="1:8" ht="12.75">
      <c r="A373" s="94">
        <f t="shared" si="26"/>
        <v>216</v>
      </c>
      <c r="B373" s="95" t="s">
        <v>283</v>
      </c>
      <c r="C373" s="96" t="s">
        <v>67</v>
      </c>
      <c r="D373" s="97" t="s">
        <v>19</v>
      </c>
      <c r="E373" s="208">
        <f>+E368</f>
        <v>0.869</v>
      </c>
      <c r="F373" s="270"/>
      <c r="G373" s="99">
        <f t="shared" si="25"/>
        <v>0</v>
      </c>
      <c r="H373" s="151" t="s">
        <v>193</v>
      </c>
    </row>
    <row r="374" spans="1:8" ht="25.5">
      <c r="A374" s="94">
        <f t="shared" si="26"/>
        <v>217</v>
      </c>
      <c r="B374" s="95" t="s">
        <v>203</v>
      </c>
      <c r="C374" s="221" t="s">
        <v>468</v>
      </c>
      <c r="D374" s="97" t="s">
        <v>19</v>
      </c>
      <c r="E374" s="208">
        <f>+E368</f>
        <v>0.869</v>
      </c>
      <c r="F374" s="270"/>
      <c r="G374" s="99">
        <f t="shared" si="25"/>
        <v>0</v>
      </c>
      <c r="H374" s="151" t="s">
        <v>193</v>
      </c>
    </row>
    <row r="375" spans="1:8" ht="25.5">
      <c r="A375" s="94">
        <f>A374+1</f>
        <v>218</v>
      </c>
      <c r="B375" s="127" t="s">
        <v>87</v>
      </c>
      <c r="C375" s="128" t="s">
        <v>202</v>
      </c>
      <c r="D375" s="129" t="s">
        <v>19</v>
      </c>
      <c r="E375" s="212">
        <f>(5.5)*1.1</f>
        <v>6.050000000000001</v>
      </c>
      <c r="F375" s="272"/>
      <c r="G375" s="130">
        <f t="shared" si="25"/>
        <v>0</v>
      </c>
      <c r="H375" s="151" t="s">
        <v>193</v>
      </c>
    </row>
    <row r="376" spans="1:8" ht="25.5">
      <c r="A376" s="94">
        <f>A375+1</f>
        <v>219</v>
      </c>
      <c r="B376" s="127" t="s">
        <v>71</v>
      </c>
      <c r="C376" s="128" t="s">
        <v>202</v>
      </c>
      <c r="D376" s="129" t="s">
        <v>19</v>
      </c>
      <c r="E376" s="212">
        <f>(3.7+4)*1.1</f>
        <v>8.47</v>
      </c>
      <c r="F376" s="272"/>
      <c r="G376" s="130">
        <f t="shared" si="25"/>
        <v>0</v>
      </c>
      <c r="H376" s="151" t="s">
        <v>193</v>
      </c>
    </row>
    <row r="377" spans="1:8" ht="25.5">
      <c r="A377" s="94">
        <f>A376+1</f>
        <v>220</v>
      </c>
      <c r="B377" s="95" t="s">
        <v>89</v>
      </c>
      <c r="C377" s="101" t="s">
        <v>347</v>
      </c>
      <c r="D377" s="97" t="s">
        <v>22</v>
      </c>
      <c r="E377" s="208">
        <f>10.22-3*0.9-2*0.8</f>
        <v>5.92</v>
      </c>
      <c r="F377" s="270"/>
      <c r="G377" s="99">
        <f t="shared" si="25"/>
        <v>0</v>
      </c>
      <c r="H377" s="151" t="s">
        <v>193</v>
      </c>
    </row>
    <row r="378" spans="1:8" ht="12.75">
      <c r="A378" s="94">
        <f>A377+1</f>
        <v>221</v>
      </c>
      <c r="B378" s="95" t="s">
        <v>89</v>
      </c>
      <c r="C378" s="96" t="s">
        <v>180</v>
      </c>
      <c r="D378" s="97" t="s">
        <v>22</v>
      </c>
      <c r="E378" s="208">
        <f>+E377</f>
        <v>5.92</v>
      </c>
      <c r="F378" s="270"/>
      <c r="G378" s="99">
        <f t="shared" si="25"/>
        <v>0</v>
      </c>
      <c r="H378" s="151" t="s">
        <v>193</v>
      </c>
    </row>
    <row r="379" spans="1:8" ht="25.5">
      <c r="A379" s="94">
        <f>A378+1</f>
        <v>222</v>
      </c>
      <c r="B379" s="127" t="s">
        <v>88</v>
      </c>
      <c r="C379" s="128" t="s">
        <v>208</v>
      </c>
      <c r="D379" s="129" t="s">
        <v>21</v>
      </c>
      <c r="E379" s="212">
        <v>18</v>
      </c>
      <c r="F379" s="272"/>
      <c r="G379" s="130">
        <f t="shared" si="25"/>
        <v>0</v>
      </c>
      <c r="H379" s="151" t="s">
        <v>193</v>
      </c>
    </row>
    <row r="380" spans="1:8" ht="25.5">
      <c r="A380" s="94">
        <f aca="true" t="shared" si="27" ref="A380:A385">A379+1</f>
        <v>223</v>
      </c>
      <c r="B380" s="95" t="s">
        <v>70</v>
      </c>
      <c r="C380" s="96" t="s">
        <v>69</v>
      </c>
      <c r="D380" s="97" t="s">
        <v>19</v>
      </c>
      <c r="E380" s="208">
        <f>4+3.7</f>
        <v>7.7</v>
      </c>
      <c r="F380" s="270"/>
      <c r="G380" s="99">
        <f t="shared" si="25"/>
        <v>0</v>
      </c>
      <c r="H380" s="151" t="s">
        <v>193</v>
      </c>
    </row>
    <row r="381" spans="1:8" ht="12.75">
      <c r="A381" s="94">
        <f t="shared" si="27"/>
        <v>224</v>
      </c>
      <c r="B381" s="127" t="s">
        <v>71</v>
      </c>
      <c r="C381" s="128" t="s">
        <v>72</v>
      </c>
      <c r="D381" s="129" t="s">
        <v>33</v>
      </c>
      <c r="E381" s="212">
        <f>1.2*E380</f>
        <v>9.24</v>
      </c>
      <c r="F381" s="272"/>
      <c r="G381" s="130">
        <f t="shared" si="25"/>
        <v>0</v>
      </c>
      <c r="H381" s="151" t="s">
        <v>193</v>
      </c>
    </row>
    <row r="382" spans="1:21" s="225" customFormat="1" ht="12.75">
      <c r="A382" s="94">
        <f t="shared" si="27"/>
        <v>225</v>
      </c>
      <c r="B382" s="220" t="s">
        <v>70</v>
      </c>
      <c r="C382" s="221" t="s">
        <v>428</v>
      </c>
      <c r="D382" s="222" t="s">
        <v>22</v>
      </c>
      <c r="E382" s="223">
        <v>7.3</v>
      </c>
      <c r="F382" s="270"/>
      <c r="G382" s="181">
        <f t="shared" si="25"/>
        <v>0</v>
      </c>
      <c r="H382" s="151" t="s">
        <v>193</v>
      </c>
      <c r="I382" s="228"/>
      <c r="N382" s="229"/>
      <c r="Q382" s="226"/>
      <c r="R382" s="227"/>
      <c r="U382" s="227"/>
    </row>
    <row r="383" spans="1:8" ht="25.5">
      <c r="A383" s="94">
        <f t="shared" si="27"/>
        <v>226</v>
      </c>
      <c r="B383" s="127" t="s">
        <v>71</v>
      </c>
      <c r="C383" s="128" t="s">
        <v>469</v>
      </c>
      <c r="D383" s="129" t="s">
        <v>22</v>
      </c>
      <c r="E383" s="212">
        <f>E382*1.1</f>
        <v>8.030000000000001</v>
      </c>
      <c r="F383" s="272"/>
      <c r="G383" s="130">
        <f t="shared" si="25"/>
        <v>0</v>
      </c>
      <c r="H383" s="224" t="s">
        <v>193</v>
      </c>
    </row>
    <row r="384" spans="1:8" ht="25.5">
      <c r="A384" s="94">
        <f t="shared" si="27"/>
        <v>227</v>
      </c>
      <c r="B384" s="95" t="s">
        <v>37</v>
      </c>
      <c r="C384" s="96" t="s">
        <v>231</v>
      </c>
      <c r="D384" s="97" t="s">
        <v>18</v>
      </c>
      <c r="E384" s="208">
        <v>1</v>
      </c>
      <c r="F384" s="270"/>
      <c r="G384" s="99">
        <f t="shared" si="25"/>
        <v>0</v>
      </c>
      <c r="H384" s="151" t="s">
        <v>193</v>
      </c>
    </row>
    <row r="385" spans="1:8" ht="13.5" thickBot="1">
      <c r="A385" s="94">
        <f t="shared" si="27"/>
        <v>228</v>
      </c>
      <c r="B385" s="95"/>
      <c r="C385" s="96" t="s">
        <v>46</v>
      </c>
      <c r="D385" s="131" t="s">
        <v>27</v>
      </c>
      <c r="E385" s="208">
        <f>+G367+G369+G371+G372+G373+G375+G376+G379+G381+G383+G384</f>
        <v>0</v>
      </c>
      <c r="F385" s="273"/>
      <c r="G385" s="132">
        <f t="shared" si="25"/>
        <v>0</v>
      </c>
      <c r="H385" s="151" t="s">
        <v>193</v>
      </c>
    </row>
    <row r="386" spans="1:8" ht="13.5" thickBot="1">
      <c r="A386" s="94"/>
      <c r="B386" s="95"/>
      <c r="C386" s="122" t="s">
        <v>20</v>
      </c>
      <c r="D386" s="123"/>
      <c r="E386" s="211"/>
      <c r="F386" s="124"/>
      <c r="G386" s="114">
        <f>SUBTOTAL(9,G367:G385)</f>
        <v>0</v>
      </c>
      <c r="H386" s="190"/>
    </row>
    <row r="387" spans="1:8" ht="12.75">
      <c r="A387" s="94"/>
      <c r="B387" s="95"/>
      <c r="C387" s="115"/>
      <c r="D387" s="116"/>
      <c r="E387" s="197"/>
      <c r="F387" s="36"/>
      <c r="G387" s="117"/>
      <c r="H387" s="151"/>
    </row>
    <row r="388" spans="1:8" ht="16.5">
      <c r="A388" s="94"/>
      <c r="B388" s="118" t="s">
        <v>318</v>
      </c>
      <c r="C388" s="242" t="s">
        <v>312</v>
      </c>
      <c r="D388" s="242"/>
      <c r="E388" s="242"/>
      <c r="F388" s="242"/>
      <c r="G388" s="242"/>
      <c r="H388" s="151"/>
    </row>
    <row r="389" spans="1:8" ht="52.5" customHeight="1">
      <c r="A389" s="94"/>
      <c r="B389" s="89"/>
      <c r="C389" s="253" t="s">
        <v>66</v>
      </c>
      <c r="D389" s="240"/>
      <c r="E389" s="240"/>
      <c r="F389" s="240"/>
      <c r="G389" s="240"/>
      <c r="H389" s="151"/>
    </row>
    <row r="390" spans="1:8" ht="12.75">
      <c r="A390" s="94">
        <f>A385+1</f>
        <v>229</v>
      </c>
      <c r="B390" s="127" t="s">
        <v>311</v>
      </c>
      <c r="C390" s="133" t="s">
        <v>472</v>
      </c>
      <c r="D390" s="129" t="s">
        <v>201</v>
      </c>
      <c r="E390" s="212">
        <f>(14.5+22.7)*0.07+9.9*0.09</f>
        <v>3.4950000000000006</v>
      </c>
      <c r="F390" s="272"/>
      <c r="G390" s="130">
        <f aca="true" t="shared" si="28" ref="G390:G398">E390*F390</f>
        <v>0</v>
      </c>
      <c r="H390" s="151" t="s">
        <v>193</v>
      </c>
    </row>
    <row r="391" spans="1:8" ht="25.5">
      <c r="A391" s="94">
        <f aca="true" t="shared" si="29" ref="A391:A401">A390+1</f>
        <v>230</v>
      </c>
      <c r="B391" s="106" t="s">
        <v>473</v>
      </c>
      <c r="C391" s="101" t="s">
        <v>474</v>
      </c>
      <c r="D391" s="97" t="s">
        <v>19</v>
      </c>
      <c r="E391" s="208">
        <f>14.5+22.7+9.9</f>
        <v>47.1</v>
      </c>
      <c r="F391" s="270"/>
      <c r="G391" s="99">
        <f t="shared" si="28"/>
        <v>0</v>
      </c>
      <c r="H391" s="151" t="s">
        <v>193</v>
      </c>
    </row>
    <row r="392" spans="1:8" ht="29.25" customHeight="1">
      <c r="A392" s="94">
        <f t="shared" si="29"/>
        <v>231</v>
      </c>
      <c r="B392" s="106" t="s">
        <v>476</v>
      </c>
      <c r="C392" s="96" t="s">
        <v>475</v>
      </c>
      <c r="D392" s="97" t="s">
        <v>201</v>
      </c>
      <c r="E392" s="208">
        <f>+(14.5+22.7)*0.055+9.9*0.56</f>
        <v>7.590000000000001</v>
      </c>
      <c r="F392" s="270"/>
      <c r="G392" s="99">
        <f t="shared" si="28"/>
        <v>0</v>
      </c>
      <c r="H392" s="151" t="s">
        <v>193</v>
      </c>
    </row>
    <row r="393" spans="1:8" ht="29.25" customHeight="1">
      <c r="A393" s="94">
        <f t="shared" si="29"/>
        <v>232</v>
      </c>
      <c r="B393" s="106" t="s">
        <v>476</v>
      </c>
      <c r="C393" s="96" t="s">
        <v>477</v>
      </c>
      <c r="D393" s="97" t="s">
        <v>22</v>
      </c>
      <c r="E393" s="208">
        <f>13.1-0.8+18.9-0.8*2+15.3-0.8</f>
        <v>44.099999999999994</v>
      </c>
      <c r="F393" s="270"/>
      <c r="G393" s="99">
        <f t="shared" si="28"/>
        <v>0</v>
      </c>
      <c r="H393" s="151" t="s">
        <v>193</v>
      </c>
    </row>
    <row r="394" spans="1:8" ht="12.75" customHeight="1">
      <c r="A394" s="94">
        <f t="shared" si="29"/>
        <v>233</v>
      </c>
      <c r="B394" s="95"/>
      <c r="C394" s="96" t="s">
        <v>233</v>
      </c>
      <c r="D394" s="97" t="s">
        <v>23</v>
      </c>
      <c r="E394" s="208">
        <f>2*E391*1.2/1000</f>
        <v>0.11304</v>
      </c>
      <c r="F394" s="270"/>
      <c r="G394" s="99">
        <f t="shared" si="28"/>
        <v>0</v>
      </c>
      <c r="H394" s="151" t="s">
        <v>193</v>
      </c>
    </row>
    <row r="395" spans="1:8" ht="12.75" customHeight="1">
      <c r="A395" s="94">
        <f t="shared" si="29"/>
        <v>234</v>
      </c>
      <c r="B395" s="95" t="s">
        <v>480</v>
      </c>
      <c r="C395" s="96" t="s">
        <v>478</v>
      </c>
      <c r="D395" s="97" t="s">
        <v>33</v>
      </c>
      <c r="E395" s="208">
        <v>24</v>
      </c>
      <c r="F395" s="270"/>
      <c r="G395" s="99">
        <f t="shared" si="28"/>
        <v>0</v>
      </c>
      <c r="H395" s="151" t="s">
        <v>193</v>
      </c>
    </row>
    <row r="396" spans="1:8" ht="12.75" customHeight="1">
      <c r="A396" s="94">
        <f t="shared" si="29"/>
        <v>235</v>
      </c>
      <c r="B396" s="95"/>
      <c r="C396" s="96" t="s">
        <v>479</v>
      </c>
      <c r="D396" s="97" t="s">
        <v>22</v>
      </c>
      <c r="E396" s="208">
        <v>4.17</v>
      </c>
      <c r="F396" s="270"/>
      <c r="G396" s="99">
        <f t="shared" si="28"/>
        <v>0</v>
      </c>
      <c r="H396" s="151" t="s">
        <v>193</v>
      </c>
    </row>
    <row r="397" spans="1:8" ht="12.75">
      <c r="A397" s="94">
        <f t="shared" si="29"/>
        <v>236</v>
      </c>
      <c r="B397" s="95"/>
      <c r="C397" s="96" t="s">
        <v>234</v>
      </c>
      <c r="D397" s="97" t="s">
        <v>19</v>
      </c>
      <c r="E397" s="208">
        <f>+E391</f>
        <v>47.1</v>
      </c>
      <c r="F397" s="270"/>
      <c r="G397" s="99">
        <f t="shared" si="28"/>
        <v>0</v>
      </c>
      <c r="H397" s="151" t="s">
        <v>193</v>
      </c>
    </row>
    <row r="398" spans="1:8" ht="12.75">
      <c r="A398" s="94">
        <f t="shared" si="29"/>
        <v>237</v>
      </c>
      <c r="B398" s="95"/>
      <c r="C398" s="96" t="s">
        <v>67</v>
      </c>
      <c r="D398" s="97" t="s">
        <v>19</v>
      </c>
      <c r="E398" s="208">
        <f>+E397</f>
        <v>47.1</v>
      </c>
      <c r="F398" s="270"/>
      <c r="G398" s="99">
        <f t="shared" si="28"/>
        <v>0</v>
      </c>
      <c r="H398" s="151" t="s">
        <v>193</v>
      </c>
    </row>
    <row r="399" spans="1:8" ht="12.75">
      <c r="A399" s="94">
        <f t="shared" si="29"/>
        <v>238</v>
      </c>
      <c r="B399" s="106" t="s">
        <v>348</v>
      </c>
      <c r="C399" s="96" t="s">
        <v>235</v>
      </c>
      <c r="D399" s="96" t="s">
        <v>19</v>
      </c>
      <c r="E399" s="208">
        <f>9.9+14.5+22.7</f>
        <v>47.099999999999994</v>
      </c>
      <c r="F399" s="270"/>
      <c r="G399" s="99">
        <f aca="true" t="shared" si="30" ref="G399:G406">E399*F399</f>
        <v>0</v>
      </c>
      <c r="H399" s="149" t="s">
        <v>193</v>
      </c>
    </row>
    <row r="400" spans="1:8" ht="12.75">
      <c r="A400" s="94">
        <f t="shared" si="29"/>
        <v>239</v>
      </c>
      <c r="B400" s="147"/>
      <c r="C400" s="96" t="s">
        <v>236</v>
      </c>
      <c r="D400" s="96" t="s">
        <v>19</v>
      </c>
      <c r="E400" s="208">
        <f>+E399</f>
        <v>47.099999999999994</v>
      </c>
      <c r="F400" s="270"/>
      <c r="G400" s="99">
        <f t="shared" si="30"/>
        <v>0</v>
      </c>
      <c r="H400" s="151" t="s">
        <v>193</v>
      </c>
    </row>
    <row r="401" spans="1:8" ht="15" customHeight="1">
      <c r="A401" s="94">
        <f t="shared" si="29"/>
        <v>240</v>
      </c>
      <c r="B401" s="147" t="s">
        <v>311</v>
      </c>
      <c r="C401" s="128" t="s">
        <v>237</v>
      </c>
      <c r="D401" s="129" t="s">
        <v>19</v>
      </c>
      <c r="E401" s="212">
        <f>1.1*E399</f>
        <v>51.809999999999995</v>
      </c>
      <c r="F401" s="272"/>
      <c r="G401" s="130">
        <f t="shared" si="30"/>
        <v>0</v>
      </c>
      <c r="H401" s="149" t="s">
        <v>193</v>
      </c>
    </row>
    <row r="402" spans="1:8" ht="12.75">
      <c r="A402" s="94">
        <f>A401+1</f>
        <v>241</v>
      </c>
      <c r="B402" s="95" t="s">
        <v>189</v>
      </c>
      <c r="C402" s="96" t="s">
        <v>232</v>
      </c>
      <c r="D402" s="97" t="s">
        <v>22</v>
      </c>
      <c r="E402" s="208">
        <f>15.26+18.9+13.1-4*0.9</f>
        <v>43.66</v>
      </c>
      <c r="F402" s="270"/>
      <c r="G402" s="99">
        <f t="shared" si="30"/>
        <v>0</v>
      </c>
      <c r="H402" s="151" t="s">
        <v>193</v>
      </c>
    </row>
    <row r="403" spans="1:8" ht="12.75">
      <c r="A403" s="94">
        <f>A402+1</f>
        <v>242</v>
      </c>
      <c r="B403" s="127" t="s">
        <v>188</v>
      </c>
      <c r="C403" s="128" t="s">
        <v>181</v>
      </c>
      <c r="D403" s="129" t="s">
        <v>22</v>
      </c>
      <c r="E403" s="212">
        <f>+E402*1.1</f>
        <v>48.026</v>
      </c>
      <c r="F403" s="272"/>
      <c r="G403" s="130">
        <f t="shared" si="30"/>
        <v>0</v>
      </c>
      <c r="H403" s="151" t="s">
        <v>193</v>
      </c>
    </row>
    <row r="404" spans="1:8" ht="25.5">
      <c r="A404" s="94">
        <f>A403+1</f>
        <v>243</v>
      </c>
      <c r="B404" s="95" t="s">
        <v>238</v>
      </c>
      <c r="C404" s="96" t="s">
        <v>314</v>
      </c>
      <c r="D404" s="97" t="s">
        <v>22</v>
      </c>
      <c r="E404" s="208">
        <v>0.8</v>
      </c>
      <c r="F404" s="270"/>
      <c r="G404" s="99">
        <f t="shared" si="30"/>
        <v>0</v>
      </c>
      <c r="H404" s="151" t="s">
        <v>193</v>
      </c>
    </row>
    <row r="405" spans="1:8" ht="25.5">
      <c r="A405" s="94">
        <f>A404+1</f>
        <v>244</v>
      </c>
      <c r="B405" s="95" t="s">
        <v>343</v>
      </c>
      <c r="C405" s="96" t="s">
        <v>344</v>
      </c>
      <c r="D405" s="97" t="s">
        <v>22</v>
      </c>
      <c r="E405" s="208">
        <v>0.8</v>
      </c>
      <c r="F405" s="270"/>
      <c r="G405" s="99">
        <f>E405*F405</f>
        <v>0</v>
      </c>
      <c r="H405" s="151" t="s">
        <v>193</v>
      </c>
    </row>
    <row r="406" spans="1:8" ht="13.5" thickBot="1">
      <c r="A406" s="94">
        <f>A405+1</f>
        <v>245</v>
      </c>
      <c r="B406" s="95"/>
      <c r="C406" s="96" t="s">
        <v>46</v>
      </c>
      <c r="D406" s="131" t="s">
        <v>27</v>
      </c>
      <c r="E406" s="208">
        <f>+G390+G392+G394+G397+G398+G401+G403+G404+G405+G395</f>
        <v>0</v>
      </c>
      <c r="F406" s="273"/>
      <c r="G406" s="132">
        <f t="shared" si="30"/>
        <v>0</v>
      </c>
      <c r="H406" s="151" t="s">
        <v>193</v>
      </c>
    </row>
    <row r="407" spans="2:8" ht="13.5" thickBot="1">
      <c r="B407" s="95"/>
      <c r="C407" s="122" t="s">
        <v>20</v>
      </c>
      <c r="D407" s="123"/>
      <c r="E407" s="211"/>
      <c r="F407" s="124"/>
      <c r="G407" s="114">
        <f>SUBTOTAL(9,G390:G406)</f>
        <v>0</v>
      </c>
      <c r="H407" s="190"/>
    </row>
    <row r="408" spans="2:7" ht="12.75">
      <c r="B408" s="95"/>
      <c r="C408" s="148"/>
      <c r="D408" s="131"/>
      <c r="E408" s="217"/>
      <c r="F408" s="132"/>
      <c r="G408" s="132"/>
    </row>
    <row r="409" spans="2:7" ht="16.5">
      <c r="B409" s="89">
        <v>3</v>
      </c>
      <c r="C409" s="242" t="s">
        <v>36</v>
      </c>
      <c r="D409" s="242"/>
      <c r="E409" s="242"/>
      <c r="F409" s="242"/>
      <c r="G409" s="242"/>
    </row>
    <row r="410" spans="1:8" ht="12.75">
      <c r="A410" s="94">
        <f>A406+1</f>
        <v>246</v>
      </c>
      <c r="B410" s="95" t="s">
        <v>239</v>
      </c>
      <c r="C410" s="96" t="s">
        <v>109</v>
      </c>
      <c r="D410" s="97" t="s">
        <v>21</v>
      </c>
      <c r="E410" s="208">
        <v>1</v>
      </c>
      <c r="F410" s="270"/>
      <c r="G410" s="99">
        <f>E410*F410</f>
        <v>0</v>
      </c>
      <c r="H410" s="151" t="s">
        <v>199</v>
      </c>
    </row>
    <row r="411" spans="1:8" ht="25.5">
      <c r="A411" s="94">
        <f>A410+1</f>
        <v>247</v>
      </c>
      <c r="B411" s="95"/>
      <c r="C411" s="101" t="s">
        <v>373</v>
      </c>
      <c r="D411" s="97" t="s">
        <v>18</v>
      </c>
      <c r="E411" s="208">
        <v>1</v>
      </c>
      <c r="F411" s="270"/>
      <c r="G411" s="99">
        <f>E411*F411</f>
        <v>0</v>
      </c>
      <c r="H411" s="151" t="s">
        <v>193</v>
      </c>
    </row>
    <row r="412" spans="1:8" ht="13.5" thickBot="1">
      <c r="A412" s="94">
        <f>A411+1</f>
        <v>248</v>
      </c>
      <c r="B412" s="95"/>
      <c r="C412" s="96" t="s">
        <v>417</v>
      </c>
      <c r="D412" s="97" t="s">
        <v>18</v>
      </c>
      <c r="E412" s="208">
        <v>1</v>
      </c>
      <c r="F412" s="270"/>
      <c r="G412" s="99">
        <f>E412*F412</f>
        <v>0</v>
      </c>
      <c r="H412" s="151" t="s">
        <v>193</v>
      </c>
    </row>
    <row r="413" spans="1:8" ht="13.5" thickBot="1">
      <c r="A413" s="94"/>
      <c r="C413" s="122" t="s">
        <v>20</v>
      </c>
      <c r="D413" s="123"/>
      <c r="E413" s="211"/>
      <c r="F413" s="124"/>
      <c r="G413" s="114">
        <f>SUM(G410:G412)</f>
        <v>0</v>
      </c>
      <c r="H413" s="191"/>
    </row>
    <row r="414" spans="1:8" ht="12.75">
      <c r="A414" s="94"/>
      <c r="C414" s="115"/>
      <c r="D414" s="116"/>
      <c r="E414" s="197"/>
      <c r="F414" s="36"/>
      <c r="G414" s="117"/>
      <c r="H414" s="183"/>
    </row>
  </sheetData>
  <sheetProtection password="C4F8" sheet="1" selectLockedCells="1"/>
  <mergeCells count="49">
    <mergeCell ref="C409:G409"/>
    <mergeCell ref="C205:G205"/>
    <mergeCell ref="C282:G282"/>
    <mergeCell ref="C185:G185"/>
    <mergeCell ref="C204:G204"/>
    <mergeCell ref="C250:G250"/>
    <mergeCell ref="C295:G295"/>
    <mergeCell ref="C340:G340"/>
    <mergeCell ref="C296:G296"/>
    <mergeCell ref="C388:G388"/>
    <mergeCell ref="C357:G357"/>
    <mergeCell ref="C365:G365"/>
    <mergeCell ref="C366:G366"/>
    <mergeCell ref="C289:G289"/>
    <mergeCell ref="C339:G339"/>
    <mergeCell ref="C290:G290"/>
    <mergeCell ref="C356:G356"/>
    <mergeCell ref="C316:G316"/>
    <mergeCell ref="C317:G317"/>
    <mergeCell ref="C389:G389"/>
    <mergeCell ref="C251:G251"/>
    <mergeCell ref="C65:G65"/>
    <mergeCell ref="C67:G67"/>
    <mergeCell ref="C79:G79"/>
    <mergeCell ref="C76:G76"/>
    <mergeCell ref="C77:G77"/>
    <mergeCell ref="C73:G73"/>
    <mergeCell ref="C74:G74"/>
    <mergeCell ref="C66:G66"/>
    <mergeCell ref="C69:G69"/>
    <mergeCell ref="C5:G5"/>
    <mergeCell ref="C6:G6"/>
    <mergeCell ref="C60:G60"/>
    <mergeCell ref="C61:G61"/>
    <mergeCell ref="C62:G62"/>
    <mergeCell ref="C64:G64"/>
    <mergeCell ref="C63:G63"/>
    <mergeCell ref="F30:G30"/>
    <mergeCell ref="F41:G41"/>
    <mergeCell ref="C222:G222"/>
    <mergeCell ref="C223:G223"/>
    <mergeCell ref="C148:G148"/>
    <mergeCell ref="C283:G283"/>
    <mergeCell ref="C71:G71"/>
    <mergeCell ref="C119:G119"/>
    <mergeCell ref="C132:G132"/>
    <mergeCell ref="C118:G118"/>
    <mergeCell ref="C133:G133"/>
    <mergeCell ref="C147:G147"/>
  </mergeCells>
  <conditionalFormatting sqref="C59 D67">
    <cfRule type="expression" priority="104" dxfId="3" stopIfTrue="1">
      <formula>ISTEXT(C59)</formula>
    </cfRule>
  </conditionalFormatting>
  <conditionalFormatting sqref="E67:G67">
    <cfRule type="expression" priority="105" dxfId="3" stopIfTrue="1">
      <formula>ISNUMBER(E67)</formula>
    </cfRule>
  </conditionalFormatting>
  <hyperlinks>
    <hyperlink ref="C12" location="Kapitola_2" display="Kapitola_2"/>
    <hyperlink ref="C11" location="Kapitola_1" display="Kapitola_1"/>
    <hyperlink ref="C118:G118" location="Rekapitulace_2" display="Stropní deska v úrovni terénu"/>
    <hyperlink ref="C28" location="Dokoncovaci_prace" display="Dokoncovaci_prace"/>
    <hyperlink ref="C79:G79" location="Rekapitulace_1" display="Bourací a přípravné práce"/>
    <hyperlink ref="C132:G132" location="Rekapitulace_2b" display="Živičné izolace"/>
    <hyperlink ref="C147:G147" location="Rekapitulace_2c" display="Povlakové izolace proti vodě"/>
    <hyperlink ref="C184:G184" location="Rekapitulace_2d" display="Izolace tepelné"/>
    <hyperlink ref="C204:G204" location="Rekapitulace_2e" display="Kanalizace"/>
    <hyperlink ref="C250:G250" location="Rekapitulace_2f" display="Konstrukce klempířské"/>
    <hyperlink ref="C14" location="Kapitola_2b" display="Kapitola_2b"/>
    <hyperlink ref="C15" location="Kapitola_2c" display="Kapitola_2c"/>
    <hyperlink ref="C16" location="Kapitola_2d" display="Kapitola_2d"/>
    <hyperlink ref="C17" location="Kapitola_2e" display="Kapitola_2e"/>
    <hyperlink ref="C19" location="Kapitola_2f" display="Kapitola_2f"/>
    <hyperlink ref="C20" location="Kapitola_2g" display="Kapitola_2g"/>
    <hyperlink ref="C282:G282" location="Rekapitulace_2g" display="Elektroinstalace - silnoproud"/>
    <hyperlink ref="C295:G295" location="Rekapitulace_2i" display="Vzduchotechnika"/>
    <hyperlink ref="C289:G289" location="Rekapitulace_2h" display="Elektroinstalace - slaboproud"/>
    <hyperlink ref="C339:G339" location="Rekapitulace_2j" display="Konstrukce truhlářské"/>
    <hyperlink ref="C356:G356" location="Rekapitulace_2k" display="Konstrukce zámečnické"/>
    <hyperlink ref="C365:G365" location="Rekapitulace_2l" display="Podlahy z dlaždic"/>
    <hyperlink ref="C388:G388" location="Rekapitulace_2m" display="Podlahy povlakové"/>
    <hyperlink ref="C21" location="Kapitola_2h" display="Kapitola_2h"/>
    <hyperlink ref="C22" location="Kapitola_2i" display="Kapitola_2i"/>
    <hyperlink ref="C24" location="Kapitola_2j" display="Kapitola_2j"/>
    <hyperlink ref="C25" location="Kapitola_2k" display="Kapitola_2k"/>
    <hyperlink ref="C26" location="Kapitola_2l" display="Kapitola_2l"/>
    <hyperlink ref="C27" location="Kapitola_2m" display="Kapitola_2m"/>
    <hyperlink ref="C409:G409" location="Rekapitulace_Dokončovací_práce" display="Dokončovací práce"/>
    <hyperlink ref="C222:G222" location="Rekapitulace_2f" display="Plynovod"/>
    <hyperlink ref="C316:G316" location="Rekapitulace_2h" display="Elektroinstalace - slaboproud"/>
    <hyperlink ref="J350" r:id="rId1" display="https://www.alza.cz/mora-vdp-645gb3-d5129956.htm?kampan=adw2_bile-elektro_pla_all_bile-elektro-css_vestavne_c_9062895_1o5_MORVD001&amp;gclid=EAIaIQobChMIpc_ysJiP5QIVWOd3Ch3d4wJUEAYYBSABEgLruPD_BwE"/>
    <hyperlink ref="J351" r:id="rId2" display="https://www.alza.cz/mora-vt-433-bx-d5129962.htm"/>
  </hyperlinks>
  <printOptions horizontalCentered="1"/>
  <pageMargins left="0.3937007874015748" right="0.3937007874015748" top="0.3937007874015748" bottom="0.4724409448818898" header="0.5118110236220472" footer="0.3937007874015748"/>
  <pageSetup horizontalDpi="300" verticalDpi="300" orientation="portrait" paperSize="9" scale="80" r:id="rId3"/>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dimension ref="A1:M89"/>
  <sheetViews>
    <sheetView zoomScalePageLayoutView="0" workbookViewId="0" topLeftCell="A9">
      <selection activeCell="G68" sqref="G68"/>
    </sheetView>
  </sheetViews>
  <sheetFormatPr defaultColWidth="9.00390625" defaultRowHeight="12.75"/>
  <cols>
    <col min="1" max="1" width="4.75390625" style="175" customWidth="1"/>
    <col min="2" max="2" width="9.375" style="175" customWidth="1"/>
    <col min="3" max="3" width="43.875" style="63" customWidth="1"/>
    <col min="4" max="5" width="4.625" style="63" customWidth="1"/>
    <col min="6" max="6" width="7.625" style="63" customWidth="1"/>
    <col min="7" max="7" width="9.875" style="63" customWidth="1"/>
    <col min="8" max="8" width="9.375" style="63" customWidth="1"/>
    <col min="9" max="9" width="1.25" style="63" customWidth="1"/>
    <col min="10" max="10" width="0" style="63" hidden="1" customWidth="1"/>
    <col min="11" max="11" width="14.625" style="155" customWidth="1"/>
    <col min="12" max="12" width="10.375" style="63" customWidth="1"/>
    <col min="13" max="16384" width="9.125" style="63" customWidth="1"/>
  </cols>
  <sheetData>
    <row r="1" spans="1:11" s="157" customFormat="1" ht="21" customHeight="1">
      <c r="A1" s="156"/>
      <c r="B1" s="259" t="s">
        <v>378</v>
      </c>
      <c r="C1" s="260"/>
      <c r="D1" s="260"/>
      <c r="E1" s="260"/>
      <c r="F1" s="260"/>
      <c r="G1" s="260"/>
      <c r="H1" s="260"/>
      <c r="I1" s="260"/>
      <c r="J1" s="260"/>
      <c r="K1" s="266"/>
    </row>
    <row r="2" spans="1:11" s="157" customFormat="1" ht="24" customHeight="1">
      <c r="A2" s="158"/>
      <c r="B2" s="158"/>
      <c r="C2" s="156" t="s">
        <v>124</v>
      </c>
      <c r="K2" s="266"/>
    </row>
    <row r="3" spans="1:11" s="157" customFormat="1" ht="16.5" customHeight="1">
      <c r="A3" s="158"/>
      <c r="B3" s="158"/>
      <c r="C3" s="159" t="s">
        <v>125</v>
      </c>
      <c r="K3" s="266"/>
    </row>
    <row r="4" spans="1:11" s="157" customFormat="1" ht="11.25">
      <c r="A4" s="158"/>
      <c r="B4" s="158" t="s">
        <v>126</v>
      </c>
      <c r="C4" s="160" t="s">
        <v>127</v>
      </c>
      <c r="E4" s="158" t="s">
        <v>24</v>
      </c>
      <c r="F4" s="158" t="s">
        <v>128</v>
      </c>
      <c r="G4" s="158" t="s">
        <v>129</v>
      </c>
      <c r="H4" s="158" t="s">
        <v>25</v>
      </c>
      <c r="I4" s="158"/>
      <c r="J4" s="157" t="s">
        <v>130</v>
      </c>
      <c r="K4" s="266" t="s">
        <v>481</v>
      </c>
    </row>
    <row r="5" spans="1:11" s="157" customFormat="1" ht="13.5" customHeight="1">
      <c r="A5" s="158">
        <v>1</v>
      </c>
      <c r="B5" s="158">
        <v>210201064</v>
      </c>
      <c r="C5" s="157" t="s">
        <v>253</v>
      </c>
      <c r="D5" s="157" t="s">
        <v>21</v>
      </c>
      <c r="E5" s="157">
        <v>2</v>
      </c>
      <c r="F5" s="267"/>
      <c r="G5" s="267"/>
      <c r="H5" s="161">
        <f>(F5+G5)*E5</f>
        <v>0</v>
      </c>
      <c r="I5" s="161"/>
      <c r="J5" s="157">
        <f>E5*F5</f>
        <v>0</v>
      </c>
      <c r="K5" s="266"/>
    </row>
    <row r="6" spans="1:11" s="157" customFormat="1" ht="13.5" customHeight="1">
      <c r="A6" s="158">
        <f aca="true" t="shared" si="0" ref="A6:A36">A5+1</f>
        <v>2</v>
      </c>
      <c r="B6" s="158">
        <v>210201064</v>
      </c>
      <c r="C6" s="157" t="s">
        <v>131</v>
      </c>
      <c r="D6" s="157" t="s">
        <v>21</v>
      </c>
      <c r="E6" s="157">
        <v>7</v>
      </c>
      <c r="F6" s="267"/>
      <c r="G6" s="267"/>
      <c r="H6" s="161">
        <f aca="true" t="shared" si="1" ref="H6:H36">(F6+G6)*E6</f>
        <v>0</v>
      </c>
      <c r="I6" s="161"/>
      <c r="J6" s="157">
        <f aca="true" t="shared" si="2" ref="J6:J36">E6*F6</f>
        <v>0</v>
      </c>
      <c r="K6" s="266"/>
    </row>
    <row r="7" spans="1:11" s="157" customFormat="1" ht="13.5" customHeight="1">
      <c r="A7" s="158">
        <f t="shared" si="0"/>
        <v>3</v>
      </c>
      <c r="B7" s="158">
        <v>210201064</v>
      </c>
      <c r="C7" s="157" t="s">
        <v>379</v>
      </c>
      <c r="D7" s="157" t="s">
        <v>21</v>
      </c>
      <c r="E7" s="157">
        <v>2</v>
      </c>
      <c r="F7" s="267"/>
      <c r="G7" s="267"/>
      <c r="H7" s="161">
        <f t="shared" si="1"/>
        <v>0</v>
      </c>
      <c r="I7" s="161"/>
      <c r="J7" s="157">
        <f t="shared" si="2"/>
        <v>0</v>
      </c>
      <c r="K7" s="266"/>
    </row>
    <row r="8" spans="1:11" s="157" customFormat="1" ht="13.5" customHeight="1">
      <c r="A8" s="158">
        <f t="shared" si="0"/>
        <v>4</v>
      </c>
      <c r="B8" s="158">
        <v>210111021</v>
      </c>
      <c r="C8" s="157" t="s">
        <v>133</v>
      </c>
      <c r="D8" s="157" t="s">
        <v>21</v>
      </c>
      <c r="E8" s="157">
        <v>29</v>
      </c>
      <c r="F8" s="267"/>
      <c r="G8" s="267"/>
      <c r="H8" s="161">
        <f t="shared" si="1"/>
        <v>0</v>
      </c>
      <c r="I8" s="161"/>
      <c r="J8" s="157">
        <f t="shared" si="2"/>
        <v>0</v>
      </c>
      <c r="K8" s="266"/>
    </row>
    <row r="9" spans="1:11" s="157" customFormat="1" ht="13.5" customHeight="1">
      <c r="A9" s="158">
        <f t="shared" si="0"/>
        <v>5</v>
      </c>
      <c r="B9" s="158">
        <v>210111011</v>
      </c>
      <c r="C9" s="157" t="s">
        <v>134</v>
      </c>
      <c r="D9" s="157" t="s">
        <v>21</v>
      </c>
      <c r="E9" s="157">
        <v>1</v>
      </c>
      <c r="F9" s="267"/>
      <c r="G9" s="267"/>
      <c r="H9" s="161">
        <f t="shared" si="1"/>
        <v>0</v>
      </c>
      <c r="I9" s="161"/>
      <c r="J9" s="157">
        <f t="shared" si="2"/>
        <v>0</v>
      </c>
      <c r="K9" s="266"/>
    </row>
    <row r="10" spans="1:11" s="157" customFormat="1" ht="13.5" customHeight="1">
      <c r="A10" s="158">
        <f t="shared" si="0"/>
        <v>6</v>
      </c>
      <c r="B10" s="158">
        <v>210110027</v>
      </c>
      <c r="C10" s="157" t="s">
        <v>380</v>
      </c>
      <c r="D10" s="157" t="s">
        <v>21</v>
      </c>
      <c r="E10" s="157">
        <v>1</v>
      </c>
      <c r="F10" s="267"/>
      <c r="G10" s="267"/>
      <c r="H10" s="161">
        <f t="shared" si="1"/>
        <v>0</v>
      </c>
      <c r="I10" s="161"/>
      <c r="J10" s="157">
        <f t="shared" si="2"/>
        <v>0</v>
      </c>
      <c r="K10" s="266"/>
    </row>
    <row r="11" spans="1:11" s="157" customFormat="1" ht="13.5" customHeight="1">
      <c r="A11" s="158">
        <f t="shared" si="0"/>
        <v>7</v>
      </c>
      <c r="B11" s="158">
        <v>210110041</v>
      </c>
      <c r="C11" s="157" t="s">
        <v>135</v>
      </c>
      <c r="D11" s="157" t="s">
        <v>21</v>
      </c>
      <c r="E11" s="157">
        <v>6</v>
      </c>
      <c r="F11" s="267"/>
      <c r="G11" s="267"/>
      <c r="H11" s="161">
        <f t="shared" si="1"/>
        <v>0</v>
      </c>
      <c r="I11" s="161"/>
      <c r="J11" s="157">
        <f t="shared" si="2"/>
        <v>0</v>
      </c>
      <c r="K11" s="266"/>
    </row>
    <row r="12" spans="1:11" s="157" customFormat="1" ht="13.5" customHeight="1">
      <c r="A12" s="158">
        <f t="shared" si="0"/>
        <v>8</v>
      </c>
      <c r="B12" s="158">
        <v>210110043</v>
      </c>
      <c r="C12" s="157" t="s">
        <v>136</v>
      </c>
      <c r="D12" s="157" t="s">
        <v>21</v>
      </c>
      <c r="E12" s="157">
        <v>1</v>
      </c>
      <c r="F12" s="267"/>
      <c r="G12" s="267"/>
      <c r="H12" s="161">
        <f t="shared" si="1"/>
        <v>0</v>
      </c>
      <c r="I12" s="161"/>
      <c r="J12" s="157">
        <f t="shared" si="2"/>
        <v>0</v>
      </c>
      <c r="K12" s="266"/>
    </row>
    <row r="13" spans="1:11" s="157" customFormat="1" ht="13.5" customHeight="1">
      <c r="A13" s="158">
        <f t="shared" si="0"/>
        <v>9</v>
      </c>
      <c r="B13" s="158">
        <v>210110045</v>
      </c>
      <c r="C13" s="157" t="s">
        <v>137</v>
      </c>
      <c r="D13" s="157" t="s">
        <v>21</v>
      </c>
      <c r="E13" s="157">
        <v>2</v>
      </c>
      <c r="F13" s="267"/>
      <c r="G13" s="267"/>
      <c r="H13" s="161">
        <f t="shared" si="1"/>
        <v>0</v>
      </c>
      <c r="I13" s="161"/>
      <c r="J13" s="157">
        <f t="shared" si="2"/>
        <v>0</v>
      </c>
      <c r="K13" s="266"/>
    </row>
    <row r="14" spans="1:11" s="157" customFormat="1" ht="13.5" customHeight="1">
      <c r="A14" s="158">
        <f t="shared" si="0"/>
        <v>10</v>
      </c>
      <c r="B14" s="158" t="s">
        <v>132</v>
      </c>
      <c r="C14" s="157" t="s">
        <v>138</v>
      </c>
      <c r="D14" s="157" t="s">
        <v>21</v>
      </c>
      <c r="E14" s="157">
        <v>22</v>
      </c>
      <c r="F14" s="267"/>
      <c r="G14" s="267"/>
      <c r="H14" s="161">
        <f t="shared" si="1"/>
        <v>0</v>
      </c>
      <c r="I14" s="161"/>
      <c r="J14" s="157">
        <f t="shared" si="2"/>
        <v>0</v>
      </c>
      <c r="K14" s="266"/>
    </row>
    <row r="15" spans="1:11" s="157" customFormat="1" ht="13.5" customHeight="1">
      <c r="A15" s="158">
        <f t="shared" si="0"/>
        <v>11</v>
      </c>
      <c r="B15" s="158" t="s">
        <v>132</v>
      </c>
      <c r="C15" s="157" t="s">
        <v>139</v>
      </c>
      <c r="D15" s="157" t="s">
        <v>21</v>
      </c>
      <c r="E15" s="157">
        <v>6</v>
      </c>
      <c r="F15" s="267"/>
      <c r="G15" s="267"/>
      <c r="H15" s="161">
        <f t="shared" si="1"/>
        <v>0</v>
      </c>
      <c r="I15" s="161"/>
      <c r="J15" s="157">
        <f t="shared" si="2"/>
        <v>0</v>
      </c>
      <c r="K15" s="266"/>
    </row>
    <row r="16" spans="1:11" s="157" customFormat="1" ht="13.5" customHeight="1">
      <c r="A16" s="158">
        <f t="shared" si="0"/>
        <v>12</v>
      </c>
      <c r="B16" s="158" t="s">
        <v>132</v>
      </c>
      <c r="C16" s="157" t="s">
        <v>192</v>
      </c>
      <c r="D16" s="157" t="s">
        <v>21</v>
      </c>
      <c r="E16" s="157">
        <v>1</v>
      </c>
      <c r="F16" s="267"/>
      <c r="G16" s="267"/>
      <c r="H16" s="161">
        <f t="shared" si="1"/>
        <v>0</v>
      </c>
      <c r="I16" s="161"/>
      <c r="J16" s="157">
        <f t="shared" si="2"/>
        <v>0</v>
      </c>
      <c r="K16" s="266"/>
    </row>
    <row r="17" spans="1:13" s="157" customFormat="1" ht="13.5" customHeight="1">
      <c r="A17" s="158">
        <f t="shared" si="0"/>
        <v>13</v>
      </c>
      <c r="B17" s="158" t="s">
        <v>132</v>
      </c>
      <c r="C17" s="162" t="s">
        <v>140</v>
      </c>
      <c r="D17" s="157" t="s">
        <v>21</v>
      </c>
      <c r="E17" s="162">
        <v>1</v>
      </c>
      <c r="F17" s="268"/>
      <c r="G17" s="267"/>
      <c r="H17" s="161">
        <f t="shared" si="1"/>
        <v>0</v>
      </c>
      <c r="I17" s="161"/>
      <c r="J17" s="157">
        <f t="shared" si="2"/>
        <v>0</v>
      </c>
      <c r="K17" s="266"/>
      <c r="M17" s="163"/>
    </row>
    <row r="18" spans="1:13" s="157" customFormat="1" ht="13.5" customHeight="1">
      <c r="A18" s="158">
        <f t="shared" si="0"/>
        <v>14</v>
      </c>
      <c r="B18" s="158">
        <v>210201064</v>
      </c>
      <c r="C18" s="162" t="s">
        <v>254</v>
      </c>
      <c r="D18" s="157" t="s">
        <v>21</v>
      </c>
      <c r="E18" s="162">
        <v>1</v>
      </c>
      <c r="F18" s="268"/>
      <c r="G18" s="267"/>
      <c r="H18" s="161">
        <f t="shared" si="1"/>
        <v>0</v>
      </c>
      <c r="I18" s="161"/>
      <c r="J18" s="157">
        <f t="shared" si="2"/>
        <v>0</v>
      </c>
      <c r="K18" s="266"/>
      <c r="M18" s="163"/>
    </row>
    <row r="19" spans="1:11" s="157" customFormat="1" ht="13.5" customHeight="1">
      <c r="A19" s="158">
        <f t="shared" si="0"/>
        <v>15</v>
      </c>
      <c r="B19" s="158">
        <v>210220321</v>
      </c>
      <c r="C19" s="157" t="s">
        <v>255</v>
      </c>
      <c r="D19" s="157" t="s">
        <v>21</v>
      </c>
      <c r="E19" s="157">
        <v>2</v>
      </c>
      <c r="F19" s="267"/>
      <c r="G19" s="267"/>
      <c r="H19" s="161">
        <f t="shared" si="1"/>
        <v>0</v>
      </c>
      <c r="I19" s="161"/>
      <c r="J19" s="157">
        <f t="shared" si="2"/>
        <v>0</v>
      </c>
      <c r="K19" s="266"/>
    </row>
    <row r="20" spans="1:11" s="157" customFormat="1" ht="13.5" customHeight="1">
      <c r="A20" s="158">
        <f t="shared" si="0"/>
        <v>16</v>
      </c>
      <c r="B20" s="158">
        <v>210010301</v>
      </c>
      <c r="C20" s="157" t="s">
        <v>141</v>
      </c>
      <c r="D20" s="157" t="s">
        <v>21</v>
      </c>
      <c r="E20" s="157">
        <v>40</v>
      </c>
      <c r="F20" s="267"/>
      <c r="G20" s="267"/>
      <c r="H20" s="161">
        <f t="shared" si="1"/>
        <v>0</v>
      </c>
      <c r="I20" s="161"/>
      <c r="J20" s="157">
        <f t="shared" si="2"/>
        <v>0</v>
      </c>
      <c r="K20" s="266"/>
    </row>
    <row r="21" spans="1:11" s="157" customFormat="1" ht="13.5" customHeight="1">
      <c r="A21" s="158">
        <f t="shared" si="0"/>
        <v>17</v>
      </c>
      <c r="B21" s="158">
        <v>210010321</v>
      </c>
      <c r="C21" s="157" t="s">
        <v>256</v>
      </c>
      <c r="D21" s="157" t="s">
        <v>21</v>
      </c>
      <c r="E21" s="157">
        <v>4</v>
      </c>
      <c r="F21" s="267"/>
      <c r="G21" s="267"/>
      <c r="H21" s="161">
        <f t="shared" si="1"/>
        <v>0</v>
      </c>
      <c r="I21" s="161"/>
      <c r="J21" s="157">
        <f t="shared" si="2"/>
        <v>0</v>
      </c>
      <c r="K21" s="266"/>
    </row>
    <row r="22" spans="1:11" s="157" customFormat="1" ht="13.5" customHeight="1">
      <c r="A22" s="158">
        <f t="shared" si="0"/>
        <v>18</v>
      </c>
      <c r="B22" s="158">
        <v>211010011</v>
      </c>
      <c r="C22" s="157" t="s">
        <v>142</v>
      </c>
      <c r="D22" s="157" t="s">
        <v>21</v>
      </c>
      <c r="E22" s="157">
        <v>30</v>
      </c>
      <c r="F22" s="267"/>
      <c r="G22" s="267"/>
      <c r="H22" s="161">
        <f t="shared" si="1"/>
        <v>0</v>
      </c>
      <c r="I22" s="161"/>
      <c r="J22" s="157">
        <f t="shared" si="2"/>
        <v>0</v>
      </c>
      <c r="K22" s="266"/>
    </row>
    <row r="23" spans="1:11" s="157" customFormat="1" ht="13.5" customHeight="1">
      <c r="A23" s="158">
        <f t="shared" si="0"/>
        <v>19</v>
      </c>
      <c r="B23" s="158">
        <v>210800106</v>
      </c>
      <c r="C23" s="157" t="s">
        <v>143</v>
      </c>
      <c r="D23" s="157" t="s">
        <v>22</v>
      </c>
      <c r="E23" s="157">
        <v>210</v>
      </c>
      <c r="F23" s="267"/>
      <c r="G23" s="267"/>
      <c r="H23" s="161">
        <f t="shared" si="1"/>
        <v>0</v>
      </c>
      <c r="I23" s="161"/>
      <c r="J23" s="157">
        <f t="shared" si="2"/>
        <v>0</v>
      </c>
      <c r="K23" s="266"/>
    </row>
    <row r="24" spans="1:11" s="157" customFormat="1" ht="13.5" customHeight="1">
      <c r="A24" s="158">
        <f t="shared" si="0"/>
        <v>20</v>
      </c>
      <c r="B24" s="158">
        <v>210800105</v>
      </c>
      <c r="C24" s="157" t="s">
        <v>144</v>
      </c>
      <c r="D24" s="157" t="s">
        <v>22</v>
      </c>
      <c r="E24" s="157">
        <v>140</v>
      </c>
      <c r="F24" s="267"/>
      <c r="G24" s="267"/>
      <c r="H24" s="161">
        <f t="shared" si="1"/>
        <v>0</v>
      </c>
      <c r="I24" s="161"/>
      <c r="J24" s="157">
        <f t="shared" si="2"/>
        <v>0</v>
      </c>
      <c r="K24" s="266"/>
    </row>
    <row r="25" spans="1:11" s="157" customFormat="1" ht="13.5" customHeight="1">
      <c r="A25" s="158">
        <f t="shared" si="0"/>
        <v>21</v>
      </c>
      <c r="B25" s="158">
        <v>210800105</v>
      </c>
      <c r="C25" s="157" t="s">
        <v>381</v>
      </c>
      <c r="D25" s="157" t="s">
        <v>22</v>
      </c>
      <c r="E25" s="157">
        <v>60</v>
      </c>
      <c r="F25" s="267"/>
      <c r="G25" s="267"/>
      <c r="H25" s="161">
        <f t="shared" si="1"/>
        <v>0</v>
      </c>
      <c r="I25" s="161"/>
      <c r="J25" s="157">
        <f t="shared" si="2"/>
        <v>0</v>
      </c>
      <c r="K25" s="266"/>
    </row>
    <row r="26" spans="1:11" s="157" customFormat="1" ht="13.5" customHeight="1">
      <c r="A26" s="158">
        <f t="shared" si="0"/>
        <v>22</v>
      </c>
      <c r="B26" s="158">
        <v>210800566</v>
      </c>
      <c r="C26" s="157" t="s">
        <v>145</v>
      </c>
      <c r="D26" s="157" t="s">
        <v>22</v>
      </c>
      <c r="E26" s="157">
        <v>15</v>
      </c>
      <c r="F26" s="267"/>
      <c r="G26" s="267"/>
      <c r="H26" s="161">
        <f t="shared" si="1"/>
        <v>0</v>
      </c>
      <c r="I26" s="161"/>
      <c r="J26" s="157">
        <f t="shared" si="2"/>
        <v>0</v>
      </c>
      <c r="K26" s="266"/>
    </row>
    <row r="27" spans="1:11" s="157" customFormat="1" ht="12.75" customHeight="1">
      <c r="A27" s="158">
        <f t="shared" si="0"/>
        <v>23</v>
      </c>
      <c r="B27" s="158">
        <v>210190005</v>
      </c>
      <c r="C27" s="157" t="s">
        <v>146</v>
      </c>
      <c r="D27" s="157" t="s">
        <v>21</v>
      </c>
      <c r="E27" s="157">
        <v>1</v>
      </c>
      <c r="F27" s="161"/>
      <c r="G27" s="267"/>
      <c r="H27" s="161">
        <f t="shared" si="1"/>
        <v>0</v>
      </c>
      <c r="I27" s="161"/>
      <c r="J27" s="157">
        <f t="shared" si="2"/>
        <v>0</v>
      </c>
      <c r="K27" s="266"/>
    </row>
    <row r="28" spans="1:11" s="157" customFormat="1" ht="12.75" customHeight="1">
      <c r="A28" s="158">
        <f t="shared" si="0"/>
        <v>24</v>
      </c>
      <c r="B28" s="158">
        <v>210292041</v>
      </c>
      <c r="C28" s="157" t="s">
        <v>147</v>
      </c>
      <c r="D28" s="157" t="s">
        <v>21</v>
      </c>
      <c r="E28" s="157">
        <v>35</v>
      </c>
      <c r="F28" s="161"/>
      <c r="G28" s="267"/>
      <c r="H28" s="161">
        <f t="shared" si="1"/>
        <v>0</v>
      </c>
      <c r="I28" s="161"/>
      <c r="J28" s="157">
        <f t="shared" si="2"/>
        <v>0</v>
      </c>
      <c r="K28" s="266"/>
    </row>
    <row r="29" spans="1:11" s="157" customFormat="1" ht="12.75" customHeight="1">
      <c r="A29" s="158">
        <f t="shared" si="0"/>
        <v>25</v>
      </c>
      <c r="B29" s="158">
        <v>210040512</v>
      </c>
      <c r="C29" s="157" t="s">
        <v>257</v>
      </c>
      <c r="D29" s="157" t="s">
        <v>21</v>
      </c>
      <c r="E29" s="157">
        <v>55</v>
      </c>
      <c r="F29" s="161"/>
      <c r="G29" s="267"/>
      <c r="H29" s="161">
        <f t="shared" si="1"/>
        <v>0</v>
      </c>
      <c r="I29" s="161"/>
      <c r="J29" s="157">
        <f t="shared" si="2"/>
        <v>0</v>
      </c>
      <c r="K29" s="266"/>
    </row>
    <row r="30" spans="1:11" s="157" customFormat="1" ht="12.75" customHeight="1">
      <c r="A30" s="158">
        <f t="shared" si="0"/>
        <v>26</v>
      </c>
      <c r="B30" s="158">
        <v>974031122</v>
      </c>
      <c r="C30" s="157" t="s">
        <v>258</v>
      </c>
      <c r="D30" s="157" t="s">
        <v>22</v>
      </c>
      <c r="E30" s="157">
        <v>80</v>
      </c>
      <c r="F30" s="161"/>
      <c r="G30" s="267"/>
      <c r="H30" s="161">
        <f t="shared" si="1"/>
        <v>0</v>
      </c>
      <c r="I30" s="161"/>
      <c r="J30" s="157">
        <f t="shared" si="2"/>
        <v>0</v>
      </c>
      <c r="K30" s="266"/>
    </row>
    <row r="31" spans="1:11" s="157" customFormat="1" ht="12.75" customHeight="1">
      <c r="A31" s="158">
        <f t="shared" si="0"/>
        <v>27</v>
      </c>
      <c r="B31" s="158">
        <v>210040721</v>
      </c>
      <c r="C31" s="157" t="s">
        <v>259</v>
      </c>
      <c r="D31" s="157" t="s">
        <v>21</v>
      </c>
      <c r="E31" s="157">
        <v>5</v>
      </c>
      <c r="F31" s="161"/>
      <c r="G31" s="267"/>
      <c r="H31" s="161">
        <f t="shared" si="1"/>
        <v>0</v>
      </c>
      <c r="I31" s="161"/>
      <c r="J31" s="157">
        <f t="shared" si="2"/>
        <v>0</v>
      </c>
      <c r="K31" s="266"/>
    </row>
    <row r="32" spans="1:11" s="157" customFormat="1" ht="12.75" customHeight="1">
      <c r="A32" s="158">
        <f t="shared" si="0"/>
        <v>28</v>
      </c>
      <c r="B32" s="158">
        <v>973033141</v>
      </c>
      <c r="C32" s="157" t="s">
        <v>260</v>
      </c>
      <c r="D32" s="157" t="s">
        <v>21</v>
      </c>
      <c r="E32" s="157">
        <v>44</v>
      </c>
      <c r="F32" s="161"/>
      <c r="G32" s="267"/>
      <c r="H32" s="161">
        <f t="shared" si="1"/>
        <v>0</v>
      </c>
      <c r="I32" s="161"/>
      <c r="J32" s="157">
        <f t="shared" si="2"/>
        <v>0</v>
      </c>
      <c r="K32" s="266"/>
    </row>
    <row r="33" spans="1:11" s="157" customFormat="1" ht="12.75" customHeight="1">
      <c r="A33" s="158">
        <f t="shared" si="0"/>
        <v>29</v>
      </c>
      <c r="B33" s="158" t="s">
        <v>132</v>
      </c>
      <c r="C33" s="157" t="s">
        <v>382</v>
      </c>
      <c r="D33" s="157" t="s">
        <v>21</v>
      </c>
      <c r="E33" s="157">
        <v>1</v>
      </c>
      <c r="F33" s="161"/>
      <c r="G33" s="267"/>
      <c r="H33" s="161">
        <f t="shared" si="1"/>
        <v>0</v>
      </c>
      <c r="I33" s="161"/>
      <c r="J33" s="157">
        <f t="shared" si="2"/>
        <v>0</v>
      </c>
      <c r="K33" s="266"/>
    </row>
    <row r="34" spans="1:11" s="157" customFormat="1" ht="12.75" customHeight="1">
      <c r="A34" s="158">
        <f t="shared" si="0"/>
        <v>30</v>
      </c>
      <c r="B34" s="158" t="s">
        <v>132</v>
      </c>
      <c r="C34" s="157" t="s">
        <v>148</v>
      </c>
      <c r="D34" s="157" t="s">
        <v>149</v>
      </c>
      <c r="E34" s="157">
        <v>1</v>
      </c>
      <c r="F34" s="161"/>
      <c r="G34" s="267"/>
      <c r="H34" s="161">
        <f t="shared" si="1"/>
        <v>0</v>
      </c>
      <c r="I34" s="161"/>
      <c r="K34" s="266"/>
    </row>
    <row r="35" spans="1:11" s="157" customFormat="1" ht="12.75" customHeight="1">
      <c r="A35" s="158">
        <f t="shared" si="0"/>
        <v>31</v>
      </c>
      <c r="B35" s="158" t="s">
        <v>26</v>
      </c>
      <c r="C35" s="157" t="s">
        <v>261</v>
      </c>
      <c r="D35" s="157" t="s">
        <v>150</v>
      </c>
      <c r="E35" s="157">
        <v>12</v>
      </c>
      <c r="F35" s="161"/>
      <c r="G35" s="267"/>
      <c r="H35" s="161">
        <f t="shared" si="1"/>
        <v>0</v>
      </c>
      <c r="I35" s="161"/>
      <c r="K35" s="266"/>
    </row>
    <row r="36" spans="1:11" s="157" customFormat="1" ht="12.75" customHeight="1">
      <c r="A36" s="158">
        <f t="shared" si="0"/>
        <v>32</v>
      </c>
      <c r="B36" s="158" t="s">
        <v>26</v>
      </c>
      <c r="C36" s="157" t="s">
        <v>151</v>
      </c>
      <c r="D36" s="157" t="s">
        <v>150</v>
      </c>
      <c r="E36" s="157">
        <v>12</v>
      </c>
      <c r="F36" s="161"/>
      <c r="G36" s="267"/>
      <c r="H36" s="161">
        <f t="shared" si="1"/>
        <v>0</v>
      </c>
      <c r="I36" s="161"/>
      <c r="J36" s="157">
        <f t="shared" si="2"/>
        <v>0</v>
      </c>
      <c r="K36" s="266"/>
    </row>
    <row r="37" spans="1:11" s="157" customFormat="1" ht="12.75" customHeight="1">
      <c r="A37" s="158"/>
      <c r="B37" s="158"/>
      <c r="C37" s="160" t="s">
        <v>152</v>
      </c>
      <c r="F37" s="161"/>
      <c r="G37" s="161"/>
      <c r="H37" s="164">
        <f>SUM(H5:H36)</f>
        <v>0</v>
      </c>
      <c r="I37" s="164"/>
      <c r="J37" s="157">
        <f>SUM(J5:J36)</f>
        <v>0</v>
      </c>
      <c r="K37" s="266"/>
    </row>
    <row r="38" spans="1:11" s="157" customFormat="1" ht="12.75" customHeight="1">
      <c r="A38" s="158"/>
      <c r="B38" s="158"/>
      <c r="C38" s="160"/>
      <c r="F38" s="161"/>
      <c r="G38" s="161"/>
      <c r="H38" s="164"/>
      <c r="I38" s="164"/>
      <c r="K38" s="266"/>
    </row>
    <row r="39" spans="1:11" s="157" customFormat="1" ht="12.75" customHeight="1">
      <c r="A39" s="158"/>
      <c r="B39" s="158"/>
      <c r="C39" s="160"/>
      <c r="F39" s="161"/>
      <c r="G39" s="161"/>
      <c r="H39" s="164"/>
      <c r="I39" s="164"/>
      <c r="K39" s="266"/>
    </row>
    <row r="40" spans="1:11" s="157" customFormat="1" ht="12.75" customHeight="1">
      <c r="A40" s="158"/>
      <c r="B40" s="158"/>
      <c r="C40" s="160" t="s">
        <v>153</v>
      </c>
      <c r="F40" s="161"/>
      <c r="G40" s="161"/>
      <c r="H40" s="161"/>
      <c r="I40" s="161"/>
      <c r="K40" s="266"/>
    </row>
    <row r="41" spans="1:11" s="157" customFormat="1" ht="12.75" customHeight="1">
      <c r="A41" s="158">
        <v>1</v>
      </c>
      <c r="B41" s="158"/>
      <c r="C41" s="157" t="s">
        <v>383</v>
      </c>
      <c r="D41" s="157" t="s">
        <v>21</v>
      </c>
      <c r="E41" s="157">
        <v>1</v>
      </c>
      <c r="F41" s="267"/>
      <c r="G41" s="161"/>
      <c r="H41" s="161">
        <f aca="true" t="shared" si="3" ref="H41:H48">(F41+G41)*E41</f>
        <v>0</v>
      </c>
      <c r="I41" s="161"/>
      <c r="J41" s="157">
        <f>E41*F41</f>
        <v>0</v>
      </c>
      <c r="K41" s="266"/>
    </row>
    <row r="42" spans="1:11" s="157" customFormat="1" ht="12.75" customHeight="1">
      <c r="A42" s="158">
        <f>A41+1</f>
        <v>2</v>
      </c>
      <c r="B42" s="158"/>
      <c r="C42" s="157" t="s">
        <v>262</v>
      </c>
      <c r="D42" s="157" t="s">
        <v>21</v>
      </c>
      <c r="E42" s="157">
        <v>1</v>
      </c>
      <c r="F42" s="267"/>
      <c r="G42" s="161"/>
      <c r="H42" s="161">
        <f t="shared" si="3"/>
        <v>0</v>
      </c>
      <c r="I42" s="161"/>
      <c r="J42" s="157">
        <f aca="true" t="shared" si="4" ref="J42:J48">E42*F42</f>
        <v>0</v>
      </c>
      <c r="K42" s="266"/>
    </row>
    <row r="43" spans="1:11" s="157" customFormat="1" ht="12.75" customHeight="1">
      <c r="A43" s="158">
        <f aca="true" t="shared" si="5" ref="A43:A48">A42+1</f>
        <v>3</v>
      </c>
      <c r="B43" s="158"/>
      <c r="C43" s="157" t="s">
        <v>154</v>
      </c>
      <c r="D43" s="157" t="s">
        <v>21</v>
      </c>
      <c r="E43" s="157">
        <v>1</v>
      </c>
      <c r="F43" s="267"/>
      <c r="G43" s="161"/>
      <c r="H43" s="161">
        <f>(F43+G43)*E43</f>
        <v>0</v>
      </c>
      <c r="I43" s="161"/>
      <c r="K43" s="266"/>
    </row>
    <row r="44" spans="1:11" s="157" customFormat="1" ht="12.75" customHeight="1">
      <c r="A44" s="158">
        <f t="shared" si="5"/>
        <v>4</v>
      </c>
      <c r="B44" s="158"/>
      <c r="C44" s="157" t="s">
        <v>263</v>
      </c>
      <c r="D44" s="157" t="s">
        <v>21</v>
      </c>
      <c r="E44" s="157">
        <v>2</v>
      </c>
      <c r="F44" s="267"/>
      <c r="G44" s="161"/>
      <c r="H44" s="161">
        <f t="shared" si="3"/>
        <v>0</v>
      </c>
      <c r="I44" s="161"/>
      <c r="J44" s="157">
        <f t="shared" si="4"/>
        <v>0</v>
      </c>
      <c r="K44" s="266"/>
    </row>
    <row r="45" spans="1:11" s="157" customFormat="1" ht="12.75" customHeight="1">
      <c r="A45" s="158">
        <f t="shared" si="5"/>
        <v>5</v>
      </c>
      <c r="B45" s="158"/>
      <c r="C45" s="157" t="s">
        <v>264</v>
      </c>
      <c r="D45" s="157" t="s">
        <v>21</v>
      </c>
      <c r="E45" s="157">
        <v>8</v>
      </c>
      <c r="F45" s="267"/>
      <c r="G45" s="161"/>
      <c r="H45" s="161">
        <f t="shared" si="3"/>
        <v>0</v>
      </c>
      <c r="I45" s="161"/>
      <c r="J45" s="157">
        <f t="shared" si="4"/>
        <v>0</v>
      </c>
      <c r="K45" s="266"/>
    </row>
    <row r="46" spans="1:11" s="157" customFormat="1" ht="12.75" customHeight="1">
      <c r="A46" s="158">
        <f t="shared" si="5"/>
        <v>6</v>
      </c>
      <c r="B46" s="158"/>
      <c r="C46" s="157" t="s">
        <v>155</v>
      </c>
      <c r="D46" s="157" t="s">
        <v>22</v>
      </c>
      <c r="E46" s="157">
        <v>0.5</v>
      </c>
      <c r="F46" s="267"/>
      <c r="G46" s="161"/>
      <c r="H46" s="161">
        <f t="shared" si="3"/>
        <v>0</v>
      </c>
      <c r="I46" s="161"/>
      <c r="J46" s="157">
        <f t="shared" si="4"/>
        <v>0</v>
      </c>
      <c r="K46" s="266"/>
    </row>
    <row r="47" spans="1:11" s="157" customFormat="1" ht="12.75" customHeight="1">
      <c r="A47" s="158">
        <f t="shared" si="5"/>
        <v>7</v>
      </c>
      <c r="B47" s="158"/>
      <c r="C47" s="157" t="s">
        <v>156</v>
      </c>
      <c r="D47" s="157" t="s">
        <v>18</v>
      </c>
      <c r="E47" s="157">
        <v>1</v>
      </c>
      <c r="F47" s="267"/>
      <c r="G47" s="161"/>
      <c r="H47" s="161">
        <f t="shared" si="3"/>
        <v>0</v>
      </c>
      <c r="I47" s="161"/>
      <c r="J47" s="157">
        <f t="shared" si="4"/>
        <v>0</v>
      </c>
      <c r="K47" s="266"/>
    </row>
    <row r="48" spans="1:11" s="157" customFormat="1" ht="12.75" customHeight="1">
      <c r="A48" s="158">
        <f t="shared" si="5"/>
        <v>8</v>
      </c>
      <c r="B48" s="158"/>
      <c r="C48" s="157" t="s">
        <v>157</v>
      </c>
      <c r="D48" s="157" t="s">
        <v>18</v>
      </c>
      <c r="E48" s="157">
        <v>1</v>
      </c>
      <c r="F48" s="161"/>
      <c r="G48" s="267"/>
      <c r="H48" s="161">
        <f t="shared" si="3"/>
        <v>0</v>
      </c>
      <c r="I48" s="161"/>
      <c r="J48" s="157">
        <f t="shared" si="4"/>
        <v>0</v>
      </c>
      <c r="K48" s="266"/>
    </row>
    <row r="49" spans="1:11" s="157" customFormat="1" ht="12.75" customHeight="1">
      <c r="A49" s="158"/>
      <c r="B49" s="158"/>
      <c r="C49" s="160" t="s">
        <v>158</v>
      </c>
      <c r="H49" s="164">
        <f>SUM(H41:H48)</f>
        <v>0</v>
      </c>
      <c r="I49" s="164"/>
      <c r="J49" s="157">
        <f>SUM(J41:J48)</f>
        <v>0</v>
      </c>
      <c r="K49" s="266"/>
    </row>
    <row r="50" spans="1:11" s="157" customFormat="1" ht="12.75" customHeight="1">
      <c r="A50" s="158"/>
      <c r="B50" s="158"/>
      <c r="C50" s="160"/>
      <c r="H50" s="164"/>
      <c r="I50" s="164"/>
      <c r="K50" s="266"/>
    </row>
    <row r="51" spans="1:11" s="157" customFormat="1" ht="12.75" customHeight="1">
      <c r="A51" s="158"/>
      <c r="B51" s="158"/>
      <c r="C51" s="160"/>
      <c r="H51" s="164"/>
      <c r="I51" s="164"/>
      <c r="K51" s="266"/>
    </row>
    <row r="52" spans="1:11" s="157" customFormat="1" ht="12.75" customHeight="1">
      <c r="A52" s="158"/>
      <c r="B52" s="158"/>
      <c r="C52" s="160"/>
      <c r="H52" s="164"/>
      <c r="I52" s="164"/>
      <c r="K52" s="266"/>
    </row>
    <row r="53" spans="1:11" s="157" customFormat="1" ht="12.75" customHeight="1">
      <c r="A53" s="158"/>
      <c r="B53" s="158"/>
      <c r="C53" s="160"/>
      <c r="H53" s="164"/>
      <c r="I53" s="164"/>
      <c r="K53" s="266"/>
    </row>
    <row r="54" spans="1:11" s="157" customFormat="1" ht="18" customHeight="1">
      <c r="A54" s="158"/>
      <c r="B54" s="158"/>
      <c r="C54" s="159" t="s">
        <v>159</v>
      </c>
      <c r="H54" s="164"/>
      <c r="I54" s="164"/>
      <c r="K54" s="266"/>
    </row>
    <row r="55" spans="1:11" s="157" customFormat="1" ht="12.75" customHeight="1">
      <c r="A55" s="158"/>
      <c r="B55" s="158"/>
      <c r="C55" s="160" t="s">
        <v>127</v>
      </c>
      <c r="E55" s="158" t="s">
        <v>24</v>
      </c>
      <c r="F55" s="158" t="s">
        <v>128</v>
      </c>
      <c r="G55" s="158" t="s">
        <v>129</v>
      </c>
      <c r="H55" s="158" t="s">
        <v>25</v>
      </c>
      <c r="I55" s="164"/>
      <c r="K55" s="266"/>
    </row>
    <row r="56" spans="1:11" s="157" customFormat="1" ht="12.75" customHeight="1">
      <c r="A56" s="158">
        <v>1</v>
      </c>
      <c r="B56" s="158">
        <v>210111012</v>
      </c>
      <c r="C56" s="157" t="s">
        <v>265</v>
      </c>
      <c r="D56" s="157" t="s">
        <v>21</v>
      </c>
      <c r="E56" s="157">
        <v>1</v>
      </c>
      <c r="F56" s="267"/>
      <c r="G56" s="267"/>
      <c r="H56" s="161">
        <f aca="true" t="shared" si="6" ref="H56:H64">(F56+G56)*E56</f>
        <v>0</v>
      </c>
      <c r="I56" s="164"/>
      <c r="K56" s="266"/>
    </row>
    <row r="57" spans="1:11" s="157" customFormat="1" ht="12.75" customHeight="1">
      <c r="A57" s="158">
        <f>A56+1</f>
        <v>2</v>
      </c>
      <c r="B57" s="158">
        <v>210010301</v>
      </c>
      <c r="C57" s="157" t="s">
        <v>266</v>
      </c>
      <c r="D57" s="157" t="s">
        <v>21</v>
      </c>
      <c r="E57" s="157">
        <v>1</v>
      </c>
      <c r="F57" s="267"/>
      <c r="G57" s="267"/>
      <c r="H57" s="161">
        <f t="shared" si="6"/>
        <v>0</v>
      </c>
      <c r="I57" s="161"/>
      <c r="J57" s="157">
        <f>E57*F57</f>
        <v>0</v>
      </c>
      <c r="K57" s="266"/>
    </row>
    <row r="58" spans="1:11" s="157" customFormat="1" ht="12.75" customHeight="1">
      <c r="A58" s="158">
        <f aca="true" t="shared" si="7" ref="A58:A64">A57+1</f>
        <v>3</v>
      </c>
      <c r="B58" s="158">
        <v>210010321</v>
      </c>
      <c r="C58" s="157" t="s">
        <v>384</v>
      </c>
      <c r="D58" s="157" t="s">
        <v>21</v>
      </c>
      <c r="E58" s="157">
        <v>4</v>
      </c>
      <c r="F58" s="267"/>
      <c r="G58" s="267"/>
      <c r="H58" s="161">
        <f t="shared" si="6"/>
        <v>0</v>
      </c>
      <c r="I58" s="161"/>
      <c r="K58" s="266"/>
    </row>
    <row r="59" spans="1:11" s="157" customFormat="1" ht="12.75" customHeight="1">
      <c r="A59" s="158">
        <f t="shared" si="7"/>
        <v>4</v>
      </c>
      <c r="B59" s="158">
        <v>210800549</v>
      </c>
      <c r="C59" s="157" t="s">
        <v>267</v>
      </c>
      <c r="D59" s="157" t="s">
        <v>22</v>
      </c>
      <c r="E59" s="157">
        <v>15</v>
      </c>
      <c r="F59" s="267"/>
      <c r="G59" s="267"/>
      <c r="H59" s="161">
        <f t="shared" si="6"/>
        <v>0</v>
      </c>
      <c r="I59" s="161"/>
      <c r="K59" s="266"/>
    </row>
    <row r="60" spans="1:11" s="157" customFormat="1" ht="12.75" customHeight="1">
      <c r="A60" s="158">
        <f t="shared" si="7"/>
        <v>5</v>
      </c>
      <c r="B60" s="158">
        <v>210010003</v>
      </c>
      <c r="C60" s="157" t="s">
        <v>268</v>
      </c>
      <c r="D60" s="157" t="s">
        <v>22</v>
      </c>
      <c r="E60" s="157">
        <v>15</v>
      </c>
      <c r="F60" s="267"/>
      <c r="G60" s="267"/>
      <c r="H60" s="161">
        <f t="shared" si="6"/>
        <v>0</v>
      </c>
      <c r="I60" s="161"/>
      <c r="J60" s="157">
        <f>E60*F60</f>
        <v>0</v>
      </c>
      <c r="K60" s="266"/>
    </row>
    <row r="61" spans="1:11" s="157" customFormat="1" ht="12.75" customHeight="1">
      <c r="A61" s="158">
        <f t="shared" si="7"/>
        <v>6</v>
      </c>
      <c r="B61" s="158">
        <v>973033141</v>
      </c>
      <c r="C61" s="157" t="s">
        <v>260</v>
      </c>
      <c r="D61" s="157" t="s">
        <v>21</v>
      </c>
      <c r="E61" s="157">
        <v>5</v>
      </c>
      <c r="F61" s="161"/>
      <c r="G61" s="267"/>
      <c r="H61" s="161">
        <f t="shared" si="6"/>
        <v>0</v>
      </c>
      <c r="I61" s="161"/>
      <c r="K61" s="266"/>
    </row>
    <row r="62" spans="1:11" s="157" customFormat="1" ht="12.75" customHeight="1">
      <c r="A62" s="158">
        <f t="shared" si="7"/>
        <v>7</v>
      </c>
      <c r="B62" s="158">
        <v>974031122</v>
      </c>
      <c r="C62" s="157" t="s">
        <v>258</v>
      </c>
      <c r="D62" s="157" t="s">
        <v>22</v>
      </c>
      <c r="E62" s="157">
        <v>15</v>
      </c>
      <c r="F62" s="161"/>
      <c r="G62" s="267"/>
      <c r="H62" s="161">
        <f t="shared" si="6"/>
        <v>0</v>
      </c>
      <c r="I62" s="161"/>
      <c r="K62" s="266"/>
    </row>
    <row r="63" spans="1:11" s="157" customFormat="1" ht="12.75" customHeight="1">
      <c r="A63" s="158">
        <f t="shared" si="7"/>
        <v>8</v>
      </c>
      <c r="B63" s="158">
        <v>210292041</v>
      </c>
      <c r="C63" s="157" t="s">
        <v>147</v>
      </c>
      <c r="D63" s="157" t="s">
        <v>21</v>
      </c>
      <c r="E63" s="157">
        <v>2</v>
      </c>
      <c r="F63" s="161"/>
      <c r="G63" s="267"/>
      <c r="H63" s="161">
        <f t="shared" si="6"/>
        <v>0</v>
      </c>
      <c r="I63" s="161"/>
      <c r="K63" s="266"/>
    </row>
    <row r="64" spans="1:11" s="157" customFormat="1" ht="12.75" customHeight="1">
      <c r="A64" s="158">
        <f t="shared" si="7"/>
        <v>9</v>
      </c>
      <c r="B64" s="158">
        <v>210040721</v>
      </c>
      <c r="C64" s="157" t="s">
        <v>259</v>
      </c>
      <c r="D64" s="157" t="s">
        <v>21</v>
      </c>
      <c r="E64" s="157">
        <v>2</v>
      </c>
      <c r="F64" s="161"/>
      <c r="G64" s="267"/>
      <c r="H64" s="161">
        <f t="shared" si="6"/>
        <v>0</v>
      </c>
      <c r="I64" s="161"/>
      <c r="K64" s="266"/>
    </row>
    <row r="65" spans="1:11" s="157" customFormat="1" ht="12.75" customHeight="1">
      <c r="A65" s="158"/>
      <c r="B65" s="158"/>
      <c r="C65" s="160" t="s">
        <v>160</v>
      </c>
      <c r="F65" s="161"/>
      <c r="G65" s="161"/>
      <c r="H65" s="164">
        <f>SUM(H56:H64)</f>
        <v>0</v>
      </c>
      <c r="I65" s="161"/>
      <c r="J65" s="157">
        <f>E65*F65</f>
        <v>0</v>
      </c>
      <c r="K65" s="266"/>
    </row>
    <row r="66" spans="1:11" s="157" customFormat="1" ht="12.75" customHeight="1">
      <c r="A66" s="158"/>
      <c r="B66" s="158"/>
      <c r="C66" s="160"/>
      <c r="F66" s="161"/>
      <c r="G66" s="161"/>
      <c r="H66" s="164"/>
      <c r="I66" s="161"/>
      <c r="K66" s="266"/>
    </row>
    <row r="67" spans="1:11" s="157" customFormat="1" ht="12.75" customHeight="1">
      <c r="A67" s="158"/>
      <c r="B67" s="158"/>
      <c r="C67" s="160" t="s">
        <v>114</v>
      </c>
      <c r="K67" s="266"/>
    </row>
    <row r="68" spans="1:12" s="157" customFormat="1" ht="11.25">
      <c r="A68" s="158">
        <v>1</v>
      </c>
      <c r="B68" s="158"/>
      <c r="C68" s="165" t="s">
        <v>269</v>
      </c>
      <c r="D68" s="157" t="s">
        <v>18</v>
      </c>
      <c r="E68" s="157">
        <v>1</v>
      </c>
      <c r="F68" s="161"/>
      <c r="G68" s="267"/>
      <c r="H68" s="161">
        <f>(F68+G68)*E68</f>
        <v>0</v>
      </c>
      <c r="I68" s="166"/>
      <c r="J68" s="157">
        <f>E68*F68</f>
        <v>0</v>
      </c>
      <c r="K68" s="266"/>
      <c r="L68" s="167"/>
    </row>
    <row r="69" spans="1:11" s="157" customFormat="1" ht="13.5" customHeight="1">
      <c r="A69" s="158"/>
      <c r="B69" s="158"/>
      <c r="C69" s="160" t="s">
        <v>161</v>
      </c>
      <c r="D69" s="160"/>
      <c r="E69" s="168"/>
      <c r="F69" s="160"/>
      <c r="G69" s="160"/>
      <c r="H69" s="164">
        <f>SUM(H68:H68)</f>
        <v>0</v>
      </c>
      <c r="I69" s="167"/>
      <c r="J69" s="157">
        <f>SUM(J68:J68)</f>
        <v>0</v>
      </c>
      <c r="K69" s="266"/>
    </row>
    <row r="70" spans="1:11" s="157" customFormat="1" ht="13.5" customHeight="1">
      <c r="A70" s="158"/>
      <c r="B70" s="158"/>
      <c r="C70" s="160"/>
      <c r="D70" s="160"/>
      <c r="E70" s="168"/>
      <c r="F70" s="160"/>
      <c r="G70" s="160"/>
      <c r="H70" s="164"/>
      <c r="I70" s="167"/>
      <c r="K70" s="266"/>
    </row>
    <row r="71" spans="1:11" s="157" customFormat="1" ht="12.75" customHeight="1">
      <c r="A71" s="158"/>
      <c r="B71" s="158"/>
      <c r="C71" s="160" t="s">
        <v>162</v>
      </c>
      <c r="H71" s="164">
        <f>H69+H65+H49+H37</f>
        <v>0</v>
      </c>
      <c r="I71" s="164"/>
      <c r="J71" s="164" t="e">
        <f>#REF!+J49+J37+J69</f>
        <v>#REF!</v>
      </c>
      <c r="K71" s="266"/>
    </row>
    <row r="72" spans="1:11" s="157" customFormat="1" ht="12.75" customHeight="1">
      <c r="A72" s="158"/>
      <c r="B72" s="158"/>
      <c r="C72" s="160" t="s">
        <v>163</v>
      </c>
      <c r="D72" s="169">
        <v>0.15</v>
      </c>
      <c r="H72" s="164">
        <f>H71*D72</f>
        <v>0</v>
      </c>
      <c r="I72" s="164"/>
      <c r="J72" s="164"/>
      <c r="K72" s="266"/>
    </row>
    <row r="73" spans="1:11" s="157" customFormat="1" ht="12.75" customHeight="1">
      <c r="A73" s="158"/>
      <c r="B73" s="158"/>
      <c r="C73" s="170" t="s">
        <v>164</v>
      </c>
      <c r="D73" s="171"/>
      <c r="E73" s="171"/>
      <c r="F73" s="171"/>
      <c r="G73" s="171"/>
      <c r="H73" s="172">
        <f>SUM(H71:H72)</f>
        <v>0</v>
      </c>
      <c r="I73" s="164"/>
      <c r="J73" s="164"/>
      <c r="K73" s="266"/>
    </row>
    <row r="74" spans="1:11" s="157" customFormat="1" ht="12.75" customHeight="1">
      <c r="A74" s="158"/>
      <c r="B74" s="158"/>
      <c r="C74" s="160"/>
      <c r="H74" s="164"/>
      <c r="I74" s="164"/>
      <c r="J74" s="164"/>
      <c r="K74" s="266"/>
    </row>
    <row r="75" spans="1:11" s="157" customFormat="1" ht="12.75" customHeight="1">
      <c r="A75" s="158"/>
      <c r="B75" s="158"/>
      <c r="C75" s="160"/>
      <c r="H75" s="164"/>
      <c r="I75" s="164"/>
      <c r="J75" s="164"/>
      <c r="K75" s="266"/>
    </row>
    <row r="76" spans="1:11" s="157" customFormat="1" ht="13.5" customHeight="1">
      <c r="A76" s="158"/>
      <c r="B76" s="158"/>
      <c r="C76" s="160" t="s">
        <v>165</v>
      </c>
      <c r="K76" s="266"/>
    </row>
    <row r="77" spans="1:11" s="157" customFormat="1" ht="106.5" customHeight="1">
      <c r="A77" s="158"/>
      <c r="B77" s="158"/>
      <c r="C77" s="262" t="s">
        <v>166</v>
      </c>
      <c r="D77" s="262"/>
      <c r="E77" s="262"/>
      <c r="F77" s="262"/>
      <c r="G77" s="262"/>
      <c r="H77" s="262"/>
      <c r="I77" s="173"/>
      <c r="K77" s="266"/>
    </row>
    <row r="78" spans="1:11" s="157" customFormat="1" ht="13.5" customHeight="1">
      <c r="A78" s="158"/>
      <c r="B78" s="158"/>
      <c r="C78" s="263" t="s">
        <v>12</v>
      </c>
      <c r="D78" s="263"/>
      <c r="E78" s="263"/>
      <c r="F78" s="263"/>
      <c r="G78" s="263"/>
      <c r="H78" s="263"/>
      <c r="K78" s="266"/>
    </row>
    <row r="79" spans="1:11" s="157" customFormat="1" ht="13.5" customHeight="1">
      <c r="A79" s="158"/>
      <c r="B79" s="158"/>
      <c r="C79" s="264" t="s">
        <v>167</v>
      </c>
      <c r="D79" s="264"/>
      <c r="E79" s="264"/>
      <c r="F79" s="264"/>
      <c r="G79" s="264"/>
      <c r="H79" s="264"/>
      <c r="K79" s="266"/>
    </row>
    <row r="80" spans="1:11" s="157" customFormat="1" ht="27.75" customHeight="1">
      <c r="A80" s="158"/>
      <c r="B80" s="158"/>
      <c r="C80" s="258" t="s">
        <v>168</v>
      </c>
      <c r="D80" s="258"/>
      <c r="E80" s="258"/>
      <c r="F80" s="258"/>
      <c r="G80" s="258"/>
      <c r="H80" s="258"/>
      <c r="K80" s="266"/>
    </row>
    <row r="81" spans="1:11" s="157" customFormat="1" ht="13.5" customHeight="1">
      <c r="A81" s="158"/>
      <c r="B81" s="158"/>
      <c r="C81" s="264" t="s">
        <v>169</v>
      </c>
      <c r="D81" s="264"/>
      <c r="E81" s="264"/>
      <c r="F81" s="264"/>
      <c r="G81" s="264"/>
      <c r="H81" s="264"/>
      <c r="K81" s="266"/>
    </row>
    <row r="82" spans="1:11" s="157" customFormat="1" ht="13.5" customHeight="1">
      <c r="A82" s="158"/>
      <c r="B82" s="158"/>
      <c r="C82" s="265" t="s">
        <v>170</v>
      </c>
      <c r="D82" s="265"/>
      <c r="E82" s="265"/>
      <c r="F82" s="265"/>
      <c r="G82" s="265"/>
      <c r="H82" s="265"/>
      <c r="K82" s="266"/>
    </row>
    <row r="83" spans="1:11" s="157" customFormat="1" ht="13.5" customHeight="1">
      <c r="A83" s="158"/>
      <c r="B83" s="158"/>
      <c r="C83" s="174" t="s">
        <v>171</v>
      </c>
      <c r="D83" s="174"/>
      <c r="E83" s="174"/>
      <c r="F83" s="174"/>
      <c r="G83" s="174"/>
      <c r="H83" s="174"/>
      <c r="K83" s="266"/>
    </row>
    <row r="84" spans="3:8" ht="24.75" customHeight="1">
      <c r="C84" s="258" t="s">
        <v>16</v>
      </c>
      <c r="D84" s="258"/>
      <c r="E84" s="258"/>
      <c r="F84" s="258"/>
      <c r="G84" s="258"/>
      <c r="H84" s="258"/>
    </row>
    <row r="85" spans="3:8" ht="27.75" customHeight="1">
      <c r="C85" s="258" t="s">
        <v>17</v>
      </c>
      <c r="D85" s="258"/>
      <c r="E85" s="258"/>
      <c r="F85" s="258"/>
      <c r="G85" s="258"/>
      <c r="H85" s="258"/>
    </row>
    <row r="86" spans="3:8" ht="15" customHeight="1">
      <c r="C86" s="258" t="s">
        <v>48</v>
      </c>
      <c r="D86" s="258"/>
      <c r="E86" s="258"/>
      <c r="F86" s="258"/>
      <c r="G86" s="258"/>
      <c r="H86" s="258"/>
    </row>
    <row r="88" spans="3:8" ht="12.75" customHeight="1">
      <c r="C88" s="261"/>
      <c r="D88" s="260"/>
      <c r="E88" s="260"/>
      <c r="F88" s="260"/>
      <c r="G88" s="260"/>
      <c r="H88" s="260"/>
    </row>
    <row r="89" spans="3:8" ht="12.75">
      <c r="C89" s="260"/>
      <c r="D89" s="260"/>
      <c r="E89" s="260"/>
      <c r="F89" s="260"/>
      <c r="G89" s="260"/>
      <c r="H89" s="260"/>
    </row>
  </sheetData>
  <sheetProtection password="C4F8" sheet="1" selectLockedCells="1"/>
  <mergeCells count="11">
    <mergeCell ref="C82:H82"/>
    <mergeCell ref="C84:H84"/>
    <mergeCell ref="B1:J1"/>
    <mergeCell ref="C85:H85"/>
    <mergeCell ref="C86:H86"/>
    <mergeCell ref="C88:H89"/>
    <mergeCell ref="C77:H77"/>
    <mergeCell ref="C78:H78"/>
    <mergeCell ref="C79:H79"/>
    <mergeCell ref="C80:H80"/>
    <mergeCell ref="C81:H81"/>
  </mergeCells>
  <conditionalFormatting sqref="C78">
    <cfRule type="expression" priority="1" dxfId="3" stopIfTrue="1">
      <formula>ISTEXT(C78)</formula>
    </cfRule>
  </conditionalFormatting>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Šiška</dc:creator>
  <cp:keywords/>
  <dc:description/>
  <cp:lastModifiedBy>tomashromadko</cp:lastModifiedBy>
  <cp:lastPrinted>2019-01-25T15:42:17Z</cp:lastPrinted>
  <dcterms:created xsi:type="dcterms:W3CDTF">2015-06-09T11:12:40Z</dcterms:created>
  <dcterms:modified xsi:type="dcterms:W3CDTF">2020-04-07T13:04:38Z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