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730" windowHeight="12120" tabRatio="721"/>
  </bookViews>
  <sheets>
    <sheet name="OBJEKT_CELKOVÉ NÁKLADY" sheetId="9" r:id="rId1"/>
    <sheet name="ESA_ESI" sheetId="22" r:id="rId2"/>
  </sheets>
  <definedNames>
    <definedName name="_2d">#REF!</definedName>
    <definedName name="cc">'OBJEKT_CELKOVÉ NÁKLADY'!#REF!</definedName>
    <definedName name="ccc">'OBJEKT_CELKOVÉ NÁKLADY'!#REF!</definedName>
    <definedName name="cccc">'OBJEKT_CELKOVÉ NÁKLADY'!#REF!</definedName>
    <definedName name="ccccc">'OBJEKT_CELKOVÉ NÁKLADY'!#REF!</definedName>
    <definedName name="cccccc">'OBJEKT_CELKOVÉ NÁKLADY'!#REF!</definedName>
    <definedName name="ccccccc">'OBJEKT_CELKOVÉ NÁKLADY'!#REF!</definedName>
    <definedName name="ccccccccc">'OBJEKT_CELKOVÉ NÁKLADY'!#REF!</definedName>
    <definedName name="cccccccccc">'OBJEKT_CELKOVÉ NÁKLADY'!#REF!</definedName>
    <definedName name="ccccccccccc">'OBJEKT_CELKOVÉ NÁKLADY'!#REF!</definedName>
    <definedName name="ce">'OBJEKT_CELKOVÉ NÁKLADY'!#REF!</definedName>
    <definedName name="cen">'OBJEKT_CELKOVÉ NÁKLADY'!#REF!</definedName>
    <definedName name="cena">'OBJEKT_CELKOVÉ NÁKLADY'!#REF!</definedName>
    <definedName name="Cena_">'OBJEKT_CELKOVÉ NÁKLADY'!#REF!</definedName>
    <definedName name="Cena_1">'OBJEKT_CELKOVÉ NÁKLADY'!$I$123</definedName>
    <definedName name="Cena_2a">'OBJEKT_CELKOVÉ NÁKLADY'!$I$144</definedName>
    <definedName name="Cena_2b">'OBJEKT_CELKOVÉ NÁKLADY'!$I$158</definedName>
    <definedName name="Cena_2c">'OBJEKT_CELKOVÉ NÁKLADY'!$I$203</definedName>
    <definedName name="Cena_2d">'OBJEKT_CELKOVÉ NÁKLADY'!$I$218</definedName>
    <definedName name="Cena_2e">'OBJEKT_CELKOVÉ NÁKLADY'!$I$235</definedName>
    <definedName name="Cena_2f">'OBJEKT_CELKOVÉ NÁKLADY'!$I$265</definedName>
    <definedName name="Cena_2g">'OBJEKT_CELKOVÉ NÁKLADY'!$I$274</definedName>
    <definedName name="Cena_2h">'OBJEKT_CELKOVÉ NÁKLADY'!$I$282</definedName>
    <definedName name="Cena_2i">'OBJEKT_CELKOVÉ NÁKLADY'!$I$302</definedName>
    <definedName name="Cena_2j">'OBJEKT_CELKOVÉ NÁKLADY'!$I$344</definedName>
    <definedName name="Cena_2k">'OBJEKT_CELKOVÉ NÁKLADY'!$I$357</definedName>
    <definedName name="Cena_2l">'OBJEKT_CELKOVÉ NÁKLADY'!$I$383</definedName>
    <definedName name="Cena_2m">'OBJEKT_CELKOVÉ NÁKLADY'!$I$401</definedName>
    <definedName name="Cena_3a">'OBJEKT_CELKOVÉ NÁKLADY'!$I$274</definedName>
    <definedName name="Cena_3b">'OBJEKT_CELKOVÉ NÁKLADY'!$I$282</definedName>
    <definedName name="Cena_3c">'OBJEKT_CELKOVÉ NÁKLADY'!$I$302</definedName>
    <definedName name="Cena_3d">'OBJEKT_CELKOVÉ NÁKLADY'!$I$344</definedName>
    <definedName name="Cena_3e">'OBJEKT_CELKOVÉ NÁKLADY'!#REF!</definedName>
    <definedName name="Cena_3f">'OBJEKT_CELKOVÉ NÁKLADY'!#REF!</definedName>
    <definedName name="Cena_3g">'OBJEKT_CELKOVÉ NÁKLADY'!#REF!</definedName>
    <definedName name="Cena_4a">'OBJEKT_CELKOVÉ NÁKLADY'!#REF!</definedName>
    <definedName name="Cena_4b">'OBJEKT_CELKOVÉ NÁKLADY'!#REF!</definedName>
    <definedName name="Cena_4c">'OBJEKT_CELKOVÉ NÁKLADY'!#REF!</definedName>
    <definedName name="Cena_4d">'OBJEKT_CELKOVÉ NÁKLADY'!#REF!</definedName>
    <definedName name="Cena_4e">'OBJEKT_CELKOVÉ NÁKLADY'!#REF!</definedName>
    <definedName name="Cena_5">'OBJEKT_CELKOVÉ NÁKLADY'!#REF!</definedName>
    <definedName name="Cena_6">'OBJEKT_CELKOVÉ NÁKLADY'!#REF!</definedName>
    <definedName name="Cena_dokoncovaci_prace">'OBJEKT_CELKOVÉ NÁKLADY'!$I$407</definedName>
    <definedName name="Cena_doplňky_dodavatele">'OBJEKT_CELKOVÉ NÁKLADY'!#REF!</definedName>
    <definedName name="Dokoncovaci_prace">'OBJEKT_CELKOVÉ NÁKLADY'!$E$403</definedName>
    <definedName name="Doplňky_dodavatele">'OBJEKT_CELKOVÉ NÁKLADY'!#REF!</definedName>
    <definedName name="kap">'OBJEKT_CELKOVÉ NÁKLADY'!#REF!</definedName>
    <definedName name="_kap5">'OBJEKT_CELKOVÉ NÁKLADY'!#REF!</definedName>
    <definedName name="_kap6">'OBJEKT_CELKOVÉ NÁKLADY'!#REF!</definedName>
    <definedName name="kapc">'OBJEKT_CELKOVÉ NÁKLADY'!#REF!</definedName>
    <definedName name="kapd">'OBJEKT_CELKOVÉ NÁKLADY'!#REF!</definedName>
    <definedName name="kape">'OBJEKT_CELKOVÉ NÁKLADY'!#REF!</definedName>
    <definedName name="Kapitola_1">'OBJEKT_CELKOVÉ NÁKLADY'!$E$95</definedName>
    <definedName name="Kapitola_2">'OBJEKT_CELKOVÉ NÁKLADY'!$E$125</definedName>
    <definedName name="Kapitola_2a">'OBJEKT_CELKOVÉ NÁKLADY'!$E$126</definedName>
    <definedName name="Kapitola_2b">'OBJEKT_CELKOVÉ NÁKLADY'!$E$146</definedName>
    <definedName name="Kapitola_2c">'OBJEKT_CELKOVÉ NÁKLADY'!$E$160</definedName>
    <definedName name="Kapitola_2d">'OBJEKT_CELKOVÉ NÁKLADY'!$E$205</definedName>
    <definedName name="Kapitola_2e">'OBJEKT_CELKOVÉ NÁKLADY'!$E$220</definedName>
    <definedName name="Kapitola_2f">'OBJEKT_CELKOVÉ NÁKLADY'!$E$238</definedName>
    <definedName name="Kapitola_2g">'OBJEKT_CELKOVÉ NÁKLADY'!$E$267</definedName>
    <definedName name="Kapitola_2h">'OBJEKT_CELKOVÉ NÁKLADY'!$E$276</definedName>
    <definedName name="Kapitola_2i">'OBJEKT_CELKOVÉ NÁKLADY'!$E$284</definedName>
    <definedName name="Kapitola_2j">'OBJEKT_CELKOVÉ NÁKLADY'!$E$323</definedName>
    <definedName name="Kapitola_2k">'OBJEKT_CELKOVÉ NÁKLADY'!$E$346</definedName>
    <definedName name="Kapitola_2l">'OBJEKT_CELKOVÉ NÁKLADY'!$E$360</definedName>
    <definedName name="Kapitola_2m">'OBJEKT_CELKOVÉ NÁKLADY'!$E$385</definedName>
    <definedName name="Kapitola_3">'OBJEKT_CELKOVÉ NÁKLADY'!#REF!</definedName>
    <definedName name="Kapitola_4">'OBJEKT_CELKOVÉ NÁKLADY'!#REF!</definedName>
    <definedName name="Kapitola_4a">'OBJEKT_CELKOVÉ NÁKLADY'!#REF!</definedName>
    <definedName name="Kapitola_4b">'OBJEKT_CELKOVÉ NÁKLADY'!#REF!</definedName>
    <definedName name="Kapitola_4c">'OBJEKT_CELKOVÉ NÁKLADY'!#REF!</definedName>
    <definedName name="Kapitola_4d">'OBJEKT_CELKOVÉ NÁKLADY'!#REF!</definedName>
    <definedName name="Kapitola_4e">'OBJEKT_CELKOVÉ NÁKLADY'!#REF!</definedName>
    <definedName name="Kapitola_5">'OBJEKT_CELKOVÉ NÁKLADY'!#REF!</definedName>
    <definedName name="Kapitola_6">'OBJEKT_CELKOVÉ NÁKLADY'!#REF!</definedName>
    <definedName name="_xlnm.Print_Titles" localSheetId="0">'OBJEKT_CELKOVÉ NÁKLADY'!$2:$2</definedName>
    <definedName name="_xlnm.Print_Area" localSheetId="0">'OBJEKT_CELKOVÉ NÁKLADY'!$A$1:$I$408</definedName>
    <definedName name="_rek3">'OBJEKT_CELKOVÉ NÁKLADY'!#REF!</definedName>
    <definedName name="_rek4">'OBJEKT_CELKOVÉ NÁKLADY'!#REF!</definedName>
    <definedName name="rek4b">'OBJEKT_CELKOVÉ NÁKLADY'!#REF!</definedName>
    <definedName name="rek4c">'OBJEKT_CELKOVÉ NÁKLADY'!#REF!</definedName>
    <definedName name="rek4d">'OBJEKT_CELKOVÉ NÁKLADY'!#REF!</definedName>
    <definedName name="reka">'OBJEKT_CELKOVÉ NÁKLADY'!#REF!</definedName>
    <definedName name="Rekapitulace_1">'OBJEKT_CELKOVÉ NÁKLADY'!$E$11</definedName>
    <definedName name="Rekapitulace_2">'OBJEKT_CELKOVÉ NÁKLADY'!$E$12</definedName>
    <definedName name="Rekapitulace_2a">'OBJEKT_CELKOVÉ NÁKLADY'!$E$13</definedName>
    <definedName name="Rekapitulace_2b">'OBJEKT_CELKOVÉ NÁKLADY'!$E$14</definedName>
    <definedName name="Rekapitulace_2c">'OBJEKT_CELKOVÉ NÁKLADY'!$E$15</definedName>
    <definedName name="Rekapitulace_2d">'OBJEKT_CELKOVÉ NÁKLADY'!$E$16</definedName>
    <definedName name="Rekapitulace_2e">'OBJEKT_CELKOVÉ NÁKLADY'!$E$17</definedName>
    <definedName name="Rekapitulace_2f">'OBJEKT_CELKOVÉ NÁKLADY'!$E$18</definedName>
    <definedName name="Rekapitulace_2g">'OBJEKT_CELKOVÉ NÁKLADY'!$E$19</definedName>
    <definedName name="Rekapitulace_2h">'OBJEKT_CELKOVÉ NÁKLADY'!$E$20</definedName>
    <definedName name="Rekapitulace_2i">'OBJEKT_CELKOVÉ NÁKLADY'!$E$21</definedName>
    <definedName name="Rekapitulace_2j">'OBJEKT_CELKOVÉ NÁKLADY'!$E$23</definedName>
    <definedName name="Rekapitulace_2k">'OBJEKT_CELKOVÉ NÁKLADY'!$E$24</definedName>
    <definedName name="Rekapitulace_2l">'OBJEKT_CELKOVÉ NÁKLADY'!$E$25</definedName>
    <definedName name="Rekapitulace_2m">'OBJEKT_CELKOVÉ NÁKLADY'!$E$26</definedName>
    <definedName name="Rekapitulace_3">'OBJEKT_CELKOVÉ NÁKLADY'!#REF!</definedName>
    <definedName name="Rekapitulace_3a">'OBJEKT_CELKOVÉ NÁKLADY'!$E$20</definedName>
    <definedName name="Rekapitulace_3b">'OBJEKT_CELKOVÉ NÁKLADY'!#REF!</definedName>
    <definedName name="Rekapitulace_3c">'OBJEKT_CELKOVÉ NÁKLADY'!#REF!</definedName>
    <definedName name="Rekapitulace_3d">'OBJEKT_CELKOVÉ NÁKLADY'!#REF!</definedName>
    <definedName name="Rekapitulace_3e">'OBJEKT_CELKOVÉ NÁKLADY'!#REF!</definedName>
    <definedName name="Rekapitulace_3f">'OBJEKT_CELKOVÉ NÁKLADY'!#REF!</definedName>
    <definedName name="Rekapitulace_3g">'OBJEKT_CELKOVÉ NÁKLADY'!#REF!</definedName>
    <definedName name="Rekapitulace_4">'OBJEKT_CELKOVÉ NÁKLADY'!#REF!</definedName>
    <definedName name="Rekapitulace_4a">'OBJEKT_CELKOVÉ NÁKLADY'!#REF!</definedName>
    <definedName name="Rekapitulace_4b">'OBJEKT_CELKOVÉ NÁKLADY'!#REF!</definedName>
    <definedName name="Rekapitulace_4c">'OBJEKT_CELKOVÉ NÁKLADY'!#REF!</definedName>
    <definedName name="Rekapitulace_4d">'OBJEKT_CELKOVÉ NÁKLADY'!#REF!</definedName>
    <definedName name="Rekapitulace_4e">'OBJEKT_CELKOVÉ NÁKLADY'!#REF!</definedName>
    <definedName name="Rekapitulace_5">'OBJEKT_CELKOVÉ NÁKLADY'!#REF!</definedName>
    <definedName name="Rekapitulace_6">'OBJEKT_CELKOVÉ NÁKLADY'!#REF!</definedName>
    <definedName name="Rekapitulace_Dokončovací_práce">'OBJEKT_CELKOVÉ NÁKLADY'!$E$27</definedName>
    <definedName name="Rekapitulace_Doplňky_dodavatele">'OBJEKT_CELKOVÉ NÁKLADY'!#REF!</definedName>
    <definedName name="rekb">'OBJEKT_CELKOVÉ NÁKLADY'!#REF!</definedName>
    <definedName name="rekc">'OBJEKT_CELKOVÉ NÁKLADY'!#REF!</definedName>
    <definedName name="rekd">'OBJEKT_CELKOVÉ NÁKLADY'!#REF!</definedName>
    <definedName name="reke">'OBJEKT_CELKOVÉ NÁKLADY'!#REF!</definedName>
    <definedName name="rekf">'OBJEKT_CELKOVÉ NÁKLADY'!#REF!</definedName>
    <definedName name="rekg">'OBJEKT_CELKOVÉ NÁKLADY'!#REF!</definedName>
  </definedNames>
  <calcPr calcId="125725" fullCalcOnLoad="1"/>
</workbook>
</file>

<file path=xl/calcChain.xml><?xml version="1.0" encoding="utf-8"?>
<calcChain xmlns="http://schemas.openxmlformats.org/spreadsheetml/2006/main">
  <c r="A215" i="9"/>
  <c r="A216"/>
  <c r="A217"/>
  <c r="A212"/>
  <c r="A213"/>
  <c r="A214"/>
  <c r="H73" i="22"/>
  <c r="H74"/>
  <c r="H281" i="9"/>
  <c r="H67" i="22"/>
  <c r="H66"/>
  <c r="H65"/>
  <c r="H64"/>
  <c r="H63"/>
  <c r="H62"/>
  <c r="H61"/>
  <c r="H60"/>
  <c r="H59"/>
  <c r="H58"/>
  <c r="H57"/>
  <c r="H56"/>
  <c r="A56"/>
  <c r="A57"/>
  <c r="A58"/>
  <c r="A59"/>
  <c r="A60"/>
  <c r="A61"/>
  <c r="A62"/>
  <c r="A63"/>
  <c r="A64"/>
  <c r="A65"/>
  <c r="A66"/>
  <c r="A67"/>
  <c r="H55"/>
  <c r="H50"/>
  <c r="H49"/>
  <c r="H48"/>
  <c r="H47"/>
  <c r="H46"/>
  <c r="H45"/>
  <c r="H44"/>
  <c r="H43"/>
  <c r="H42"/>
  <c r="A42"/>
  <c r="A43"/>
  <c r="A44"/>
  <c r="A45"/>
  <c r="A46"/>
  <c r="A47"/>
  <c r="A48"/>
  <c r="A49"/>
  <c r="A50"/>
  <c r="H4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H5"/>
  <c r="M15" i="9"/>
  <c r="G96"/>
  <c r="I96"/>
  <c r="I97"/>
  <c r="I98"/>
  <c r="I99"/>
  <c r="I100"/>
  <c r="I102"/>
  <c r="G103"/>
  <c r="I104"/>
  <c r="G105"/>
  <c r="I105"/>
  <c r="I106"/>
  <c r="I107"/>
  <c r="I352"/>
  <c r="G399"/>
  <c r="I399"/>
  <c r="G398"/>
  <c r="I398"/>
  <c r="G391"/>
  <c r="G392"/>
  <c r="I392"/>
  <c r="I380"/>
  <c r="G378"/>
  <c r="G372"/>
  <c r="I372"/>
  <c r="G368"/>
  <c r="I368"/>
  <c r="G365"/>
  <c r="I365"/>
  <c r="I338"/>
  <c r="I332"/>
  <c r="I330"/>
  <c r="I342"/>
  <c r="I341"/>
  <c r="I340"/>
  <c r="I337"/>
  <c r="I335"/>
  <c r="I331"/>
  <c r="I336"/>
  <c r="I334"/>
  <c r="I314"/>
  <c r="I313"/>
  <c r="I311"/>
  <c r="I294"/>
  <c r="I248"/>
  <c r="I256"/>
  <c r="I254"/>
  <c r="I249"/>
  <c r="I250"/>
  <c r="I252"/>
  <c r="I246"/>
  <c r="I245"/>
  <c r="I244"/>
  <c r="I215"/>
  <c r="G198"/>
  <c r="G200"/>
  <c r="G190"/>
  <c r="I190"/>
  <c r="G168"/>
  <c r="G197"/>
  <c r="G188"/>
  <c r="I188"/>
  <c r="I189"/>
  <c r="I166"/>
  <c r="G183"/>
  <c r="I183"/>
  <c r="G164"/>
  <c r="G166"/>
  <c r="G163"/>
  <c r="I163"/>
  <c r="R102"/>
  <c r="G369"/>
  <c r="G366"/>
  <c r="I366"/>
  <c r="A97"/>
  <c r="A98"/>
  <c r="A99"/>
  <c r="A100"/>
  <c r="A102"/>
  <c r="A103"/>
  <c r="A104"/>
  <c r="A105"/>
  <c r="A106"/>
  <c r="A107"/>
  <c r="A108"/>
  <c r="A109"/>
  <c r="A110"/>
  <c r="A112"/>
  <c r="A114"/>
  <c r="A115"/>
  <c r="A116"/>
  <c r="A117"/>
  <c r="A118"/>
  <c r="A119"/>
  <c r="A120"/>
  <c r="A121"/>
  <c r="A122"/>
  <c r="A127"/>
  <c r="A129"/>
  <c r="A132"/>
  <c r="A133"/>
  <c r="A134"/>
  <c r="A136"/>
  <c r="A138"/>
  <c r="A139"/>
  <c r="A140"/>
  <c r="A141"/>
  <c r="A142"/>
  <c r="A143"/>
  <c r="A151"/>
  <c r="A153"/>
  <c r="A156"/>
  <c r="A157"/>
  <c r="A163"/>
  <c r="A164"/>
  <c r="G127"/>
  <c r="I127"/>
  <c r="G129"/>
  <c r="I129"/>
  <c r="I142"/>
  <c r="I133"/>
  <c r="I132"/>
  <c r="I164"/>
  <c r="G178"/>
  <c r="G181"/>
  <c r="I181"/>
  <c r="G179"/>
  <c r="G180"/>
  <c r="I180"/>
  <c r="I185"/>
  <c r="G186"/>
  <c r="I186"/>
  <c r="I201"/>
  <c r="G210"/>
  <c r="I210"/>
  <c r="G217"/>
  <c r="I211"/>
  <c r="I212"/>
  <c r="G226"/>
  <c r="I226"/>
  <c r="G227"/>
  <c r="I227"/>
  <c r="G228"/>
  <c r="I228"/>
  <c r="I229"/>
  <c r="I230"/>
  <c r="I247"/>
  <c r="I251"/>
  <c r="I253"/>
  <c r="I255"/>
  <c r="I257"/>
  <c r="I258"/>
  <c r="I259"/>
  <c r="I260"/>
  <c r="I261"/>
  <c r="M18"/>
  <c r="I290"/>
  <c r="I291"/>
  <c r="I292"/>
  <c r="I293"/>
  <c r="I295"/>
  <c r="I296"/>
  <c r="I297"/>
  <c r="I298"/>
  <c r="I315"/>
  <c r="I318"/>
  <c r="I333"/>
  <c r="I339"/>
  <c r="I353"/>
  <c r="I355"/>
  <c r="G374"/>
  <c r="G375"/>
  <c r="G367"/>
  <c r="I367"/>
  <c r="G376"/>
  <c r="I376"/>
  <c r="I378"/>
  <c r="G371"/>
  <c r="I371"/>
  <c r="I373"/>
  <c r="I381"/>
  <c r="G396"/>
  <c r="I396"/>
  <c r="G397"/>
  <c r="I397"/>
  <c r="M26"/>
  <c r="I404"/>
  <c r="M27"/>
  <c r="I405"/>
  <c r="I406"/>
  <c r="L27"/>
  <c r="G377"/>
  <c r="G379"/>
  <c r="I379"/>
  <c r="I370"/>
  <c r="I354"/>
  <c r="I329"/>
  <c r="I312"/>
  <c r="G316"/>
  <c r="I316"/>
  <c r="M22"/>
  <c r="I317"/>
  <c r="I319"/>
  <c r="I225"/>
  <c r="I233"/>
  <c r="I213"/>
  <c r="I214"/>
  <c r="I216"/>
  <c r="I184"/>
  <c r="G151"/>
  <c r="I151"/>
  <c r="G153"/>
  <c r="I153"/>
  <c r="G134"/>
  <c r="G138"/>
  <c r="I138"/>
  <c r="G136"/>
  <c r="I108"/>
  <c r="I109"/>
  <c r="G110"/>
  <c r="I110"/>
  <c r="G112"/>
  <c r="I112"/>
  <c r="G114"/>
  <c r="I114"/>
  <c r="I115"/>
  <c r="R99"/>
  <c r="O104"/>
  <c r="R104"/>
  <c r="R108"/>
  <c r="R109"/>
  <c r="R98"/>
  <c r="J66" i="22"/>
  <c r="J65"/>
  <c r="J62"/>
  <c r="J57"/>
  <c r="J54"/>
  <c r="J46"/>
  <c r="J45"/>
  <c r="J44"/>
  <c r="J43"/>
  <c r="J42"/>
  <c r="J39"/>
  <c r="J38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L21" i="9"/>
  <c r="E22"/>
  <c r="M20"/>
  <c r="M19"/>
  <c r="M29" s="1"/>
  <c r="I45" s="1"/>
  <c r="M17"/>
  <c r="M16"/>
  <c r="L14"/>
  <c r="L13"/>
  <c r="E12"/>
  <c r="E26"/>
  <c r="E25"/>
  <c r="E24"/>
  <c r="E23"/>
  <c r="E21"/>
  <c r="E20"/>
  <c r="E19"/>
  <c r="E18"/>
  <c r="E17"/>
  <c r="E16"/>
  <c r="E15"/>
  <c r="E14"/>
  <c r="E13"/>
  <c r="E27"/>
  <c r="E11"/>
  <c r="M24"/>
  <c r="M25"/>
  <c r="G187"/>
  <c r="G139"/>
  <c r="I139"/>
  <c r="I178"/>
  <c r="I136"/>
  <c r="Q110"/>
  <c r="R110"/>
  <c r="R96"/>
  <c r="G231"/>
  <c r="M11"/>
  <c r="H273"/>
  <c r="I273" s="1"/>
  <c r="I377"/>
  <c r="I369"/>
  <c r="G140"/>
  <c r="I140"/>
  <c r="G143"/>
  <c r="I143"/>
  <c r="G182"/>
  <c r="I182"/>
  <c r="G356"/>
  <c r="I356"/>
  <c r="L24"/>
  <c r="N24"/>
  <c r="I134"/>
  <c r="G156"/>
  <c r="I156"/>
  <c r="I407"/>
  <c r="I27"/>
  <c r="O27" s="1"/>
  <c r="G234"/>
  <c r="I234"/>
  <c r="G262"/>
  <c r="I262"/>
  <c r="G343"/>
  <c r="I343"/>
  <c r="M23"/>
  <c r="I375"/>
  <c r="G155"/>
  <c r="I155"/>
  <c r="I374"/>
  <c r="G382"/>
  <c r="I382"/>
  <c r="L25"/>
  <c r="N25"/>
  <c r="I187"/>
  <c r="I357"/>
  <c r="H24"/>
  <c r="N27"/>
  <c r="Q112"/>
  <c r="R112"/>
  <c r="G141"/>
  <c r="I141"/>
  <c r="G232"/>
  <c r="I232"/>
  <c r="I231"/>
  <c r="G393"/>
  <c r="G390"/>
  <c r="I390"/>
  <c r="G320"/>
  <c r="I320"/>
  <c r="L22"/>
  <c r="N22"/>
  <c r="I168"/>
  <c r="I391"/>
  <c r="G199"/>
  <c r="G196"/>
  <c r="L23"/>
  <c r="I179"/>
  <c r="G177"/>
  <c r="I177"/>
  <c r="I103"/>
  <c r="R103"/>
  <c r="R116"/>
  <c r="G116"/>
  <c r="G157"/>
  <c r="I157"/>
  <c r="G299"/>
  <c r="I281"/>
  <c r="A166"/>
  <c r="A165"/>
  <c r="G263"/>
  <c r="J34" i="22"/>
  <c r="J47"/>
  <c r="H51"/>
  <c r="H272" i="9"/>
  <c r="I272" s="1"/>
  <c r="H38" i="22"/>
  <c r="H271" i="9"/>
  <c r="I271" s="1"/>
  <c r="J67" i="22"/>
  <c r="H69"/>
  <c r="H280" i="9"/>
  <c r="I280" s="1"/>
  <c r="O24"/>
  <c r="H76" i="22"/>
  <c r="H77"/>
  <c r="H78"/>
  <c r="L17" i="9"/>
  <c r="N17"/>
  <c r="I344"/>
  <c r="H23"/>
  <c r="I144"/>
  <c r="H13"/>
  <c r="I158"/>
  <c r="H14"/>
  <c r="M13"/>
  <c r="N13"/>
  <c r="M14"/>
  <c r="N14"/>
  <c r="N23"/>
  <c r="G195"/>
  <c r="I195"/>
  <c r="I196"/>
  <c r="G202"/>
  <c r="I202"/>
  <c r="L15"/>
  <c r="N15"/>
  <c r="G120"/>
  <c r="I120"/>
  <c r="G121"/>
  <c r="I121"/>
  <c r="I116"/>
  <c r="G117"/>
  <c r="I117"/>
  <c r="G118"/>
  <c r="I118"/>
  <c r="G119"/>
  <c r="I119"/>
  <c r="G122"/>
  <c r="I122"/>
  <c r="I299"/>
  <c r="G300"/>
  <c r="I321"/>
  <c r="H22"/>
  <c r="O22"/>
  <c r="I383"/>
  <c r="H25"/>
  <c r="O25"/>
  <c r="G394"/>
  <c r="I393"/>
  <c r="I235"/>
  <c r="H17"/>
  <c r="O23"/>
  <c r="G264"/>
  <c r="I264"/>
  <c r="I263"/>
  <c r="A167"/>
  <c r="A168"/>
  <c r="A177"/>
  <c r="A178"/>
  <c r="J70" i="22"/>
  <c r="O14" i="9"/>
  <c r="O13"/>
  <c r="O17"/>
  <c r="I203"/>
  <c r="H15"/>
  <c r="O15" s="1"/>
  <c r="L11"/>
  <c r="N11"/>
  <c r="I123"/>
  <c r="I11"/>
  <c r="G395"/>
  <c r="I395"/>
  <c r="I394"/>
  <c r="G400"/>
  <c r="I400"/>
  <c r="G301"/>
  <c r="I301"/>
  <c r="I300"/>
  <c r="A180"/>
  <c r="A181"/>
  <c r="A182"/>
  <c r="A183"/>
  <c r="A184"/>
  <c r="A185"/>
  <c r="A186"/>
  <c r="A187"/>
  <c r="A188"/>
  <c r="A189"/>
  <c r="A190"/>
  <c r="A195"/>
  <c r="A196"/>
  <c r="A201"/>
  <c r="A202"/>
  <c r="A210"/>
  <c r="A211"/>
  <c r="A225"/>
  <c r="A226"/>
  <c r="A227"/>
  <c r="A228"/>
  <c r="A229"/>
  <c r="A230"/>
  <c r="A231"/>
  <c r="A232"/>
  <c r="A233"/>
  <c r="A234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71"/>
  <c r="A272"/>
  <c r="A280"/>
  <c r="A281"/>
  <c r="A290"/>
  <c r="A291"/>
  <c r="A292"/>
  <c r="A293"/>
  <c r="A294"/>
  <c r="A295"/>
  <c r="A296"/>
  <c r="A297"/>
  <c r="A298"/>
  <c r="A299"/>
  <c r="A300"/>
  <c r="A301"/>
  <c r="A311"/>
  <c r="A312"/>
  <c r="A313"/>
  <c r="A179"/>
  <c r="I217"/>
  <c r="L16"/>
  <c r="L18"/>
  <c r="N18"/>
  <c r="I265"/>
  <c r="H18"/>
  <c r="O18" s="1"/>
  <c r="I218"/>
  <c r="H16"/>
  <c r="O11"/>
  <c r="M21"/>
  <c r="N21"/>
  <c r="I302"/>
  <c r="H21"/>
  <c r="O21" s="1"/>
  <c r="L26"/>
  <c r="N26"/>
  <c r="I401"/>
  <c r="H26"/>
  <c r="O26" s="1"/>
  <c r="N16"/>
  <c r="A314"/>
  <c r="A315"/>
  <c r="A316"/>
  <c r="A317"/>
  <c r="A318"/>
  <c r="A319"/>
  <c r="A320"/>
  <c r="A329"/>
  <c r="A330"/>
  <c r="A331"/>
  <c r="A332"/>
  <c r="A333"/>
  <c r="A334"/>
  <c r="A335"/>
  <c r="A336"/>
  <c r="A337"/>
  <c r="A339"/>
  <c r="A340"/>
  <c r="A341"/>
  <c r="A342"/>
  <c r="A343"/>
  <c r="A352"/>
  <c r="A353"/>
  <c r="A354"/>
  <c r="A355"/>
  <c r="A35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90"/>
  <c r="A391"/>
  <c r="A392"/>
  <c r="A393"/>
  <c r="A394"/>
  <c r="A395"/>
  <c r="A396"/>
  <c r="A397"/>
  <c r="A398"/>
  <c r="A399"/>
  <c r="A400"/>
  <c r="A404"/>
  <c r="A405"/>
  <c r="A406"/>
  <c r="O16"/>
  <c r="I282" l="1"/>
  <c r="H20" s="1"/>
  <c r="L20"/>
  <c r="N20" s="1"/>
  <c r="I12"/>
  <c r="I29" s="1"/>
  <c r="I274"/>
  <c r="H19" s="1"/>
  <c r="L19"/>
  <c r="I33" l="1"/>
  <c r="I32"/>
  <c r="I37" s="1"/>
  <c r="N19"/>
  <c r="L29"/>
  <c r="J45"/>
  <c r="O20"/>
  <c r="O19"/>
  <c r="N29" l="1"/>
  <c r="I44"/>
  <c r="I40"/>
  <c r="I31"/>
  <c r="I35" s="1"/>
  <c r="I49" l="1"/>
  <c r="I53" s="1"/>
  <c r="J53" s="1"/>
  <c r="J44"/>
  <c r="I48" s="1"/>
  <c r="I52" s="1"/>
  <c r="J52" s="1"/>
</calcChain>
</file>

<file path=xl/sharedStrings.xml><?xml version="1.0" encoding="utf-8"?>
<sst xmlns="http://schemas.openxmlformats.org/spreadsheetml/2006/main" count="1146" uniqueCount="561">
  <si>
    <t>0,93*0,34</t>
  </si>
  <si>
    <t>(1,35+0,48)*2,4</t>
  </si>
  <si>
    <t>4+3,5</t>
  </si>
  <si>
    <t>Poměrová měřidla</t>
  </si>
  <si>
    <t>Podlaha z PVC -dekor dřevo, specifikace dle PD, vč. prořezu 10%</t>
  </si>
  <si>
    <t>Osazení ocelové zárubně zazdíváním, do 2,5m2</t>
  </si>
  <si>
    <t>Zárubeň ocelová 800/1970mm pro zazdění, ústí do 100mm dle specifikace v PD, včetně těsnění a povrchové úpravy</t>
  </si>
  <si>
    <t>Revizní sdk dvířka pro obklad s tlačným zámkem a závesy 150/250mm (u uzávěru vody a vodměru), včetně kotvícího materiálu</t>
  </si>
  <si>
    <t>403.01 =  2,5*2,6</t>
  </si>
  <si>
    <t>2,5*(1,1+2,69)+2*0,45*0,35+0,26*2,83</t>
  </si>
  <si>
    <t>403.01 =  3,31*2,5+2,23*2,5</t>
  </si>
  <si>
    <t>403.04 =  3,62*2,5-0,9*2,02</t>
  </si>
  <si>
    <t>403.02 =  6,2*2,83-0,9*2,02</t>
  </si>
  <si>
    <t>403.01 =  0</t>
  </si>
  <si>
    <t>403.02 =  (5,38+1,02)*2,83+0,83*2,94+6,2*2,83-0,9*2,02</t>
  </si>
  <si>
    <t>403.03 =  7,39*2,83-2*0,9*2,02+1,24*0,63</t>
  </si>
  <si>
    <t>403.03 =  8,79*2,83-2,6*1,85+5,36*2,83-2*0,9*2,02+0,79*2,83</t>
  </si>
  <si>
    <t>403.04 =  1,94*2,6-0,9*2,02+3,62*2,5-0,9*2,02</t>
  </si>
  <si>
    <t>403.04 =  1,94*2,6-0,9*2,02</t>
  </si>
  <si>
    <t>403.02 =  (5,38+1,02)*2,83+0,83*2,94+12</t>
  </si>
  <si>
    <t>403.03 =  8,79*2,83-2,6*1,85+0,79*2,03+16,1</t>
  </si>
  <si>
    <t>Baterie sprchová nástěnná páková včetně sprchového setu a příslušenství - specifikace dle PD</t>
  </si>
  <si>
    <t>počet mj</t>
  </si>
  <si>
    <t>cena mj</t>
  </si>
  <si>
    <t>cena celkem</t>
  </si>
  <si>
    <t>Rekapitulace</t>
  </si>
  <si>
    <t>Celkem základní cena</t>
  </si>
  <si>
    <t>Náklady umístění stavby (NÚS)</t>
  </si>
  <si>
    <t>Zařízení staveniště</t>
  </si>
  <si>
    <t>DPH stavby</t>
  </si>
  <si>
    <t>Celkem vč. DPH</t>
  </si>
  <si>
    <t>Poznámky pro uchazeče</t>
  </si>
  <si>
    <t>Jednotkové ceny by měly obsahovat:</t>
  </si>
  <si>
    <t>b) náklady na opatření k zajištění bezpečnosti práce</t>
  </si>
  <si>
    <t xml:space="preserve">e) náklady na protihluková a protiprašná zařízení </t>
  </si>
  <si>
    <t>kpl</t>
  </si>
  <si>
    <t>m2</t>
  </si>
  <si>
    <t>Celkem</t>
  </si>
  <si>
    <t>ks</t>
  </si>
  <si>
    <t>m</t>
  </si>
  <si>
    <t>t</t>
  </si>
  <si>
    <t>počet</t>
  </si>
  <si>
    <t>celkem</t>
  </si>
  <si>
    <t>HZS</t>
  </si>
  <si>
    <t>%</t>
  </si>
  <si>
    <t>2</t>
  </si>
  <si>
    <t>D</t>
  </si>
  <si>
    <t>M</t>
  </si>
  <si>
    <t>kg</t>
  </si>
  <si>
    <t>Pokud není samostaně uvedeno v jedn. cenách kalkulována svislá doprava vč. naložení na dopravní prostředek</t>
  </si>
  <si>
    <t>Pokud nejsou výrobky vyspecifikovány ve výkazu, platí specifikace uvedená v projektové dokumentaci</t>
  </si>
  <si>
    <t>Dokončovací práce</t>
  </si>
  <si>
    <t>M+D</t>
  </si>
  <si>
    <t>2a</t>
  </si>
  <si>
    <t>2b</t>
  </si>
  <si>
    <t>2c</t>
  </si>
  <si>
    <t>2d</t>
  </si>
  <si>
    <t>2e</t>
  </si>
  <si>
    <t>2f</t>
  </si>
  <si>
    <t>2g</t>
  </si>
  <si>
    <t>Konstrukce zámečnické</t>
  </si>
  <si>
    <t xml:space="preserve">Přesun hmot, doprava, režie - stanovený procentní sazbou </t>
  </si>
  <si>
    <t>Soupis stavebních prací, výkonů a služeb</t>
  </si>
  <si>
    <t>Pokud nejsou výměry uvedeny ve vzorci u jednotlivých buněk, byly změřeny z CAD výkresu</t>
  </si>
  <si>
    <t>Přesun hmot, doprava, režie - stanovený procentní sazbou</t>
  </si>
  <si>
    <t>f) náklady na zkoušky a atesty během výstavby, výkresy skutečného provedení a zúčtovací podklady</t>
  </si>
  <si>
    <t>g)  náklady na požadované záruky, pojištění a ostatní finanční náklady</t>
  </si>
  <si>
    <t>2h</t>
  </si>
  <si>
    <t>Stěny a příčky</t>
  </si>
  <si>
    <t>Stropy a stropní konstrukce</t>
  </si>
  <si>
    <t>Zdravotechnika - vnitřní kanalizace</t>
  </si>
  <si>
    <t>Zdravotechnika - vnitřní vodovod</t>
  </si>
  <si>
    <t xml:space="preserve">Zdravotechnika - zařizovací předměty, armatury </t>
  </si>
  <si>
    <t>Vzduchotechnika</t>
  </si>
  <si>
    <t>Konstrukce truhlářské</t>
  </si>
  <si>
    <t>Podlahy z dlaždic</t>
  </si>
  <si>
    <t>KDI1-M</t>
  </si>
  <si>
    <t>KDI1-D</t>
  </si>
  <si>
    <t>Těsnící stěrka, předpokládaná spotřeba 1,2 kg/m2</t>
  </si>
  <si>
    <t>Těsnící stěrka, předpokládaná spotřeba 1,5 kg/m2</t>
  </si>
  <si>
    <t>Zkouška těsnosti potrubí kanalizace vodou do DN 125</t>
  </si>
  <si>
    <t>Příplatek za nestandardní povrchovou úpravu Q3</t>
  </si>
  <si>
    <t>KD1-D</t>
  </si>
  <si>
    <t>SOK1-D</t>
  </si>
  <si>
    <t>SOK1-M</t>
  </si>
  <si>
    <t>D1-D</t>
  </si>
  <si>
    <t>Al ukončovací lišta profilu L10mm, vč. prořezu 10%</t>
  </si>
  <si>
    <t>Vnitrostaveništní doprava suti a vybouraných hmot</t>
  </si>
  <si>
    <t>Vyvěšení dřevěných dveřních křídel pl. do 2 m2</t>
  </si>
  <si>
    <t>Demontáž uzávěrek zápachových jednoduchých</t>
  </si>
  <si>
    <t>2i</t>
  </si>
  <si>
    <t>2j</t>
  </si>
  <si>
    <t>2k</t>
  </si>
  <si>
    <t>2l</t>
  </si>
  <si>
    <t>2m</t>
  </si>
  <si>
    <t>Autonomní hlásič kouře</t>
  </si>
  <si>
    <t>Uzávěrka zápachová pračková podomítková společná s připojovacím kolenem na vodovod, nerez krytka</t>
  </si>
  <si>
    <t>Materiál + montáž silnoproudých rozvodů celkem</t>
  </si>
  <si>
    <t>Rozvodnice RB celkem</t>
  </si>
  <si>
    <t>Různé</t>
  </si>
  <si>
    <t>soubor</t>
  </si>
  <si>
    <t>Montáž - stanoveno procentní sazbou z dodávky</t>
  </si>
  <si>
    <t>Kompletace - stanoveno procentní sazbou z dodávky</t>
  </si>
  <si>
    <t>Ventil rohový G 1/2 bez připojovací hadičky</t>
  </si>
  <si>
    <t>ELEKTROINSTALACE</t>
  </si>
  <si>
    <t>SILNOPROUD</t>
  </si>
  <si>
    <t>Položka</t>
  </si>
  <si>
    <t>Materiál + montáž</t>
  </si>
  <si>
    <t>materiál</t>
  </si>
  <si>
    <t>montáž</t>
  </si>
  <si>
    <t>jen materiál</t>
  </si>
  <si>
    <t>B - svítidlo stropní  LED,16W, IP20</t>
  </si>
  <si>
    <t>R</t>
  </si>
  <si>
    <t>zásuvka 230V</t>
  </si>
  <si>
    <t>spínač č.1 - jednopólový</t>
  </si>
  <si>
    <t>rámeček 1x - jednoduchý</t>
  </si>
  <si>
    <t>rámeček 2x, dvojrámeček</t>
  </si>
  <si>
    <t>krabice přístrojová KP</t>
  </si>
  <si>
    <t>hmoždinky vč.vrutu, vrtání</t>
  </si>
  <si>
    <t>vodič CY 4 - zel.žl.</t>
  </si>
  <si>
    <t>rozvodnice RB</t>
  </si>
  <si>
    <t>přezkoušení vedení</t>
  </si>
  <si>
    <t>práce neoceněné položkami ceníku (drobný pomocný materiál)</t>
  </si>
  <si>
    <t>soub</t>
  </si>
  <si>
    <t>hod</t>
  </si>
  <si>
    <t>revize el.zařízení</t>
  </si>
  <si>
    <t xml:space="preserve">Materiál + montáž silnoproud celkem </t>
  </si>
  <si>
    <t>proudový chránič 25/2/0,03</t>
  </si>
  <si>
    <t>svorkovnice KLM</t>
  </si>
  <si>
    <t>zapojení rozvaděče</t>
  </si>
  <si>
    <t>SLABOPROUD</t>
  </si>
  <si>
    <t xml:space="preserve">Materiál + montáž slaboproud celkem </t>
  </si>
  <si>
    <t>Dokumentace skutečného provedení (2 vyhotovení)</t>
  </si>
  <si>
    <t xml:space="preserve">Celkem </t>
  </si>
  <si>
    <t>Celkové rozpočtové náklady elektroinstalace bez DPH</t>
  </si>
  <si>
    <t xml:space="preserve">DPH </t>
  </si>
  <si>
    <t>Cena vč. DPH</t>
  </si>
  <si>
    <t>Poznámky pro zhotovitele</t>
  </si>
  <si>
    <t xml:space="preserve"> - náklady na opatření k zajištění bezpečnosti práce</t>
  </si>
  <si>
    <t xml:space="preserve"> - náklady na protihluková a protiprašná zařízení </t>
  </si>
  <si>
    <t xml:space="preserve"> - náklady na požadované záruky, pojištění a ostatní finanční náklady.</t>
  </si>
  <si>
    <t xml:space="preserve"> - náklady na prořez a ztratné zabudovaného materiálu</t>
  </si>
  <si>
    <t>Materiál + montáž slaboproud celkem</t>
  </si>
  <si>
    <t>Zakrytí okenních výplní PE folií vč. dodání</t>
  </si>
  <si>
    <t>Stavební úpravy bytové jednotky</t>
  </si>
  <si>
    <t>Keramický obklad dle specifikace v PD, vč. prořezu 10%</t>
  </si>
  <si>
    <t>Stavební přípomoce</t>
  </si>
  <si>
    <t>Zrcadlo s poličkou</t>
  </si>
  <si>
    <t>D2-D</t>
  </si>
  <si>
    <t>Kompletační činnost včetně pravidelného úklidu staveniště</t>
  </si>
  <si>
    <t>SOK2-D</t>
  </si>
  <si>
    <t>SOK2-M</t>
  </si>
  <si>
    <t>o</t>
  </si>
  <si>
    <t>Rozdělení podle investic a oprav (bez NÚS a DPH)</t>
  </si>
  <si>
    <t>Opravy</t>
  </si>
  <si>
    <t>Investice</t>
  </si>
  <si>
    <t>Rozdělení NÚS podle investic a oprav</t>
  </si>
  <si>
    <t>Rozdělení podle investic a oprav vč. NÚS bez DPH</t>
  </si>
  <si>
    <t>i</t>
  </si>
  <si>
    <t>Cena bez DPH</t>
  </si>
  <si>
    <t>Keramická dlažba dle specifikace v PD vč. prořezu 10%, včetně lepícího tmelu</t>
  </si>
  <si>
    <t>KD(I)1-M</t>
  </si>
  <si>
    <t xml:space="preserve">Demontáž připojovacího potrubí kanalizace, vodovodu </t>
  </si>
  <si>
    <t>2n</t>
  </si>
  <si>
    <t>Přípravné a bourací práce</t>
  </si>
  <si>
    <t xml:space="preserve">Tmelení akrylátovým tmelem </t>
  </si>
  <si>
    <t>Úpravy povrchů vnitřní (stěny, stropy)</t>
  </si>
  <si>
    <t xml:space="preserve">Stavební přípomoce </t>
  </si>
  <si>
    <t>Hydroizolační koutová těsnící páska vč. rohových tvarovek (svislé stěny)</t>
  </si>
  <si>
    <t>Hydroizolační koutová těsnící páska vč. rohových tvarovek (vororovné plochy)</t>
  </si>
  <si>
    <t>DU1</t>
  </si>
  <si>
    <t>DU2</t>
  </si>
  <si>
    <t>DU3-M</t>
  </si>
  <si>
    <t>DU3a-D</t>
  </si>
  <si>
    <t>DU3b-D</t>
  </si>
  <si>
    <t>DU3-D</t>
  </si>
  <si>
    <t xml:space="preserve"> </t>
  </si>
  <si>
    <t>V2</t>
  </si>
  <si>
    <t>DU4</t>
  </si>
  <si>
    <t>D3-D</t>
  </si>
  <si>
    <t xml:space="preserve">Tmelení spár u obkladu, soklu a dlažby (svislé + vodorovné), tmelení návazností na zárubně, zařizovací předměty </t>
  </si>
  <si>
    <t>V1</t>
  </si>
  <si>
    <t xml:space="preserve">Elektroinstalace - silnoproud </t>
  </si>
  <si>
    <t>Elektroinstalace - slaboproud</t>
  </si>
  <si>
    <r>
      <rPr>
        <i/>
        <sz val="10"/>
        <rFont val="Arial CE"/>
        <family val="2"/>
        <charset val="238"/>
      </rPr>
      <t>Investor:</t>
    </r>
    <r>
      <rPr>
        <sz val="14"/>
        <rFont val="Arial CE"/>
        <family val="2"/>
        <charset val="238"/>
      </rPr>
      <t xml:space="preserve"> Městská Část Praha 5 zastoupená firmou Centra a.s.</t>
    </r>
  </si>
  <si>
    <t>svorka Bernard vč.Cu pásku</t>
  </si>
  <si>
    <t>krabicová rozvodka KR 68</t>
  </si>
  <si>
    <t>ukončení vodiče</t>
  </si>
  <si>
    <t>frézování drážky na stěnách a stropech</t>
  </si>
  <si>
    <t>sekání průrazů</t>
  </si>
  <si>
    <t>sekání (vrtání) otvoru pro krabice</t>
  </si>
  <si>
    <t>demontážní práce</t>
  </si>
  <si>
    <t>proudový chránič 16/1N/0,03</t>
  </si>
  <si>
    <t>televizní zásuvka STA</t>
  </si>
  <si>
    <t>krabice přístrojová</t>
  </si>
  <si>
    <t>koaxiální kabel</t>
  </si>
  <si>
    <t>Vybourání ocelových dveřních zárubní pl. do 2 m2 ze zdiva vč. prahu</t>
  </si>
  <si>
    <t>PR1</t>
  </si>
  <si>
    <t>Baterie dřezová stojánková páková směšovací, chrom,  vč.flexo hadiček - specifikace dle PD</t>
  </si>
  <si>
    <t>KD(I) 1</t>
  </si>
  <si>
    <t xml:space="preserve">opravy </t>
  </si>
  <si>
    <t xml:space="preserve">investice </t>
  </si>
  <si>
    <t xml:space="preserve">kontrola </t>
  </si>
  <si>
    <t>SK1,2-M</t>
  </si>
  <si>
    <t>DU5</t>
  </si>
  <si>
    <t>D1-4-M</t>
  </si>
  <si>
    <t>Protipožární zárubeň ocelová 800/1970 do hotového otvoru, ústí do 150mm dle specifikace v PD, včetně povrchové úpravy</t>
  </si>
  <si>
    <t>Podlahy dřevěné a povlakové</t>
  </si>
  <si>
    <t>Lišta hliníková přechodová, různý typ podlahové krytiny. Podrobně viz tabulka prvků PSV</t>
  </si>
  <si>
    <t>Oblouk horizontální 90°</t>
  </si>
  <si>
    <t>Redukce z 100/125mm</t>
  </si>
  <si>
    <t>Etážové topení</t>
  </si>
  <si>
    <t>DU3</t>
  </si>
  <si>
    <t>SK2</t>
  </si>
  <si>
    <t>Napuštění topného systému včetně odvzdušnění</t>
  </si>
  <si>
    <t>Stavební přípomoce - drážky, prostupy, zapravení</t>
  </si>
  <si>
    <t>CYKYLo 3Cx1,5</t>
  </si>
  <si>
    <t>Vestavná el. trouba ref. vyýrobek MORA VT 433 BX</t>
  </si>
  <si>
    <t>poznámka</t>
  </si>
  <si>
    <t>Stavební úpravy bytové jednotky č.3, Ostrovského 11/16, 150 00 Praha 5</t>
  </si>
  <si>
    <t>Montáž žebříkového tělesa</t>
  </si>
  <si>
    <t>Elektrický topný žebřík vč. regulátoru teploty, 450/30/790mm</t>
  </si>
  <si>
    <t>Zpětná montáž původních těles UT, včetně doplnění termostatických ventilů</t>
  </si>
  <si>
    <t>Úprava připojovacího potrubí tělesa</t>
  </si>
  <si>
    <t>Demontáž větracích mřížek</t>
  </si>
  <si>
    <t>Demontáž ocelových těles UT a uskladnění vč. zavíčkování potrubí</t>
  </si>
  <si>
    <t>koupelna 1,53*2,83</t>
  </si>
  <si>
    <t>příčky pokoje (4,17+3,65+2,15+0,55)*2,835</t>
  </si>
  <si>
    <t>dozdívky 2,05*0,9+2*1,24*0,63</t>
  </si>
  <si>
    <t>příčky 2,83*(2,03+1,585+2,525+3,77)-2*0,9*2,02</t>
  </si>
  <si>
    <t>DS1</t>
  </si>
  <si>
    <t>DS2</t>
  </si>
  <si>
    <t>(0,45+0,2)*2,03 + 1,1</t>
  </si>
  <si>
    <t>Rezerva Odbočka HTDA,  DN75/75/67° napojená na litinové potrubí</t>
  </si>
  <si>
    <t>Stavební pouzdro pro příčku 100mm, pro světlý průchod 700/1970mm</t>
  </si>
  <si>
    <t>Zkrácení a zaslepení odbočky na stoupačce</t>
  </si>
  <si>
    <t>Úprava polohy uzávěrů vody a příprava pro osazení vodoměrů</t>
  </si>
  <si>
    <t>Zpětná klapka pro potrubí 100 mm</t>
  </si>
  <si>
    <t>VZT PVC potrubí plastové kruhové hladké potrubí 100mm včetně spojek a upevňovacích spon</t>
  </si>
  <si>
    <t>Odpadní potrubí vzduchu DN125 z falcovaného potrubí z pozinkovaného plechu - SPIRO, umístěné ve světlíku vč. kotvení</t>
  </si>
  <si>
    <t>T kus vč. víčka - úprava na sběr kondenzátu</t>
  </si>
  <si>
    <t>Koleno z pozinkovaného plechu 90°</t>
  </si>
  <si>
    <t>Ukončovací výfuková protidešťová střížka</t>
  </si>
  <si>
    <t>Radiální ventilátor pro horizontální montáž dle spec. ve TZ</t>
  </si>
  <si>
    <t>Dveře dřevěné vnitřní 1křídlové 750x1985mm včetně obložkové zárubně dle specifikace v PD</t>
  </si>
  <si>
    <t>Práh dřevěný d. 800 mm, š.250mm, vč. povrchové úpravy a kotvení</t>
  </si>
  <si>
    <t>Dveře dřevěné vnitřní 1křídlové prosklené 80x197 cm dle specifikace v PD</t>
  </si>
  <si>
    <t>Dveře dřevěné vstupní 1křídlové 80x197 cm, s požární odlností EI30DP3, dle specifikace v PD</t>
  </si>
  <si>
    <t>Vestavná nerezová digestoř fer. Výrobek Mora OP 520 X, vč. montáže</t>
  </si>
  <si>
    <t>Vysávání podlah prům.vysavačem pod povlak.podlahy</t>
  </si>
  <si>
    <t>Demontáž rolet oken vč. likvidace</t>
  </si>
  <si>
    <t>Demontáž okna světlíku vč. vyvěšení  křídla a likvidace</t>
  </si>
  <si>
    <t>968062244R00</t>
  </si>
  <si>
    <t>968061125R00</t>
  </si>
  <si>
    <t>968072455R00</t>
  </si>
  <si>
    <t xml:space="preserve">Oprava vápen.omítek stěn do 5 % pl. - štukových s použitím SMS - stěny </t>
  </si>
  <si>
    <t>612421131RT2</t>
  </si>
  <si>
    <t xml:space="preserve">Oprava váp. omítek stropů do 5% plochy - hladkých s použitím SMS - stropy </t>
  </si>
  <si>
    <t>611421121RT2</t>
  </si>
  <si>
    <t>Odsekání obkladů vnitřních</t>
  </si>
  <si>
    <t>781900010RA0</t>
  </si>
  <si>
    <t>Bourání dlažeb keramických tl.10 mm, nad 1 m2, sbíječka, dlaždice keramické</t>
  </si>
  <si>
    <t>965081713RT2</t>
  </si>
  <si>
    <t>Odstranění PVC, z ploch 10 - 20 m2</t>
  </si>
  <si>
    <t>776511810RT2</t>
  </si>
  <si>
    <t>Demontáž baterie nástěnné do G 3/4</t>
  </si>
  <si>
    <t>725820801R00</t>
  </si>
  <si>
    <t>725860811R00</t>
  </si>
  <si>
    <t>Demontáž van včetně vybourání obezdezdívky</t>
  </si>
  <si>
    <t>725220851R00</t>
  </si>
  <si>
    <t xml:space="preserve">Bourání příček z cihel pálených děrovan. tl.140 mm vč. omítky </t>
  </si>
  <si>
    <t>962031125R00</t>
  </si>
  <si>
    <t>Bourání příček deskových,sádrokartonových tl.10 cm</t>
  </si>
  <si>
    <t>962084131R00</t>
  </si>
  <si>
    <t>784011221RT2</t>
  </si>
  <si>
    <t>767584811R00</t>
  </si>
  <si>
    <t>Svislá doprava suti a vybour. hmot za 2.NP nošením</t>
  </si>
  <si>
    <t>979011211R00</t>
  </si>
  <si>
    <t>Přípl.k svislé dopr.suti za každé další NP nošením</t>
  </si>
  <si>
    <t>979011219R00</t>
  </si>
  <si>
    <t xml:space="preserve">Odvoz suti a vybour. hmot na skládku do 1 km kontejnerem </t>
  </si>
  <si>
    <t>979081111RT2</t>
  </si>
  <si>
    <t>979081121RT2</t>
  </si>
  <si>
    <t>Příplatek k odvozu za každý další 1 km (uvažováno 9km)</t>
  </si>
  <si>
    <t>Naložení a složení vybouraných hmot/konstrukcí</t>
  </si>
  <si>
    <t>979095311R00</t>
  </si>
  <si>
    <t>Poplatek za skládku suti - směs betonu,cihel,dřeva</t>
  </si>
  <si>
    <t>979990107R00</t>
  </si>
  <si>
    <t>Příčka, přizdívka z tvárnic porobet. tl. 50 mm hlad. tvárnice 600 x 250 x 50 mm, P 4 - 600, vč. spražení s zděnou stěnou (navrtané trny nebo pásovina do každé třetí spáry po cca 1,0 m</t>
  </si>
  <si>
    <t>342270040RAB</t>
  </si>
  <si>
    <t>Příčka z tvárnic porobet. tl. 100 mm hlad. tvárnice 600 x 250 x 100 mm, P 3 - 550, vč. spražení s zděnou stěnou (navrtané trny nebo pásovina do každé třetí spáry po cca 1,0 m</t>
  </si>
  <si>
    <t>342270042RAA</t>
  </si>
  <si>
    <t>https://www.jap-pouzdro.cz/pouzdro-jap-standard-sdk/stavebni-pouzdro-jap-700-standard-sdk-700-mm/</t>
  </si>
  <si>
    <t>347015111R00</t>
  </si>
  <si>
    <t>342012223RT1</t>
  </si>
  <si>
    <t>Překlad nenosný pórobeton, světlost otv. do 105 cm, 124 x 24,9 x 10 cm</t>
  </si>
  <si>
    <t>317121047RT2</t>
  </si>
  <si>
    <t xml:space="preserve">Podhledy SDK, kovová.kce CD. 1x deska impregnovaná 12,5 mm, vč dodávky nosných profilů a sdk desky </t>
  </si>
  <si>
    <t>416021123R00</t>
  </si>
  <si>
    <t>Montáž kapotáže sdk vzt potrubí v pokoji a u digestoře vč. opláštění standard sdk 12,5 mm</t>
  </si>
  <si>
    <t>Příčka z SDK jednoduše opláštěné impregnovanými deskami tl. 12,5 mm, tl.100mm, vč dodávky nosných profilů, sdk desek, MW 50 mm, kotevních prvků)</t>
  </si>
  <si>
    <t>Předstěna SDK jednoduše opláštěňá, tl.65mm, vč dodávky nosných profilů CW 50, sdk standard tl. 12,5 mm a MW tl. 40 mm</t>
  </si>
  <si>
    <t>Příplatek k podhledu sádrokart. za plochu do 5 m2</t>
  </si>
  <si>
    <t>416091082R00</t>
  </si>
  <si>
    <t>342091043R00</t>
  </si>
  <si>
    <t>Příplatek k příčce sádrokart. za plochu do 5 m2</t>
  </si>
  <si>
    <t>342091082R00</t>
  </si>
  <si>
    <t>Příplatek k příčce sádrokart. za plochu do 2 m2</t>
  </si>
  <si>
    <t>342091081R00</t>
  </si>
  <si>
    <t>Příplatek za vložení vrstvy tepelné izolace</t>
  </si>
  <si>
    <t>342091061R00</t>
  </si>
  <si>
    <t>784402801R00</t>
  </si>
  <si>
    <t>Otlučení omítek vnitřních vápenných stropů do 5 %</t>
  </si>
  <si>
    <t>978011111R00</t>
  </si>
  <si>
    <t>Otlučení omítek vnitřních stěn v rozsahu do 5 %</t>
  </si>
  <si>
    <t>978013111R00</t>
  </si>
  <si>
    <t>Odstranění malby oškrábáním v místnosti H do 3,8 m nesoudržných maleb (strop, stěny), mimo SDK podhled.</t>
  </si>
  <si>
    <t>Vyrovnání podkladu maltou ze SMS tl. do 7 mm</t>
  </si>
  <si>
    <t>781101111R00</t>
  </si>
  <si>
    <t>Penetrace podkladu hloubkovým nátěrem 1 x</t>
  </si>
  <si>
    <t>784111201R00</t>
  </si>
  <si>
    <t>Omítka stěn vnitřní tenkovrstvá vápenná - štuk, ruční provedení, položka obsahuje nátěr podkladu spojovacím můstkem</t>
  </si>
  <si>
    <t>612474410R00</t>
  </si>
  <si>
    <t>Penetrace podkladu pod obklady, položka obsahuje provedení penetračního nátěru včetně dodávky materiálu.</t>
  </si>
  <si>
    <t>781101210RT2</t>
  </si>
  <si>
    <t>Montáž lišt rohových, vanových a dilatačních</t>
  </si>
  <si>
    <t>781111121R00</t>
  </si>
  <si>
    <t>Hydroizolační stěrka dvouvrstvá pod obklady</t>
  </si>
  <si>
    <t>781101142R00</t>
  </si>
  <si>
    <t>781475118RT1</t>
  </si>
  <si>
    <t>781475120RT1</t>
  </si>
  <si>
    <t>Osazení revizních dvířek do 0,50 m2</t>
  </si>
  <si>
    <t>V2-M</t>
  </si>
  <si>
    <t>342263420R00</t>
  </si>
  <si>
    <t>Bandáž koutů - provedení</t>
  </si>
  <si>
    <t>771101147R00</t>
  </si>
  <si>
    <t>Montáž výztužné sítě(perlinky)do stěrky-vnit.stěny, včetně výztužné sítě a stěrkového tmelu</t>
  </si>
  <si>
    <t>612481211RT2</t>
  </si>
  <si>
    <t xml:space="preserve">Penetrace podkladu nátěrem </t>
  </si>
  <si>
    <t>784111101R00</t>
  </si>
  <si>
    <t xml:space="preserve">Malba standard, bílá, bez penetr.,min. 2x stěny a stropy </t>
  </si>
  <si>
    <t>784115212R00</t>
  </si>
  <si>
    <t xml:space="preserve">štuková omítka </t>
  </si>
  <si>
    <t>sdk podhledy, opláštění vzt</t>
  </si>
  <si>
    <t>stropy bez sdk podhledů = 12,0+16,0</t>
  </si>
  <si>
    <t>sdk stěny = 2,08*2,4-0,7*2</t>
  </si>
  <si>
    <t>D+M</t>
  </si>
  <si>
    <t>721176103R00</t>
  </si>
  <si>
    <t>721176104R00</t>
  </si>
  <si>
    <t>Potrubí z PPR, D 20x3,4 mm, PN 20, vč. zed. výpom.</t>
  </si>
  <si>
    <t>722172331R00</t>
  </si>
  <si>
    <t>Izolace návleková tl. stěny 13 mm, vnitřní průměr 20</t>
  </si>
  <si>
    <t>722181213RT7</t>
  </si>
  <si>
    <t>Izolace návlekovátl. stěny 20 mm,  vnitřní průměr 20</t>
  </si>
  <si>
    <t>722181214RT7</t>
  </si>
  <si>
    <t xml:space="preserve">Komplet nástěnný MZD PP-D 20xR1/2 </t>
  </si>
  <si>
    <t>722202221R00</t>
  </si>
  <si>
    <t xml:space="preserve">Obklad vnitřní stěn keramický, do tmele, 20x60 cm, položka obsahuje lepící a spárovací tmel </t>
  </si>
  <si>
    <t>Nástěnka MZD PP-R 20xR1/2</t>
  </si>
  <si>
    <t>722202213R00</t>
  </si>
  <si>
    <t xml:space="preserve">Zkouška tlaku vodovodního potrubí </t>
  </si>
  <si>
    <t>722290215R00</t>
  </si>
  <si>
    <t xml:space="preserve">Proplach a dezinfekce vodovod.potrubí </t>
  </si>
  <si>
    <t>722290234R00</t>
  </si>
  <si>
    <t xml:space="preserve">Umyvadlový sifon s vtokem vč. napojovací manžety chrom </t>
  </si>
  <si>
    <t>Montáž umyvadel na šrouby do zdiva</t>
  </si>
  <si>
    <t>725219401R00</t>
  </si>
  <si>
    <t>Umyvadlo keramické vč. pilety clickclack- specifikace dle PD</t>
  </si>
  <si>
    <t>725219503R00</t>
  </si>
  <si>
    <t>Vaničkový sifon, průměr otvoru 90 mm, DN50, krytka leštěná nerez průměr 120 mm, otvor sifonu 90 mm, průměr odpadu 50 mm, průtok 39 l/min, shora čistitelný odpadní systém</t>
  </si>
  <si>
    <t>https://www.koupelny-sen.cz/vanickovy-sifon-prumer-otvoru-90-mm-dn50-krytka-lestena-nerez-ewn0850</t>
  </si>
  <si>
    <t>725249101R00</t>
  </si>
  <si>
    <t xml:space="preserve">Montáž sprchových vaniček a zástěny </t>
  </si>
  <si>
    <t>https://www.siko.cz/sprchova-vanicka-ctvrtkruhova-ravak-chrome-90x90-cm-lity-mramor-xa247701010/p/EL90PROCHROM0</t>
  </si>
  <si>
    <t>Vanička sprchová čtvrtkruhová 900x900/30 mm litý mramor - specifikace dle PD</t>
  </si>
  <si>
    <t>Baterie umyvadlová stoján. Ruční páková, bez otvír.odpadu standard vč.flexo hadiček</t>
  </si>
  <si>
    <t>725823111RT1</t>
  </si>
  <si>
    <t>Sprchový kout bez vaničky s profilem v lesklém chromu a výplní z čirého skla s dekorem transparent, výška 2000 mm, š.900mm, otočný systém otevírání.  dle specifikace v PD</t>
  </si>
  <si>
    <t>https://www.siko.cz/sprchovy-kout-ctvrtkruh-90x90x200-cm-roth-proxima-line-chrom-leskly-539-9000000-00-02/p/539-9000000-00-02</t>
  </si>
  <si>
    <t>Montáž baterií sprchových termostatických</t>
  </si>
  <si>
    <t>725849202R00</t>
  </si>
  <si>
    <t>Montáž dřezů jednoduchých</t>
  </si>
  <si>
    <t>725319101R00</t>
  </si>
  <si>
    <t>Dřez jednoduchý nerezový (400x500) se zápachovou uzávěrkou, přepadem a sifonem, specifikace dle PD</t>
  </si>
  <si>
    <t>https://www.onlinekoupelny.cz/novaservis-drezy-drez-400-x-500-mm-s-prepadem-nerez-dr40-50a</t>
  </si>
  <si>
    <t>725823114RT1</t>
  </si>
  <si>
    <t>Montáž baterie umyv.a dřezové nástěnné</t>
  </si>
  <si>
    <t>725829202R00</t>
  </si>
  <si>
    <t>Montáž ostatních položek - stanoveno procentní sazbou z dodávky</t>
  </si>
  <si>
    <t>Nátěr článkových těles UT výšky 600mm vč. očištění (36 čl.)</t>
  </si>
  <si>
    <t>Nátěr článkových těles UT výšky 1000mm vč. očištění (12 čl.)</t>
  </si>
  <si>
    <t>stavební pouzdro do sdk pro dveře 700 mm, výšky 1970 mm vč. tichého dorazu</t>
  </si>
  <si>
    <t xml:space="preserve">ks </t>
  </si>
  <si>
    <t>T01 D+M</t>
  </si>
  <si>
    <t xml:space="preserve">Deska sklokeramická, dvouplotýnka ref. výrobek BEKO HDMC 32400 TX vč. montáže </t>
  </si>
  <si>
    <t>Montáž dveří, oc. zárubeň, kyvné 1kř. š. do 1 m</t>
  </si>
  <si>
    <t>766664121R00</t>
  </si>
  <si>
    <t>Montáž dveří posuvných, osazení závěsu, 1kř.</t>
  </si>
  <si>
    <t>766666112R00</t>
  </si>
  <si>
    <t>Montáž kliky a štítku</t>
  </si>
  <si>
    <t>766670021R00</t>
  </si>
  <si>
    <t>Montáž kuchyňských linek dřevěných linek š.do 2,1m</t>
  </si>
  <si>
    <t>Dodávka  kuchyňské linky - bez spotřebičů</t>
  </si>
  <si>
    <t>766812114R00</t>
  </si>
  <si>
    <t>642942111R00</t>
  </si>
  <si>
    <t>Osazení pouzdra pro posuv. dveře jednostr., do SDK</t>
  </si>
  <si>
    <t>642941210R00</t>
  </si>
  <si>
    <t>Osazení ocelových zárubní dodatečně do 2,5 m2</t>
  </si>
  <si>
    <t>642944121R00</t>
  </si>
  <si>
    <t>Dočištění povrchu po vybourání dlažeb, MC do 50%</t>
  </si>
  <si>
    <t>965048250R00</t>
  </si>
  <si>
    <t>Broušení nerovností betonových podlah do 5 mm; odhad 10% plochy (bude upřesněno po provedení bouracích prací)</t>
  </si>
  <si>
    <t>965048515R00</t>
  </si>
  <si>
    <t>632415102RT2</t>
  </si>
  <si>
    <t xml:space="preserve">Potěr samonivelační ručně tl. 2 mm, vyrovnávací, pevnosti 15 MPa; odhad 100% plochy </t>
  </si>
  <si>
    <t>Penetrace savých podkladů, vč. dodávky  0,25 l/m2</t>
  </si>
  <si>
    <t>632411904R00</t>
  </si>
  <si>
    <t>Penetrace podkladu pod dlažby</t>
  </si>
  <si>
    <t>771101210RT2</t>
  </si>
  <si>
    <t xml:space="preserve">Provedení hydroizol. stěrky pod dlažby dvouvrstvé </t>
  </si>
  <si>
    <t>771101142R00</t>
  </si>
  <si>
    <t>Montáž podlahových lišt přechodových</t>
  </si>
  <si>
    <t>771111122R00</t>
  </si>
  <si>
    <t>V3 -M</t>
  </si>
  <si>
    <t>V3- D</t>
  </si>
  <si>
    <t>Montáž podlah keram.,hladké, 60x60 cm, včetně lepícího a spárovacího tmelu</t>
  </si>
  <si>
    <t>771575118RT1</t>
  </si>
  <si>
    <t>771475014RU7</t>
  </si>
  <si>
    <t>Obklad soklíků keram.rovných, tmel,výška 100 mm do lepidla vč. spár. a úpravy horní hrany v návaznosti na omítku</t>
  </si>
  <si>
    <t>Keramická dlažba dle specifikace v PD (sokl - proveden pásky 100 mm z řezané dlažby)</t>
  </si>
  <si>
    <t>Lišta ukončovací L PVC bílá, 10 mm, 250 cm</t>
  </si>
  <si>
    <t>Broušení nerovností betonových podlah do 5 mm; odhad 70% plochy (bude upřesněno po provedení bouracích prací)</t>
  </si>
  <si>
    <t>Vysávání podlah prům.vysavačem pro pokládku dlažby</t>
  </si>
  <si>
    <t>771101101R00</t>
  </si>
  <si>
    <t>632415104RT2</t>
  </si>
  <si>
    <t xml:space="preserve">Potěr samonivelační ručně tl. 4 mm, vyrovnávací, pevnosti 15 MPa; odhad 100% plochy </t>
  </si>
  <si>
    <t>776411000RT1</t>
  </si>
  <si>
    <t>Lepení podlahových soklíků pryžových</t>
  </si>
  <si>
    <t>Podlahová lišta pvc vč. prořezu 10%</t>
  </si>
  <si>
    <t>776101101R00</t>
  </si>
  <si>
    <t xml:space="preserve">Lepení povlakových podlah z dílců PVC a CV (vinyl) vč. lepidla </t>
  </si>
  <si>
    <t>776521200RT1</t>
  </si>
  <si>
    <t xml:space="preserve">Není-li uvedeno jinak jsou položky uvažovány společně dodávka i montáž. Součástí nacenění budou všechny </t>
  </si>
  <si>
    <t xml:space="preserve">systémové doplňky, kotevní a upevňovací prostředky, úpravy spár a rohů a jiný pomocný materiál specifikovaný v </t>
  </si>
  <si>
    <t>technických a montážních předpisech vybraného výrobce. Položky označené kódem jsou detailně popsány v tabulce</t>
  </si>
  <si>
    <t>skladeb konstrukcí a povrchových úprav.</t>
  </si>
  <si>
    <t xml:space="preserve">systémové doplňky, kotevní a upevňovací prostředky, tmelení spár a rohů a jiný pomocný materiál specifikovaný v </t>
  </si>
  <si>
    <t xml:space="preserve">technických a montážních předpisech vybraného výrobce. Položky označené kódem jsou detailně popsány v tabulce </t>
  </si>
  <si>
    <t xml:space="preserve">Následující kompletizované výrobky jsou detailně popsány v technických parametrech výplní otvorů (popř. ve výpisu </t>
  </si>
  <si>
    <t xml:space="preserve">prvků PSV), dle kterých je nutno provést ocenění. Není-li uvedeno jinak jsou položky uvažovány společně dodávka i </t>
  </si>
  <si>
    <t xml:space="preserve">montáž. Součástí nacenění budou všechny systémové doplňky, kotevní a upevňovací prostředky a jiný pomocný </t>
  </si>
  <si>
    <t xml:space="preserve">materiál uvedený v technických parametrech výplní otvorů, souboru stavebních detailů a v technických a montážních </t>
  </si>
  <si>
    <t>předpisech vybraného výrobce.</t>
  </si>
  <si>
    <t>Demontáže prvků stávajícho topení a zařízení jsou popsány v kapitole Přípravné, bourací a sanační práce. Kapitola</t>
  </si>
  <si>
    <t xml:space="preserve">topenářských prací vč. demontáží stávajících prvků. Není-li uvedeno jinak jsou položky uvažovány jako dodávka. </t>
  </si>
  <si>
    <t>Montáž a kompletace jsou uvedeny jako souborné položky. Součástí nacenění budou všechny systémové doplňky,</t>
  </si>
  <si>
    <t>kotevní, upevňovací prostředky a jiný pomocný materiál specifikovaný v technických a montážních předpisech</t>
  </si>
  <si>
    <t>vybraného výrobce. Položky topení jsou detailně popsány v projektové dokumentaci D14d. Veškeré výrobky a zařízení</t>
  </si>
  <si>
    <t xml:space="preserve">je možné nahradit výrobky a zařízeními jiných výrobců za předpokladu, že mají shodné technické parametry. </t>
  </si>
  <si>
    <t xml:space="preserve">Demontáže VZT zařízení jsou popsány v kapitole Přípravné, bourací a sanační práce. Není-li uvedeno jinak jsou </t>
  </si>
  <si>
    <t>položky uvažovány jako dodávka. Montáž a kompletace jsou uvedeny jako souborné položky. Součástí nacenění budou</t>
  </si>
  <si>
    <t xml:space="preserve">všechny systémové doplňky, kotevní, upevňovací prostředky a jiný pomocný materiál specifikovaný v technických a </t>
  </si>
  <si>
    <t xml:space="preserve">montážních předpisech vybraného výrobce. Položky vzduchotechnických výrobků jsou detailně popsány v projektové </t>
  </si>
  <si>
    <t>dokumentaci.</t>
  </si>
  <si>
    <t>Kapitola slaboproudých elektroinstalačních prací vč. demontáží stávajících prvků je detailně rozepsána v samostatném</t>
  </si>
  <si>
    <t xml:space="preserve">listu, který je nedílnou součástí tohoto soupisu stavebních prací, výkonů a služeb. Níže jsou uvedeny pouze dílčí </t>
  </si>
  <si>
    <t>součtové položky jednotlivých kapitol členěné dle samostatného listu</t>
  </si>
  <si>
    <t xml:space="preserve">Kapitola silnoproudých elektroinstalačních prací vč. demontáží stávajících prvků je detailně rozepsána v samostatném </t>
  </si>
  <si>
    <t>Demontáže zařizovacích předmětů jsou popsány v kapitole Přípravné, bourací a sanační práce. Není-li uvedeno jinak</t>
  </si>
  <si>
    <t xml:space="preserve">jsou položky uvažovány jako dodávka. Montáž a kompletace jsou uvedeny jako souborné položky. </t>
  </si>
  <si>
    <t xml:space="preserve">Součástí nacenění budou všechny systémové doplňky, kotevní, upevňovací prostředky, montážní sady a jiný pomocný </t>
  </si>
  <si>
    <t xml:space="preserve">materiál specifikovaný v technických a montážních předpisech vybraného výrobce. Položky zařizovacích předmětů jsou </t>
  </si>
  <si>
    <t>detailně popsány v projektové dokumentaci.</t>
  </si>
  <si>
    <t xml:space="preserve">Demontáže vnitřních kanalizačních rozvodů jsou popsány v kapitole Přípravné, bourací a sanační práce. Není-li uvedeno </t>
  </si>
  <si>
    <t xml:space="preserve">jinak jsou položky uvažovány jako dodávka. Montáž a kompletace jsou uvedeny jako souborné položky. </t>
  </si>
  <si>
    <t xml:space="preserve">Součástí nacenění budou všechny systémové doplňky, kotevní, upevňovací prostředky a jiný pomocný materiál </t>
  </si>
  <si>
    <t>specifikovaný v technických a montážních předpisech vybraného výrobce.</t>
  </si>
  <si>
    <t>Není-li uvedeno jinak jsou položky uvažovány společně dodávka i montáž. Položky označené kódem jsou detailně</t>
  </si>
  <si>
    <t>popsány v tabulce skladeb konstrukcí a povrchových úprav.</t>
  </si>
  <si>
    <t xml:space="preserve">technických a montážních předpisech vybraného výrobce. V ceně bude zakalkulováno pomocné lešení. </t>
  </si>
  <si>
    <t>Položky označené kódem jsou detailně popsány v tabulce skladeb konstrukcí a povrchových úprav a v tabulce PSV.</t>
  </si>
  <si>
    <t xml:space="preserve">a) náklady na veškerou svislou a vodorovnou dopravu na staveništi, náklady na dopravu materiálu na staveniště, </t>
  </si>
  <si>
    <t xml:space="preserve">staveništní přesun hmot a u bourání manipulaci se sutí, její odvoz a uložení na skládku do 20-ti km včetně poplatku, </t>
  </si>
  <si>
    <t xml:space="preserve">pokud nebudou tyto položky uvedeny dodavatelem v samostatné položce </t>
  </si>
  <si>
    <t xml:space="preserve">c)  všechny potřebné pomocné dodávky a práce pro upevnění, zabezpečení funkčnosti a finální pohledové 
úpravy, </t>
  </si>
  <si>
    <t xml:space="preserve">které jsou běžně součástí dodávaného výrobku nebo systému  nebo jsou předepsány projektem a nejsou </t>
  </si>
  <si>
    <t>výslovně uvedeny jako samostatné položky</t>
  </si>
  <si>
    <t xml:space="preserve">d) náklady na zakrývání (nebo jiné zajištění) konstrukcí a prací ostatních zhotovitelů nebo stávajících konstrukcí před </t>
  </si>
  <si>
    <t>znečištěním a poškozením a odstranění zakrytí</t>
  </si>
  <si>
    <t xml:space="preserve">Jednotková cena by měla vždy, pokud není samostatně uvedeno, obsahovat dodávku a montáž příslušné položky. </t>
  </si>
  <si>
    <t xml:space="preserve">Technické parametry materiálů a výrobků jsou uvedeny v PD. Zhotovitel při nacenění jednotlivých položek musí </t>
  </si>
  <si>
    <t xml:space="preserve">zohlednit tyto technické parametry.  </t>
  </si>
  <si>
    <t xml:space="preserve">U systémových řešení předpokládáme, že se dodavatel seznámí s typovou dokumentací výrobce a ve své ceně </t>
  </si>
  <si>
    <t xml:space="preserve">zohlední jak úplné řešení standardní, tak i všechny případné modifikace v průměrné ceně za běžnou jednotku, </t>
  </si>
  <si>
    <t>pokud nejsou v této specifikaci výslovně samostatně uvedeny.</t>
  </si>
  <si>
    <t xml:space="preserve">Některé výměry v této specifikaci jsou orientační (převážně jsou uvažovány na horní hranici možných dodávek a prací); </t>
  </si>
  <si>
    <t>je žádoucí, aby fakturovány byly pouze skutečně provedené práce.</t>
  </si>
  <si>
    <t xml:space="preserve">Nedílnou součástí tohoto výkazu je i projektová dokumentace. Pokud dle názoru dodavatele některé práce a dodávky </t>
  </si>
  <si>
    <t>ve výkazu výměr chybí, upozorní na tyto chybějící položky před uzavřením SOD".</t>
  </si>
  <si>
    <t xml:space="preserve">Uvedené referenční výrobky v PD a ve výkazu výměr nejsou pro zhotovitele závazné. Projektantem jsou uvedeny jako </t>
  </si>
  <si>
    <t xml:space="preserve">příklad vhodného produktu. Zhotovitel je oprávněn zvolit jiné, srovnatelné materiály, jež zabezpečí shodnou anebo </t>
  </si>
  <si>
    <t xml:space="preserve">vyšší technickou hodnotu díla. Nabízené materiály předloží objednateli ke schválení a dosažení požadovaných </t>
  </si>
  <si>
    <t>parametrů doloží hodnověrnými dokumenty (atesty, výsledky zkoušek, doklad o shodě apod.). Kde zhotovitel nabídne</t>
  </si>
  <si>
    <t xml:space="preserve">srovnatelný výrobek nebo materiál na místo označeného nebo specifikovaného, který byl přijat k začlenění do díla, </t>
  </si>
  <si>
    <t xml:space="preserve">pak se má zato, že sazby a ceny ve výkazu výměr zahrnují veškeré povinnosti a náklady spojené se začleněním </t>
  </si>
  <si>
    <t xml:space="preserve">srovnatelného výrobku do díla.  </t>
  </si>
  <si>
    <t>RTS kody</t>
  </si>
  <si>
    <t>Závěrečné omytí schodišť a vstupních prostor a úklid bytu</t>
  </si>
  <si>
    <t>Podezdívka sprchové vanička (900/900mm) výšky do 150 mm  tl. 100 mm vč.provedení revizního otvoru pro obklad na silikon (návaznosti na spádové možnosti kanalizace , pokud vyjde je možné vaničku osadit přímo na dlažbu)</t>
  </si>
  <si>
    <t>svítidlo  pod linku s vypínačem LED 10W otočné</t>
  </si>
  <si>
    <t>A – svítidlo nástěnné LED, 12W, IP20</t>
  </si>
  <si>
    <t>spínač č.6 - střídavý</t>
  </si>
  <si>
    <t>doběhové relé DT4</t>
  </si>
  <si>
    <t>rámeček 3x, trojrámeček</t>
  </si>
  <si>
    <t>autonomní detektor kouře</t>
  </si>
  <si>
    <t>lustr hák</t>
  </si>
  <si>
    <t>CYKYLo 3Cx2,5</t>
  </si>
  <si>
    <t>CYKYLo 2Ax1,5</t>
  </si>
  <si>
    <t>CYKYLo 3Ax1,5</t>
  </si>
  <si>
    <t>CYKYLo 5Cx1,5</t>
  </si>
  <si>
    <t>ukončení kabelu 5x6</t>
  </si>
  <si>
    <t>zapojení digestoře, ventilátoru</t>
  </si>
  <si>
    <t>Rozvaděč RB</t>
  </si>
  <si>
    <t>rozvaděč provedení na povrch, IP30, 24 modulů</t>
  </si>
  <si>
    <t>bzučák Z-SU</t>
  </si>
  <si>
    <t>jistič 2/1-B</t>
  </si>
  <si>
    <t>Jistič 10/1-B</t>
  </si>
  <si>
    <t>Jistič 16/1-B</t>
  </si>
  <si>
    <t>pom.materiál (svorky, vodiče)</t>
  </si>
  <si>
    <t xml:space="preserve">Rozvaděč RB celkem </t>
  </si>
  <si>
    <t>telefonní zásuvka (zásuvka,maska,kryt)</t>
  </si>
  <si>
    <t>krabice KO s víčkem</t>
  </si>
  <si>
    <t>kabel UTP Cat 6e</t>
  </si>
  <si>
    <t>trubka PVC 2321</t>
  </si>
  <si>
    <t>krabice 125x125 - na povrch</t>
  </si>
  <si>
    <t>zvonkové tlačítko</t>
  </si>
  <si>
    <t xml:space="preserve">poznámka </t>
  </si>
  <si>
    <t>Obklad vnitřní stěn keramický, do tmele, 20x40 cm, položka obsahuje lepící a spárovací tmel</t>
  </si>
  <si>
    <t>Montáž sifonu umyvadel</t>
  </si>
  <si>
    <t>komunikační zásuvka PC Cat 6e (zásuvka,maska,kryt)</t>
  </si>
  <si>
    <t>přesun hmot, doprava ESI+ESA</t>
  </si>
  <si>
    <t>Přesun hmot, doprava ESI+ESA</t>
  </si>
  <si>
    <t>Potrubí HT připojovací D 50 x 1,8 mm vč. nezbytných kolen, odboček, redukcí a montáže</t>
  </si>
  <si>
    <t>Potrubí HT připojovací D 75 x 1,9 mm,  vč. nezbytných kolen, odboček, redukcí a montáže</t>
  </si>
  <si>
    <t>Rezerva na případné dobetonování popř. požární utěsnění prostupů stoupaček vody, kanalizace a vzt, bude účtováno dle skutečnosti, oceněna jen jedn. cena vč. montáže</t>
  </si>
  <si>
    <t>Investice/Oprava</t>
  </si>
  <si>
    <t xml:space="preserve">Uvedené technické parametry jsou pro zhotovitele závazné. Zhotovitel je oprávněn zvolit jiné, </t>
  </si>
  <si>
    <t xml:space="preserve">srovnatelné materiály, jež zabezpečí shodnou anebo vyšší technickou hodnotu díla. </t>
  </si>
  <si>
    <t xml:space="preserve">Nabízené materiály předloží objednateli ke schválení a dosažení požadovaných parametrů </t>
  </si>
  <si>
    <t xml:space="preserve">doloží hodnověrnými dokumenty (atesty, výsledky zkoušek, doklad o shodě apod.). </t>
  </si>
  <si>
    <t xml:space="preserve">Kde zhotovitel nabídne srovnatelný výrobek nebo materiál na místo označeného nebo </t>
  </si>
  <si>
    <t xml:space="preserve">specifikovaného, který byl přijat k začlenění do díla, pak se má zato, že sazby a ceny ve výkazu </t>
  </si>
  <si>
    <t xml:space="preserve">výměr zahrnují veškeré povinnosti a náklady spojené se začleněním srovnatelného výrobku do díla.  </t>
  </si>
  <si>
    <t xml:space="preserve"> -  všechny potřebné pomocné dodávky a práce pro upevnění, zabezpečení funkčnosti a finální </t>
  </si>
  <si>
    <t xml:space="preserve">pohledové úpravy, které jsou běžně součástí dodávaného výrobku nebo systému  nebo jsou </t>
  </si>
  <si>
    <t>předepsány projektem a nejsou výslovně uvedeny jako samostatné položky;</t>
  </si>
  <si>
    <t xml:space="preserve">Některé výměry v této specifikaci jsou orientační (převážně jsou uvažovány na horní hranici </t>
  </si>
  <si>
    <t>možných dodávek a prací); je žádoucí, aby fakturovány byly pouze skutečně provedené práce.</t>
  </si>
  <si>
    <t xml:space="preserve">Nedílnou součástí tohoto výkazu je i projektová dokumentace. Pokud dle názoru dodavatele </t>
  </si>
  <si>
    <t>některé práce a dodávky ve výkazu výměr chybí,  upozorní na to objednatele před podpisem SOD.</t>
  </si>
  <si>
    <t>Ostrovského 11/16 byt 3</t>
  </si>
</sst>
</file>

<file path=xl/styles.xml><?xml version="1.0" encoding="utf-8"?>
<styleSheet xmlns="http://schemas.openxmlformats.org/spreadsheetml/2006/main">
  <numFmts count="9">
    <numFmt numFmtId="44" formatCode="_-* #,##0.00\ &quot;Kč&quot;_-;\-* #,##0.00\ &quot;Kč&quot;_-;_-* &quot;-&quot;??\ &quot;Kč&quot;_-;_-@_-"/>
    <numFmt numFmtId="166" formatCode="0.0%"/>
    <numFmt numFmtId="167" formatCode="0.0"/>
    <numFmt numFmtId="170" formatCode="0.000"/>
    <numFmt numFmtId="176" formatCode="#,##0\ &quot;Kč&quot;"/>
    <numFmt numFmtId="177" formatCode="#,##0.0\ &quot;Kč&quot;"/>
    <numFmt numFmtId="180" formatCode="#,##0.00\ &quot;Kč&quot;"/>
    <numFmt numFmtId="182" formatCode="_(#,##0_);[Red]\-\ #,##0_);&quot;–&quot;??;_(@_)"/>
    <numFmt numFmtId="183" formatCode="_-* #,##0\ &quot;Kč&quot;_-;\-* #,##0\ &quot;Kč&quot;_-;_-* &quot;-&quot;??\ &quot;Kč&quot;_-;_-@_-"/>
  </numFmts>
  <fonts count="49">
    <font>
      <sz val="10"/>
      <name val="Arial CE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4"/>
      <name val="Arial CE"/>
      <family val="2"/>
      <charset val="238"/>
    </font>
    <font>
      <sz val="18"/>
      <name val="Arial CE"/>
      <family val="2"/>
      <charset val="238"/>
    </font>
    <font>
      <b/>
      <sz val="16"/>
      <name val="Arial CE"/>
      <family val="2"/>
      <charset val="238"/>
    </font>
    <font>
      <u/>
      <sz val="13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i/>
      <sz val="10"/>
      <color indexed="4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4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color indexed="10"/>
      <name val="Arial CE"/>
      <family val="2"/>
      <charset val="238"/>
    </font>
    <font>
      <i/>
      <sz val="10"/>
      <color indexed="3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5" fillId="10" borderId="0" applyNumberFormat="0" applyBorder="0" applyAlignment="0" applyProtection="0"/>
    <xf numFmtId="44" fontId="1" fillId="0" borderId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0" fontId="20" fillId="0" borderId="0"/>
    <xf numFmtId="9" fontId="20" fillId="0" borderId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7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Font="1"/>
    <xf numFmtId="0" fontId="9" fillId="0" borderId="0" xfId="0" applyFont="1"/>
    <xf numFmtId="0" fontId="0" fillId="0" borderId="0" xfId="0" applyFont="1" applyFill="1"/>
    <xf numFmtId="0" fontId="19" fillId="0" borderId="0" xfId="0" applyFont="1"/>
    <xf numFmtId="167" fontId="21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9" fillId="0" borderId="0" xfId="0" applyFont="1" applyFill="1"/>
    <xf numFmtId="170" fontId="0" fillId="0" borderId="0" xfId="0" applyNumberFormat="1" applyFont="1"/>
    <xf numFmtId="170" fontId="9" fillId="0" borderId="0" xfId="0" applyNumberFormat="1" applyFont="1"/>
    <xf numFmtId="0" fontId="29" fillId="0" borderId="0" xfId="0" applyFont="1"/>
    <xf numFmtId="170" fontId="0" fillId="0" borderId="0" xfId="0" applyNumberFormat="1" applyFont="1" applyFill="1"/>
    <xf numFmtId="0" fontId="27" fillId="0" borderId="0" xfId="0" applyFont="1"/>
    <xf numFmtId="0" fontId="34" fillId="0" borderId="0" xfId="0" applyFont="1"/>
    <xf numFmtId="0" fontId="38" fillId="0" borderId="0" xfId="0" applyFont="1" applyFill="1"/>
    <xf numFmtId="2" fontId="8" fillId="0" borderId="0" xfId="0" applyNumberFormat="1" applyFont="1"/>
    <xf numFmtId="0" fontId="8" fillId="0" borderId="2" xfId="0" applyFont="1" applyBorder="1" applyAlignment="1">
      <alignment horizontal="right"/>
    </xf>
    <xf numFmtId="0" fontId="20" fillId="0" borderId="0" xfId="0" applyFont="1"/>
    <xf numFmtId="183" fontId="1" fillId="0" borderId="0" xfId="22" applyNumberFormat="1"/>
    <xf numFmtId="183" fontId="23" fillId="0" borderId="0" xfId="0" applyNumberFormat="1" applyFont="1"/>
    <xf numFmtId="183" fontId="20" fillId="0" borderId="0" xfId="0" applyNumberFormat="1" applyFont="1"/>
    <xf numFmtId="167" fontId="21" fillId="0" borderId="0" xfId="0" applyNumberFormat="1" applyFont="1" applyAlignment="1">
      <alignment horizontal="right" vertical="center"/>
    </xf>
    <xf numFmtId="0" fontId="0" fillId="0" borderId="0" xfId="0" applyFont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11" borderId="0" xfId="0" applyFont="1" applyFill="1" applyAlignment="1" applyProtection="1">
      <alignment vertical="center"/>
    </xf>
    <xf numFmtId="0" fontId="0" fillId="0" borderId="0" xfId="0" applyFont="1" applyProtection="1"/>
    <xf numFmtId="0" fontId="8" fillId="0" borderId="3" xfId="0" applyFon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0" fillId="0" borderId="5" xfId="0" applyFont="1" applyBorder="1" applyProtection="1"/>
    <xf numFmtId="0" fontId="10" fillId="0" borderId="6" xfId="0" applyFont="1" applyBorder="1" applyAlignment="1" applyProtection="1">
      <alignment horizontal="right"/>
    </xf>
    <xf numFmtId="0" fontId="12" fillId="0" borderId="7" xfId="0" applyFont="1" applyBorder="1" applyAlignment="1" applyProtection="1">
      <alignment vertical="center"/>
    </xf>
    <xf numFmtId="0" fontId="0" fillId="0" borderId="8" xfId="0" applyFont="1" applyBorder="1" applyProtection="1"/>
    <xf numFmtId="0" fontId="13" fillId="0" borderId="9" xfId="0" applyFont="1" applyBorder="1" applyAlignment="1" applyProtection="1">
      <alignment horizontal="right"/>
    </xf>
    <xf numFmtId="0" fontId="9" fillId="0" borderId="0" xfId="0" applyFont="1" applyBorder="1" applyProtection="1"/>
    <xf numFmtId="0" fontId="20" fillId="0" borderId="0" xfId="25" applyNumberFormat="1" applyFont="1" applyFill="1" applyBorder="1" applyAlignment="1" applyProtection="1">
      <alignment horizontal="left" vertical="center"/>
    </xf>
    <xf numFmtId="0" fontId="14" fillId="12" borderId="10" xfId="20" applyNumberFormat="1" applyFill="1" applyBorder="1" applyAlignment="1" applyProtection="1">
      <alignment horizontal="left" vertical="center"/>
    </xf>
    <xf numFmtId="0" fontId="9" fillId="12" borderId="10" xfId="0" applyFont="1" applyFill="1" applyBorder="1" applyProtection="1"/>
    <xf numFmtId="176" fontId="9" fillId="0" borderId="10" xfId="0" applyNumberFormat="1" applyFont="1" applyBorder="1" applyProtection="1"/>
    <xf numFmtId="0" fontId="20" fillId="0" borderId="0" xfId="25" applyNumberFormat="1" applyFont="1" applyFill="1" applyBorder="1" applyAlignment="1" applyProtection="1">
      <alignment horizontal="left" vertical="center" indent="1"/>
    </xf>
    <xf numFmtId="0" fontId="0" fillId="0" borderId="0" xfId="25" applyNumberFormat="1" applyFont="1" applyFill="1" applyBorder="1" applyAlignment="1" applyProtection="1">
      <alignment horizontal="left" vertical="center" indent="1"/>
    </xf>
    <xf numFmtId="0" fontId="0" fillId="0" borderId="0" xfId="25" applyFont="1" applyFill="1" applyAlignment="1" applyProtection="1">
      <alignment horizontal="left" vertical="center" indent="1"/>
    </xf>
    <xf numFmtId="0" fontId="0" fillId="0" borderId="0" xfId="0" applyFont="1" applyBorder="1" applyAlignment="1" applyProtection="1">
      <alignment vertical="center"/>
    </xf>
    <xf numFmtId="176" fontId="0" fillId="0" borderId="0" xfId="0" applyNumberFormat="1" applyFont="1" applyBorder="1" applyProtection="1"/>
    <xf numFmtId="0" fontId="15" fillId="0" borderId="11" xfId="0" applyFont="1" applyBorder="1" applyAlignment="1" applyProtection="1">
      <alignment vertical="center"/>
    </xf>
    <xf numFmtId="0" fontId="0" fillId="0" borderId="11" xfId="0" applyFont="1" applyBorder="1" applyProtection="1"/>
    <xf numFmtId="0" fontId="0" fillId="0" borderId="11" xfId="0" applyFont="1" applyBorder="1" applyAlignment="1" applyProtection="1">
      <alignment vertical="center"/>
    </xf>
    <xf numFmtId="3" fontId="9" fillId="0" borderId="11" xfId="0" applyNumberFormat="1" applyFont="1" applyBorder="1" applyProtection="1"/>
    <xf numFmtId="0" fontId="9" fillId="0" borderId="11" xfId="0" applyFont="1" applyBorder="1" applyAlignment="1" applyProtection="1">
      <alignment vertical="center"/>
    </xf>
    <xf numFmtId="176" fontId="29" fillId="0" borderId="11" xfId="0" applyNumberFormat="1" applyFont="1" applyBorder="1" applyProtection="1"/>
    <xf numFmtId="176" fontId="0" fillId="0" borderId="11" xfId="0" applyNumberFormat="1" applyFont="1" applyBorder="1" applyProtection="1"/>
    <xf numFmtId="0" fontId="0" fillId="0" borderId="12" xfId="0" applyFont="1" applyBorder="1" applyAlignment="1" applyProtection="1">
      <alignment vertical="center"/>
    </xf>
    <xf numFmtId="0" fontId="0" fillId="0" borderId="12" xfId="0" applyFont="1" applyBorder="1" applyProtection="1"/>
    <xf numFmtId="0" fontId="15" fillId="0" borderId="13" xfId="0" applyFont="1" applyBorder="1" applyAlignment="1" applyProtection="1">
      <alignment vertical="center"/>
    </xf>
    <xf numFmtId="0" fontId="0" fillId="0" borderId="14" xfId="0" applyFont="1" applyBorder="1" applyProtection="1"/>
    <xf numFmtId="176" fontId="9" fillId="0" borderId="15" xfId="0" applyNumberFormat="1" applyFont="1" applyBorder="1" applyProtection="1"/>
    <xf numFmtId="0" fontId="0" fillId="0" borderId="16" xfId="0" applyFont="1" applyBorder="1" applyAlignment="1" applyProtection="1">
      <alignment vertical="center"/>
    </xf>
    <xf numFmtId="0" fontId="0" fillId="0" borderId="16" xfId="0" applyFont="1" applyBorder="1" applyProtection="1"/>
    <xf numFmtId="0" fontId="0" fillId="0" borderId="17" xfId="0" applyFont="1" applyBorder="1" applyAlignment="1" applyProtection="1">
      <alignment vertical="center"/>
    </xf>
    <xf numFmtId="0" fontId="0" fillId="0" borderId="17" xfId="0" applyFont="1" applyBorder="1" applyProtection="1"/>
    <xf numFmtId="0" fontId="16" fillId="0" borderId="17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32" fillId="0" borderId="0" xfId="0" applyFont="1" applyFill="1" applyBorder="1" applyAlignment="1" applyProtection="1">
      <alignment horizontal="left"/>
    </xf>
    <xf numFmtId="182" fontId="32" fillId="0" borderId="0" xfId="0" applyNumberFormat="1" applyFont="1" applyAlignment="1" applyProtection="1"/>
    <xf numFmtId="183" fontId="29" fillId="0" borderId="0" xfId="0" applyNumberFormat="1" applyFont="1" applyProtection="1"/>
    <xf numFmtId="0" fontId="29" fillId="0" borderId="0" xfId="0" applyFont="1" applyProtection="1"/>
    <xf numFmtId="176" fontId="29" fillId="0" borderId="0" xfId="0" applyNumberFormat="1" applyFont="1" applyProtection="1"/>
    <xf numFmtId="0" fontId="17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0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Alignment="1" applyProtection="1">
      <alignment vertical="center"/>
    </xf>
    <xf numFmtId="0" fontId="18" fillId="0" borderId="0" xfId="0" applyFont="1" applyProtection="1"/>
    <xf numFmtId="0" fontId="0" fillId="0" borderId="0" xfId="25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18" xfId="0" applyFont="1" applyBorder="1" applyProtection="1"/>
    <xf numFmtId="0" fontId="19" fillId="0" borderId="0" xfId="25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13" borderId="18" xfId="20" applyNumberFormat="1" applyFill="1" applyBorder="1" applyAlignment="1" applyProtection="1">
      <alignment vertical="center"/>
    </xf>
    <xf numFmtId="0" fontId="21" fillId="0" borderId="0" xfId="25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horizontal="center" vertical="center"/>
    </xf>
    <xf numFmtId="3" fontId="21" fillId="0" borderId="10" xfId="0" applyNumberFormat="1" applyFont="1" applyFill="1" applyBorder="1" applyAlignment="1" applyProtection="1">
      <alignment horizontal="left" vertical="center" wrapText="1"/>
    </xf>
    <xf numFmtId="3" fontId="21" fillId="0" borderId="10" xfId="0" applyNumberFormat="1" applyFont="1" applyFill="1" applyBorder="1" applyAlignment="1" applyProtection="1">
      <alignment horizontal="left" vertical="center"/>
    </xf>
    <xf numFmtId="177" fontId="21" fillId="0" borderId="10" xfId="0" applyNumberFormat="1" applyFont="1" applyFill="1" applyBorder="1" applyAlignment="1" applyProtection="1">
      <alignment vertical="center"/>
    </xf>
    <xf numFmtId="3" fontId="21" fillId="0" borderId="10" xfId="0" applyNumberFormat="1" applyFont="1" applyBorder="1" applyAlignment="1" applyProtection="1">
      <alignment horizontal="left" vertical="center" wrapText="1"/>
    </xf>
    <xf numFmtId="167" fontId="41" fillId="0" borderId="10" xfId="0" applyNumberFormat="1" applyFont="1" applyFill="1" applyBorder="1" applyAlignment="1" applyProtection="1">
      <alignment horizontal="left" vertical="center"/>
    </xf>
    <xf numFmtId="0" fontId="21" fillId="0" borderId="0" xfId="25" applyFont="1" applyAlignment="1" applyProtection="1">
      <alignment vertical="center"/>
    </xf>
    <xf numFmtId="3" fontId="21" fillId="0" borderId="10" xfId="0" applyNumberFormat="1" applyFont="1" applyBorder="1" applyAlignment="1" applyProtection="1">
      <alignment horizontal="left" vertical="center"/>
    </xf>
    <xf numFmtId="177" fontId="21" fillId="0" borderId="10" xfId="0" applyNumberFormat="1" applyFont="1" applyBorder="1" applyAlignment="1" applyProtection="1">
      <alignment vertical="center"/>
    </xf>
    <xf numFmtId="0" fontId="22" fillId="6" borderId="19" xfId="25" applyFont="1" applyFill="1" applyBorder="1" applyAlignment="1" applyProtection="1">
      <alignment vertical="center" wrapText="1"/>
    </xf>
    <xf numFmtId="0" fontId="21" fillId="6" borderId="20" xfId="25" applyFont="1" applyFill="1" applyBorder="1" applyProtection="1"/>
    <xf numFmtId="177" fontId="21" fillId="6" borderId="15" xfId="0" applyNumberFormat="1" applyFont="1" applyFill="1" applyBorder="1" applyProtection="1"/>
    <xf numFmtId="0" fontId="0" fillId="0" borderId="0" xfId="25" applyFont="1" applyFill="1" applyBorder="1" applyAlignment="1" applyProtection="1">
      <alignment vertical="center" wrapText="1"/>
    </xf>
    <xf numFmtId="0" fontId="0" fillId="0" borderId="0" xfId="25" applyFont="1" applyFill="1" applyBorder="1" applyProtection="1"/>
    <xf numFmtId="3" fontId="0" fillId="0" borderId="0" xfId="0" applyNumberFormat="1" applyFont="1" applyBorder="1" applyProtection="1"/>
    <xf numFmtId="0" fontId="15" fillId="0" borderId="0" xfId="0" applyNumberFormat="1" applyFont="1" applyFill="1" applyBorder="1" applyAlignment="1" applyProtection="1">
      <alignment horizontal="center" vertical="center"/>
    </xf>
    <xf numFmtId="167" fontId="41" fillId="0" borderId="10" xfId="0" applyNumberFormat="1" applyFont="1" applyBorder="1" applyAlignment="1" applyProtection="1">
      <alignment horizontal="left" vertical="center"/>
    </xf>
    <xf numFmtId="0" fontId="0" fillId="0" borderId="21" xfId="25" applyFont="1" applyFill="1" applyBorder="1" applyAlignment="1" applyProtection="1">
      <alignment vertical="center" wrapText="1"/>
    </xf>
    <xf numFmtId="0" fontId="9" fillId="6" borderId="19" xfId="25" applyFont="1" applyFill="1" applyBorder="1" applyAlignment="1" applyProtection="1">
      <alignment vertical="center" wrapText="1"/>
    </xf>
    <xf numFmtId="0" fontId="0" fillId="6" borderId="20" xfId="25" applyFont="1" applyFill="1" applyBorder="1" applyProtection="1"/>
    <xf numFmtId="3" fontId="30" fillId="0" borderId="0" xfId="0" applyNumberFormat="1" applyFont="1" applyFill="1" applyBorder="1" applyAlignment="1" applyProtection="1">
      <alignment horizontal="center" vertical="center"/>
    </xf>
    <xf numFmtId="3" fontId="30" fillId="0" borderId="10" xfId="0" applyNumberFormat="1" applyFont="1" applyFill="1" applyBorder="1" applyAlignment="1" applyProtection="1">
      <alignment horizontal="left" vertical="center" wrapText="1"/>
    </xf>
    <xf numFmtId="3" fontId="30" fillId="0" borderId="10" xfId="0" applyNumberFormat="1" applyFont="1" applyFill="1" applyBorder="1" applyAlignment="1" applyProtection="1">
      <alignment horizontal="left" vertical="center"/>
    </xf>
    <xf numFmtId="177" fontId="30" fillId="0" borderId="10" xfId="0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horizontal="left" vertical="center"/>
    </xf>
    <xf numFmtId="177" fontId="21" fillId="0" borderId="0" xfId="0" applyNumberFormat="1" applyFont="1" applyFill="1" applyBorder="1" applyAlignment="1" applyProtection="1">
      <alignment vertical="center"/>
    </xf>
    <xf numFmtId="3" fontId="30" fillId="0" borderId="10" xfId="0" applyNumberFormat="1" applyFont="1" applyBorder="1" applyAlignment="1" applyProtection="1">
      <alignment horizontal="left" vertical="center" wrapText="1"/>
    </xf>
    <xf numFmtId="3" fontId="30" fillId="0" borderId="10" xfId="0" applyNumberFormat="1" applyFont="1" applyBorder="1" applyAlignment="1" applyProtection="1">
      <alignment horizontal="left" vertical="center"/>
    </xf>
    <xf numFmtId="177" fontId="30" fillId="0" borderId="10" xfId="0" applyNumberFormat="1" applyFont="1" applyBorder="1" applyAlignment="1" applyProtection="1">
      <alignment vertical="center"/>
    </xf>
    <xf numFmtId="3" fontId="21" fillId="0" borderId="0" xfId="0" applyNumberFormat="1" applyFont="1" applyFill="1" applyAlignment="1" applyProtection="1">
      <alignment horizontal="center" vertical="center"/>
    </xf>
    <xf numFmtId="0" fontId="20" fillId="0" borderId="21" xfId="25" applyFont="1" applyFill="1" applyBorder="1" applyAlignment="1" applyProtection="1">
      <alignment vertical="center" wrapText="1"/>
    </xf>
    <xf numFmtId="0" fontId="0" fillId="0" borderId="21" xfId="25" applyFont="1" applyBorder="1" applyAlignment="1" applyProtection="1">
      <alignment vertical="center" wrapText="1"/>
    </xf>
    <xf numFmtId="3" fontId="21" fillId="0" borderId="0" xfId="0" applyNumberFormat="1" applyFont="1" applyAlignment="1" applyProtection="1">
      <alignment horizontal="left" vertical="center"/>
    </xf>
    <xf numFmtId="177" fontId="21" fillId="0" borderId="0" xfId="0" applyNumberFormat="1" applyFont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horizontal="left" vertical="center" wrapText="1"/>
    </xf>
    <xf numFmtId="3" fontId="0" fillId="6" borderId="15" xfId="0" applyNumberFormat="1" applyFont="1" applyFill="1" applyBorder="1" applyProtection="1"/>
    <xf numFmtId="0" fontId="27" fillId="0" borderId="0" xfId="0" applyFont="1" applyProtection="1"/>
    <xf numFmtId="0" fontId="27" fillId="0" borderId="0" xfId="0" applyFont="1" applyAlignment="1" applyProtection="1">
      <alignment horizontal="center"/>
    </xf>
    <xf numFmtId="4" fontId="27" fillId="0" borderId="0" xfId="0" applyNumberFormat="1" applyFont="1" applyProtection="1"/>
    <xf numFmtId="4" fontId="28" fillId="0" borderId="0" xfId="0" applyNumberFormat="1" applyFont="1" applyProtection="1"/>
    <xf numFmtId="4" fontId="34" fillId="0" borderId="0" xfId="0" applyNumberFormat="1" applyFont="1" applyProtection="1"/>
    <xf numFmtId="0" fontId="34" fillId="0" borderId="0" xfId="0" applyFont="1" applyProtection="1"/>
    <xf numFmtId="0" fontId="0" fillId="0" borderId="0" xfId="0" applyAlignment="1" applyProtection="1">
      <alignment horizontal="left" vertical="center" wrapText="1"/>
    </xf>
    <xf numFmtId="170" fontId="8" fillId="0" borderId="3" xfId="0" applyNumberFormat="1" applyFont="1" applyBorder="1" applyAlignment="1" applyProtection="1">
      <alignment horizontal="right"/>
    </xf>
    <xf numFmtId="170" fontId="0" fillId="0" borderId="0" xfId="0" applyNumberFormat="1" applyFont="1" applyProtection="1"/>
    <xf numFmtId="170" fontId="0" fillId="0" borderId="5" xfId="0" applyNumberFormat="1" applyFont="1" applyBorder="1" applyProtection="1"/>
    <xf numFmtId="170" fontId="0" fillId="0" borderId="8" xfId="0" applyNumberFormat="1" applyFont="1" applyBorder="1" applyProtection="1"/>
    <xf numFmtId="170" fontId="9" fillId="0" borderId="10" xfId="0" applyNumberFormat="1" applyFont="1" applyBorder="1" applyProtection="1"/>
    <xf numFmtId="170" fontId="0" fillId="0" borderId="0" xfId="0" applyNumberFormat="1" applyFont="1" applyBorder="1" applyProtection="1"/>
    <xf numFmtId="170" fontId="16" fillId="0" borderId="11" xfId="0" applyNumberFormat="1" applyFont="1" applyBorder="1" applyAlignment="1" applyProtection="1"/>
    <xf numFmtId="170" fontId="0" fillId="0" borderId="11" xfId="0" applyNumberFormat="1" applyFont="1" applyBorder="1" applyProtection="1"/>
    <xf numFmtId="170" fontId="0" fillId="0" borderId="12" xfId="0" applyNumberFormat="1" applyFont="1" applyBorder="1" applyProtection="1"/>
    <xf numFmtId="170" fontId="0" fillId="0" borderId="14" xfId="0" applyNumberFormat="1" applyFont="1" applyBorder="1" applyProtection="1"/>
    <xf numFmtId="170" fontId="0" fillId="0" borderId="16" xfId="0" applyNumberFormat="1" applyFont="1" applyBorder="1" applyProtection="1"/>
    <xf numFmtId="170" fontId="0" fillId="0" borderId="17" xfId="0" applyNumberFormat="1" applyFont="1" applyBorder="1" applyProtection="1"/>
    <xf numFmtId="170" fontId="0" fillId="0" borderId="0" xfId="0" applyNumberFormat="1" applyProtection="1"/>
    <xf numFmtId="170" fontId="18" fillId="0" borderId="0" xfId="0" applyNumberFormat="1" applyFont="1" applyProtection="1"/>
    <xf numFmtId="170" fontId="0" fillId="0" borderId="0" xfId="0" applyNumberFormat="1" applyFont="1" applyFill="1" applyBorder="1" applyAlignment="1" applyProtection="1">
      <alignment horizontal="left" vertical="top" wrapText="1"/>
    </xf>
    <xf numFmtId="170" fontId="21" fillId="0" borderId="10" xfId="0" applyNumberFormat="1" applyFont="1" applyFill="1" applyBorder="1" applyAlignment="1" applyProtection="1">
      <alignment horizontal="right" vertical="center"/>
    </xf>
    <xf numFmtId="170" fontId="21" fillId="0" borderId="10" xfId="0" applyNumberFormat="1" applyFont="1" applyBorder="1" applyAlignment="1" applyProtection="1">
      <alignment horizontal="right" vertical="center"/>
    </xf>
    <xf numFmtId="170" fontId="21" fillId="6" borderId="20" xfId="0" applyNumberFormat="1" applyFont="1" applyFill="1" applyBorder="1" applyProtection="1"/>
    <xf numFmtId="170" fontId="0" fillId="6" borderId="20" xfId="0" applyNumberFormat="1" applyFont="1" applyFill="1" applyBorder="1" applyProtection="1"/>
    <xf numFmtId="170" fontId="30" fillId="0" borderId="10" xfId="0" applyNumberFormat="1" applyFont="1" applyFill="1" applyBorder="1" applyAlignment="1" applyProtection="1">
      <alignment horizontal="right" vertical="center"/>
    </xf>
    <xf numFmtId="170" fontId="30" fillId="0" borderId="10" xfId="0" applyNumberFormat="1" applyFont="1" applyBorder="1" applyAlignment="1" applyProtection="1">
      <alignment horizontal="right" vertical="center"/>
    </xf>
    <xf numFmtId="170" fontId="14" fillId="13" borderId="18" xfId="20" applyNumberFormat="1" applyFill="1" applyBorder="1" applyAlignment="1" applyProtection="1">
      <alignment vertical="center"/>
    </xf>
    <xf numFmtId="170" fontId="0" fillId="6" borderId="20" xfId="0" applyNumberFormat="1" applyFill="1" applyBorder="1" applyProtection="1"/>
    <xf numFmtId="170" fontId="21" fillId="0" borderId="0" xfId="0" applyNumberFormat="1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/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Protection="1">
      <protection locked="0"/>
    </xf>
    <xf numFmtId="167" fontId="38" fillId="0" borderId="0" xfId="0" applyNumberFormat="1" applyFont="1" applyBorder="1" applyProtection="1">
      <protection locked="0"/>
    </xf>
    <xf numFmtId="167" fontId="38" fillId="0" borderId="0" xfId="0" applyNumberFormat="1" applyFont="1" applyProtection="1">
      <protection locked="0"/>
    </xf>
    <xf numFmtId="3" fontId="21" fillId="0" borderId="10" xfId="0" applyNumberFormat="1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vertical="center"/>
    </xf>
    <xf numFmtId="0" fontId="35" fillId="11" borderId="0" xfId="0" applyFont="1" applyFill="1" applyAlignment="1" applyProtection="1">
      <alignment horizontal="center" vertical="center"/>
      <protection locked="0"/>
    </xf>
    <xf numFmtId="3" fontId="30" fillId="0" borderId="10" xfId="0" applyNumberFormat="1" applyFont="1" applyFill="1" applyBorder="1" applyAlignment="1">
      <alignment horizontal="left" vertical="center" wrapText="1"/>
    </xf>
    <xf numFmtId="3" fontId="30" fillId="0" borderId="10" xfId="0" applyNumberFormat="1" applyFont="1" applyFill="1" applyBorder="1" applyAlignment="1">
      <alignment horizontal="left" vertical="center"/>
    </xf>
    <xf numFmtId="177" fontId="30" fillId="0" borderId="1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10" xfId="0" applyNumberFormat="1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/>
    </xf>
    <xf numFmtId="177" fontId="21" fillId="0" borderId="10" xfId="0" applyNumberFormat="1" applyFont="1" applyBorder="1" applyAlignment="1">
      <alignment vertical="center"/>
    </xf>
    <xf numFmtId="3" fontId="30" fillId="0" borderId="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left" vertical="center" wrapText="1"/>
    </xf>
    <xf numFmtId="3" fontId="30" fillId="0" borderId="10" xfId="0" applyNumberFormat="1" applyFont="1" applyBorder="1" applyAlignment="1">
      <alignment horizontal="left" vertical="center"/>
    </xf>
    <xf numFmtId="177" fontId="30" fillId="0" borderId="10" xfId="0" applyNumberFormat="1" applyFont="1" applyBorder="1" applyAlignment="1">
      <alignment vertical="center"/>
    </xf>
    <xf numFmtId="170" fontId="41" fillId="0" borderId="10" xfId="0" applyNumberFormat="1" applyFont="1" applyFill="1" applyBorder="1" applyAlignment="1" applyProtection="1">
      <alignment horizontal="left" vertical="center"/>
    </xf>
    <xf numFmtId="170" fontId="21" fillId="0" borderId="10" xfId="0" applyNumberFormat="1" applyFont="1" applyBorder="1" applyAlignment="1">
      <alignment horizontal="right" vertical="center"/>
    </xf>
    <xf numFmtId="170" fontId="30" fillId="0" borderId="10" xfId="0" applyNumberFormat="1" applyFont="1" applyBorder="1" applyAlignment="1">
      <alignment horizontal="right" vertical="center"/>
    </xf>
    <xf numFmtId="170" fontId="21" fillId="0" borderId="10" xfId="0" applyNumberFormat="1" applyFont="1" applyFill="1" applyBorder="1" applyAlignment="1">
      <alignment horizontal="right" vertical="center"/>
    </xf>
    <xf numFmtId="170" fontId="30" fillId="0" borderId="10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left" vertical="center"/>
    </xf>
    <xf numFmtId="0" fontId="15" fillId="0" borderId="0" xfId="0" applyFont="1" applyFill="1" applyAlignment="1" applyProtection="1">
      <alignment horizontal="center" vertical="center"/>
    </xf>
    <xf numFmtId="3" fontId="30" fillId="0" borderId="0" xfId="0" applyNumberFormat="1" applyFont="1" applyFill="1" applyAlignment="1" applyProtection="1">
      <alignment horizontal="center" vertical="center"/>
    </xf>
    <xf numFmtId="2" fontId="21" fillId="0" borderId="10" xfId="0" applyNumberFormat="1" applyFont="1" applyFill="1" applyBorder="1" applyAlignment="1" applyProtection="1">
      <alignment horizontal="right" vertical="center"/>
      <protection hidden="1"/>
    </xf>
    <xf numFmtId="180" fontId="21" fillId="14" borderId="10" xfId="0" applyNumberFormat="1" applyFont="1" applyFill="1" applyBorder="1" applyAlignment="1" applyProtection="1">
      <alignment vertical="center"/>
      <protection locked="0" hidden="1"/>
    </xf>
    <xf numFmtId="167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center" wrapText="1"/>
    </xf>
    <xf numFmtId="3" fontId="0" fillId="0" borderId="0" xfId="0" applyNumberFormat="1" applyFont="1" applyFill="1" applyBorder="1" applyAlignment="1" applyProtection="1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top"/>
    </xf>
    <xf numFmtId="0" fontId="14" fillId="13" borderId="18" xfId="20" applyFill="1" applyBorder="1" applyAlignment="1" applyProtection="1">
      <alignment vertical="center"/>
    </xf>
    <xf numFmtId="0" fontId="14" fillId="13" borderId="22" xfId="20" applyNumberFormat="1" applyFill="1" applyBorder="1" applyAlignment="1" applyProtection="1">
      <alignment vertical="center"/>
    </xf>
    <xf numFmtId="170" fontId="21" fillId="0" borderId="10" xfId="0" applyNumberFormat="1" applyFont="1" applyFill="1" applyBorder="1" applyAlignment="1" applyProtection="1">
      <alignment horizontal="right" vertical="center"/>
      <protection hidden="1"/>
    </xf>
    <xf numFmtId="0" fontId="14" fillId="0" borderId="0" xfId="20"/>
    <xf numFmtId="3" fontId="21" fillId="15" borderId="0" xfId="0" applyNumberFormat="1" applyFont="1" applyFill="1" applyBorder="1" applyAlignment="1" applyProtection="1">
      <alignment horizontal="center" vertical="center"/>
    </xf>
    <xf numFmtId="170" fontId="21" fillId="15" borderId="10" xfId="0" applyNumberFormat="1" applyFont="1" applyFill="1" applyBorder="1" applyAlignment="1" applyProtection="1">
      <alignment horizontal="right" vertical="center"/>
    </xf>
    <xf numFmtId="3" fontId="21" fillId="15" borderId="10" xfId="0" applyNumberFormat="1" applyFont="1" applyFill="1" applyBorder="1" applyAlignment="1" applyProtection="1">
      <alignment horizontal="left" vertical="center" wrapText="1"/>
    </xf>
    <xf numFmtId="3" fontId="21" fillId="15" borderId="0" xfId="0" applyNumberFormat="1" applyFont="1" applyFill="1" applyAlignment="1" applyProtection="1">
      <alignment horizontal="center" vertical="center"/>
    </xf>
    <xf numFmtId="0" fontId="43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3" fillId="0" borderId="0" xfId="25" applyFont="1" applyFill="1" applyBorder="1" applyAlignment="1" applyProtection="1">
      <alignment vertical="center"/>
    </xf>
    <xf numFmtId="0" fontId="45" fillId="0" borderId="0" xfId="25" applyFont="1" applyFill="1" applyBorder="1" applyAlignment="1" applyProtection="1">
      <alignment vertical="center"/>
    </xf>
    <xf numFmtId="0" fontId="46" fillId="0" borderId="0" xfId="25" applyFont="1" applyFill="1" applyBorder="1" applyAlignment="1" applyProtection="1">
      <alignment vertical="center"/>
    </xf>
    <xf numFmtId="0" fontId="43" fillId="0" borderId="0" xfId="0" applyFont="1" applyAlignment="1">
      <alignment vertical="center"/>
    </xf>
    <xf numFmtId="0" fontId="46" fillId="15" borderId="0" xfId="25" applyFont="1" applyFill="1" applyBorder="1" applyAlignment="1" applyProtection="1">
      <alignment vertical="center"/>
    </xf>
    <xf numFmtId="0" fontId="46" fillId="0" borderId="0" xfId="25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3" fontId="25" fillId="16" borderId="18" xfId="0" applyNumberFormat="1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3" fontId="25" fillId="16" borderId="10" xfId="0" applyNumberFormat="1" applyFont="1" applyFill="1" applyBorder="1" applyAlignment="1" applyProtection="1">
      <alignment vertical="center"/>
    </xf>
    <xf numFmtId="0" fontId="15" fillId="15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 applyFill="1" applyBorder="1" applyAlignment="1" applyProtection="1">
      <alignment horizontal="left" vertical="top"/>
    </xf>
    <xf numFmtId="167" fontId="0" fillId="0" borderId="0" xfId="0" applyNumberFormat="1" applyFill="1" applyBorder="1" applyAlignment="1" applyProtection="1">
      <alignment vertical="top"/>
    </xf>
    <xf numFmtId="167" fontId="0" fillId="0" borderId="0" xfId="0" applyNumberFormat="1" applyFont="1" applyFill="1" applyBorder="1" applyAlignment="1" applyProtection="1">
      <alignment vertical="top"/>
    </xf>
    <xf numFmtId="3" fontId="0" fillId="0" borderId="0" xfId="0" applyNumberFormat="1" applyFill="1" applyBorder="1" applyAlignment="1" applyProtection="1">
      <alignment horizontal="left" vertical="center"/>
    </xf>
    <xf numFmtId="167" fontId="0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/>
    <xf numFmtId="176" fontId="16" fillId="0" borderId="20" xfId="0" applyNumberFormat="1" applyFont="1" applyBorder="1" applyAlignment="1" applyProtection="1"/>
    <xf numFmtId="176" fontId="16" fillId="0" borderId="11" xfId="0" applyNumberFormat="1" applyFont="1" applyBorder="1" applyAlignment="1" applyProtection="1"/>
    <xf numFmtId="0" fontId="11" fillId="0" borderId="6" xfId="0" applyFont="1" applyBorder="1" applyAlignment="1" applyProtection="1">
      <alignment vertical="center" wrapText="1"/>
    </xf>
    <xf numFmtId="0" fontId="11" fillId="0" borderId="23" xfId="0" applyFont="1" applyBorder="1" applyAlignment="1" applyProtection="1">
      <alignment vertical="center" wrapText="1"/>
    </xf>
    <xf numFmtId="170" fontId="47" fillId="0" borderId="3" xfId="0" applyNumberFormat="1" applyFont="1" applyBorder="1" applyAlignment="1" applyProtection="1">
      <alignment horizontal="right"/>
    </xf>
    <xf numFmtId="176" fontId="9" fillId="0" borderId="0" xfId="0" applyNumberFormat="1" applyFont="1"/>
    <xf numFmtId="0" fontId="26" fillId="0" borderId="0" xfId="0" applyFont="1" applyAlignment="1" applyProtection="1">
      <protection locked="0"/>
    </xf>
    <xf numFmtId="0" fontId="27" fillId="0" borderId="0" xfId="0" applyFont="1" applyAlignment="1">
      <alignment horizontal="center"/>
    </xf>
    <xf numFmtId="0" fontId="26" fillId="0" borderId="0" xfId="0" applyFont="1"/>
    <xf numFmtId="0" fontId="26" fillId="0" borderId="24" xfId="0" applyFont="1" applyBorder="1"/>
    <xf numFmtId="167" fontId="0" fillId="0" borderId="0" xfId="0" applyNumberFormat="1" applyFont="1" applyFill="1" applyBorder="1" applyAlignment="1">
      <alignment horizontal="left" vertical="top"/>
    </xf>
    <xf numFmtId="167" fontId="0" fillId="0" borderId="0" xfId="0" applyNumberFormat="1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4" fontId="21" fillId="0" borderId="0" xfId="0" applyNumberFormat="1" applyFont="1"/>
    <xf numFmtId="0" fontId="21" fillId="0" borderId="0" xfId="0" applyFont="1" applyBorder="1"/>
    <xf numFmtId="0" fontId="0" fillId="0" borderId="0" xfId="0" applyFont="1" applyBorder="1"/>
    <xf numFmtId="0" fontId="0" fillId="0" borderId="0" xfId="0" applyNumberFormat="1" applyFont="1" applyBorder="1"/>
    <xf numFmtId="4" fontId="22" fillId="0" borderId="0" xfId="0" applyNumberFormat="1" applyFont="1"/>
    <xf numFmtId="0" fontId="22" fillId="0" borderId="24" xfId="0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wrapText="1"/>
    </xf>
    <xf numFmtId="9" fontId="22" fillId="0" borderId="0" xfId="27" applyFont="1"/>
    <xf numFmtId="0" fontId="46" fillId="0" borderId="0" xfId="0" applyFont="1" applyAlignment="1">
      <alignment horizontal="center"/>
    </xf>
    <xf numFmtId="0" fontId="48" fillId="0" borderId="0" xfId="0" applyFont="1"/>
    <xf numFmtId="9" fontId="48" fillId="0" borderId="0" xfId="27" applyFont="1"/>
    <xf numFmtId="4" fontId="48" fillId="0" borderId="0" xfId="0" applyNumberFormat="1" applyFont="1"/>
    <xf numFmtId="9" fontId="21" fillId="0" borderId="0" xfId="27" applyFont="1"/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7" fontId="0" fillId="0" borderId="0" xfId="0" applyNumberFormat="1" applyFont="1" applyFill="1" applyBorder="1" applyAlignment="1">
      <alignment vertical="top"/>
    </xf>
    <xf numFmtId="3" fontId="0" fillId="0" borderId="0" xfId="0" applyNumberFormat="1" applyFont="1" applyFill="1" applyBorder="1" applyAlignment="1">
      <alignment vertical="center"/>
    </xf>
    <xf numFmtId="0" fontId="27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4" fontId="21" fillId="14" borderId="10" xfId="0" applyNumberFormat="1" applyFont="1" applyFill="1" applyBorder="1" applyAlignment="1" applyProtection="1">
      <alignment vertical="center"/>
      <protection locked="0"/>
    </xf>
    <xf numFmtId="4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167" fontId="0" fillId="0" borderId="0" xfId="0" applyNumberFormat="1" applyFont="1" applyFill="1" applyBorder="1" applyAlignment="1" applyProtection="1">
      <alignment vertical="top"/>
      <protection locked="0"/>
    </xf>
    <xf numFmtId="167" fontId="0" fillId="0" borderId="0" xfId="0" applyNumberFormat="1" applyFont="1" applyFill="1" applyBorder="1" applyAlignment="1" applyProtection="1">
      <alignment horizontal="left" vertical="top" wrapText="1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horizontal="left" vertical="center"/>
      <protection locked="0"/>
    </xf>
    <xf numFmtId="0" fontId="42" fillId="0" borderId="0" xfId="0" applyFont="1" applyAlignment="1"/>
    <xf numFmtId="0" fontId="35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9" fontId="35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167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167" fontId="8" fillId="0" borderId="3" xfId="0" applyNumberFormat="1" applyFont="1" applyBorder="1" applyAlignment="1" applyProtection="1">
      <alignment horizontal="right"/>
      <protection locked="0"/>
    </xf>
    <xf numFmtId="167" fontId="0" fillId="0" borderId="0" xfId="0" applyNumberFormat="1" applyFont="1" applyProtection="1"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167" fontId="0" fillId="0" borderId="5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76" fontId="9" fillId="0" borderId="10" xfId="0" applyNumberFormat="1" applyFont="1" applyBorder="1" applyProtection="1">
      <protection locked="0"/>
    </xf>
    <xf numFmtId="176" fontId="0" fillId="0" borderId="0" xfId="0" applyNumberFormat="1" applyFont="1" applyBorder="1" applyProtection="1">
      <protection locked="0"/>
    </xf>
    <xf numFmtId="167" fontId="0" fillId="0" borderId="11" xfId="0" applyNumberFormat="1" applyFont="1" applyBorder="1" applyProtection="1">
      <protection locked="0"/>
    </xf>
    <xf numFmtId="3" fontId="23" fillId="0" borderId="11" xfId="0" applyNumberFormat="1" applyFont="1" applyBorder="1" applyAlignment="1" applyProtection="1">
      <alignment horizontal="right"/>
      <protection locked="0"/>
    </xf>
    <xf numFmtId="9" fontId="20" fillId="14" borderId="11" xfId="26" applyFill="1" applyBorder="1" applyAlignment="1" applyProtection="1">
      <alignment vertical="center"/>
      <protection locked="0"/>
    </xf>
    <xf numFmtId="10" fontId="20" fillId="0" borderId="12" xfId="26" applyNumberFormat="1" applyFill="1" applyBorder="1" applyAlignment="1" applyProtection="1">
      <alignment vertical="center"/>
      <protection locked="0"/>
    </xf>
    <xf numFmtId="167" fontId="0" fillId="0" borderId="14" xfId="0" applyNumberFormat="1" applyFont="1" applyBorder="1" applyProtection="1">
      <protection locked="0"/>
    </xf>
    <xf numFmtId="167" fontId="0" fillId="0" borderId="16" xfId="0" applyNumberFormat="1" applyFont="1" applyBorder="1" applyProtection="1">
      <protection locked="0"/>
    </xf>
    <xf numFmtId="9" fontId="20" fillId="0" borderId="11" xfId="26" applyFill="1" applyBorder="1" applyAlignment="1" applyProtection="1">
      <protection locked="0"/>
    </xf>
    <xf numFmtId="167" fontId="0" fillId="0" borderId="17" xfId="0" applyNumberFormat="1" applyFont="1" applyBorder="1" applyProtection="1">
      <protection locked="0"/>
    </xf>
    <xf numFmtId="170" fontId="0" fillId="0" borderId="17" xfId="0" applyNumberFormat="1" applyFon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18" fillId="0" borderId="0" xfId="0" applyNumberFormat="1" applyFont="1" applyProtection="1">
      <protection locked="0"/>
    </xf>
    <xf numFmtId="167" fontId="0" fillId="0" borderId="0" xfId="0" applyNumberFormat="1" applyFill="1" applyBorder="1" applyAlignment="1" applyProtection="1">
      <alignment vertical="top"/>
      <protection locked="0"/>
    </xf>
    <xf numFmtId="0" fontId="21" fillId="0" borderId="0" xfId="0" applyFont="1" applyAlignment="1" applyProtection="1">
      <protection locked="0"/>
    </xf>
    <xf numFmtId="167" fontId="0" fillId="0" borderId="0" xfId="0" applyNumberFormat="1" applyFill="1" applyBorder="1" applyAlignment="1" applyProtection="1">
      <alignment horizontal="left" vertical="top" wrapText="1"/>
      <protection locked="0"/>
    </xf>
    <xf numFmtId="3" fontId="25" fillId="16" borderId="18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 applyBorder="1" applyProtection="1">
      <protection locked="0"/>
    </xf>
    <xf numFmtId="0" fontId="14" fillId="13" borderId="18" xfId="20" applyNumberFormat="1" applyFill="1" applyBorder="1" applyAlignment="1" applyProtection="1">
      <alignment vertical="center"/>
      <protection locked="0"/>
    </xf>
    <xf numFmtId="177" fontId="21" fillId="14" borderId="10" xfId="0" applyNumberFormat="1" applyFont="1" applyFill="1" applyBorder="1" applyAlignment="1" applyProtection="1">
      <alignment vertical="center"/>
      <protection locked="0"/>
    </xf>
    <xf numFmtId="177" fontId="21" fillId="6" borderId="20" xfId="0" applyNumberFormat="1" applyFont="1" applyFill="1" applyBorder="1" applyProtection="1">
      <protection locked="0"/>
    </xf>
    <xf numFmtId="166" fontId="21" fillId="14" borderId="10" xfId="0" applyNumberFormat="1" applyFont="1" applyFill="1" applyBorder="1" applyAlignment="1" applyProtection="1">
      <alignment vertical="center"/>
      <protection locked="0"/>
    </xf>
    <xf numFmtId="167" fontId="0" fillId="6" borderId="20" xfId="0" applyNumberFormat="1" applyFont="1" applyFill="1" applyBorder="1" applyProtection="1">
      <protection locked="0"/>
    </xf>
    <xf numFmtId="3" fontId="25" fillId="16" borderId="10" xfId="0" applyNumberFormat="1" applyFont="1" applyFill="1" applyBorder="1" applyAlignment="1" applyProtection="1">
      <alignment vertical="center"/>
      <protection locked="0"/>
    </xf>
    <xf numFmtId="166" fontId="21" fillId="14" borderId="0" xfId="0" applyNumberFormat="1" applyFont="1" applyFill="1" applyBorder="1" applyAlignment="1" applyProtection="1">
      <alignment vertical="center"/>
      <protection locked="0"/>
    </xf>
    <xf numFmtId="177" fontId="30" fillId="14" borderId="10" xfId="0" applyNumberFormat="1" applyFont="1" applyFill="1" applyBorder="1" applyAlignment="1" applyProtection="1">
      <alignment vertical="center"/>
      <protection locked="0"/>
    </xf>
    <xf numFmtId="177" fontId="21" fillId="0" borderId="10" xfId="0" applyNumberFormat="1" applyFont="1" applyFill="1" applyBorder="1" applyAlignment="1" applyProtection="1">
      <alignment vertical="center"/>
      <protection locked="0"/>
    </xf>
    <xf numFmtId="177" fontId="21" fillId="0" borderId="0" xfId="0" applyNumberFormat="1" applyFont="1" applyFill="1" applyBorder="1" applyAlignment="1" applyProtection="1">
      <alignment vertical="center"/>
      <protection locked="0"/>
    </xf>
    <xf numFmtId="0" fontId="14" fillId="13" borderId="22" xfId="20" applyNumberFormat="1" applyFill="1" applyBorder="1" applyAlignment="1" applyProtection="1">
      <alignment vertical="center"/>
      <protection locked="0"/>
    </xf>
    <xf numFmtId="166" fontId="21" fillId="14" borderId="0" xfId="0" applyNumberFormat="1" applyFont="1" applyFill="1" applyAlignment="1" applyProtection="1">
      <alignment vertical="center"/>
      <protection locked="0"/>
    </xf>
    <xf numFmtId="0" fontId="14" fillId="13" borderId="18" xfId="20" applyFill="1" applyBorder="1" applyAlignment="1" applyProtection="1">
      <alignment vertical="center"/>
      <protection locked="0"/>
    </xf>
    <xf numFmtId="167" fontId="0" fillId="6" borderId="20" xfId="0" applyNumberFormat="1" applyFill="1" applyBorder="1" applyProtection="1">
      <protection locked="0"/>
    </xf>
    <xf numFmtId="177" fontId="33" fillId="14" borderId="10" xfId="0" applyNumberFormat="1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</cellXfs>
  <cellStyles count="3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Hypertextový odkaz" xfId="20" builtinId="8"/>
    <cellStyle name="Chybně" xfId="21"/>
    <cellStyle name="měny" xfId="22" builtinId="4"/>
    <cellStyle name="Název" xfId="23"/>
    <cellStyle name="normální" xfId="0" builtinId="0"/>
    <cellStyle name="Normální 2" xfId="24"/>
    <cellStyle name="normální_BRILSTAR" xfId="25"/>
    <cellStyle name="procent" xfId="26" builtinId="5"/>
    <cellStyle name="Procenta 2" xfId="27"/>
    <cellStyle name="TableStyleLight1 2" xfId="28"/>
    <cellStyle name="TableStyleLight1 3" xfId="29"/>
    <cellStyle name="TableStyleLight1 4" xfId="30"/>
    <cellStyle name="Text upozornění" xfId="31"/>
  </cellStyles>
  <dxfs count="2">
    <dxf>
      <fill>
        <patternFill patternType="none">
          <fgColor indexed="64"/>
          <bgColor indexed="6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 patternType="none">
          <fgColor indexed="64"/>
          <bgColor indexed="65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ko.cz/sprchova-vanicka-ctvrtkruhova-ravak-chrome-90x90-cm-lity-mramor-xa247701010/p/EL90PROCHROM0" TargetMode="External"/><Relationship Id="rId2" Type="http://schemas.openxmlformats.org/officeDocument/2006/relationships/hyperlink" Target="https://www.koupelny-sen.cz/vanickovy-sifon-prumer-otvoru-90-mm-dn50-krytka-lestena-nerez-ewn0850" TargetMode="External"/><Relationship Id="rId1" Type="http://schemas.openxmlformats.org/officeDocument/2006/relationships/hyperlink" Target="https://www.jap-pouzdro.cz/pouzdro-jap-standard-sdk/stavebni-pouzdro-jap-700-standard-sdk-700-m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nlinekoupelny.cz/novaservis-drezy-drez-400-x-500-mm-s-prepadem-nerez-dr40-50a" TargetMode="External"/><Relationship Id="rId4" Type="http://schemas.openxmlformats.org/officeDocument/2006/relationships/hyperlink" Target="https://www.siko.cz/sprchovy-kout-ctvrtkruh-90x90x200-cm-roth-proxima-line-chrom-leskly-539-9000000-00-02/p/539-9000000-00-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08"/>
  <sheetViews>
    <sheetView showGridLines="0" tabSelected="1" zoomScaleNormal="100" zoomScaleSheetLayoutView="55" workbookViewId="0">
      <selection activeCell="H100" sqref="H100"/>
    </sheetView>
  </sheetViews>
  <sheetFormatPr defaultRowHeight="12.75"/>
  <cols>
    <col min="1" max="1" width="4.42578125" style="22" customWidth="1"/>
    <col min="2" max="2" width="13.85546875" style="192" hidden="1" customWidth="1"/>
    <col min="3" max="4" width="11.42578125" style="23" customWidth="1"/>
    <col min="5" max="5" width="54.5703125" style="27" customWidth="1"/>
    <col min="6" max="6" width="6.85546875" style="25" customWidth="1"/>
    <col min="7" max="7" width="10.5703125" style="125" bestFit="1" customWidth="1"/>
    <col min="8" max="8" width="12.5703125" style="269" customWidth="1"/>
    <col min="9" max="9" width="15.42578125" style="25" customWidth="1"/>
    <col min="10" max="10" width="17" style="261" customWidth="1"/>
    <col min="11" max="11" width="25.7109375" style="149" customWidth="1"/>
    <col min="12" max="12" width="12.140625" style="3" hidden="1" customWidth="1"/>
    <col min="13" max="14" width="13.28515625" style="1" hidden="1" customWidth="1"/>
    <col min="15" max="15" width="10" style="1" hidden="1" customWidth="1"/>
    <col min="16" max="17" width="0" style="1" hidden="1" customWidth="1"/>
    <col min="18" max="18" width="11.28515625" style="1" hidden="1" customWidth="1"/>
    <col min="19" max="19" width="0" style="1" hidden="1" customWidth="1"/>
    <col min="20" max="16384" width="9.140625" style="1"/>
  </cols>
  <sheetData>
    <row r="2" spans="1:15">
      <c r="E2" s="24"/>
      <c r="G2" s="124" t="s">
        <v>22</v>
      </c>
      <c r="H2" s="268" t="s">
        <v>23</v>
      </c>
      <c r="I2" s="26" t="s">
        <v>24</v>
      </c>
      <c r="J2" s="148" t="s">
        <v>545</v>
      </c>
      <c r="K2" s="148" t="s">
        <v>218</v>
      </c>
      <c r="L2" s="16" t="s">
        <v>200</v>
      </c>
      <c r="M2" s="16" t="s">
        <v>201</v>
      </c>
      <c r="N2" s="16" t="s">
        <v>202</v>
      </c>
      <c r="O2" s="16" t="s">
        <v>202</v>
      </c>
    </row>
    <row r="3" spans="1:15">
      <c r="B3" s="215" t="s">
        <v>506</v>
      </c>
      <c r="E3" s="24"/>
      <c r="L3" s="17"/>
      <c r="M3" s="17"/>
      <c r="N3" s="10"/>
    </row>
    <row r="4" spans="1:15">
      <c r="L4" s="17"/>
      <c r="M4" s="17"/>
      <c r="N4" s="10"/>
    </row>
    <row r="5" spans="1:15" ht="44.25" customHeight="1">
      <c r="E5" s="310" t="s">
        <v>219</v>
      </c>
      <c r="F5" s="311"/>
      <c r="G5" s="311"/>
      <c r="H5" s="270"/>
      <c r="I5" s="214"/>
      <c r="L5" s="17"/>
      <c r="M5" s="17"/>
      <c r="N5" s="10"/>
    </row>
    <row r="6" spans="1:15" ht="37.5" customHeight="1">
      <c r="E6" s="308" t="s">
        <v>184</v>
      </c>
      <c r="F6" s="309"/>
      <c r="G6" s="309"/>
      <c r="H6" s="271"/>
      <c r="I6" s="213"/>
      <c r="L6" s="17"/>
      <c r="M6" s="17"/>
      <c r="N6" s="10"/>
    </row>
    <row r="7" spans="1:15">
      <c r="E7" s="28"/>
      <c r="F7" s="29"/>
      <c r="G7" s="126"/>
      <c r="H7" s="272"/>
      <c r="I7" s="30"/>
      <c r="L7" s="17"/>
      <c r="M7" s="17"/>
      <c r="N7" s="10"/>
    </row>
    <row r="8" spans="1:15" ht="23.25">
      <c r="E8" s="31" t="s">
        <v>25</v>
      </c>
      <c r="F8" s="32"/>
      <c r="G8" s="127"/>
      <c r="H8" s="273"/>
      <c r="I8" s="33"/>
      <c r="L8" s="17"/>
      <c r="M8" s="17"/>
      <c r="N8" s="10"/>
    </row>
    <row r="9" spans="1:15">
      <c r="L9" s="17"/>
      <c r="M9" s="17"/>
      <c r="N9" s="10"/>
    </row>
    <row r="10" spans="1:15">
      <c r="L10" s="2"/>
      <c r="M10" s="2"/>
      <c r="N10" s="10"/>
    </row>
    <row r="11" spans="1:15" s="2" customFormat="1" ht="16.5">
      <c r="A11" s="34"/>
      <c r="B11" s="193"/>
      <c r="C11" s="35">
        <v>1</v>
      </c>
      <c r="D11" s="35"/>
      <c r="E11" s="36" t="str">
        <f>Kapitola_1</f>
        <v>Přípravné a bourací práce</v>
      </c>
      <c r="F11" s="37"/>
      <c r="G11" s="128"/>
      <c r="H11" s="274"/>
      <c r="I11" s="38">
        <f>+Cena_1</f>
        <v>0</v>
      </c>
      <c r="J11" s="262"/>
      <c r="K11" s="150"/>
      <c r="L11" s="18">
        <f>SUMIF(J$96:J$122,"O",I$96:I$122)</f>
        <v>0</v>
      </c>
      <c r="M11" s="18">
        <f>SUMIF(J$96:J$122,"i",I$96:I$122)</f>
        <v>0</v>
      </c>
      <c r="N11" s="19">
        <f>SUM(L11:M11)</f>
        <v>0</v>
      </c>
      <c r="O11" s="216">
        <f>I11-N11</f>
        <v>0</v>
      </c>
    </row>
    <row r="12" spans="1:15" s="2" customFormat="1" ht="16.5">
      <c r="A12" s="34"/>
      <c r="B12" s="193"/>
      <c r="C12" s="35">
        <v>2</v>
      </c>
      <c r="D12" s="35"/>
      <c r="E12" s="36" t="str">
        <f>Kapitola_2</f>
        <v>Stavební úpravy bytové jednotky</v>
      </c>
      <c r="F12" s="37"/>
      <c r="G12" s="128"/>
      <c r="H12" s="274"/>
      <c r="I12" s="38">
        <f>SUM(H13:H26)</f>
        <v>0</v>
      </c>
      <c r="J12" s="262"/>
      <c r="K12" s="150"/>
    </row>
    <row r="13" spans="1:15" s="2" customFormat="1" ht="16.5">
      <c r="A13" s="34"/>
      <c r="B13" s="193"/>
      <c r="C13" s="39" t="s">
        <v>53</v>
      </c>
      <c r="D13" s="39"/>
      <c r="E13" s="36" t="str">
        <f>Kapitola_2a</f>
        <v>Stěny a příčky</v>
      </c>
      <c r="F13" s="37"/>
      <c r="G13" s="128"/>
      <c r="H13" s="274">
        <f>+Cena_2a</f>
        <v>0</v>
      </c>
      <c r="I13" s="38"/>
      <c r="J13" s="262"/>
      <c r="K13" s="150"/>
      <c r="L13" s="18">
        <f>SUMIF(J$127:J$143,"O",I$127:I$143)</f>
        <v>0</v>
      </c>
      <c r="M13" s="18">
        <f>SUMIF(J$127:J$143,"i",I$127:I$143)</f>
        <v>0</v>
      </c>
      <c r="N13" s="19">
        <f t="shared" ref="N13:N27" si="0">SUM(L13:M13)</f>
        <v>0</v>
      </c>
      <c r="O13" s="216">
        <f>H13-N13</f>
        <v>0</v>
      </c>
    </row>
    <row r="14" spans="1:15" s="2" customFormat="1" ht="16.5">
      <c r="A14" s="34"/>
      <c r="B14" s="193"/>
      <c r="C14" s="39" t="s">
        <v>54</v>
      </c>
      <c r="D14" s="39"/>
      <c r="E14" s="36" t="str">
        <f>Kapitola_2b</f>
        <v>Stropy a stropní konstrukce</v>
      </c>
      <c r="F14" s="37"/>
      <c r="G14" s="128"/>
      <c r="H14" s="274">
        <f>+Cena_2b</f>
        <v>0</v>
      </c>
      <c r="I14" s="38"/>
      <c r="J14" s="262"/>
      <c r="K14" s="150"/>
      <c r="L14" s="18">
        <f>SUMIF(J$151:J$157,"O",I$151:I$157)</f>
        <v>0</v>
      </c>
      <c r="M14" s="18">
        <f>SUMIF(J$151:J$157,"i",I$151:I$157)</f>
        <v>0</v>
      </c>
      <c r="N14" s="19">
        <f t="shared" si="0"/>
        <v>0</v>
      </c>
      <c r="O14" s="216">
        <f t="shared" ref="O14:O26" si="1">H14-N14</f>
        <v>0</v>
      </c>
    </row>
    <row r="15" spans="1:15" s="2" customFormat="1" ht="16.5">
      <c r="A15" s="34"/>
      <c r="B15" s="193"/>
      <c r="C15" s="39" t="s">
        <v>55</v>
      </c>
      <c r="D15" s="39"/>
      <c r="E15" s="36" t="str">
        <f>Kapitola_2c</f>
        <v>Úpravy povrchů vnitřní (stěny, stropy)</v>
      </c>
      <c r="F15" s="37"/>
      <c r="G15" s="128"/>
      <c r="H15" s="274">
        <f>+Cena_2c</f>
        <v>0</v>
      </c>
      <c r="I15" s="38"/>
      <c r="J15" s="262"/>
      <c r="K15" s="150"/>
      <c r="L15" s="18">
        <f>SUMIF(J$163:J$202,"O",I$163:I$202)</f>
        <v>0</v>
      </c>
      <c r="M15" s="18">
        <f>SUMIF(J$163:J$202,"i",I$163:I$202)</f>
        <v>0</v>
      </c>
      <c r="N15" s="19">
        <f t="shared" si="0"/>
        <v>0</v>
      </c>
      <c r="O15" s="216">
        <f t="shared" si="1"/>
        <v>0</v>
      </c>
    </row>
    <row r="16" spans="1:15" s="2" customFormat="1" ht="16.5">
      <c r="A16" s="34"/>
      <c r="B16" s="193"/>
      <c r="C16" s="39" t="s">
        <v>56</v>
      </c>
      <c r="D16" s="39"/>
      <c r="E16" s="36" t="str">
        <f>Kapitola_2d</f>
        <v>Zdravotechnika - vnitřní kanalizace</v>
      </c>
      <c r="F16" s="37"/>
      <c r="G16" s="128"/>
      <c r="H16" s="274">
        <f>+Cena_2d</f>
        <v>0</v>
      </c>
      <c r="I16" s="38"/>
      <c r="J16" s="262"/>
      <c r="K16" s="150"/>
      <c r="L16" s="18">
        <f>SUMIF(J$210:J$217,"O",I$210:I$217)</f>
        <v>0</v>
      </c>
      <c r="M16" s="18">
        <f>SUMIF(J$210:J$217,"i",I$210:I$217)</f>
        <v>0</v>
      </c>
      <c r="N16" s="19">
        <f t="shared" si="0"/>
        <v>0</v>
      </c>
      <c r="O16" s="216">
        <f t="shared" si="1"/>
        <v>0</v>
      </c>
    </row>
    <row r="17" spans="1:15" s="2" customFormat="1" ht="16.5">
      <c r="A17" s="34"/>
      <c r="B17" s="193"/>
      <c r="C17" s="39" t="s">
        <v>57</v>
      </c>
      <c r="D17" s="39"/>
      <c r="E17" s="36" t="str">
        <f>Kapitola_2e</f>
        <v>Zdravotechnika - vnitřní vodovod</v>
      </c>
      <c r="F17" s="37"/>
      <c r="G17" s="128"/>
      <c r="H17" s="274">
        <f>+Cena_2e</f>
        <v>0</v>
      </c>
      <c r="I17" s="38"/>
      <c r="J17" s="262"/>
      <c r="K17" s="150"/>
      <c r="L17" s="18">
        <f>SUMIF(J$225:J$234,"O",I$225:I$234)</f>
        <v>0</v>
      </c>
      <c r="M17" s="18">
        <f>SUMIF(J$225:J$234,"i",I$225:I$234)</f>
        <v>0</v>
      </c>
      <c r="N17" s="19">
        <f t="shared" si="0"/>
        <v>0</v>
      </c>
      <c r="O17" s="216">
        <f t="shared" si="1"/>
        <v>0</v>
      </c>
    </row>
    <row r="18" spans="1:15" s="2" customFormat="1" ht="16.5">
      <c r="A18" s="34"/>
      <c r="B18" s="193"/>
      <c r="C18" s="39" t="s">
        <v>58</v>
      </c>
      <c r="D18" s="39"/>
      <c r="E18" s="36" t="str">
        <f>Kapitola_2f</f>
        <v xml:space="preserve">Zdravotechnika - zařizovací předměty, armatury </v>
      </c>
      <c r="F18" s="37"/>
      <c r="G18" s="128"/>
      <c r="H18" s="274">
        <f>+Cena_2f</f>
        <v>0</v>
      </c>
      <c r="I18" s="38"/>
      <c r="J18" s="262"/>
      <c r="K18" s="150"/>
      <c r="L18" s="18">
        <f>SUMIF(J$244:J$264,"O",I$244:I$264)</f>
        <v>0</v>
      </c>
      <c r="M18" s="18">
        <f>SUMIF(J$244:J$264,"i",I$244:I$264)</f>
        <v>0</v>
      </c>
      <c r="N18" s="19">
        <f>SUM(L18:M18)</f>
        <v>0</v>
      </c>
      <c r="O18" s="216">
        <f t="shared" si="1"/>
        <v>0</v>
      </c>
    </row>
    <row r="19" spans="1:15" s="2" customFormat="1" ht="16.5">
      <c r="A19" s="34"/>
      <c r="B19" s="193"/>
      <c r="C19" s="39" t="s">
        <v>59</v>
      </c>
      <c r="D19" s="39"/>
      <c r="E19" s="36" t="str">
        <f>Kapitola_2g</f>
        <v xml:space="preserve">Elektroinstalace - silnoproud </v>
      </c>
      <c r="F19" s="37"/>
      <c r="G19" s="128"/>
      <c r="H19" s="274">
        <f>+Cena_2g</f>
        <v>0</v>
      </c>
      <c r="I19" s="38"/>
      <c r="J19" s="262"/>
      <c r="K19" s="150"/>
      <c r="L19" s="18">
        <f>SUMIF(J$271:J$272,"O",I$271:I$272)</f>
        <v>0</v>
      </c>
      <c r="M19" s="18">
        <f>SUMIF(J$271:J$272,"i",I$271:I$272)</f>
        <v>0</v>
      </c>
      <c r="N19" s="19">
        <f t="shared" si="0"/>
        <v>0</v>
      </c>
      <c r="O19" s="216">
        <f t="shared" si="1"/>
        <v>0</v>
      </c>
    </row>
    <row r="20" spans="1:15" s="2" customFormat="1" ht="16.5">
      <c r="A20" s="34"/>
      <c r="B20" s="193"/>
      <c r="C20" s="39" t="s">
        <v>67</v>
      </c>
      <c r="D20" s="39"/>
      <c r="E20" s="36" t="str">
        <f>Kapitola_2h</f>
        <v>Elektroinstalace - slaboproud</v>
      </c>
      <c r="F20" s="37"/>
      <c r="G20" s="128"/>
      <c r="H20" s="274">
        <f>+Cena_2h</f>
        <v>0</v>
      </c>
      <c r="I20" s="38"/>
      <c r="J20" s="262"/>
      <c r="K20" s="150"/>
      <c r="L20" s="18">
        <f>SUMIF(J$280:J$281,"O",I$280:I$281)</f>
        <v>0</v>
      </c>
      <c r="M20" s="18">
        <f>SUMIF(J$280:J$281,"i",I$280:I$281)</f>
        <v>0</v>
      </c>
      <c r="N20" s="19">
        <f t="shared" si="0"/>
        <v>0</v>
      </c>
      <c r="O20" s="216">
        <f t="shared" si="1"/>
        <v>0</v>
      </c>
    </row>
    <row r="21" spans="1:15" s="2" customFormat="1" ht="16.5">
      <c r="A21" s="34"/>
      <c r="B21" s="193"/>
      <c r="C21" s="39" t="s">
        <v>90</v>
      </c>
      <c r="D21" s="39"/>
      <c r="E21" s="36" t="str">
        <f>Kapitola_2i</f>
        <v>Vzduchotechnika</v>
      </c>
      <c r="F21" s="37"/>
      <c r="G21" s="128"/>
      <c r="H21" s="274">
        <f>+Cena_2i</f>
        <v>0</v>
      </c>
      <c r="I21" s="38"/>
      <c r="J21" s="262"/>
      <c r="K21" s="150"/>
      <c r="L21" s="18">
        <f>SUMIF(J$290:J$301,"O",I$290:I$301)</f>
        <v>0</v>
      </c>
      <c r="M21" s="18">
        <f>SUMIF(J$290:J$301,"i",I$290:I$301)</f>
        <v>0</v>
      </c>
      <c r="N21" s="19">
        <f t="shared" si="0"/>
        <v>0</v>
      </c>
      <c r="O21" s="216">
        <f t="shared" si="1"/>
        <v>0</v>
      </c>
    </row>
    <row r="22" spans="1:15" s="2" customFormat="1" ht="16.5">
      <c r="A22" s="34"/>
      <c r="B22" s="193"/>
      <c r="C22" s="40" t="s">
        <v>91</v>
      </c>
      <c r="D22" s="40"/>
      <c r="E22" s="36" t="str">
        <f>+E304</f>
        <v>Etážové topení</v>
      </c>
      <c r="F22" s="37"/>
      <c r="G22" s="128"/>
      <c r="H22" s="274">
        <f>+I321</f>
        <v>0</v>
      </c>
      <c r="I22" s="38"/>
      <c r="J22" s="262"/>
      <c r="K22" s="150"/>
      <c r="L22" s="18">
        <f>SUMIF(J$311:J$320,"O",I$311:I$320)</f>
        <v>0</v>
      </c>
      <c r="M22" s="18">
        <f>SUMIF(J$311:J$320,"i",I$311:I$320)</f>
        <v>0</v>
      </c>
      <c r="N22" s="19">
        <f>SUM(L22:M22)</f>
        <v>0</v>
      </c>
      <c r="O22" s="216">
        <f t="shared" si="1"/>
        <v>0</v>
      </c>
    </row>
    <row r="23" spans="1:15" s="2" customFormat="1" ht="16.5">
      <c r="A23" s="34"/>
      <c r="B23" s="193"/>
      <c r="C23" s="41" t="s">
        <v>92</v>
      </c>
      <c r="D23" s="41"/>
      <c r="E23" s="36" t="str">
        <f>Kapitola_2j</f>
        <v>Konstrukce truhlářské</v>
      </c>
      <c r="F23" s="37"/>
      <c r="G23" s="128"/>
      <c r="H23" s="274">
        <f>+Cena_2j</f>
        <v>0</v>
      </c>
      <c r="I23" s="38"/>
      <c r="J23" s="262"/>
      <c r="K23" s="150"/>
      <c r="L23" s="18">
        <f>SUMIF(J$329:J$343,"O",I$329:I$343)</f>
        <v>0</v>
      </c>
      <c r="M23" s="18">
        <f>SUMIF(J$329:J$343,"i",I$329:I$343)</f>
        <v>0</v>
      </c>
      <c r="N23" s="19">
        <f t="shared" si="0"/>
        <v>0</v>
      </c>
      <c r="O23" s="216">
        <f t="shared" si="1"/>
        <v>0</v>
      </c>
    </row>
    <row r="24" spans="1:15" s="2" customFormat="1" ht="16.5">
      <c r="A24" s="34"/>
      <c r="B24" s="193"/>
      <c r="C24" s="41" t="s">
        <v>93</v>
      </c>
      <c r="D24" s="41"/>
      <c r="E24" s="36" t="str">
        <f>Kapitola_2k</f>
        <v>Konstrukce zámečnické</v>
      </c>
      <c r="F24" s="37"/>
      <c r="G24" s="128"/>
      <c r="H24" s="274">
        <f>+Cena_2k</f>
        <v>0</v>
      </c>
      <c r="I24" s="38"/>
      <c r="J24" s="262"/>
      <c r="K24" s="150"/>
      <c r="L24" s="18">
        <f>SUMIF(J$352:J$356,"O",I$352:I$356)</f>
        <v>0</v>
      </c>
      <c r="M24" s="18">
        <f>SUMIF(J$352:J$356,"i",I$352:I$356)</f>
        <v>0</v>
      </c>
      <c r="N24" s="19">
        <f t="shared" si="0"/>
        <v>0</v>
      </c>
      <c r="O24" s="216">
        <f t="shared" si="1"/>
        <v>0</v>
      </c>
    </row>
    <row r="25" spans="1:15" s="2" customFormat="1" ht="16.5">
      <c r="A25" s="34"/>
      <c r="B25" s="193"/>
      <c r="C25" s="41" t="s">
        <v>94</v>
      </c>
      <c r="D25" s="41"/>
      <c r="E25" s="36" t="str">
        <f>Kapitola_2l</f>
        <v>Podlahy z dlaždic</v>
      </c>
      <c r="F25" s="37"/>
      <c r="G25" s="128"/>
      <c r="H25" s="274">
        <f>+Cena_2l</f>
        <v>0</v>
      </c>
      <c r="I25" s="38"/>
      <c r="J25" s="262"/>
      <c r="K25" s="150"/>
      <c r="L25" s="18">
        <f>SUMIF(J$365:J$382,"O",I$365:I$382)</f>
        <v>0</v>
      </c>
      <c r="M25" s="18">
        <f>SUMIF(J$365:J$382,"i",I$365:I$382)</f>
        <v>0</v>
      </c>
      <c r="N25" s="19">
        <f t="shared" si="0"/>
        <v>0</v>
      </c>
      <c r="O25" s="216">
        <f t="shared" si="1"/>
        <v>0</v>
      </c>
    </row>
    <row r="26" spans="1:15" s="2" customFormat="1" ht="16.5">
      <c r="A26" s="34"/>
      <c r="B26" s="193"/>
      <c r="C26" s="41" t="s">
        <v>163</v>
      </c>
      <c r="D26" s="41"/>
      <c r="E26" s="36" t="str">
        <f>Kapitola_2m</f>
        <v>Podlahy dřevěné a povlakové</v>
      </c>
      <c r="F26" s="37"/>
      <c r="G26" s="128"/>
      <c r="H26" s="274">
        <f>+Cena_2m</f>
        <v>0</v>
      </c>
      <c r="I26" s="38"/>
      <c r="J26" s="262"/>
      <c r="K26" s="150"/>
      <c r="L26" s="18">
        <f>SUMIF(J$390:J$400,"O",I$390:I$400)</f>
        <v>0</v>
      </c>
      <c r="M26" s="18">
        <f>SUMIF(J$390:J$400,"i",I$390:I$400)</f>
        <v>0</v>
      </c>
      <c r="N26" s="19">
        <f t="shared" si="0"/>
        <v>0</v>
      </c>
      <c r="O26" s="216">
        <f t="shared" si="1"/>
        <v>0</v>
      </c>
    </row>
    <row r="27" spans="1:15" s="2" customFormat="1" ht="16.5">
      <c r="A27" s="34">
        <v>3</v>
      </c>
      <c r="B27" s="193"/>
      <c r="C27" s="41"/>
      <c r="D27" s="41"/>
      <c r="E27" s="36" t="str">
        <f>Dokoncovaci_prace</f>
        <v>Dokončovací práce</v>
      </c>
      <c r="F27" s="37"/>
      <c r="G27" s="128"/>
      <c r="H27" s="274"/>
      <c r="I27" s="38">
        <f>Cena_dokoncovaci_prace</f>
        <v>0</v>
      </c>
      <c r="J27" s="262"/>
      <c r="K27" s="150"/>
      <c r="L27" s="18">
        <f>SUMIF(J$404:J$406,"O",I$404:I$406)</f>
        <v>0</v>
      </c>
      <c r="M27" s="18">
        <f>SUMIF(J$404:J$406,"i",I$404:I$406)</f>
        <v>0</v>
      </c>
      <c r="N27" s="19">
        <f t="shared" si="0"/>
        <v>0</v>
      </c>
      <c r="O27" s="216">
        <f>I27-N27</f>
        <v>0</v>
      </c>
    </row>
    <row r="28" spans="1:15">
      <c r="E28" s="42"/>
      <c r="F28" s="22"/>
      <c r="G28" s="129"/>
      <c r="H28" s="275"/>
      <c r="I28" s="43"/>
      <c r="L28" s="17"/>
      <c r="M28" s="17"/>
      <c r="N28" s="17"/>
    </row>
    <row r="29" spans="1:15" ht="15" customHeight="1">
      <c r="E29" s="44" t="s">
        <v>26</v>
      </c>
      <c r="F29" s="45"/>
      <c r="G29" s="130"/>
      <c r="H29" s="276"/>
      <c r="I29" s="212">
        <f>SUM(I11:I27)</f>
        <v>0</v>
      </c>
      <c r="L29" s="20">
        <f>SUM(L11:L28)</f>
        <v>0</v>
      </c>
      <c r="M29" s="20">
        <f>SUM(M11:M28)</f>
        <v>0</v>
      </c>
      <c r="N29" s="20">
        <f>SUM(L29:M29)</f>
        <v>0</v>
      </c>
    </row>
    <row r="30" spans="1:15">
      <c r="E30" s="46"/>
      <c r="F30" s="45"/>
      <c r="G30" s="131"/>
      <c r="H30" s="276"/>
      <c r="I30" s="47"/>
    </row>
    <row r="31" spans="1:15">
      <c r="E31" s="48" t="s">
        <v>27</v>
      </c>
      <c r="F31" s="45"/>
      <c r="G31" s="131"/>
      <c r="H31" s="277"/>
      <c r="I31" s="49">
        <f>+I32+I33</f>
        <v>0</v>
      </c>
    </row>
    <row r="32" spans="1:15">
      <c r="E32" s="46" t="s">
        <v>28</v>
      </c>
      <c r="F32" s="45"/>
      <c r="G32" s="131"/>
      <c r="H32" s="278"/>
      <c r="I32" s="50">
        <f>ROUND($I$29*H32,0)</f>
        <v>0</v>
      </c>
    </row>
    <row r="33" spans="5:10">
      <c r="E33" s="46" t="s">
        <v>149</v>
      </c>
      <c r="F33" s="45"/>
      <c r="G33" s="131"/>
      <c r="H33" s="278"/>
      <c r="I33" s="50">
        <f>ROUND($I$29*H33,0)</f>
        <v>0</v>
      </c>
    </row>
    <row r="34" spans="5:10" ht="13.5" thickBot="1">
      <c r="E34" s="51"/>
      <c r="F34" s="52"/>
      <c r="G34" s="132"/>
      <c r="H34" s="279"/>
      <c r="I34" s="43"/>
    </row>
    <row r="35" spans="5:10" ht="15.75" thickBot="1">
      <c r="E35" s="53" t="s">
        <v>159</v>
      </c>
      <c r="F35" s="54"/>
      <c r="G35" s="133"/>
      <c r="H35" s="280"/>
      <c r="I35" s="55">
        <f>+I29+I31</f>
        <v>0</v>
      </c>
    </row>
    <row r="36" spans="5:10">
      <c r="E36" s="56"/>
      <c r="F36" s="57"/>
      <c r="G36" s="134"/>
      <c r="H36" s="281"/>
      <c r="I36" s="57"/>
      <c r="J36" s="263"/>
    </row>
    <row r="37" spans="5:10">
      <c r="E37" s="46" t="s">
        <v>29</v>
      </c>
      <c r="F37" s="45"/>
      <c r="G37" s="131"/>
      <c r="H37" s="282">
        <v>0.15</v>
      </c>
      <c r="I37" s="50">
        <f>ROUND((I29+I32+I33)*H37,0)</f>
        <v>0</v>
      </c>
      <c r="J37" s="263"/>
    </row>
    <row r="38" spans="5:10">
      <c r="E38" s="46" t="s">
        <v>29</v>
      </c>
      <c r="F38" s="45"/>
      <c r="G38" s="131"/>
      <c r="H38" s="282">
        <v>0.21</v>
      </c>
      <c r="I38" s="50">
        <v>0</v>
      </c>
    </row>
    <row r="39" spans="5:10" ht="13.5" thickBot="1">
      <c r="E39" s="58"/>
      <c r="F39" s="59"/>
      <c r="G39" s="135"/>
      <c r="H39" s="283"/>
      <c r="I39" s="59"/>
    </row>
    <row r="40" spans="5:10" ht="16.5" thickBot="1">
      <c r="E40" s="60" t="s">
        <v>30</v>
      </c>
      <c r="F40" s="59"/>
      <c r="G40" s="135"/>
      <c r="H40" s="284"/>
      <c r="I40" s="211">
        <f>I29+I32+I33+I37+I38</f>
        <v>0</v>
      </c>
    </row>
    <row r="43" spans="5:10" ht="15">
      <c r="E43" s="61" t="s">
        <v>153</v>
      </c>
      <c r="F43" s="62"/>
      <c r="G43" s="136"/>
      <c r="H43" s="152"/>
      <c r="I43" s="62"/>
    </row>
    <row r="44" spans="5:10">
      <c r="E44" s="63" t="s">
        <v>154</v>
      </c>
      <c r="F44" s="64"/>
      <c r="G44" s="136"/>
      <c r="H44" s="152"/>
      <c r="I44" s="65">
        <f>+L29</f>
        <v>0</v>
      </c>
      <c r="J44" s="264" t="e">
        <f>+I44/I29</f>
        <v>#DIV/0!</v>
      </c>
    </row>
    <row r="45" spans="5:10">
      <c r="E45" s="63" t="s">
        <v>155</v>
      </c>
      <c r="F45" s="64"/>
      <c r="G45" s="136"/>
      <c r="H45" s="152"/>
      <c r="I45" s="65">
        <f>+M29</f>
        <v>0</v>
      </c>
      <c r="J45" s="264" t="e">
        <f>+I45/I29</f>
        <v>#DIV/0!</v>
      </c>
    </row>
    <row r="46" spans="5:10">
      <c r="E46" s="62"/>
      <c r="F46" s="62"/>
      <c r="G46" s="136"/>
      <c r="H46" s="152"/>
      <c r="I46" s="66"/>
    </row>
    <row r="47" spans="5:10" ht="15">
      <c r="E47" s="61" t="s">
        <v>156</v>
      </c>
      <c r="F47" s="62"/>
      <c r="G47" s="136"/>
      <c r="H47" s="152"/>
      <c r="I47" s="66"/>
    </row>
    <row r="48" spans="5:10">
      <c r="E48" s="63" t="s">
        <v>154</v>
      </c>
      <c r="F48" s="64"/>
      <c r="G48" s="136"/>
      <c r="H48" s="152"/>
      <c r="I48" s="67" t="e">
        <f>+J44*I31</f>
        <v>#DIV/0!</v>
      </c>
    </row>
    <row r="49" spans="5:10">
      <c r="E49" s="63" t="s">
        <v>155</v>
      </c>
      <c r="F49" s="64"/>
      <c r="G49" s="136"/>
      <c r="H49" s="152"/>
      <c r="I49" s="67" t="e">
        <f>+J45*I31</f>
        <v>#DIV/0!</v>
      </c>
    </row>
    <row r="50" spans="5:10">
      <c r="E50" s="62"/>
      <c r="F50" s="62"/>
      <c r="G50" s="136"/>
      <c r="H50" s="152"/>
      <c r="I50" s="66"/>
    </row>
    <row r="51" spans="5:10" ht="15">
      <c r="E51" s="61" t="s">
        <v>157</v>
      </c>
      <c r="F51" s="62"/>
      <c r="G51" s="136"/>
      <c r="H51" s="152"/>
      <c r="I51" s="66"/>
    </row>
    <row r="52" spans="5:10">
      <c r="E52" s="63" t="s">
        <v>154</v>
      </c>
      <c r="F52" s="64"/>
      <c r="G52" s="136"/>
      <c r="H52" s="152"/>
      <c r="I52" s="65" t="e">
        <f>+I44+I48</f>
        <v>#DIV/0!</v>
      </c>
      <c r="J52" s="264" t="e">
        <f>+I52/I35</f>
        <v>#DIV/0!</v>
      </c>
    </row>
    <row r="53" spans="5:10">
      <c r="E53" s="63" t="s">
        <v>155</v>
      </c>
      <c r="F53" s="64"/>
      <c r="G53" s="136"/>
      <c r="H53" s="152"/>
      <c r="I53" s="65" t="e">
        <f>+I45+I49</f>
        <v>#DIV/0!</v>
      </c>
      <c r="J53" s="264" t="e">
        <f>+I53/I35</f>
        <v>#DIV/0!</v>
      </c>
    </row>
    <row r="55" spans="5:10" ht="18">
      <c r="E55" s="68" t="s">
        <v>62</v>
      </c>
      <c r="F55" s="22"/>
      <c r="G55" s="129"/>
      <c r="H55" s="285"/>
      <c r="I55" s="22"/>
    </row>
    <row r="56" spans="5:10" ht="7.5" customHeight="1"/>
    <row r="57" spans="5:10">
      <c r="E57" s="69" t="s">
        <v>31</v>
      </c>
    </row>
    <row r="58" spans="5:10" ht="15.75" customHeight="1">
      <c r="E58" s="205" t="s">
        <v>32</v>
      </c>
      <c r="F58" s="70"/>
      <c r="G58" s="70"/>
      <c r="H58" s="257"/>
      <c r="I58" s="70"/>
    </row>
    <row r="59" spans="5:10" ht="15.75" customHeight="1">
      <c r="E59" s="206" t="s">
        <v>481</v>
      </c>
      <c r="F59" s="207"/>
      <c r="G59" s="207"/>
      <c r="H59" s="256"/>
      <c r="I59" s="207"/>
    </row>
    <row r="60" spans="5:10" ht="15.75" customHeight="1">
      <c r="E60" s="206" t="s">
        <v>482</v>
      </c>
      <c r="F60" s="207"/>
      <c r="G60" s="207"/>
      <c r="H60" s="256"/>
      <c r="I60" s="207"/>
    </row>
    <row r="61" spans="5:10" ht="15.75" customHeight="1">
      <c r="E61" s="206" t="s">
        <v>483</v>
      </c>
      <c r="F61" s="207"/>
      <c r="G61" s="207"/>
      <c r="H61" s="256"/>
      <c r="I61" s="207"/>
    </row>
    <row r="62" spans="5:10" ht="15.75" customHeight="1">
      <c r="E62" s="207" t="s">
        <v>33</v>
      </c>
      <c r="F62" s="207"/>
      <c r="G62" s="207"/>
      <c r="H62" s="256"/>
      <c r="I62" s="207"/>
    </row>
    <row r="63" spans="5:10" ht="15.75" customHeight="1">
      <c r="E63" s="206" t="s">
        <v>484</v>
      </c>
      <c r="F63" s="207"/>
      <c r="G63" s="207"/>
      <c r="H63" s="256"/>
      <c r="I63" s="207"/>
    </row>
    <row r="64" spans="5:10" ht="15.75" customHeight="1">
      <c r="E64" s="206" t="s">
        <v>485</v>
      </c>
      <c r="F64" s="207"/>
      <c r="G64" s="207"/>
      <c r="H64" s="256"/>
      <c r="I64" s="207"/>
    </row>
    <row r="65" spans="5:9" ht="15.75" customHeight="1">
      <c r="E65" s="206" t="s">
        <v>486</v>
      </c>
      <c r="F65" s="207"/>
      <c r="G65" s="207"/>
      <c r="H65" s="256"/>
      <c r="I65" s="207"/>
    </row>
    <row r="66" spans="5:9" ht="15.75" customHeight="1">
      <c r="E66" s="206" t="s">
        <v>487</v>
      </c>
      <c r="F66" s="207"/>
      <c r="G66" s="207"/>
      <c r="H66" s="256"/>
      <c r="I66" s="207"/>
    </row>
    <row r="67" spans="5:9" ht="15.75" customHeight="1">
      <c r="E67" s="180" t="s">
        <v>488</v>
      </c>
      <c r="F67" s="70"/>
      <c r="G67" s="70"/>
      <c r="H67" s="257"/>
      <c r="I67" s="70"/>
    </row>
    <row r="68" spans="5:9" ht="15.75" customHeight="1">
      <c r="E68" s="207" t="s">
        <v>34</v>
      </c>
      <c r="F68" s="207"/>
      <c r="G68" s="207"/>
      <c r="H68" s="256"/>
      <c r="I68" s="207"/>
    </row>
    <row r="69" spans="5:9" ht="15.75" customHeight="1">
      <c r="E69" s="206" t="s">
        <v>65</v>
      </c>
      <c r="F69" s="207"/>
      <c r="G69" s="207"/>
      <c r="H69" s="256"/>
      <c r="I69" s="207"/>
    </row>
    <row r="70" spans="5:9" ht="15.75" customHeight="1">
      <c r="E70" s="205" t="s">
        <v>66</v>
      </c>
      <c r="F70" s="70"/>
      <c r="G70" s="70"/>
      <c r="H70" s="257"/>
      <c r="I70" s="70"/>
    </row>
    <row r="71" spans="5:9" ht="15.75" customHeight="1">
      <c r="E71" s="27" t="s">
        <v>489</v>
      </c>
    </row>
    <row r="72" spans="5:9" ht="15.75" customHeight="1">
      <c r="E72" s="208" t="s">
        <v>490</v>
      </c>
      <c r="F72" s="182"/>
      <c r="G72" s="182"/>
      <c r="H72" s="286"/>
      <c r="I72" s="182"/>
    </row>
    <row r="73" spans="5:9" ht="15.75" customHeight="1">
      <c r="E73" s="181" t="s">
        <v>491</v>
      </c>
      <c r="F73" s="182"/>
      <c r="G73" s="182"/>
      <c r="H73" s="286"/>
      <c r="I73" s="182"/>
    </row>
    <row r="74" spans="5:9" ht="15.75" customHeight="1">
      <c r="E74" s="71"/>
      <c r="F74" s="72"/>
      <c r="G74" s="137"/>
      <c r="H74" s="287"/>
      <c r="I74" s="72"/>
    </row>
    <row r="75" spans="5:9" ht="15.75" customHeight="1">
      <c r="E75" s="207" t="s">
        <v>492</v>
      </c>
      <c r="F75" s="207"/>
      <c r="G75" s="207"/>
      <c r="H75" s="256"/>
      <c r="I75" s="207"/>
    </row>
    <row r="76" spans="5:9" ht="15.75" customHeight="1">
      <c r="E76" s="207" t="s">
        <v>493</v>
      </c>
      <c r="F76" s="207"/>
      <c r="G76" s="207"/>
      <c r="H76" s="256"/>
      <c r="I76" s="207"/>
    </row>
    <row r="77" spans="5:9" ht="15.75" customHeight="1">
      <c r="E77" s="207" t="s">
        <v>494</v>
      </c>
      <c r="F77" s="207"/>
      <c r="G77" s="207"/>
      <c r="H77" s="256"/>
      <c r="I77" s="207"/>
    </row>
    <row r="78" spans="5:9" ht="15.75" customHeight="1">
      <c r="E78" s="70"/>
      <c r="F78" s="70"/>
      <c r="G78" s="138"/>
      <c r="H78" s="257"/>
      <c r="I78" s="70"/>
    </row>
    <row r="79" spans="5:9" ht="15.75" customHeight="1">
      <c r="E79" s="207" t="s">
        <v>495</v>
      </c>
      <c r="F79" s="207"/>
      <c r="G79" s="207"/>
      <c r="H79" s="256"/>
      <c r="I79" s="207"/>
    </row>
    <row r="80" spans="5:9" ht="15.75" customHeight="1">
      <c r="E80" s="209" t="s">
        <v>496</v>
      </c>
      <c r="F80" s="70"/>
      <c r="G80" s="70"/>
      <c r="H80" s="257"/>
      <c r="I80" s="70"/>
    </row>
    <row r="81" spans="1:19" ht="15.75" customHeight="1">
      <c r="E81" s="183" t="s">
        <v>497</v>
      </c>
      <c r="F81" s="70"/>
      <c r="G81" s="138"/>
      <c r="H81" s="257"/>
      <c r="I81" s="70"/>
    </row>
    <row r="82" spans="1:19" ht="15.75" customHeight="1">
      <c r="E82" s="183" t="s">
        <v>498</v>
      </c>
      <c r="F82" s="70"/>
      <c r="G82" s="138"/>
      <c r="H82" s="257"/>
      <c r="I82" s="70"/>
    </row>
    <row r="83" spans="1:19" ht="15.75" customHeight="1">
      <c r="E83" s="206" t="s">
        <v>63</v>
      </c>
      <c r="F83" s="206"/>
      <c r="G83" s="206"/>
      <c r="H83" s="288"/>
      <c r="I83" s="206"/>
    </row>
    <row r="84" spans="1:19" ht="15.75" customHeight="1">
      <c r="E84" s="210" t="s">
        <v>499</v>
      </c>
      <c r="F84" s="210"/>
      <c r="G84" s="210"/>
      <c r="H84" s="289"/>
      <c r="I84" s="210"/>
    </row>
    <row r="85" spans="1:19" ht="15.75" customHeight="1">
      <c r="E85" s="210" t="s">
        <v>500</v>
      </c>
      <c r="F85" s="210"/>
      <c r="G85" s="210"/>
      <c r="H85" s="289"/>
      <c r="I85" s="210"/>
    </row>
    <row r="86" spans="1:19" ht="15.75" customHeight="1">
      <c r="E86" s="210" t="s">
        <v>501</v>
      </c>
      <c r="F86" s="210"/>
      <c r="G86" s="210"/>
      <c r="H86" s="289"/>
      <c r="I86" s="210"/>
    </row>
    <row r="87" spans="1:19" ht="15.75" customHeight="1">
      <c r="E87" s="210" t="s">
        <v>502</v>
      </c>
      <c r="F87" s="210"/>
      <c r="G87" s="210"/>
      <c r="H87" s="289"/>
      <c r="I87" s="210"/>
    </row>
    <row r="88" spans="1:19" ht="15.75" customHeight="1">
      <c r="E88" s="210" t="s">
        <v>503</v>
      </c>
      <c r="F88" s="210"/>
      <c r="G88" s="210"/>
      <c r="H88" s="289"/>
      <c r="I88" s="210"/>
    </row>
    <row r="89" spans="1:19" ht="15.75" customHeight="1">
      <c r="E89" s="210" t="s">
        <v>504</v>
      </c>
      <c r="F89" s="210"/>
      <c r="G89" s="210"/>
      <c r="H89" s="289"/>
      <c r="I89" s="210"/>
    </row>
    <row r="90" spans="1:19" ht="15.75" customHeight="1">
      <c r="E90" s="210" t="s">
        <v>505</v>
      </c>
      <c r="F90" s="210"/>
      <c r="G90" s="210"/>
      <c r="H90" s="289"/>
      <c r="I90" s="210"/>
    </row>
    <row r="91" spans="1:19" ht="15.75" customHeight="1">
      <c r="E91" s="180"/>
      <c r="F91" s="180"/>
      <c r="G91" s="180"/>
      <c r="H91" s="290"/>
      <c r="I91" s="180"/>
    </row>
    <row r="92" spans="1:19" ht="12.75" customHeight="1">
      <c r="E92" s="201" t="s">
        <v>50</v>
      </c>
      <c r="F92" s="201"/>
      <c r="G92" s="201"/>
      <c r="H92" s="291"/>
      <c r="I92" s="201"/>
    </row>
    <row r="93" spans="1:19" ht="14.25" customHeight="1">
      <c r="A93" s="73"/>
      <c r="B93" s="194"/>
      <c r="C93" s="74"/>
      <c r="D93" s="74"/>
      <c r="E93" s="201" t="s">
        <v>49</v>
      </c>
      <c r="F93" s="201"/>
      <c r="G93" s="201"/>
      <c r="H93" s="291"/>
      <c r="I93" s="201"/>
    </row>
    <row r="94" spans="1:19" ht="7.5" customHeight="1">
      <c r="A94" s="73"/>
      <c r="B94" s="194"/>
      <c r="C94" s="75"/>
      <c r="D94" s="75"/>
      <c r="E94" s="42"/>
      <c r="F94" s="22"/>
      <c r="G94" s="129"/>
      <c r="H94" s="292"/>
      <c r="I94" s="76"/>
    </row>
    <row r="95" spans="1:19" s="4" customFormat="1" ht="16.5">
      <c r="A95" s="77"/>
      <c r="B95" s="195"/>
      <c r="C95" s="78">
        <v>1</v>
      </c>
      <c r="D95" s="78"/>
      <c r="E95" s="79" t="s">
        <v>164</v>
      </c>
      <c r="F95" s="79"/>
      <c r="G95" s="79"/>
      <c r="H95" s="293"/>
      <c r="I95" s="79"/>
      <c r="J95" s="265"/>
      <c r="K95" s="151"/>
      <c r="L95" s="7"/>
    </row>
    <row r="96" spans="1:19">
      <c r="A96" s="80">
        <v>1</v>
      </c>
      <c r="B96" s="196" t="s">
        <v>252</v>
      </c>
      <c r="C96" s="81"/>
      <c r="D96" s="81"/>
      <c r="E96" s="82" t="s">
        <v>251</v>
      </c>
      <c r="F96" s="83" t="s">
        <v>36</v>
      </c>
      <c r="G96" s="139">
        <f>0.63*1.22</f>
        <v>0.76859999999999995</v>
      </c>
      <c r="H96" s="294"/>
      <c r="I96" s="84">
        <f t="shared" ref="I96:I109" si="2">G96*H96</f>
        <v>0</v>
      </c>
      <c r="J96" s="261" t="s">
        <v>152</v>
      </c>
      <c r="O96" s="3"/>
      <c r="R96" s="11">
        <f>0.038*G96</f>
        <v>2.9206799999999998E-2</v>
      </c>
      <c r="S96" t="s">
        <v>40</v>
      </c>
    </row>
    <row r="97" spans="1:19">
      <c r="A97" s="80">
        <f>A96+1</f>
        <v>2</v>
      </c>
      <c r="B97" s="196"/>
      <c r="C97" s="81"/>
      <c r="D97" s="81"/>
      <c r="E97" s="82" t="s">
        <v>250</v>
      </c>
      <c r="F97" s="83" t="s">
        <v>35</v>
      </c>
      <c r="G97" s="139">
        <v>1</v>
      </c>
      <c r="H97" s="294"/>
      <c r="I97" s="84">
        <f t="shared" si="2"/>
        <v>0</v>
      </c>
      <c r="J97" s="261" t="s">
        <v>152</v>
      </c>
      <c r="O97" s="3"/>
      <c r="R97" s="11"/>
      <c r="S97"/>
    </row>
    <row r="98" spans="1:19">
      <c r="A98" s="80">
        <f>A97+1</f>
        <v>3</v>
      </c>
      <c r="B98" s="196" t="s">
        <v>253</v>
      </c>
      <c r="C98" s="81"/>
      <c r="D98" s="81"/>
      <c r="E98" s="82" t="s">
        <v>88</v>
      </c>
      <c r="F98" s="83" t="s">
        <v>38</v>
      </c>
      <c r="G98" s="139">
        <v>5</v>
      </c>
      <c r="H98" s="294"/>
      <c r="I98" s="84">
        <f t="shared" si="2"/>
        <v>0</v>
      </c>
      <c r="J98" s="261" t="s">
        <v>152</v>
      </c>
      <c r="O98" s="3"/>
      <c r="R98" s="11">
        <f>0.014*G98</f>
        <v>7.0000000000000007E-2</v>
      </c>
      <c r="S98" t="s">
        <v>40</v>
      </c>
    </row>
    <row r="99" spans="1:19" ht="28.5" customHeight="1">
      <c r="A99" s="80">
        <f>A98+1</f>
        <v>4</v>
      </c>
      <c r="B99" s="196" t="s">
        <v>254</v>
      </c>
      <c r="C99" s="81"/>
      <c r="D99" s="81"/>
      <c r="E99" s="82" t="s">
        <v>196</v>
      </c>
      <c r="F99" s="83" t="s">
        <v>38</v>
      </c>
      <c r="G99" s="139">
        <v>5</v>
      </c>
      <c r="H99" s="294"/>
      <c r="I99" s="84">
        <f t="shared" si="2"/>
        <v>0</v>
      </c>
      <c r="J99" s="263" t="s">
        <v>152</v>
      </c>
      <c r="O99" s="3"/>
      <c r="R99" s="11">
        <f>0.02*G99</f>
        <v>0.1</v>
      </c>
      <c r="S99" t="s">
        <v>40</v>
      </c>
    </row>
    <row r="100" spans="1:19" ht="29.25" customHeight="1">
      <c r="A100" s="80">
        <f>A99+1</f>
        <v>5</v>
      </c>
      <c r="B100" s="196"/>
      <c r="C100" s="81"/>
      <c r="D100" s="81"/>
      <c r="E100" s="85" t="s">
        <v>225</v>
      </c>
      <c r="F100" s="83" t="s">
        <v>35</v>
      </c>
      <c r="G100" s="139">
        <v>1</v>
      </c>
      <c r="H100" s="294"/>
      <c r="I100" s="84">
        <f>G100*H100</f>
        <v>0</v>
      </c>
      <c r="J100" s="263" t="s">
        <v>152</v>
      </c>
      <c r="O100" s="3"/>
      <c r="R100" s="11"/>
      <c r="S100"/>
    </row>
    <row r="101" spans="1:19" ht="29.25" hidden="1" customHeight="1">
      <c r="A101" s="80"/>
      <c r="B101" s="196" t="s">
        <v>313</v>
      </c>
      <c r="C101" s="81"/>
      <c r="D101" s="81"/>
      <c r="E101" s="85" t="s">
        <v>312</v>
      </c>
      <c r="F101" s="83" t="s">
        <v>36</v>
      </c>
      <c r="G101" s="139"/>
      <c r="H101" s="294"/>
      <c r="I101" s="84"/>
      <c r="J101" s="263"/>
      <c r="O101" s="3"/>
      <c r="R101" s="11"/>
      <c r="S101"/>
    </row>
    <row r="102" spans="1:19" ht="29.25" customHeight="1">
      <c r="A102" s="80">
        <f>A100+1</f>
        <v>6</v>
      </c>
      <c r="B102" s="196" t="s">
        <v>315</v>
      </c>
      <c r="C102" s="81"/>
      <c r="D102" s="81"/>
      <c r="E102" s="85" t="s">
        <v>314</v>
      </c>
      <c r="F102" s="83" t="s">
        <v>36</v>
      </c>
      <c r="G102" s="139">
        <v>4</v>
      </c>
      <c r="H102" s="294"/>
      <c r="I102" s="84">
        <f>G102*H102</f>
        <v>0</v>
      </c>
      <c r="J102" s="263" t="s">
        <v>152</v>
      </c>
      <c r="O102" s="3">
        <v>0.01</v>
      </c>
      <c r="P102" s="1">
        <v>2.1</v>
      </c>
      <c r="R102" s="11">
        <f>+G102*O102*P102</f>
        <v>8.4000000000000005E-2</v>
      </c>
      <c r="S102"/>
    </row>
    <row r="103" spans="1:19">
      <c r="A103" s="80">
        <f>A102+1</f>
        <v>7</v>
      </c>
      <c r="B103" s="196" t="s">
        <v>260</v>
      </c>
      <c r="C103" s="81"/>
      <c r="D103" s="81"/>
      <c r="E103" s="82" t="s">
        <v>259</v>
      </c>
      <c r="F103" s="83" t="s">
        <v>36</v>
      </c>
      <c r="G103" s="139">
        <f>5.36*1.81+1.3*0.6</f>
        <v>10.4816</v>
      </c>
      <c r="H103" s="294"/>
      <c r="I103" s="84">
        <f t="shared" si="2"/>
        <v>0</v>
      </c>
      <c r="J103" s="263" t="s">
        <v>152</v>
      </c>
      <c r="O103" s="3"/>
      <c r="R103" s="11">
        <f>0.02*G103*1600/1000</f>
        <v>0.33541120000000002</v>
      </c>
      <c r="S103" t="s">
        <v>40</v>
      </c>
    </row>
    <row r="104" spans="1:19" ht="25.5">
      <c r="A104" s="80">
        <f t="shared" ref="A104:A122" si="3">A103+1</f>
        <v>8</v>
      </c>
      <c r="B104" s="197" t="s">
        <v>262</v>
      </c>
      <c r="C104" s="81"/>
      <c r="D104" s="81"/>
      <c r="E104" s="82" t="s">
        <v>261</v>
      </c>
      <c r="F104" s="83" t="s">
        <v>36</v>
      </c>
      <c r="G104" s="139">
        <v>2.54</v>
      </c>
      <c r="H104" s="294"/>
      <c r="I104" s="84">
        <f t="shared" si="2"/>
        <v>0</v>
      </c>
      <c r="J104" s="263" t="s">
        <v>152</v>
      </c>
      <c r="O104" s="3">
        <f>0.1*0.1</f>
        <v>1.0000000000000002E-2</v>
      </c>
      <c r="P104" s="3">
        <v>0.8</v>
      </c>
      <c r="Q104" s="3"/>
      <c r="R104" s="11">
        <f>+G104*O104*P104</f>
        <v>2.0320000000000005E-2</v>
      </c>
      <c r="S104"/>
    </row>
    <row r="105" spans="1:19">
      <c r="A105" s="80">
        <f t="shared" si="3"/>
        <v>9</v>
      </c>
      <c r="B105" s="196" t="s">
        <v>264</v>
      </c>
      <c r="C105" s="81"/>
      <c r="D105" s="81"/>
      <c r="E105" s="82" t="s">
        <v>263</v>
      </c>
      <c r="F105" s="83" t="s">
        <v>36</v>
      </c>
      <c r="G105" s="139">
        <f>11.4+15.2</f>
        <v>26.6</v>
      </c>
      <c r="H105" s="294"/>
      <c r="I105" s="84">
        <f t="shared" si="2"/>
        <v>0</v>
      </c>
      <c r="J105" s="263" t="s">
        <v>152</v>
      </c>
      <c r="O105" s="3"/>
      <c r="P105" s="3"/>
      <c r="Q105" s="3"/>
      <c r="R105" s="11"/>
      <c r="S105"/>
    </row>
    <row r="106" spans="1:19">
      <c r="A106" s="80">
        <f t="shared" si="3"/>
        <v>10</v>
      </c>
      <c r="B106" s="196" t="s">
        <v>266</v>
      </c>
      <c r="C106" s="81"/>
      <c r="D106" s="81"/>
      <c r="E106" s="82" t="s">
        <v>265</v>
      </c>
      <c r="F106" s="83" t="s">
        <v>38</v>
      </c>
      <c r="G106" s="139">
        <v>2</v>
      </c>
      <c r="H106" s="294"/>
      <c r="I106" s="84">
        <f t="shared" si="2"/>
        <v>0</v>
      </c>
      <c r="J106" s="263" t="s">
        <v>152</v>
      </c>
      <c r="O106" s="3"/>
      <c r="R106" s="11"/>
      <c r="S106"/>
    </row>
    <row r="107" spans="1:19">
      <c r="A107" s="80">
        <f t="shared" si="3"/>
        <v>11</v>
      </c>
      <c r="B107" s="196" t="s">
        <v>267</v>
      </c>
      <c r="C107" s="81"/>
      <c r="D107" s="81"/>
      <c r="E107" s="82" t="s">
        <v>89</v>
      </c>
      <c r="F107" s="83" t="s">
        <v>38</v>
      </c>
      <c r="G107" s="139">
        <v>2</v>
      </c>
      <c r="H107" s="294"/>
      <c r="I107" s="84">
        <f t="shared" si="2"/>
        <v>0</v>
      </c>
      <c r="J107" s="263" t="s">
        <v>152</v>
      </c>
      <c r="O107" s="3"/>
      <c r="R107" s="11"/>
      <c r="S107"/>
    </row>
    <row r="108" spans="1:19">
      <c r="A108" s="80">
        <f t="shared" si="3"/>
        <v>12</v>
      </c>
      <c r="B108" s="196" t="s">
        <v>269</v>
      </c>
      <c r="C108" s="81"/>
      <c r="D108" s="81"/>
      <c r="E108" s="82" t="s">
        <v>268</v>
      </c>
      <c r="F108" s="83" t="s">
        <v>38</v>
      </c>
      <c r="G108" s="139">
        <v>1</v>
      </c>
      <c r="H108" s="294"/>
      <c r="I108" s="84">
        <f t="shared" si="2"/>
        <v>0</v>
      </c>
      <c r="J108" s="263" t="s">
        <v>152</v>
      </c>
      <c r="O108" s="3"/>
      <c r="R108" s="11">
        <f>0.058*G108</f>
        <v>5.8000000000000003E-2</v>
      </c>
      <c r="S108" t="s">
        <v>40</v>
      </c>
    </row>
    <row r="109" spans="1:19">
      <c r="A109" s="80">
        <f t="shared" si="3"/>
        <v>13</v>
      </c>
      <c r="B109" s="196"/>
      <c r="C109" s="81"/>
      <c r="D109" s="81"/>
      <c r="E109" s="82" t="s">
        <v>162</v>
      </c>
      <c r="F109" s="83" t="s">
        <v>35</v>
      </c>
      <c r="G109" s="139">
        <v>1</v>
      </c>
      <c r="H109" s="294"/>
      <c r="I109" s="84">
        <f t="shared" si="2"/>
        <v>0</v>
      </c>
      <c r="J109" s="263" t="s">
        <v>152</v>
      </c>
      <c r="O109" s="3"/>
      <c r="R109" s="11">
        <f>0.002*G109</f>
        <v>2E-3</v>
      </c>
      <c r="S109" t="s">
        <v>40</v>
      </c>
    </row>
    <row r="110" spans="1:19">
      <c r="A110" s="80">
        <f t="shared" si="3"/>
        <v>14</v>
      </c>
      <c r="B110" s="196" t="s">
        <v>271</v>
      </c>
      <c r="C110" s="81"/>
      <c r="D110" s="81"/>
      <c r="E110" s="82" t="s">
        <v>270</v>
      </c>
      <c r="F110" s="83" t="s">
        <v>36</v>
      </c>
      <c r="G110" s="139">
        <f>+(4.17+3.65+2.15+0.55)*2.835</f>
        <v>29.824200000000005</v>
      </c>
      <c r="H110" s="294"/>
      <c r="I110" s="84">
        <f t="shared" ref="I110:I121" si="4">G110*H110</f>
        <v>0</v>
      </c>
      <c r="J110" s="263" t="s">
        <v>152</v>
      </c>
      <c r="O110" s="3"/>
      <c r="P110" s="1">
        <v>2.1</v>
      </c>
      <c r="Q110" s="3">
        <f>+G110*0.1</f>
        <v>2.9824200000000007</v>
      </c>
      <c r="R110" s="8">
        <f>+Q110*P110</f>
        <v>6.2630820000000016</v>
      </c>
      <c r="S110" t="s">
        <v>40</v>
      </c>
    </row>
    <row r="111" spans="1:19">
      <c r="A111" s="80"/>
      <c r="B111" s="198"/>
      <c r="C111" s="188"/>
      <c r="D111" s="188"/>
      <c r="E111" s="86" t="s">
        <v>227</v>
      </c>
      <c r="F111" s="83"/>
      <c r="G111" s="170"/>
      <c r="H111" s="294"/>
      <c r="I111" s="84"/>
      <c r="J111" s="263"/>
      <c r="O111" s="3"/>
      <c r="Q111" s="3"/>
      <c r="R111" s="8"/>
      <c r="S111"/>
    </row>
    <row r="112" spans="1:19">
      <c r="A112" s="80">
        <f>A110+1</f>
        <v>15</v>
      </c>
      <c r="B112" s="196" t="s">
        <v>273</v>
      </c>
      <c r="C112" s="81"/>
      <c r="D112" s="81"/>
      <c r="E112" s="82" t="s">
        <v>272</v>
      </c>
      <c r="F112" s="83" t="s">
        <v>36</v>
      </c>
      <c r="G112" s="139">
        <f>1.53*2.83</f>
        <v>4.3299000000000003</v>
      </c>
      <c r="H112" s="294"/>
      <c r="I112" s="84">
        <f>G112*H112</f>
        <v>0</v>
      </c>
      <c r="J112" s="263" t="s">
        <v>152</v>
      </c>
      <c r="O112" s="3"/>
      <c r="P112" s="1">
        <v>3.5000000000000003E-2</v>
      </c>
      <c r="Q112" s="3">
        <f>+G112*0.075</f>
        <v>0.32474249999999999</v>
      </c>
      <c r="R112" s="8">
        <f>+Q112*P112</f>
        <v>1.1365987500000001E-2</v>
      </c>
      <c r="S112" t="s">
        <v>40</v>
      </c>
    </row>
    <row r="113" spans="1:19">
      <c r="A113" s="80"/>
      <c r="B113" s="196"/>
      <c r="C113" s="81"/>
      <c r="D113" s="81"/>
      <c r="E113" s="86" t="s">
        <v>226</v>
      </c>
      <c r="F113" s="83"/>
      <c r="G113" s="139"/>
      <c r="H113" s="294"/>
      <c r="I113" s="84"/>
      <c r="J113" s="263"/>
      <c r="O113" s="3"/>
      <c r="Q113" s="3"/>
      <c r="R113" s="8"/>
      <c r="S113"/>
    </row>
    <row r="114" spans="1:19">
      <c r="A114" s="80">
        <f>A112+1</f>
        <v>16</v>
      </c>
      <c r="B114" s="196" t="s">
        <v>274</v>
      </c>
      <c r="C114" s="81"/>
      <c r="D114" s="81"/>
      <c r="E114" s="82" t="s">
        <v>143</v>
      </c>
      <c r="F114" s="83" t="s">
        <v>36</v>
      </c>
      <c r="G114" s="139">
        <f>2.6*1.845+(1.13+1.93)*2.28</f>
        <v>11.773799999999998</v>
      </c>
      <c r="H114" s="294"/>
      <c r="I114" s="84">
        <f t="shared" si="4"/>
        <v>0</v>
      </c>
      <c r="J114" s="263" t="s">
        <v>152</v>
      </c>
      <c r="O114" s="3"/>
      <c r="R114" s="8"/>
    </row>
    <row r="115" spans="1:19">
      <c r="A115" s="80">
        <f t="shared" si="3"/>
        <v>17</v>
      </c>
      <c r="B115" s="196" t="s">
        <v>275</v>
      </c>
      <c r="C115" s="81"/>
      <c r="D115" s="81"/>
      <c r="E115" s="82" t="s">
        <v>224</v>
      </c>
      <c r="F115" s="83" t="s">
        <v>38</v>
      </c>
      <c r="G115" s="139">
        <v>2</v>
      </c>
      <c r="H115" s="294"/>
      <c r="I115" s="84">
        <f t="shared" si="4"/>
        <v>0</v>
      </c>
      <c r="J115" s="263" t="s">
        <v>152</v>
      </c>
      <c r="O115" s="3"/>
      <c r="R115" s="8">
        <v>1.5E-3</v>
      </c>
    </row>
    <row r="116" spans="1:19">
      <c r="A116" s="80">
        <f t="shared" si="3"/>
        <v>18</v>
      </c>
      <c r="B116" s="196"/>
      <c r="C116" s="81"/>
      <c r="D116" s="81"/>
      <c r="E116" s="82" t="s">
        <v>87</v>
      </c>
      <c r="F116" s="83" t="s">
        <v>40</v>
      </c>
      <c r="G116" s="139">
        <f>R116</f>
        <v>6.9748859875000013</v>
      </c>
      <c r="H116" s="294"/>
      <c r="I116" s="84">
        <f t="shared" si="4"/>
        <v>0</v>
      </c>
      <c r="J116" s="263" t="s">
        <v>152</v>
      </c>
      <c r="O116" s="3"/>
      <c r="R116" s="9">
        <f>SUM(R96:R115)</f>
        <v>6.9748859875000013</v>
      </c>
      <c r="S116" s="2" t="s">
        <v>40</v>
      </c>
    </row>
    <row r="117" spans="1:19">
      <c r="A117" s="80">
        <f t="shared" si="3"/>
        <v>19</v>
      </c>
      <c r="B117" s="196" t="s">
        <v>277</v>
      </c>
      <c r="C117" s="81"/>
      <c r="D117" s="81"/>
      <c r="E117" s="82" t="s">
        <v>276</v>
      </c>
      <c r="F117" s="83" t="s">
        <v>40</v>
      </c>
      <c r="G117" s="139">
        <f>G116</f>
        <v>6.9748859875000013</v>
      </c>
      <c r="H117" s="294"/>
      <c r="I117" s="84">
        <f t="shared" si="4"/>
        <v>0</v>
      </c>
      <c r="J117" s="263" t="s">
        <v>152</v>
      </c>
      <c r="O117" s="3"/>
      <c r="R117" s="9"/>
      <c r="S117" s="2"/>
    </row>
    <row r="118" spans="1:19">
      <c r="A118" s="80">
        <f t="shared" si="3"/>
        <v>20</v>
      </c>
      <c r="B118" s="196" t="s">
        <v>279</v>
      </c>
      <c r="C118" s="81"/>
      <c r="D118" s="81"/>
      <c r="E118" s="82" t="s">
        <v>278</v>
      </c>
      <c r="F118" s="83" t="s">
        <v>40</v>
      </c>
      <c r="G118" s="139">
        <f>G116</f>
        <v>6.9748859875000013</v>
      </c>
      <c r="H118" s="294"/>
      <c r="I118" s="84">
        <f t="shared" si="4"/>
        <v>0</v>
      </c>
      <c r="J118" s="263" t="s">
        <v>152</v>
      </c>
      <c r="O118" s="3"/>
      <c r="R118" s="9"/>
      <c r="S118" s="2"/>
    </row>
    <row r="119" spans="1:19">
      <c r="A119" s="80">
        <f t="shared" si="3"/>
        <v>21</v>
      </c>
      <c r="B119" s="196" t="s">
        <v>281</v>
      </c>
      <c r="C119" s="81"/>
      <c r="D119" s="81"/>
      <c r="E119" s="82" t="s">
        <v>280</v>
      </c>
      <c r="F119" s="83" t="s">
        <v>40</v>
      </c>
      <c r="G119" s="139">
        <f>G116</f>
        <v>6.9748859875000013</v>
      </c>
      <c r="H119" s="294"/>
      <c r="I119" s="84">
        <f t="shared" si="4"/>
        <v>0</v>
      </c>
      <c r="J119" s="263" t="s">
        <v>152</v>
      </c>
      <c r="O119" s="3"/>
      <c r="R119" s="9"/>
      <c r="S119" s="2"/>
    </row>
    <row r="120" spans="1:19">
      <c r="A120" s="80">
        <f t="shared" si="3"/>
        <v>22</v>
      </c>
      <c r="B120" s="196" t="s">
        <v>282</v>
      </c>
      <c r="C120" s="81"/>
      <c r="D120" s="81"/>
      <c r="E120" s="82" t="s">
        <v>283</v>
      </c>
      <c r="F120" s="83" t="s">
        <v>40</v>
      </c>
      <c r="G120" s="139">
        <f>G116</f>
        <v>6.9748859875000013</v>
      </c>
      <c r="H120" s="294"/>
      <c r="I120" s="84">
        <f t="shared" si="4"/>
        <v>0</v>
      </c>
      <c r="J120" s="263" t="s">
        <v>152</v>
      </c>
      <c r="O120" s="3"/>
      <c r="R120" s="9"/>
      <c r="S120" s="2"/>
    </row>
    <row r="121" spans="1:19">
      <c r="A121" s="80">
        <f t="shared" si="3"/>
        <v>23</v>
      </c>
      <c r="B121" s="196" t="s">
        <v>285</v>
      </c>
      <c r="C121" s="81"/>
      <c r="D121" s="81"/>
      <c r="E121" s="82" t="s">
        <v>284</v>
      </c>
      <c r="F121" s="83" t="s">
        <v>40</v>
      </c>
      <c r="G121" s="139">
        <f>G116</f>
        <v>6.9748859875000013</v>
      </c>
      <c r="H121" s="294"/>
      <c r="I121" s="84">
        <f t="shared" si="4"/>
        <v>0</v>
      </c>
      <c r="J121" s="263" t="s">
        <v>152</v>
      </c>
      <c r="O121" s="3"/>
      <c r="R121" s="9"/>
      <c r="S121" s="2"/>
    </row>
    <row r="122" spans="1:19" ht="13.5" thickBot="1">
      <c r="A122" s="80">
        <f t="shared" si="3"/>
        <v>24</v>
      </c>
      <c r="B122" s="196" t="s">
        <v>287</v>
      </c>
      <c r="C122" s="81"/>
      <c r="D122" s="81"/>
      <c r="E122" s="82" t="s">
        <v>286</v>
      </c>
      <c r="F122" s="83" t="s">
        <v>40</v>
      </c>
      <c r="G122" s="139">
        <f>G116</f>
        <v>6.9748859875000013</v>
      </c>
      <c r="H122" s="294"/>
      <c r="I122" s="84">
        <f>G122*H122</f>
        <v>0</v>
      </c>
      <c r="J122" s="263" t="s">
        <v>152</v>
      </c>
    </row>
    <row r="123" spans="1:19" ht="13.5" thickBot="1">
      <c r="A123" s="80"/>
      <c r="B123" s="196"/>
      <c r="C123" s="81"/>
      <c r="D123" s="81"/>
      <c r="E123" s="90" t="s">
        <v>37</v>
      </c>
      <c r="F123" s="91"/>
      <c r="G123" s="141"/>
      <c r="H123" s="295"/>
      <c r="I123" s="92">
        <f>SUBTOTAL(9,I96:I122)</f>
        <v>0</v>
      </c>
      <c r="J123" s="263"/>
    </row>
    <row r="124" spans="1:19">
      <c r="A124" s="80"/>
      <c r="B124" s="196"/>
      <c r="C124" s="81"/>
      <c r="D124" s="81"/>
      <c r="E124" s="93"/>
      <c r="F124" s="94"/>
      <c r="G124" s="129"/>
      <c r="H124" s="285"/>
      <c r="I124" s="95"/>
      <c r="J124" s="263"/>
    </row>
    <row r="125" spans="1:19" ht="16.5">
      <c r="A125" s="80"/>
      <c r="B125" s="196"/>
      <c r="C125" s="78" t="s">
        <v>45</v>
      </c>
      <c r="D125" s="78"/>
      <c r="E125" s="79" t="s">
        <v>144</v>
      </c>
      <c r="F125" s="79"/>
      <c r="G125" s="79"/>
      <c r="H125" s="293"/>
      <c r="I125" s="79"/>
      <c r="J125" s="263"/>
    </row>
    <row r="126" spans="1:19" ht="16.5">
      <c r="A126" s="80"/>
      <c r="B126" s="196"/>
      <c r="C126" s="96" t="s">
        <v>53</v>
      </c>
      <c r="D126" s="96"/>
      <c r="E126" s="79" t="s">
        <v>68</v>
      </c>
      <c r="F126" s="79"/>
      <c r="G126" s="79"/>
      <c r="H126" s="293"/>
      <c r="I126" s="79"/>
      <c r="J126" s="263"/>
    </row>
    <row r="127" spans="1:19" ht="38.25">
      <c r="A127" s="80">
        <f>A122+1</f>
        <v>25</v>
      </c>
      <c r="B127" s="196" t="s">
        <v>289</v>
      </c>
      <c r="C127" s="81"/>
      <c r="D127" s="81"/>
      <c r="E127" s="85" t="s">
        <v>288</v>
      </c>
      <c r="F127" s="88" t="s">
        <v>36</v>
      </c>
      <c r="G127" s="140">
        <f>2.5*(1.1+2.69)+2*0.45*0.35+0.26*2.83</f>
        <v>10.525799999999998</v>
      </c>
      <c r="H127" s="294"/>
      <c r="I127" s="89">
        <f>G127*H127</f>
        <v>0</v>
      </c>
      <c r="J127" s="263" t="s">
        <v>158</v>
      </c>
      <c r="K127" s="153"/>
      <c r="L127" s="1"/>
    </row>
    <row r="128" spans="1:19">
      <c r="A128" s="80"/>
      <c r="B128" s="196"/>
      <c r="C128" s="81"/>
      <c r="D128" s="81"/>
      <c r="E128" s="86" t="s">
        <v>9</v>
      </c>
      <c r="F128" s="83"/>
      <c r="G128" s="139"/>
      <c r="H128" s="294"/>
      <c r="I128" s="84"/>
      <c r="J128" s="263"/>
    </row>
    <row r="129" spans="1:12" ht="38.25">
      <c r="A129" s="80">
        <f>+A127+1</f>
        <v>26</v>
      </c>
      <c r="B129" s="196" t="s">
        <v>291</v>
      </c>
      <c r="C129" s="81"/>
      <c r="D129" s="81"/>
      <c r="E129" s="85" t="s">
        <v>290</v>
      </c>
      <c r="F129" s="88" t="s">
        <v>36</v>
      </c>
      <c r="G129" s="139">
        <f>2.83*(2.03+1.585+2.525+3.77)-2*0.9*2.02+2.05*0.9+2*1.24*0.63</f>
        <v>27.816700000000001</v>
      </c>
      <c r="H129" s="294"/>
      <c r="I129" s="89">
        <f>G129*H129</f>
        <v>0</v>
      </c>
      <c r="J129" s="263" t="s">
        <v>158</v>
      </c>
      <c r="K129" s="153"/>
      <c r="L129" s="1"/>
    </row>
    <row r="130" spans="1:12">
      <c r="A130" s="80"/>
      <c r="B130" s="196"/>
      <c r="C130" s="81"/>
      <c r="D130" s="81"/>
      <c r="E130" s="97" t="s">
        <v>229</v>
      </c>
      <c r="F130" s="83"/>
      <c r="G130" s="139"/>
      <c r="H130" s="294"/>
      <c r="I130" s="84"/>
      <c r="J130" s="263"/>
      <c r="K130" s="153"/>
      <c r="L130" s="5"/>
    </row>
    <row r="131" spans="1:12">
      <c r="A131" s="80"/>
      <c r="B131" s="196"/>
      <c r="C131" s="81"/>
      <c r="D131" s="81"/>
      <c r="E131" s="97" t="s">
        <v>228</v>
      </c>
      <c r="F131" s="83"/>
      <c r="G131" s="139"/>
      <c r="H131" s="294"/>
      <c r="I131" s="84"/>
      <c r="J131" s="263"/>
      <c r="K131" s="153"/>
      <c r="L131" s="5"/>
    </row>
    <row r="132" spans="1:12" ht="51">
      <c r="A132" s="87">
        <f>A129+1</f>
        <v>27</v>
      </c>
      <c r="B132" s="199"/>
      <c r="C132" s="81"/>
      <c r="D132" s="81"/>
      <c r="E132" s="163" t="s">
        <v>508</v>
      </c>
      <c r="F132" s="83" t="s">
        <v>35</v>
      </c>
      <c r="G132" s="171">
        <v>1</v>
      </c>
      <c r="H132" s="294"/>
      <c r="I132" s="165">
        <f>G132*H132</f>
        <v>0</v>
      </c>
      <c r="J132" s="158" t="s">
        <v>158</v>
      </c>
      <c r="K132" s="153"/>
      <c r="L132" s="5"/>
    </row>
    <row r="133" spans="1:12" ht="25.5">
      <c r="A133" s="87">
        <f>A132+1</f>
        <v>28</v>
      </c>
      <c r="B133" s="199"/>
      <c r="C133" s="81"/>
      <c r="D133" s="81"/>
      <c r="E133" s="163" t="s">
        <v>234</v>
      </c>
      <c r="F133" s="83" t="s">
        <v>38</v>
      </c>
      <c r="G133" s="171">
        <v>1</v>
      </c>
      <c r="H133" s="294"/>
      <c r="I133" s="165">
        <f>G133*H133</f>
        <v>0</v>
      </c>
      <c r="J133" s="158" t="s">
        <v>158</v>
      </c>
      <c r="K133" s="153"/>
      <c r="L133" s="187" t="s">
        <v>292</v>
      </c>
    </row>
    <row r="134" spans="1:12" customFormat="1" ht="38.25">
      <c r="A134" s="87">
        <f>A133+1</f>
        <v>29</v>
      </c>
      <c r="B134" s="199" t="s">
        <v>293</v>
      </c>
      <c r="C134" s="110" t="s">
        <v>230</v>
      </c>
      <c r="D134" s="110"/>
      <c r="E134" s="85" t="s">
        <v>301</v>
      </c>
      <c r="F134" s="88" t="s">
        <v>36</v>
      </c>
      <c r="G134" s="140">
        <f>+(1.35+0.48)*2.4</f>
        <v>4.3920000000000003</v>
      </c>
      <c r="H134" s="294"/>
      <c r="I134" s="89">
        <f>G134*H134</f>
        <v>0</v>
      </c>
      <c r="J134" s="261" t="s">
        <v>158</v>
      </c>
      <c r="K134" s="154"/>
    </row>
    <row r="135" spans="1:12" customFormat="1">
      <c r="A135" s="87"/>
      <c r="B135" s="199"/>
      <c r="C135" s="110"/>
      <c r="D135" s="110"/>
      <c r="E135" s="97" t="s">
        <v>1</v>
      </c>
      <c r="F135" s="88"/>
      <c r="G135" s="140"/>
      <c r="H135" s="294"/>
      <c r="I135" s="89"/>
      <c r="J135" s="261"/>
      <c r="K135" s="154"/>
      <c r="L135" s="21"/>
    </row>
    <row r="136" spans="1:12" ht="38.25">
      <c r="A136" s="80">
        <f>A134+1</f>
        <v>30</v>
      </c>
      <c r="B136" s="196" t="s">
        <v>294</v>
      </c>
      <c r="C136" s="81" t="s">
        <v>231</v>
      </c>
      <c r="D136" s="81"/>
      <c r="E136" s="85" t="s">
        <v>300</v>
      </c>
      <c r="F136" s="88" t="s">
        <v>36</v>
      </c>
      <c r="G136" s="139">
        <f>0.93*0.34</f>
        <v>0.31620000000000004</v>
      </c>
      <c r="H136" s="294"/>
      <c r="I136" s="84">
        <f>G136*H136</f>
        <v>0</v>
      </c>
      <c r="J136" s="263" t="s">
        <v>158</v>
      </c>
      <c r="L136" s="1"/>
    </row>
    <row r="137" spans="1:12">
      <c r="A137" s="80"/>
      <c r="B137" s="196"/>
      <c r="C137" s="81"/>
      <c r="D137" s="81"/>
      <c r="E137" s="97" t="s">
        <v>0</v>
      </c>
      <c r="F137" s="88"/>
      <c r="G137" s="139"/>
      <c r="H137" s="294"/>
      <c r="I137" s="84"/>
      <c r="J137" s="263"/>
      <c r="L137" s="1"/>
    </row>
    <row r="138" spans="1:12">
      <c r="A138" s="80">
        <f>A136+1</f>
        <v>31</v>
      </c>
      <c r="B138" s="196" t="s">
        <v>306</v>
      </c>
      <c r="C138" s="81"/>
      <c r="D138" s="81"/>
      <c r="E138" s="85" t="s">
        <v>305</v>
      </c>
      <c r="F138" s="88" t="s">
        <v>36</v>
      </c>
      <c r="G138" s="139">
        <f>G134</f>
        <v>4.3920000000000003</v>
      </c>
      <c r="H138" s="294"/>
      <c r="I138" s="84">
        <f t="shared" ref="I138:I143" si="5">G138*H138</f>
        <v>0</v>
      </c>
      <c r="J138" s="263" t="s">
        <v>158</v>
      </c>
      <c r="L138" s="1"/>
    </row>
    <row r="139" spans="1:12">
      <c r="A139" s="80">
        <f>A138+1</f>
        <v>32</v>
      </c>
      <c r="B139" s="196" t="s">
        <v>308</v>
      </c>
      <c r="C139" s="81"/>
      <c r="D139" s="81"/>
      <c r="E139" s="85" t="s">
        <v>307</v>
      </c>
      <c r="F139" s="88" t="s">
        <v>36</v>
      </c>
      <c r="G139" s="139">
        <f>G136</f>
        <v>0.31620000000000004</v>
      </c>
      <c r="H139" s="294"/>
      <c r="I139" s="84">
        <f t="shared" si="5"/>
        <v>0</v>
      </c>
      <c r="J139" s="263" t="s">
        <v>158</v>
      </c>
      <c r="L139" s="1"/>
    </row>
    <row r="140" spans="1:12">
      <c r="A140" s="80">
        <f>A139+1</f>
        <v>33</v>
      </c>
      <c r="B140" s="196" t="s">
        <v>310</v>
      </c>
      <c r="C140" s="81"/>
      <c r="D140" s="81"/>
      <c r="E140" s="85" t="s">
        <v>309</v>
      </c>
      <c r="F140" s="88" t="s">
        <v>36</v>
      </c>
      <c r="G140" s="139">
        <f>G134+G136</f>
        <v>4.7082000000000006</v>
      </c>
      <c r="H140" s="294"/>
      <c r="I140" s="84">
        <f t="shared" si="5"/>
        <v>0</v>
      </c>
      <c r="J140" s="263" t="s">
        <v>158</v>
      </c>
      <c r="L140" s="1"/>
    </row>
    <row r="141" spans="1:12">
      <c r="A141" s="80">
        <f>A140+1</f>
        <v>34</v>
      </c>
      <c r="B141" s="196" t="s">
        <v>304</v>
      </c>
      <c r="C141" s="81"/>
      <c r="D141" s="81"/>
      <c r="E141" s="155" t="s">
        <v>81</v>
      </c>
      <c r="F141" s="175" t="s">
        <v>36</v>
      </c>
      <c r="G141" s="178">
        <f>G134+G136</f>
        <v>4.7082000000000006</v>
      </c>
      <c r="H141" s="294"/>
      <c r="I141" s="84">
        <f t="shared" si="5"/>
        <v>0</v>
      </c>
      <c r="J141" s="263" t="s">
        <v>158</v>
      </c>
      <c r="L141" s="1"/>
    </row>
    <row r="142" spans="1:12" ht="25.5">
      <c r="A142" s="80">
        <f>A141+1</f>
        <v>35</v>
      </c>
      <c r="B142" s="196" t="s">
        <v>296</v>
      </c>
      <c r="C142" s="110" t="s">
        <v>197</v>
      </c>
      <c r="D142" s="110"/>
      <c r="E142" s="85" t="s">
        <v>295</v>
      </c>
      <c r="F142" s="88" t="s">
        <v>38</v>
      </c>
      <c r="G142" s="140">
        <v>2</v>
      </c>
      <c r="H142" s="294"/>
      <c r="I142" s="89">
        <f t="shared" si="5"/>
        <v>0</v>
      </c>
      <c r="J142" s="263" t="s">
        <v>158</v>
      </c>
      <c r="L142" s="1"/>
    </row>
    <row r="143" spans="1:12" ht="13.5" thickBot="1">
      <c r="A143" s="80">
        <f>A142+1</f>
        <v>36</v>
      </c>
      <c r="B143" s="200"/>
      <c r="C143" s="81"/>
      <c r="D143" s="81"/>
      <c r="E143" s="98" t="s">
        <v>64</v>
      </c>
      <c r="F143" s="83" t="s">
        <v>44</v>
      </c>
      <c r="G143" s="139">
        <f>SUM(I127,I129,I132,I133,I134,I136,I142)</f>
        <v>0</v>
      </c>
      <c r="H143" s="296"/>
      <c r="I143" s="84">
        <f t="shared" si="5"/>
        <v>0</v>
      </c>
      <c r="J143" s="263" t="s">
        <v>158</v>
      </c>
    </row>
    <row r="144" spans="1:12" ht="13.5" thickBot="1">
      <c r="A144" s="80"/>
      <c r="B144" s="196"/>
      <c r="C144" s="81"/>
      <c r="D144" s="81"/>
      <c r="E144" s="99" t="s">
        <v>37</v>
      </c>
      <c r="F144" s="100"/>
      <c r="G144" s="142"/>
      <c r="H144" s="297"/>
      <c r="I144" s="92">
        <f>SUBTOTAL(9,I127:I143)</f>
        <v>0</v>
      </c>
      <c r="J144" s="263"/>
    </row>
    <row r="145" spans="1:12">
      <c r="A145" s="80"/>
      <c r="B145" s="196"/>
      <c r="C145" s="81"/>
      <c r="D145" s="81"/>
      <c r="E145" s="93"/>
      <c r="F145" s="94"/>
      <c r="G145" s="129"/>
      <c r="H145" s="285"/>
      <c r="I145" s="95"/>
      <c r="J145" s="263"/>
    </row>
    <row r="146" spans="1:12" ht="16.5">
      <c r="A146" s="80"/>
      <c r="B146" s="196"/>
      <c r="C146" s="96" t="s">
        <v>54</v>
      </c>
      <c r="D146" s="96"/>
      <c r="E146" s="79" t="s">
        <v>69</v>
      </c>
      <c r="F146" s="79"/>
      <c r="G146" s="79"/>
      <c r="H146" s="293"/>
      <c r="I146" s="79"/>
      <c r="J146" s="263"/>
    </row>
    <row r="147" spans="1:12" ht="15">
      <c r="A147" s="80"/>
      <c r="B147" s="196"/>
      <c r="C147" s="96"/>
      <c r="D147" s="96"/>
      <c r="E147" s="201" t="s">
        <v>442</v>
      </c>
      <c r="F147" s="201"/>
      <c r="G147" s="201"/>
      <c r="H147" s="291"/>
      <c r="I147" s="201"/>
      <c r="J147" s="263"/>
    </row>
    <row r="148" spans="1:12" ht="15">
      <c r="A148" s="80"/>
      <c r="B148" s="196"/>
      <c r="C148" s="96"/>
      <c r="D148" s="96"/>
      <c r="E148" s="203" t="s">
        <v>446</v>
      </c>
      <c r="F148" s="203"/>
      <c r="G148" s="203"/>
      <c r="H148" s="298"/>
      <c r="I148" s="203"/>
      <c r="J148" s="263"/>
    </row>
    <row r="149" spans="1:12" ht="15">
      <c r="A149" s="80"/>
      <c r="B149" s="196"/>
      <c r="C149" s="96"/>
      <c r="D149" s="96"/>
      <c r="E149" s="203" t="s">
        <v>479</v>
      </c>
      <c r="F149" s="203"/>
      <c r="G149" s="203"/>
      <c r="H149" s="298"/>
      <c r="I149" s="203"/>
      <c r="J149" s="263"/>
    </row>
    <row r="150" spans="1:12" ht="15">
      <c r="A150" s="80"/>
      <c r="B150" s="196"/>
      <c r="C150" s="96"/>
      <c r="D150" s="96"/>
      <c r="E150" s="203" t="s">
        <v>480</v>
      </c>
      <c r="F150" s="203"/>
      <c r="G150" s="203"/>
      <c r="H150" s="298"/>
      <c r="I150" s="203"/>
      <c r="J150" s="263"/>
    </row>
    <row r="151" spans="1:12" ht="25.5">
      <c r="A151" s="80">
        <f>A143+1</f>
        <v>37</v>
      </c>
      <c r="B151" s="196" t="s">
        <v>298</v>
      </c>
      <c r="C151" s="81" t="s">
        <v>203</v>
      </c>
      <c r="D151" s="81"/>
      <c r="E151" s="85" t="s">
        <v>297</v>
      </c>
      <c r="F151" s="83" t="s">
        <v>36</v>
      </c>
      <c r="G151" s="139">
        <f>4+3.5</f>
        <v>7.5</v>
      </c>
      <c r="H151" s="294"/>
      <c r="I151" s="84">
        <f>G151*H151</f>
        <v>0</v>
      </c>
      <c r="J151" s="263" t="s">
        <v>158</v>
      </c>
      <c r="L151" s="1"/>
    </row>
    <row r="152" spans="1:12">
      <c r="A152" s="80"/>
      <c r="B152" s="196"/>
      <c r="C152" s="110"/>
      <c r="D152" s="110"/>
      <c r="E152" s="97" t="s">
        <v>2</v>
      </c>
      <c r="F152" s="88"/>
      <c r="G152" s="140"/>
      <c r="H152" s="294"/>
      <c r="I152" s="89"/>
      <c r="L152" s="1"/>
    </row>
    <row r="153" spans="1:12" ht="25.5">
      <c r="A153" s="80">
        <f>A151+1</f>
        <v>38</v>
      </c>
      <c r="B153" s="196"/>
      <c r="C153" s="110" t="s">
        <v>213</v>
      </c>
      <c r="D153" s="110"/>
      <c r="E153" s="85" t="s">
        <v>299</v>
      </c>
      <c r="F153" s="88" t="s">
        <v>36</v>
      </c>
      <c r="G153" s="140">
        <f>1.1+(0.45+0.2)*2.03</f>
        <v>2.4195000000000002</v>
      </c>
      <c r="H153" s="294"/>
      <c r="I153" s="89">
        <f>G153*H153</f>
        <v>0</v>
      </c>
      <c r="J153" s="261" t="s">
        <v>158</v>
      </c>
      <c r="L153" s="1"/>
    </row>
    <row r="154" spans="1:12">
      <c r="A154" s="80"/>
      <c r="B154" s="196"/>
      <c r="C154" s="110"/>
      <c r="D154" s="110"/>
      <c r="E154" s="97" t="s">
        <v>232</v>
      </c>
      <c r="F154" s="88"/>
      <c r="G154" s="140"/>
      <c r="H154" s="294"/>
      <c r="I154" s="89"/>
      <c r="L154" s="1"/>
    </row>
    <row r="155" spans="1:12">
      <c r="A155" s="80"/>
      <c r="B155" s="196" t="s">
        <v>303</v>
      </c>
      <c r="C155" s="110"/>
      <c r="D155" s="110"/>
      <c r="E155" s="155" t="s">
        <v>302</v>
      </c>
      <c r="F155" s="175" t="s">
        <v>36</v>
      </c>
      <c r="G155" s="178">
        <f>G151</f>
        <v>7.5</v>
      </c>
      <c r="H155" s="294"/>
      <c r="I155" s="89">
        <f>G155*H155</f>
        <v>0</v>
      </c>
      <c r="J155" s="261" t="s">
        <v>158</v>
      </c>
      <c r="L155" s="1"/>
    </row>
    <row r="156" spans="1:12">
      <c r="A156" s="80">
        <f>A153+1</f>
        <v>39</v>
      </c>
      <c r="B156" s="196"/>
      <c r="C156" s="81" t="s">
        <v>203</v>
      </c>
      <c r="D156" s="81"/>
      <c r="E156" s="82" t="s">
        <v>81</v>
      </c>
      <c r="F156" s="83" t="s">
        <v>36</v>
      </c>
      <c r="G156" s="139">
        <f>+G151+G153</f>
        <v>9.9194999999999993</v>
      </c>
      <c r="H156" s="294"/>
      <c r="I156" s="84">
        <f>G156*H156</f>
        <v>0</v>
      </c>
      <c r="J156" s="266" t="s">
        <v>158</v>
      </c>
      <c r="L156" s="6"/>
    </row>
    <row r="157" spans="1:12" ht="13.5" thickBot="1">
      <c r="A157" s="80">
        <f>A156+1</f>
        <v>40</v>
      </c>
      <c r="B157" s="196"/>
      <c r="C157" s="81"/>
      <c r="D157" s="81"/>
      <c r="E157" s="82" t="s">
        <v>61</v>
      </c>
      <c r="F157" s="105" t="s">
        <v>44</v>
      </c>
      <c r="G157" s="139">
        <f>SUM(I151,I153)</f>
        <v>0</v>
      </c>
      <c r="H157" s="299"/>
      <c r="I157" s="106">
        <f>G157*H157</f>
        <v>0</v>
      </c>
      <c r="J157" s="263" t="s">
        <v>158</v>
      </c>
    </row>
    <row r="158" spans="1:12" ht="13.5" thickBot="1">
      <c r="A158" s="80"/>
      <c r="B158" s="196"/>
      <c r="C158" s="81"/>
      <c r="D158" s="81"/>
      <c r="E158" s="99" t="s">
        <v>37</v>
      </c>
      <c r="F158" s="100"/>
      <c r="G158" s="142"/>
      <c r="H158" s="297"/>
      <c r="I158" s="92">
        <f>SUBTOTAL(9,I151:I157)</f>
        <v>0</v>
      </c>
      <c r="J158" s="263"/>
    </row>
    <row r="159" spans="1:12">
      <c r="A159" s="80"/>
      <c r="B159" s="196"/>
      <c r="C159" s="81"/>
      <c r="D159" s="81"/>
      <c r="E159" s="93"/>
      <c r="F159" s="94"/>
      <c r="G159" s="129"/>
      <c r="H159" s="285"/>
      <c r="I159" s="95"/>
      <c r="J159" s="263"/>
    </row>
    <row r="160" spans="1:12" ht="16.5">
      <c r="A160" s="80"/>
      <c r="B160" s="196"/>
      <c r="C160" s="96" t="s">
        <v>55</v>
      </c>
      <c r="D160" s="96"/>
      <c r="E160" s="79" t="s">
        <v>166</v>
      </c>
      <c r="F160" s="79"/>
      <c r="G160" s="79"/>
      <c r="H160" s="293"/>
      <c r="I160" s="79"/>
      <c r="J160" s="263"/>
    </row>
    <row r="161" spans="1:19" ht="15">
      <c r="A161" s="80"/>
      <c r="B161" s="196"/>
      <c r="C161" s="96"/>
      <c r="D161" s="96"/>
      <c r="E161" s="203" t="s">
        <v>477</v>
      </c>
      <c r="F161" s="203"/>
      <c r="G161" s="203"/>
      <c r="H161" s="298"/>
      <c r="I161" s="203"/>
      <c r="J161" s="263"/>
    </row>
    <row r="162" spans="1:19" ht="15">
      <c r="A162" s="80"/>
      <c r="B162" s="196"/>
      <c r="C162" s="96"/>
      <c r="D162" s="96"/>
      <c r="E162" s="203" t="s">
        <v>478</v>
      </c>
      <c r="F162" s="203"/>
      <c r="G162" s="203"/>
      <c r="H162" s="298"/>
      <c r="I162" s="203"/>
      <c r="J162" s="263"/>
    </row>
    <row r="163" spans="1:19" ht="25.5">
      <c r="A163" s="80">
        <f>A157+1</f>
        <v>41</v>
      </c>
      <c r="B163" s="196" t="s">
        <v>311</v>
      </c>
      <c r="C163" s="81"/>
      <c r="D163" s="81"/>
      <c r="E163" s="82" t="s">
        <v>316</v>
      </c>
      <c r="F163" s="83" t="s">
        <v>36</v>
      </c>
      <c r="G163" s="139">
        <f>2.5*2.6+(5.38+1.02)*2.83+0.83*2.94+12+8.79*2.83-2.6*1.85+0.79*2.03+16.1+1.94*2.6-0.9*2.02</f>
        <v>80.047599999999989</v>
      </c>
      <c r="H163" s="294"/>
      <c r="I163" s="84">
        <f>G163*H163</f>
        <v>0</v>
      </c>
      <c r="J163" s="263" t="s">
        <v>152</v>
      </c>
    </row>
    <row r="164" spans="1:19" ht="25.5">
      <c r="A164" s="80">
        <f>A163+1</f>
        <v>42</v>
      </c>
      <c r="B164" s="196" t="s">
        <v>256</v>
      </c>
      <c r="C164" s="81" t="s">
        <v>170</v>
      </c>
      <c r="D164" s="81"/>
      <c r="E164" s="82" t="s">
        <v>255</v>
      </c>
      <c r="F164" s="83" t="s">
        <v>36</v>
      </c>
      <c r="G164" s="189">
        <f>G102</f>
        <v>4</v>
      </c>
      <c r="H164" s="294"/>
      <c r="I164" s="84">
        <f>G102*H164</f>
        <v>0</v>
      </c>
      <c r="J164" s="263" t="s">
        <v>152</v>
      </c>
      <c r="O164" s="3"/>
      <c r="R164" s="11"/>
      <c r="S164"/>
    </row>
    <row r="165" spans="1:19" ht="25.5" hidden="1">
      <c r="A165" s="80">
        <f>A164+1</f>
        <v>43</v>
      </c>
      <c r="B165" s="196" t="s">
        <v>258</v>
      </c>
      <c r="C165" s="81"/>
      <c r="D165" s="81"/>
      <c r="E165" s="82" t="s">
        <v>257</v>
      </c>
      <c r="F165" s="83" t="s">
        <v>36</v>
      </c>
      <c r="G165" s="189"/>
      <c r="H165" s="294"/>
      <c r="I165" s="84"/>
      <c r="J165" s="263" t="s">
        <v>152</v>
      </c>
      <c r="O165" s="3"/>
      <c r="R165" s="11"/>
      <c r="S165"/>
    </row>
    <row r="166" spans="1:19">
      <c r="A166" s="80">
        <f>A164+1</f>
        <v>43</v>
      </c>
      <c r="B166" s="196" t="s">
        <v>318</v>
      </c>
      <c r="C166" s="81"/>
      <c r="D166" s="81"/>
      <c r="E166" s="190" t="s">
        <v>317</v>
      </c>
      <c r="F166" s="83" t="s">
        <v>36</v>
      </c>
      <c r="G166" s="139">
        <f xml:space="preserve"> (3.25*2.82)</f>
        <v>9.1649999999999991</v>
      </c>
      <c r="H166" s="294"/>
      <c r="I166" s="84">
        <f>G104*H166</f>
        <v>0</v>
      </c>
      <c r="J166" s="266" t="s">
        <v>152</v>
      </c>
      <c r="L166" s="14"/>
    </row>
    <row r="167" spans="1:19" hidden="1">
      <c r="A167" s="80">
        <f>A166+1</f>
        <v>44</v>
      </c>
      <c r="B167" s="196" t="s">
        <v>320</v>
      </c>
      <c r="C167" s="110" t="s">
        <v>171</v>
      </c>
      <c r="D167" s="110"/>
      <c r="E167" s="82" t="s">
        <v>319</v>
      </c>
      <c r="F167" s="83" t="s">
        <v>36</v>
      </c>
      <c r="G167" s="139"/>
      <c r="H167" s="294"/>
      <c r="I167" s="84"/>
      <c r="J167" s="263"/>
    </row>
    <row r="168" spans="1:19" ht="25.5">
      <c r="A168" s="80">
        <f>A166+1</f>
        <v>44</v>
      </c>
      <c r="B168" s="196" t="s">
        <v>322</v>
      </c>
      <c r="C168" s="81" t="s">
        <v>171</v>
      </c>
      <c r="D168" s="81"/>
      <c r="E168" s="82" t="s">
        <v>321</v>
      </c>
      <c r="F168" s="83" t="s">
        <v>36</v>
      </c>
      <c r="G168" s="139">
        <f>+(5.38+1.02)*2.83+0.83*2.94+6.2*2.83-0.9*2.02+8.79*2.83-2.6*1.85+5.36*2.83-2*0.9*2.02+0.79*2.83+8.79*2.83-2.6*1.85+5.36*2.83-2*0.9*2.02+0.79*2.83+1.94*2.6-0.9*2.02+3.62*2.5-0.9*2.02+1.2*2.2</f>
        <v>117.0466</v>
      </c>
      <c r="H168" s="294"/>
      <c r="I168" s="84">
        <f>G168*H168</f>
        <v>0</v>
      </c>
      <c r="J168" s="263" t="s">
        <v>152</v>
      </c>
      <c r="L168" s="6"/>
    </row>
    <row r="169" spans="1:19">
      <c r="A169" s="80"/>
      <c r="B169" s="196"/>
      <c r="C169" s="81"/>
      <c r="D169" s="81"/>
      <c r="E169" s="86" t="s">
        <v>13</v>
      </c>
      <c r="F169" s="83"/>
      <c r="G169" s="139"/>
      <c r="H169" s="294"/>
      <c r="I169" s="84"/>
      <c r="J169" s="266"/>
      <c r="L169" s="6"/>
    </row>
    <row r="170" spans="1:19">
      <c r="A170" s="80"/>
      <c r="B170" s="196"/>
      <c r="C170" s="81"/>
      <c r="D170" s="81"/>
      <c r="E170" s="86" t="s">
        <v>14</v>
      </c>
      <c r="F170" s="83"/>
      <c r="G170" s="139"/>
      <c r="H170" s="294"/>
      <c r="I170" s="84"/>
      <c r="J170" s="266"/>
      <c r="L170" s="6"/>
    </row>
    <row r="171" spans="1:19">
      <c r="A171" s="80"/>
      <c r="B171" s="196"/>
      <c r="C171" s="81"/>
      <c r="D171" s="81"/>
      <c r="E171" s="86" t="s">
        <v>16</v>
      </c>
      <c r="F171" s="83"/>
      <c r="G171" s="139"/>
      <c r="H171" s="294"/>
      <c r="I171" s="84"/>
      <c r="J171" s="266"/>
      <c r="L171" s="6"/>
    </row>
    <row r="172" spans="1:19">
      <c r="A172" s="80"/>
      <c r="B172" s="196"/>
      <c r="C172" s="81"/>
      <c r="D172" s="81"/>
      <c r="E172" s="86" t="s">
        <v>17</v>
      </c>
      <c r="F172" s="83"/>
      <c r="G172" s="139"/>
      <c r="H172" s="294"/>
      <c r="I172" s="84"/>
      <c r="J172" s="266"/>
      <c r="L172" s="6"/>
    </row>
    <row r="173" spans="1:19">
      <c r="A173" s="80"/>
      <c r="B173" s="196"/>
      <c r="C173" s="81"/>
      <c r="D173" s="81"/>
      <c r="E173" s="86" t="s">
        <v>8</v>
      </c>
      <c r="F173" s="83"/>
      <c r="G173" s="139"/>
      <c r="H173" s="294"/>
      <c r="I173" s="84"/>
      <c r="J173" s="263"/>
    </row>
    <row r="174" spans="1:19">
      <c r="A174" s="80"/>
      <c r="B174" s="196"/>
      <c r="C174" s="81"/>
      <c r="D174" s="81"/>
      <c r="E174" s="86" t="s">
        <v>19</v>
      </c>
      <c r="F174" s="83"/>
      <c r="G174" s="139"/>
      <c r="H174" s="294"/>
      <c r="I174" s="84"/>
      <c r="J174" s="263"/>
    </row>
    <row r="175" spans="1:19">
      <c r="A175" s="80"/>
      <c r="B175" s="196"/>
      <c r="C175" s="81"/>
      <c r="D175" s="81"/>
      <c r="E175" s="86" t="s">
        <v>20</v>
      </c>
      <c r="F175" s="83"/>
      <c r="G175" s="139"/>
      <c r="H175" s="294"/>
      <c r="I175" s="84"/>
      <c r="J175" s="263"/>
    </row>
    <row r="176" spans="1:19">
      <c r="A176" s="80"/>
      <c r="B176" s="196"/>
      <c r="C176" s="81"/>
      <c r="D176" s="81"/>
      <c r="E176" s="86" t="s">
        <v>18</v>
      </c>
      <c r="F176" s="83"/>
      <c r="G176" s="139"/>
      <c r="H176" s="294"/>
      <c r="I176" s="84"/>
      <c r="J176" s="263"/>
    </row>
    <row r="177" spans="1:12" ht="25.5">
      <c r="A177" s="80">
        <f>A168+1</f>
        <v>45</v>
      </c>
      <c r="B177" s="196" t="s">
        <v>324</v>
      </c>
      <c r="C177" s="110" t="s">
        <v>212</v>
      </c>
      <c r="D177" s="110"/>
      <c r="E177" s="82" t="s">
        <v>323</v>
      </c>
      <c r="F177" s="83" t="s">
        <v>36</v>
      </c>
      <c r="G177" s="139">
        <f>+G178+G179</f>
        <v>21.041999999999998</v>
      </c>
      <c r="H177" s="294"/>
      <c r="I177" s="84">
        <f t="shared" ref="I177:I202" si="6">G177*H177</f>
        <v>0</v>
      </c>
      <c r="J177" s="263" t="s">
        <v>152</v>
      </c>
    </row>
    <row r="178" spans="1:12" ht="25.5">
      <c r="A178" s="80">
        <f>A177+1</f>
        <v>46</v>
      </c>
      <c r="B178" s="196" t="s">
        <v>329</v>
      </c>
      <c r="C178" s="81" t="s">
        <v>172</v>
      </c>
      <c r="D178" s="81"/>
      <c r="E178" s="82" t="s">
        <v>537</v>
      </c>
      <c r="F178" s="83" t="s">
        <v>36</v>
      </c>
      <c r="G178" s="139">
        <f>2.59*0.6+0.6*0.2</f>
        <v>1.6739999999999999</v>
      </c>
      <c r="H178" s="294"/>
      <c r="I178" s="84">
        <f t="shared" si="6"/>
        <v>0</v>
      </c>
      <c r="J178" s="263" t="s">
        <v>152</v>
      </c>
    </row>
    <row r="179" spans="1:12" ht="25.5">
      <c r="A179" s="80">
        <f>A178+1</f>
        <v>47</v>
      </c>
      <c r="B179" s="196" t="s">
        <v>330</v>
      </c>
      <c r="C179" s="81" t="s">
        <v>172</v>
      </c>
      <c r="D179" s="81"/>
      <c r="E179" s="82" t="s">
        <v>357</v>
      </c>
      <c r="F179" s="83" t="s">
        <v>36</v>
      </c>
      <c r="G179" s="139">
        <f>8.07*2.4</f>
        <v>19.367999999999999</v>
      </c>
      <c r="H179" s="294"/>
      <c r="I179" s="84">
        <f>G179*H179</f>
        <v>0</v>
      </c>
      <c r="J179" s="263" t="s">
        <v>152</v>
      </c>
    </row>
    <row r="180" spans="1:12">
      <c r="A180" s="80">
        <f>A178+1</f>
        <v>47</v>
      </c>
      <c r="B180" s="196"/>
      <c r="C180" s="101" t="s">
        <v>173</v>
      </c>
      <c r="D180" s="101"/>
      <c r="E180" s="102" t="s">
        <v>145</v>
      </c>
      <c r="F180" s="103" t="s">
        <v>36</v>
      </c>
      <c r="G180" s="144">
        <f>1.1*G179</f>
        <v>21.3048</v>
      </c>
      <c r="H180" s="300"/>
      <c r="I180" s="104">
        <f t="shared" si="6"/>
        <v>0</v>
      </c>
      <c r="J180" s="263" t="s">
        <v>152</v>
      </c>
    </row>
    <row r="181" spans="1:12">
      <c r="A181" s="80">
        <f t="shared" ref="A181:A189" si="7">A180+1</f>
        <v>48</v>
      </c>
      <c r="B181" s="196"/>
      <c r="C181" s="101" t="s">
        <v>174</v>
      </c>
      <c r="D181" s="101"/>
      <c r="E181" s="102" t="s">
        <v>145</v>
      </c>
      <c r="F181" s="103" t="s">
        <v>36</v>
      </c>
      <c r="G181" s="144">
        <f>1.1*G178</f>
        <v>1.8414000000000001</v>
      </c>
      <c r="H181" s="300"/>
      <c r="I181" s="104">
        <f>G181*H181</f>
        <v>0</v>
      </c>
      <c r="J181" s="263" t="s">
        <v>152</v>
      </c>
    </row>
    <row r="182" spans="1:12">
      <c r="A182" s="80">
        <f t="shared" si="7"/>
        <v>49</v>
      </c>
      <c r="B182" s="196" t="s">
        <v>326</v>
      </c>
      <c r="C182" s="81" t="s">
        <v>172</v>
      </c>
      <c r="D182" s="81"/>
      <c r="E182" s="82" t="s">
        <v>325</v>
      </c>
      <c r="F182" s="83" t="s">
        <v>39</v>
      </c>
      <c r="G182" s="139">
        <f>G183</f>
        <v>11.879999999999999</v>
      </c>
      <c r="H182" s="294"/>
      <c r="I182" s="84">
        <f>G182*H182</f>
        <v>0</v>
      </c>
      <c r="J182" s="263" t="s">
        <v>152</v>
      </c>
    </row>
    <row r="183" spans="1:12">
      <c r="A183" s="80">
        <f t="shared" si="7"/>
        <v>50</v>
      </c>
      <c r="B183" s="196"/>
      <c r="C183" s="101" t="s">
        <v>175</v>
      </c>
      <c r="D183" s="101"/>
      <c r="E183" s="102" t="s">
        <v>86</v>
      </c>
      <c r="F183" s="103" t="s">
        <v>39</v>
      </c>
      <c r="G183" s="144">
        <f>(2*0.6+4*2.4)*1.1</f>
        <v>11.879999999999999</v>
      </c>
      <c r="H183" s="300"/>
      <c r="I183" s="104">
        <f t="shared" si="6"/>
        <v>0</v>
      </c>
      <c r="J183" s="263" t="s">
        <v>152</v>
      </c>
    </row>
    <row r="184" spans="1:12">
      <c r="A184" s="80">
        <f t="shared" si="7"/>
        <v>51</v>
      </c>
      <c r="B184" s="196" t="s">
        <v>333</v>
      </c>
      <c r="C184" s="81" t="s">
        <v>332</v>
      </c>
      <c r="D184" s="81"/>
      <c r="E184" s="82" t="s">
        <v>331</v>
      </c>
      <c r="F184" s="83" t="s">
        <v>38</v>
      </c>
      <c r="G184" s="139">
        <v>2</v>
      </c>
      <c r="H184" s="294"/>
      <c r="I184" s="84">
        <f t="shared" si="6"/>
        <v>0</v>
      </c>
      <c r="J184" s="263" t="s">
        <v>152</v>
      </c>
    </row>
    <row r="185" spans="1:12" ht="38.25">
      <c r="A185" s="80">
        <f t="shared" si="7"/>
        <v>52</v>
      </c>
      <c r="B185" s="196"/>
      <c r="C185" s="101" t="s">
        <v>177</v>
      </c>
      <c r="D185" s="101"/>
      <c r="E185" s="102" t="s">
        <v>7</v>
      </c>
      <c r="F185" s="103" t="s">
        <v>38</v>
      </c>
      <c r="G185" s="143">
        <v>2</v>
      </c>
      <c r="H185" s="300"/>
      <c r="I185" s="104">
        <f t="shared" si="6"/>
        <v>0</v>
      </c>
      <c r="J185" s="263" t="s">
        <v>152</v>
      </c>
    </row>
    <row r="186" spans="1:12">
      <c r="A186" s="80">
        <f t="shared" si="7"/>
        <v>53</v>
      </c>
      <c r="B186" s="196" t="s">
        <v>328</v>
      </c>
      <c r="C186" s="81" t="s">
        <v>172</v>
      </c>
      <c r="D186" s="81"/>
      <c r="E186" s="82" t="s">
        <v>327</v>
      </c>
      <c r="F186" s="83" t="s">
        <v>36</v>
      </c>
      <c r="G186" s="139">
        <f>(0.95+0.95)*2.2</f>
        <v>4.18</v>
      </c>
      <c r="H186" s="294"/>
      <c r="I186" s="84">
        <f t="shared" si="6"/>
        <v>0</v>
      </c>
      <c r="J186" s="263" t="s">
        <v>152</v>
      </c>
    </row>
    <row r="187" spans="1:12">
      <c r="A187" s="80">
        <f t="shared" si="7"/>
        <v>54</v>
      </c>
      <c r="B187" s="196"/>
      <c r="C187" s="101" t="s">
        <v>175</v>
      </c>
      <c r="D187" s="101"/>
      <c r="E187" s="102" t="s">
        <v>79</v>
      </c>
      <c r="F187" s="103" t="s">
        <v>48</v>
      </c>
      <c r="G187" s="143">
        <f>+G186*1.5</f>
        <v>6.27</v>
      </c>
      <c r="H187" s="300"/>
      <c r="I187" s="104">
        <f t="shared" si="6"/>
        <v>0</v>
      </c>
      <c r="J187" s="263" t="s">
        <v>152</v>
      </c>
    </row>
    <row r="188" spans="1:12">
      <c r="A188" s="80">
        <f t="shared" si="7"/>
        <v>55</v>
      </c>
      <c r="B188" s="196" t="s">
        <v>335</v>
      </c>
      <c r="C188" s="81" t="s">
        <v>172</v>
      </c>
      <c r="D188" s="81"/>
      <c r="E188" s="82" t="s">
        <v>334</v>
      </c>
      <c r="F188" s="83" t="s">
        <v>39</v>
      </c>
      <c r="G188" s="139">
        <f>G189</f>
        <v>2.2999999999999998</v>
      </c>
      <c r="H188" s="294"/>
      <c r="I188" s="84">
        <f t="shared" si="6"/>
        <v>0</v>
      </c>
      <c r="J188" s="263" t="s">
        <v>152</v>
      </c>
    </row>
    <row r="189" spans="1:12" ht="25.5">
      <c r="A189" s="80">
        <f t="shared" si="7"/>
        <v>56</v>
      </c>
      <c r="B189" s="196"/>
      <c r="C189" s="101" t="s">
        <v>175</v>
      </c>
      <c r="D189" s="101"/>
      <c r="E189" s="102" t="s">
        <v>168</v>
      </c>
      <c r="F189" s="103" t="s">
        <v>39</v>
      </c>
      <c r="G189" s="143">
        <v>2.2999999999999998</v>
      </c>
      <c r="H189" s="300"/>
      <c r="I189" s="104">
        <f t="shared" si="6"/>
        <v>0</v>
      </c>
      <c r="J189" s="263" t="s">
        <v>152</v>
      </c>
    </row>
    <row r="190" spans="1:12" ht="25.5">
      <c r="A190" s="80">
        <f>A189+1</f>
        <v>57</v>
      </c>
      <c r="B190" s="196" t="s">
        <v>337</v>
      </c>
      <c r="C190" s="81" t="s">
        <v>178</v>
      </c>
      <c r="D190" s="81"/>
      <c r="E190" s="85" t="s">
        <v>336</v>
      </c>
      <c r="F190" s="88" t="s">
        <v>36</v>
      </c>
      <c r="G190" s="139">
        <f>3.31*2.5+2.23*2.5+6.2*2.83-0.9*2.02+7.39*2.83-2*0.9*2.02+1.24*0.63+3.62*2.5-0.9*2.02+1.2*2.2</f>
        <v>57.508899999999997</v>
      </c>
      <c r="H190" s="294"/>
      <c r="I190" s="89">
        <f>G190*H190</f>
        <v>0</v>
      </c>
      <c r="J190" s="266" t="s">
        <v>152</v>
      </c>
      <c r="L190" s="6"/>
    </row>
    <row r="191" spans="1:12">
      <c r="A191" s="80"/>
      <c r="B191" s="196"/>
      <c r="C191" s="81"/>
      <c r="D191" s="81"/>
      <c r="E191" s="86" t="s">
        <v>10</v>
      </c>
      <c r="F191" s="88"/>
      <c r="G191" s="139"/>
      <c r="H191" s="294"/>
      <c r="I191" s="89"/>
      <c r="J191" s="266"/>
      <c r="L191" s="6"/>
    </row>
    <row r="192" spans="1:12">
      <c r="A192" s="80"/>
      <c r="B192" s="196"/>
      <c r="C192" s="81"/>
      <c r="D192" s="81"/>
      <c r="E192" s="86" t="s">
        <v>12</v>
      </c>
      <c r="F192" s="88"/>
      <c r="G192" s="139"/>
      <c r="H192" s="294"/>
      <c r="I192" s="89"/>
      <c r="J192" s="266"/>
      <c r="L192" s="6"/>
    </row>
    <row r="193" spans="1:12">
      <c r="A193" s="80"/>
      <c r="B193" s="196"/>
      <c r="C193" s="81"/>
      <c r="D193" s="81"/>
      <c r="E193" s="86" t="s">
        <v>15</v>
      </c>
      <c r="F193" s="88"/>
      <c r="G193" s="139"/>
      <c r="H193" s="294"/>
      <c r="I193" s="89"/>
      <c r="J193" s="266"/>
      <c r="L193" s="6"/>
    </row>
    <row r="194" spans="1:12">
      <c r="A194" s="80"/>
      <c r="B194" s="196"/>
      <c r="C194" s="81"/>
      <c r="D194" s="81"/>
      <c r="E194" s="86" t="s">
        <v>11</v>
      </c>
      <c r="F194" s="88"/>
      <c r="G194" s="139"/>
      <c r="H194" s="294"/>
      <c r="I194" s="89"/>
      <c r="J194" s="266"/>
      <c r="L194" s="6"/>
    </row>
    <row r="195" spans="1:12">
      <c r="A195" s="80">
        <f>A190+1</f>
        <v>58</v>
      </c>
      <c r="B195" s="196" t="s">
        <v>339</v>
      </c>
      <c r="C195" s="81" t="s">
        <v>204</v>
      </c>
      <c r="D195" s="81"/>
      <c r="E195" s="82" t="s">
        <v>338</v>
      </c>
      <c r="F195" s="83" t="s">
        <v>36</v>
      </c>
      <c r="G195" s="139">
        <f>G196</f>
        <v>158.5581</v>
      </c>
      <c r="H195" s="294"/>
      <c r="I195" s="84">
        <f t="shared" si="6"/>
        <v>0</v>
      </c>
      <c r="J195" s="263" t="s">
        <v>152</v>
      </c>
      <c r="L195" s="6"/>
    </row>
    <row r="196" spans="1:12">
      <c r="A196" s="80">
        <f>A195+1</f>
        <v>59</v>
      </c>
      <c r="B196" s="196" t="s">
        <v>341</v>
      </c>
      <c r="C196" s="81" t="s">
        <v>204</v>
      </c>
      <c r="D196" s="81"/>
      <c r="E196" s="82" t="s">
        <v>340</v>
      </c>
      <c r="F196" s="83" t="s">
        <v>36</v>
      </c>
      <c r="G196" s="139">
        <f>SUM(G197:G200)</f>
        <v>158.5581</v>
      </c>
      <c r="H196" s="294"/>
      <c r="I196" s="84">
        <f t="shared" si="6"/>
        <v>0</v>
      </c>
      <c r="J196" s="263" t="s">
        <v>152</v>
      </c>
      <c r="L196" s="6"/>
    </row>
    <row r="197" spans="1:12">
      <c r="A197" s="80"/>
      <c r="B197" s="196"/>
      <c r="C197" s="81"/>
      <c r="D197" s="81"/>
      <c r="E197" s="86" t="s">
        <v>342</v>
      </c>
      <c r="F197" s="88"/>
      <c r="G197" s="86">
        <f>G168</f>
        <v>117.0466</v>
      </c>
      <c r="H197" s="294"/>
      <c r="I197" s="89"/>
      <c r="J197" s="266"/>
      <c r="L197" s="6"/>
    </row>
    <row r="198" spans="1:12">
      <c r="A198" s="80"/>
      <c r="B198" s="196"/>
      <c r="C198" s="81"/>
      <c r="D198" s="81"/>
      <c r="E198" s="86" t="s">
        <v>345</v>
      </c>
      <c r="F198" s="88"/>
      <c r="G198" s="86">
        <f xml:space="preserve"> 2.08*2.4-0.7*2</f>
        <v>3.5920000000000001</v>
      </c>
      <c r="H198" s="294"/>
      <c r="I198" s="89"/>
      <c r="J198" s="266"/>
      <c r="L198" s="6"/>
    </row>
    <row r="199" spans="1:12">
      <c r="A199" s="80"/>
      <c r="B199" s="196"/>
      <c r="C199" s="81"/>
      <c r="D199" s="81"/>
      <c r="E199" s="86" t="s">
        <v>343</v>
      </c>
      <c r="F199" s="88"/>
      <c r="G199" s="86">
        <f>G151+G153</f>
        <v>9.9194999999999993</v>
      </c>
      <c r="H199" s="294"/>
      <c r="I199" s="89"/>
      <c r="J199" s="266"/>
      <c r="L199" s="6"/>
    </row>
    <row r="200" spans="1:12">
      <c r="A200" s="80"/>
      <c r="B200" s="196"/>
      <c r="C200" s="81"/>
      <c r="D200" s="81"/>
      <c r="E200" s="86" t="s">
        <v>344</v>
      </c>
      <c r="F200" s="88"/>
      <c r="G200" s="86">
        <f>12+16</f>
        <v>28</v>
      </c>
      <c r="H200" s="294"/>
      <c r="I200" s="89"/>
      <c r="J200" s="266"/>
      <c r="L200" s="6"/>
    </row>
    <row r="201" spans="1:12">
      <c r="A201" s="80">
        <f>A196+1</f>
        <v>60</v>
      </c>
      <c r="B201" s="196"/>
      <c r="C201" s="81"/>
      <c r="D201" s="81"/>
      <c r="E201" s="82" t="s">
        <v>165</v>
      </c>
      <c r="F201" s="83" t="s">
        <v>35</v>
      </c>
      <c r="G201" s="139">
        <v>1</v>
      </c>
      <c r="H201" s="294"/>
      <c r="I201" s="84">
        <f t="shared" si="6"/>
        <v>0</v>
      </c>
      <c r="J201" s="263" t="s">
        <v>152</v>
      </c>
      <c r="L201" s="6"/>
    </row>
    <row r="202" spans="1:12" ht="13.5" thickBot="1">
      <c r="A202" s="80">
        <f>A201+1</f>
        <v>61</v>
      </c>
      <c r="B202" s="196"/>
      <c r="C202" s="81"/>
      <c r="D202" s="81"/>
      <c r="E202" s="98" t="s">
        <v>64</v>
      </c>
      <c r="F202" s="83" t="s">
        <v>44</v>
      </c>
      <c r="G202" s="139">
        <f>I164+I166+I167+I168+I177+I180+I181+I183+I185+I187+I189+I196+I201+I190</f>
        <v>0</v>
      </c>
      <c r="H202" s="296"/>
      <c r="I202" s="84">
        <f t="shared" si="6"/>
        <v>0</v>
      </c>
      <c r="J202" s="263" t="s">
        <v>152</v>
      </c>
    </row>
    <row r="203" spans="1:12" ht="13.5" thickBot="1">
      <c r="A203" s="80"/>
      <c r="B203" s="196"/>
      <c r="C203" s="81"/>
      <c r="D203" s="81"/>
      <c r="E203" s="99" t="s">
        <v>37</v>
      </c>
      <c r="F203" s="100"/>
      <c r="G203" s="142"/>
      <c r="H203" s="297"/>
      <c r="I203" s="92">
        <f>SUBTOTAL(9,I163:I202)</f>
        <v>0</v>
      </c>
      <c r="J203" s="263"/>
    </row>
    <row r="204" spans="1:12">
      <c r="A204" s="80"/>
      <c r="B204" s="196"/>
      <c r="C204" s="81"/>
      <c r="D204" s="81"/>
      <c r="E204" s="93"/>
      <c r="F204" s="94"/>
      <c r="G204" s="129"/>
      <c r="H204" s="285"/>
      <c r="I204" s="95"/>
      <c r="J204" s="263"/>
    </row>
    <row r="205" spans="1:12" ht="16.5">
      <c r="A205" s="80"/>
      <c r="B205" s="196"/>
      <c r="C205" s="96" t="s">
        <v>56</v>
      </c>
      <c r="D205" s="96"/>
      <c r="E205" s="79" t="s">
        <v>70</v>
      </c>
      <c r="F205" s="79"/>
      <c r="G205" s="145"/>
      <c r="H205" s="293"/>
      <c r="I205" s="79"/>
      <c r="J205" s="263"/>
    </row>
    <row r="206" spans="1:12" ht="15">
      <c r="A206" s="80"/>
      <c r="B206" s="196"/>
      <c r="C206" s="96"/>
      <c r="D206" s="96"/>
      <c r="E206" s="203" t="s">
        <v>473</v>
      </c>
      <c r="F206" s="203"/>
      <c r="G206" s="203"/>
      <c r="H206" s="298"/>
      <c r="I206" s="203"/>
      <c r="J206" s="263"/>
    </row>
    <row r="207" spans="1:12" ht="15">
      <c r="A207" s="80"/>
      <c r="B207" s="196"/>
      <c r="C207" s="96"/>
      <c r="D207" s="96"/>
      <c r="E207" s="203" t="s">
        <v>474</v>
      </c>
      <c r="F207" s="203"/>
      <c r="G207" s="203"/>
      <c r="H207" s="298"/>
      <c r="I207" s="203"/>
      <c r="J207" s="263"/>
    </row>
    <row r="208" spans="1:12" ht="15">
      <c r="A208" s="80"/>
      <c r="B208" s="196"/>
      <c r="C208" s="96"/>
      <c r="D208" s="96"/>
      <c r="E208" s="203" t="s">
        <v>475</v>
      </c>
      <c r="F208" s="203"/>
      <c r="G208" s="203"/>
      <c r="H208" s="298"/>
      <c r="I208" s="203"/>
      <c r="J208" s="263"/>
    </row>
    <row r="209" spans="1:10" ht="15">
      <c r="A209" s="80"/>
      <c r="B209" s="196"/>
      <c r="C209" s="96"/>
      <c r="D209" s="96"/>
      <c r="E209" s="203" t="s">
        <v>476</v>
      </c>
      <c r="F209" s="203"/>
      <c r="G209" s="203"/>
      <c r="H209" s="298"/>
      <c r="I209" s="203"/>
      <c r="J209" s="263"/>
    </row>
    <row r="210" spans="1:10" ht="25.5">
      <c r="A210" s="80">
        <f>A202+1</f>
        <v>62</v>
      </c>
      <c r="B210" s="196" t="s">
        <v>347</v>
      </c>
      <c r="C210" s="81" t="s">
        <v>346</v>
      </c>
      <c r="D210" s="81"/>
      <c r="E210" s="98" t="s">
        <v>542</v>
      </c>
      <c r="F210" s="83" t="s">
        <v>39</v>
      </c>
      <c r="G210" s="140">
        <f>3.36+3.18+2.13+3*0.6</f>
        <v>10.469999999999999</v>
      </c>
      <c r="H210" s="294"/>
      <c r="I210" s="84">
        <f t="shared" ref="I210:I217" si="8">G210*H210</f>
        <v>0</v>
      </c>
      <c r="J210" s="263" t="s">
        <v>152</v>
      </c>
    </row>
    <row r="211" spans="1:10" ht="25.5">
      <c r="A211" s="80">
        <f t="shared" ref="A211:A217" si="9">A210+1</f>
        <v>63</v>
      </c>
      <c r="B211" s="192" t="s">
        <v>348</v>
      </c>
      <c r="C211" s="81" t="s">
        <v>346</v>
      </c>
      <c r="D211" s="81"/>
      <c r="E211" s="98" t="s">
        <v>543</v>
      </c>
      <c r="F211" s="83" t="s">
        <v>39</v>
      </c>
      <c r="G211" s="140">
        <v>2</v>
      </c>
      <c r="H211" s="294"/>
      <c r="I211" s="84">
        <f t="shared" si="8"/>
        <v>0</v>
      </c>
      <c r="J211" s="263" t="s">
        <v>152</v>
      </c>
    </row>
    <row r="212" spans="1:10" ht="25.5">
      <c r="A212" s="80">
        <f t="shared" si="9"/>
        <v>64</v>
      </c>
      <c r="B212" s="196"/>
      <c r="C212" s="81" t="s">
        <v>46</v>
      </c>
      <c r="D212" s="81"/>
      <c r="E212" s="98" t="s">
        <v>233</v>
      </c>
      <c r="F212" s="83" t="s">
        <v>38</v>
      </c>
      <c r="G212" s="139">
        <v>1</v>
      </c>
      <c r="H212" s="294"/>
      <c r="I212" s="84">
        <f t="shared" si="8"/>
        <v>0</v>
      </c>
      <c r="J212" s="263" t="s">
        <v>152</v>
      </c>
    </row>
    <row r="213" spans="1:10">
      <c r="A213" s="80">
        <f t="shared" si="9"/>
        <v>65</v>
      </c>
      <c r="B213" s="196"/>
      <c r="C213" s="81" t="s">
        <v>47</v>
      </c>
      <c r="D213" s="81"/>
      <c r="E213" s="111" t="s">
        <v>80</v>
      </c>
      <c r="F213" s="83" t="s">
        <v>35</v>
      </c>
      <c r="G213" s="139">
        <v>1</v>
      </c>
      <c r="H213" s="294"/>
      <c r="I213" s="84">
        <f t="shared" si="8"/>
        <v>0</v>
      </c>
      <c r="J213" s="263" t="s">
        <v>152</v>
      </c>
    </row>
    <row r="214" spans="1:10">
      <c r="A214" s="80">
        <f t="shared" si="9"/>
        <v>66</v>
      </c>
      <c r="B214" s="196"/>
      <c r="C214" s="81" t="s">
        <v>47</v>
      </c>
      <c r="D214" s="81"/>
      <c r="E214" s="82" t="s">
        <v>167</v>
      </c>
      <c r="F214" s="83" t="s">
        <v>35</v>
      </c>
      <c r="G214" s="139">
        <v>1</v>
      </c>
      <c r="H214" s="294"/>
      <c r="I214" s="84">
        <f t="shared" si="8"/>
        <v>0</v>
      </c>
      <c r="J214" s="263" t="s">
        <v>152</v>
      </c>
    </row>
    <row r="215" spans="1:10" ht="38.25">
      <c r="A215" s="80">
        <f t="shared" si="9"/>
        <v>67</v>
      </c>
      <c r="B215" s="196"/>
      <c r="C215" s="81" t="s">
        <v>346</v>
      </c>
      <c r="D215" s="81"/>
      <c r="E215" s="82" t="s">
        <v>544</v>
      </c>
      <c r="F215" s="83" t="s">
        <v>38</v>
      </c>
      <c r="G215" s="139">
        <v>1</v>
      </c>
      <c r="H215" s="294"/>
      <c r="I215" s="84">
        <f t="shared" si="8"/>
        <v>0</v>
      </c>
      <c r="J215" s="263" t="s">
        <v>152</v>
      </c>
    </row>
    <row r="216" spans="1:10" ht="16.5" customHeight="1">
      <c r="A216" s="80">
        <f t="shared" si="9"/>
        <v>68</v>
      </c>
      <c r="B216" s="196"/>
      <c r="C216" s="81" t="s">
        <v>47</v>
      </c>
      <c r="D216" s="81"/>
      <c r="E216" s="82" t="s">
        <v>235</v>
      </c>
      <c r="F216" s="83" t="s">
        <v>35</v>
      </c>
      <c r="G216" s="139">
        <v>1</v>
      </c>
      <c r="H216" s="294"/>
      <c r="I216" s="84">
        <f t="shared" si="8"/>
        <v>0</v>
      </c>
      <c r="J216" s="263" t="s">
        <v>152</v>
      </c>
    </row>
    <row r="217" spans="1:10" ht="13.5" thickBot="1">
      <c r="A217" s="80">
        <f t="shared" si="9"/>
        <v>69</v>
      </c>
      <c r="B217" s="196"/>
      <c r="C217" s="81"/>
      <c r="D217" s="81"/>
      <c r="E217" s="82" t="s">
        <v>61</v>
      </c>
      <c r="F217" s="105" t="s">
        <v>44</v>
      </c>
      <c r="G217" s="139">
        <f>SUM(I210:I216)</f>
        <v>0</v>
      </c>
      <c r="H217" s="299"/>
      <c r="I217" s="106">
        <f t="shared" si="8"/>
        <v>0</v>
      </c>
      <c r="J217" s="263" t="s">
        <v>152</v>
      </c>
    </row>
    <row r="218" spans="1:10" ht="13.5" thickBot="1">
      <c r="A218" s="80"/>
      <c r="B218" s="196"/>
      <c r="C218" s="81"/>
      <c r="D218" s="81"/>
      <c r="E218" s="99" t="s">
        <v>37</v>
      </c>
      <c r="F218" s="100"/>
      <c r="G218" s="142"/>
      <c r="H218" s="297"/>
      <c r="I218" s="92">
        <f>SUBTOTAL(9,I210:I217)</f>
        <v>0</v>
      </c>
      <c r="J218" s="263"/>
    </row>
    <row r="219" spans="1:10">
      <c r="A219" s="80"/>
      <c r="B219" s="196"/>
      <c r="C219" s="81"/>
      <c r="D219" s="81"/>
      <c r="E219" s="93"/>
      <c r="F219" s="94"/>
      <c r="G219" s="129"/>
      <c r="H219" s="285"/>
      <c r="I219" s="95"/>
      <c r="J219" s="263"/>
    </row>
    <row r="220" spans="1:10" ht="16.5">
      <c r="A220" s="80"/>
      <c r="B220" s="196"/>
      <c r="C220" s="96" t="s">
        <v>57</v>
      </c>
      <c r="D220" s="96"/>
      <c r="E220" s="79" t="s">
        <v>71</v>
      </c>
      <c r="F220" s="79"/>
      <c r="G220" s="79"/>
      <c r="H220" s="293"/>
      <c r="I220" s="79"/>
      <c r="J220" s="263"/>
    </row>
    <row r="221" spans="1:10" ht="15">
      <c r="A221" s="80"/>
      <c r="B221" s="196"/>
      <c r="C221" s="96"/>
      <c r="D221" s="96"/>
      <c r="E221" s="203" t="s">
        <v>473</v>
      </c>
      <c r="F221" s="203"/>
      <c r="G221" s="203"/>
      <c r="H221" s="298"/>
      <c r="I221" s="203"/>
      <c r="J221" s="263"/>
    </row>
    <row r="222" spans="1:10" ht="15">
      <c r="A222" s="80"/>
      <c r="B222" s="196"/>
      <c r="C222" s="96"/>
      <c r="D222" s="96"/>
      <c r="E222" s="203" t="s">
        <v>474</v>
      </c>
      <c r="F222" s="203"/>
      <c r="G222" s="203"/>
      <c r="H222" s="298"/>
      <c r="I222" s="203"/>
      <c r="J222" s="263"/>
    </row>
    <row r="223" spans="1:10" ht="15">
      <c r="A223" s="80"/>
      <c r="B223" s="196"/>
      <c r="C223" s="96"/>
      <c r="D223" s="96"/>
      <c r="E223" s="203" t="s">
        <v>475</v>
      </c>
      <c r="F223" s="203"/>
      <c r="G223" s="203"/>
      <c r="H223" s="298"/>
      <c r="I223" s="203"/>
      <c r="J223" s="263"/>
    </row>
    <row r="224" spans="1:10" ht="15">
      <c r="A224" s="80"/>
      <c r="B224" s="196"/>
      <c r="C224" s="96"/>
      <c r="D224" s="96"/>
      <c r="E224" s="203" t="s">
        <v>476</v>
      </c>
      <c r="F224" s="203"/>
      <c r="G224" s="203"/>
      <c r="H224" s="298"/>
      <c r="I224" s="203"/>
      <c r="J224" s="263"/>
    </row>
    <row r="225" spans="1:11" customFormat="1">
      <c r="A225" s="87">
        <f>A217+1</f>
        <v>70</v>
      </c>
      <c r="B225" s="199"/>
      <c r="C225" s="110"/>
      <c r="D225" s="110"/>
      <c r="E225" s="112" t="s">
        <v>236</v>
      </c>
      <c r="F225" s="88" t="s">
        <v>35</v>
      </c>
      <c r="G225" s="140">
        <v>1</v>
      </c>
      <c r="H225" s="294"/>
      <c r="I225" s="89">
        <f>G225*H225</f>
        <v>0</v>
      </c>
      <c r="J225" s="261" t="s">
        <v>152</v>
      </c>
      <c r="K225" s="152"/>
    </row>
    <row r="226" spans="1:11">
      <c r="A226" s="87">
        <f t="shared" ref="A226:A234" si="10">A225+1</f>
        <v>71</v>
      </c>
      <c r="B226" s="199" t="s">
        <v>350</v>
      </c>
      <c r="C226" s="81" t="s">
        <v>346</v>
      </c>
      <c r="D226" s="81"/>
      <c r="E226" s="112" t="s">
        <v>349</v>
      </c>
      <c r="F226" s="83" t="s">
        <v>39</v>
      </c>
      <c r="G226" s="140">
        <f>(2.93+1.4+0.6+2.33+0.6+0.85+0.3)*2+1.93</f>
        <v>19.95</v>
      </c>
      <c r="H226" s="294"/>
      <c r="I226" s="84">
        <f>G226*H226</f>
        <v>0</v>
      </c>
      <c r="J226" s="263" t="s">
        <v>152</v>
      </c>
    </row>
    <row r="227" spans="1:11">
      <c r="A227" s="87">
        <f t="shared" si="10"/>
        <v>72</v>
      </c>
      <c r="B227" s="199" t="s">
        <v>352</v>
      </c>
      <c r="C227" s="81" t="s">
        <v>346</v>
      </c>
      <c r="D227" s="81"/>
      <c r="E227" s="98" t="s">
        <v>351</v>
      </c>
      <c r="F227" s="83" t="s">
        <v>39</v>
      </c>
      <c r="G227" s="140">
        <f>(2.93+1.4+0.6+2.33+0.6+0.85+0.3)+1.93</f>
        <v>10.94</v>
      </c>
      <c r="H227" s="294"/>
      <c r="I227" s="84">
        <f t="shared" ref="I227:I234" si="11">G227*H227</f>
        <v>0</v>
      </c>
      <c r="J227" s="263" t="s">
        <v>152</v>
      </c>
    </row>
    <row r="228" spans="1:11">
      <c r="A228" s="87">
        <f t="shared" si="10"/>
        <v>73</v>
      </c>
      <c r="B228" s="199" t="s">
        <v>354</v>
      </c>
      <c r="C228" s="81" t="s">
        <v>346</v>
      </c>
      <c r="D228" s="81"/>
      <c r="E228" s="98" t="s">
        <v>353</v>
      </c>
      <c r="F228" s="83" t="s">
        <v>39</v>
      </c>
      <c r="G228" s="140">
        <f>2.93+1.4+0.6+2.33+0.6+0.85+0.3</f>
        <v>9.01</v>
      </c>
      <c r="H228" s="294"/>
      <c r="I228" s="84">
        <f t="shared" si="11"/>
        <v>0</v>
      </c>
      <c r="J228" s="263" t="s">
        <v>152</v>
      </c>
    </row>
    <row r="229" spans="1:11">
      <c r="A229" s="87">
        <f t="shared" si="10"/>
        <v>74</v>
      </c>
      <c r="B229" s="199" t="s">
        <v>356</v>
      </c>
      <c r="C229" s="81" t="s">
        <v>346</v>
      </c>
      <c r="D229" s="81"/>
      <c r="E229" s="98" t="s">
        <v>355</v>
      </c>
      <c r="F229" s="83" t="s">
        <v>38</v>
      </c>
      <c r="G229" s="140">
        <v>3</v>
      </c>
      <c r="H229" s="294"/>
      <c r="I229" s="84">
        <f t="shared" si="11"/>
        <v>0</v>
      </c>
      <c r="J229" s="263" t="s">
        <v>152</v>
      </c>
    </row>
    <row r="230" spans="1:11">
      <c r="A230" s="87">
        <f t="shared" si="10"/>
        <v>75</v>
      </c>
      <c r="B230" s="199" t="s">
        <v>359</v>
      </c>
      <c r="C230" s="81" t="s">
        <v>346</v>
      </c>
      <c r="D230" s="81"/>
      <c r="E230" s="98" t="s">
        <v>358</v>
      </c>
      <c r="F230" s="83" t="s">
        <v>38</v>
      </c>
      <c r="G230" s="140">
        <v>1</v>
      </c>
      <c r="H230" s="294"/>
      <c r="I230" s="84">
        <f t="shared" si="11"/>
        <v>0</v>
      </c>
      <c r="J230" s="263" t="s">
        <v>152</v>
      </c>
    </row>
    <row r="231" spans="1:11">
      <c r="A231" s="87">
        <f t="shared" si="10"/>
        <v>76</v>
      </c>
      <c r="B231" s="199" t="s">
        <v>361</v>
      </c>
      <c r="C231" s="81" t="s">
        <v>346</v>
      </c>
      <c r="D231" s="81"/>
      <c r="E231" s="98" t="s">
        <v>360</v>
      </c>
      <c r="F231" s="83" t="s">
        <v>39</v>
      </c>
      <c r="G231" s="139">
        <f>+G226</f>
        <v>19.95</v>
      </c>
      <c r="H231" s="294"/>
      <c r="I231" s="84">
        <f t="shared" si="11"/>
        <v>0</v>
      </c>
      <c r="J231" s="263" t="s">
        <v>152</v>
      </c>
    </row>
    <row r="232" spans="1:11">
      <c r="A232" s="80">
        <f t="shared" si="10"/>
        <v>77</v>
      </c>
      <c r="B232" s="196" t="s">
        <v>363</v>
      </c>
      <c r="C232" s="81" t="s">
        <v>346</v>
      </c>
      <c r="D232" s="81"/>
      <c r="E232" s="98" t="s">
        <v>362</v>
      </c>
      <c r="F232" s="83" t="s">
        <v>39</v>
      </c>
      <c r="G232" s="139">
        <f>+G231</f>
        <v>19.95</v>
      </c>
      <c r="H232" s="294"/>
      <c r="I232" s="84">
        <f t="shared" si="11"/>
        <v>0</v>
      </c>
      <c r="J232" s="263" t="s">
        <v>152</v>
      </c>
    </row>
    <row r="233" spans="1:11">
      <c r="A233" s="80">
        <f t="shared" si="10"/>
        <v>78</v>
      </c>
      <c r="B233" s="196"/>
      <c r="C233" s="81" t="s">
        <v>47</v>
      </c>
      <c r="D233" s="81"/>
      <c r="E233" s="82" t="s">
        <v>146</v>
      </c>
      <c r="F233" s="83" t="s">
        <v>35</v>
      </c>
      <c r="G233" s="139">
        <v>1</v>
      </c>
      <c r="H233" s="294"/>
      <c r="I233" s="84">
        <f t="shared" si="11"/>
        <v>0</v>
      </c>
      <c r="J233" s="263" t="s">
        <v>152</v>
      </c>
    </row>
    <row r="234" spans="1:11" ht="13.5" thickBot="1">
      <c r="A234" s="80">
        <f t="shared" si="10"/>
        <v>79</v>
      </c>
      <c r="B234" s="196"/>
      <c r="C234" s="81"/>
      <c r="D234" s="81"/>
      <c r="E234" s="82" t="s">
        <v>61</v>
      </c>
      <c r="F234" s="105" t="s">
        <v>44</v>
      </c>
      <c r="G234" s="139">
        <f>+I226+I227+I228+I229+I230</f>
        <v>0</v>
      </c>
      <c r="H234" s="299"/>
      <c r="I234" s="106">
        <f t="shared" si="11"/>
        <v>0</v>
      </c>
      <c r="J234" s="263" t="s">
        <v>152</v>
      </c>
    </row>
    <row r="235" spans="1:11" ht="13.5" thickBot="1">
      <c r="A235" s="80"/>
      <c r="B235" s="196"/>
      <c r="C235" s="81"/>
      <c r="D235" s="81"/>
      <c r="E235" s="99" t="s">
        <v>37</v>
      </c>
      <c r="F235" s="100"/>
      <c r="G235" s="142"/>
      <c r="H235" s="297"/>
      <c r="I235" s="92">
        <f>SUBTOTAL(9,I225:I234)</f>
        <v>0</v>
      </c>
      <c r="J235" s="263"/>
    </row>
    <row r="236" spans="1:11">
      <c r="A236" s="80"/>
      <c r="B236" s="196"/>
      <c r="C236" s="81"/>
      <c r="D236" s="81"/>
      <c r="E236" s="93"/>
      <c r="F236" s="94"/>
      <c r="G236" s="129"/>
      <c r="H236" s="285"/>
      <c r="I236" s="95"/>
      <c r="J236" s="263"/>
    </row>
    <row r="237" spans="1:11">
      <c r="A237" s="80"/>
      <c r="B237" s="196"/>
      <c r="C237" s="81"/>
      <c r="D237" s="81"/>
      <c r="E237" s="93"/>
      <c r="F237" s="94"/>
      <c r="G237" s="129"/>
      <c r="H237" s="285"/>
      <c r="I237" s="95"/>
      <c r="J237" s="263"/>
    </row>
    <row r="238" spans="1:11" ht="16.5">
      <c r="A238" s="80"/>
      <c r="B238" s="196"/>
      <c r="C238" s="96" t="s">
        <v>58</v>
      </c>
      <c r="D238" s="96"/>
      <c r="E238" s="79" t="s">
        <v>72</v>
      </c>
      <c r="F238" s="79"/>
      <c r="G238" s="79"/>
      <c r="H238" s="293"/>
      <c r="I238" s="79"/>
      <c r="J238" s="263"/>
    </row>
    <row r="239" spans="1:11" ht="15">
      <c r="A239" s="80"/>
      <c r="B239" s="196"/>
      <c r="C239" s="96"/>
      <c r="D239" s="96"/>
      <c r="E239" s="201" t="s">
        <v>468</v>
      </c>
      <c r="F239" s="201"/>
      <c r="G239" s="201"/>
      <c r="H239" s="291"/>
      <c r="I239" s="201"/>
      <c r="J239" s="263"/>
    </row>
    <row r="240" spans="1:11" ht="15">
      <c r="A240" s="80"/>
      <c r="B240" s="196"/>
      <c r="C240" s="96"/>
      <c r="D240" s="96"/>
      <c r="E240" s="203" t="s">
        <v>469</v>
      </c>
      <c r="F240" s="203"/>
      <c r="G240" s="203"/>
      <c r="H240" s="298"/>
      <c r="I240" s="203"/>
      <c r="J240" s="263"/>
    </row>
    <row r="241" spans="1:12" ht="15">
      <c r="A241" s="80"/>
      <c r="B241" s="196"/>
      <c r="C241" s="96"/>
      <c r="D241" s="96"/>
      <c r="E241" s="203" t="s">
        <v>470</v>
      </c>
      <c r="F241" s="203"/>
      <c r="G241" s="203"/>
      <c r="H241" s="298"/>
      <c r="I241" s="203"/>
      <c r="J241" s="263"/>
    </row>
    <row r="242" spans="1:12" ht="15">
      <c r="A242" s="80"/>
      <c r="B242" s="196"/>
      <c r="C242" s="96"/>
      <c r="D242" s="96"/>
      <c r="E242" s="203" t="s">
        <v>471</v>
      </c>
      <c r="F242" s="203"/>
      <c r="G242" s="203"/>
      <c r="H242" s="298"/>
      <c r="I242" s="203"/>
      <c r="J242" s="263"/>
    </row>
    <row r="243" spans="1:12" ht="15">
      <c r="A243" s="80"/>
      <c r="B243" s="196"/>
      <c r="C243" s="96"/>
      <c r="D243" s="96"/>
      <c r="E243" s="203" t="s">
        <v>472</v>
      </c>
      <c r="F243" s="203"/>
      <c r="G243" s="203"/>
      <c r="H243" s="298"/>
      <c r="I243" s="203"/>
      <c r="J243" s="263"/>
    </row>
    <row r="244" spans="1:12">
      <c r="A244" s="80">
        <f>A234+1</f>
        <v>80</v>
      </c>
      <c r="B244" s="196" t="s">
        <v>366</v>
      </c>
      <c r="C244" s="81" t="s">
        <v>47</v>
      </c>
      <c r="D244" s="188"/>
      <c r="E244" s="82" t="s">
        <v>365</v>
      </c>
      <c r="F244" s="83" t="s">
        <v>38</v>
      </c>
      <c r="G244" s="139">
        <v>1</v>
      </c>
      <c r="H244" s="294"/>
      <c r="I244" s="84">
        <f>G244*H244</f>
        <v>0</v>
      </c>
      <c r="J244" s="263" t="s">
        <v>152</v>
      </c>
      <c r="L244" s="6"/>
    </row>
    <row r="245" spans="1:12">
      <c r="A245" s="80">
        <f>A244+1</f>
        <v>81</v>
      </c>
      <c r="B245" s="196"/>
      <c r="C245" s="101" t="s">
        <v>46</v>
      </c>
      <c r="D245" s="101"/>
      <c r="E245" s="102" t="s">
        <v>367</v>
      </c>
      <c r="F245" s="103" t="s">
        <v>38</v>
      </c>
      <c r="G245" s="143">
        <v>1</v>
      </c>
      <c r="H245" s="300"/>
      <c r="I245" s="104">
        <f>G245*H245</f>
        <v>0</v>
      </c>
      <c r="J245" s="263" t="s">
        <v>152</v>
      </c>
    </row>
    <row r="246" spans="1:12">
      <c r="A246" s="80">
        <f t="shared" ref="A246:A260" si="12">A245+1</f>
        <v>82</v>
      </c>
      <c r="B246" s="196" t="s">
        <v>368</v>
      </c>
      <c r="C246" s="81" t="s">
        <v>47</v>
      </c>
      <c r="D246" s="188"/>
      <c r="E246" s="82" t="s">
        <v>538</v>
      </c>
      <c r="F246" s="83" t="s">
        <v>38</v>
      </c>
      <c r="G246" s="139">
        <v>1</v>
      </c>
      <c r="H246" s="294"/>
      <c r="I246" s="84">
        <f>G246*H246</f>
        <v>0</v>
      </c>
      <c r="J246" s="263" t="s">
        <v>152</v>
      </c>
      <c r="L246" s="6"/>
    </row>
    <row r="247" spans="1:12">
      <c r="A247" s="80">
        <f t="shared" si="12"/>
        <v>83</v>
      </c>
      <c r="B247" s="196"/>
      <c r="C247" s="101" t="s">
        <v>46</v>
      </c>
      <c r="D247" s="101"/>
      <c r="E247" s="102" t="s">
        <v>364</v>
      </c>
      <c r="F247" s="103" t="s">
        <v>38</v>
      </c>
      <c r="G247" s="143">
        <v>1</v>
      </c>
      <c r="H247" s="300"/>
      <c r="I247" s="104">
        <f>G247*H247</f>
        <v>0</v>
      </c>
      <c r="J247" s="263" t="s">
        <v>152</v>
      </c>
    </row>
    <row r="248" spans="1:12">
      <c r="A248" s="80">
        <f t="shared" si="12"/>
        <v>84</v>
      </c>
      <c r="B248" s="196" t="s">
        <v>387</v>
      </c>
      <c r="C248" s="81" t="s">
        <v>47</v>
      </c>
      <c r="D248" s="81"/>
      <c r="E248" s="82" t="s">
        <v>386</v>
      </c>
      <c r="F248" s="83" t="s">
        <v>38</v>
      </c>
      <c r="G248" s="139">
        <v>2</v>
      </c>
      <c r="H248" s="294"/>
      <c r="I248" s="84">
        <f>G248*H248</f>
        <v>0</v>
      </c>
      <c r="J248" s="263" t="s">
        <v>152</v>
      </c>
    </row>
    <row r="249" spans="1:12" ht="25.5">
      <c r="A249" s="80">
        <f t="shared" si="12"/>
        <v>85</v>
      </c>
      <c r="B249" s="196" t="s">
        <v>376</v>
      </c>
      <c r="C249" s="101" t="s">
        <v>46</v>
      </c>
      <c r="D249" s="101"/>
      <c r="E249" s="102" t="s">
        <v>375</v>
      </c>
      <c r="F249" s="103" t="s">
        <v>38</v>
      </c>
      <c r="G249" s="143">
        <v>1</v>
      </c>
      <c r="H249" s="300"/>
      <c r="I249" s="104">
        <f t="shared" ref="I249:I259" si="13">G249*H249</f>
        <v>0</v>
      </c>
      <c r="J249" s="263" t="s">
        <v>152</v>
      </c>
      <c r="L249" s="187"/>
    </row>
    <row r="250" spans="1:12">
      <c r="A250" s="80">
        <f t="shared" si="12"/>
        <v>86</v>
      </c>
      <c r="B250" s="196" t="s">
        <v>371</v>
      </c>
      <c r="C250" s="81" t="s">
        <v>47</v>
      </c>
      <c r="D250" s="81"/>
      <c r="E250" s="82" t="s">
        <v>372</v>
      </c>
      <c r="F250" s="83" t="s">
        <v>38</v>
      </c>
      <c r="G250" s="139">
        <v>1</v>
      </c>
      <c r="H250" s="294"/>
      <c r="I250" s="84">
        <f t="shared" si="13"/>
        <v>0</v>
      </c>
      <c r="J250" s="263" t="s">
        <v>152</v>
      </c>
    </row>
    <row r="251" spans="1:12" ht="25.5">
      <c r="A251" s="80">
        <f t="shared" si="12"/>
        <v>87</v>
      </c>
      <c r="B251" s="196"/>
      <c r="C251" s="101" t="s">
        <v>46</v>
      </c>
      <c r="D251" s="101"/>
      <c r="E251" s="102" t="s">
        <v>374</v>
      </c>
      <c r="F251" s="103" t="s">
        <v>38</v>
      </c>
      <c r="G251" s="143">
        <v>1</v>
      </c>
      <c r="H251" s="300"/>
      <c r="I251" s="104">
        <f t="shared" ref="I251:I256" si="14">G251*H251</f>
        <v>0</v>
      </c>
      <c r="J251" s="263" t="s">
        <v>152</v>
      </c>
      <c r="L251" s="187" t="s">
        <v>373</v>
      </c>
    </row>
    <row r="252" spans="1:12" ht="38.25">
      <c r="A252" s="80">
        <f t="shared" si="12"/>
        <v>88</v>
      </c>
      <c r="B252" s="196"/>
      <c r="C252" s="101" t="s">
        <v>46</v>
      </c>
      <c r="D252" s="101"/>
      <c r="E252" s="102" t="s">
        <v>369</v>
      </c>
      <c r="F252" s="103" t="s">
        <v>38</v>
      </c>
      <c r="G252" s="143">
        <v>1</v>
      </c>
      <c r="H252" s="300"/>
      <c r="I252" s="104">
        <f t="shared" si="14"/>
        <v>0</v>
      </c>
      <c r="J252" s="263" t="s">
        <v>152</v>
      </c>
      <c r="L252" s="187" t="s">
        <v>370</v>
      </c>
    </row>
    <row r="253" spans="1:12" ht="38.25">
      <c r="A253" s="80">
        <f t="shared" si="12"/>
        <v>89</v>
      </c>
      <c r="B253" s="196"/>
      <c r="C253" s="101" t="s">
        <v>46</v>
      </c>
      <c r="D253" s="101"/>
      <c r="E253" s="102" t="s">
        <v>377</v>
      </c>
      <c r="F253" s="103" t="s">
        <v>38</v>
      </c>
      <c r="G253" s="143">
        <v>1</v>
      </c>
      <c r="H253" s="300"/>
      <c r="I253" s="104">
        <f t="shared" si="14"/>
        <v>0</v>
      </c>
      <c r="J253" s="263" t="s">
        <v>152</v>
      </c>
      <c r="L253" s="187" t="s">
        <v>378</v>
      </c>
    </row>
    <row r="254" spans="1:12">
      <c r="A254" s="80">
        <f t="shared" si="12"/>
        <v>90</v>
      </c>
      <c r="B254" s="196" t="s">
        <v>380</v>
      </c>
      <c r="C254" s="81" t="s">
        <v>47</v>
      </c>
      <c r="D254" s="81"/>
      <c r="E254" s="155" t="s">
        <v>379</v>
      </c>
      <c r="F254" s="175" t="s">
        <v>38</v>
      </c>
      <c r="G254" s="156">
        <v>1</v>
      </c>
      <c r="H254" s="294"/>
      <c r="I254" s="157">
        <f t="shared" si="14"/>
        <v>0</v>
      </c>
      <c r="J254" s="158" t="s">
        <v>152</v>
      </c>
      <c r="L254" s="6"/>
    </row>
    <row r="255" spans="1:12" ht="25.5">
      <c r="A255" s="80">
        <f t="shared" si="12"/>
        <v>91</v>
      </c>
      <c r="B255" s="196"/>
      <c r="C255" s="101" t="s">
        <v>46</v>
      </c>
      <c r="D255" s="101"/>
      <c r="E255" s="102" t="s">
        <v>21</v>
      </c>
      <c r="F255" s="103" t="s">
        <v>38</v>
      </c>
      <c r="G255" s="143">
        <v>1</v>
      </c>
      <c r="H255" s="300"/>
      <c r="I255" s="104">
        <f t="shared" si="14"/>
        <v>0</v>
      </c>
      <c r="J255" s="263" t="s">
        <v>152</v>
      </c>
      <c r="L255" s="187"/>
    </row>
    <row r="256" spans="1:12">
      <c r="A256" s="80">
        <f t="shared" si="12"/>
        <v>92</v>
      </c>
      <c r="B256" s="196" t="s">
        <v>382</v>
      </c>
      <c r="C256" s="81" t="s">
        <v>47</v>
      </c>
      <c r="D256" s="81"/>
      <c r="E256" s="82" t="s">
        <v>381</v>
      </c>
      <c r="F256" s="83" t="s">
        <v>38</v>
      </c>
      <c r="G256" s="139">
        <v>1</v>
      </c>
      <c r="H256" s="294"/>
      <c r="I256" s="84">
        <f t="shared" si="14"/>
        <v>0</v>
      </c>
      <c r="J256" s="263" t="s">
        <v>152</v>
      </c>
      <c r="L256" s="6"/>
    </row>
    <row r="257" spans="1:12" ht="25.5">
      <c r="A257" s="80">
        <f t="shared" si="12"/>
        <v>93</v>
      </c>
      <c r="B257" s="196"/>
      <c r="C257" s="101" t="s">
        <v>46</v>
      </c>
      <c r="D257" s="101"/>
      <c r="E257" s="102" t="s">
        <v>383</v>
      </c>
      <c r="F257" s="103" t="s">
        <v>38</v>
      </c>
      <c r="G257" s="143">
        <v>1</v>
      </c>
      <c r="H257" s="300"/>
      <c r="I257" s="104">
        <f t="shared" si="13"/>
        <v>0</v>
      </c>
      <c r="J257" s="263" t="s">
        <v>152</v>
      </c>
      <c r="L257" s="187" t="s">
        <v>384</v>
      </c>
    </row>
    <row r="258" spans="1:12" ht="25.5">
      <c r="A258" s="80">
        <f t="shared" si="12"/>
        <v>94</v>
      </c>
      <c r="B258" s="196" t="s">
        <v>385</v>
      </c>
      <c r="C258" s="101" t="s">
        <v>46</v>
      </c>
      <c r="D258" s="101"/>
      <c r="E258" s="102" t="s">
        <v>198</v>
      </c>
      <c r="F258" s="103" t="s">
        <v>38</v>
      </c>
      <c r="G258" s="143">
        <v>1</v>
      </c>
      <c r="H258" s="300"/>
      <c r="I258" s="104">
        <f t="shared" si="13"/>
        <v>0</v>
      </c>
      <c r="J258" s="263" t="s">
        <v>152</v>
      </c>
      <c r="L258" s="187"/>
    </row>
    <row r="259" spans="1:12" ht="25.5">
      <c r="A259" s="80">
        <f t="shared" si="12"/>
        <v>95</v>
      </c>
      <c r="B259" s="196"/>
      <c r="C259" s="81" t="s">
        <v>46</v>
      </c>
      <c r="D259" s="81"/>
      <c r="E259" s="82" t="s">
        <v>96</v>
      </c>
      <c r="F259" s="83" t="s">
        <v>38</v>
      </c>
      <c r="G259" s="139">
        <v>1</v>
      </c>
      <c r="H259" s="294"/>
      <c r="I259" s="84">
        <f t="shared" si="13"/>
        <v>0</v>
      </c>
      <c r="J259" s="263" t="s">
        <v>152</v>
      </c>
      <c r="L259" s="6"/>
    </row>
    <row r="260" spans="1:12">
      <c r="A260" s="80">
        <f t="shared" si="12"/>
        <v>96</v>
      </c>
      <c r="B260" s="196"/>
      <c r="C260" s="81" t="s">
        <v>46</v>
      </c>
      <c r="D260" s="81"/>
      <c r="E260" s="82" t="s">
        <v>103</v>
      </c>
      <c r="F260" s="83" t="s">
        <v>38</v>
      </c>
      <c r="G260" s="139">
        <v>5</v>
      </c>
      <c r="H260" s="294"/>
      <c r="I260" s="84">
        <f>G260*H260</f>
        <v>0</v>
      </c>
      <c r="J260" s="263" t="s">
        <v>152</v>
      </c>
    </row>
    <row r="261" spans="1:12">
      <c r="A261" s="80">
        <f>A260+1</f>
        <v>97</v>
      </c>
      <c r="B261" s="196"/>
      <c r="C261" s="81" t="s">
        <v>46</v>
      </c>
      <c r="D261" s="81"/>
      <c r="E261" s="82" t="s">
        <v>147</v>
      </c>
      <c r="F261" s="83" t="s">
        <v>38</v>
      </c>
      <c r="G261" s="139">
        <v>1</v>
      </c>
      <c r="H261" s="294"/>
      <c r="I261" s="84">
        <f>G261*H261</f>
        <v>0</v>
      </c>
      <c r="J261" s="263" t="s">
        <v>158</v>
      </c>
    </row>
    <row r="262" spans="1:12" ht="25.5">
      <c r="A262" s="80">
        <f>A261+1</f>
        <v>98</v>
      </c>
      <c r="B262" s="196"/>
      <c r="C262" s="81" t="s">
        <v>47</v>
      </c>
      <c r="D262" s="81"/>
      <c r="E262" s="82" t="s">
        <v>388</v>
      </c>
      <c r="F262" s="83" t="s">
        <v>44</v>
      </c>
      <c r="G262" s="139">
        <f>SUM(I259:I261)</f>
        <v>0</v>
      </c>
      <c r="H262" s="296"/>
      <c r="I262" s="84">
        <f>G262*H262</f>
        <v>0</v>
      </c>
      <c r="J262" s="263" t="s">
        <v>152</v>
      </c>
    </row>
    <row r="263" spans="1:12">
      <c r="A263" s="80">
        <f>A262+1</f>
        <v>99</v>
      </c>
      <c r="B263" s="196"/>
      <c r="C263" s="81" t="s">
        <v>47</v>
      </c>
      <c r="D263" s="81"/>
      <c r="E263" s="82" t="s">
        <v>102</v>
      </c>
      <c r="F263" s="83" t="s">
        <v>44</v>
      </c>
      <c r="G263" s="139">
        <f>SUM(I245,I247,I249,I251,I252,I253,I255,I257,I258,I259:I261)</f>
        <v>0</v>
      </c>
      <c r="H263" s="296"/>
      <c r="I263" s="84">
        <f>G263*H263</f>
        <v>0</v>
      </c>
      <c r="J263" s="263" t="s">
        <v>152</v>
      </c>
    </row>
    <row r="264" spans="1:12" ht="12.75" customHeight="1" thickBot="1">
      <c r="A264" s="80">
        <f>A263+1</f>
        <v>100</v>
      </c>
      <c r="B264" s="196"/>
      <c r="C264" s="81"/>
      <c r="D264" s="81"/>
      <c r="E264" s="82" t="s">
        <v>61</v>
      </c>
      <c r="F264" s="105" t="s">
        <v>44</v>
      </c>
      <c r="G264" s="139">
        <f>+G263</f>
        <v>0</v>
      </c>
      <c r="H264" s="299"/>
      <c r="I264" s="106">
        <f>G264*H264</f>
        <v>0</v>
      </c>
      <c r="J264" s="263" t="s">
        <v>152</v>
      </c>
    </row>
    <row r="265" spans="1:12" ht="13.5" thickBot="1">
      <c r="A265" s="80"/>
      <c r="B265" s="196"/>
      <c r="C265" s="81"/>
      <c r="D265" s="81"/>
      <c r="E265" s="99" t="s">
        <v>37</v>
      </c>
      <c r="F265" s="100"/>
      <c r="G265" s="142"/>
      <c r="H265" s="297"/>
      <c r="I265" s="92">
        <f>SUBTOTAL(9,I244:I264)</f>
        <v>0</v>
      </c>
      <c r="J265" s="263"/>
    </row>
    <row r="266" spans="1:12">
      <c r="A266" s="80"/>
      <c r="B266" s="196"/>
      <c r="C266" s="81"/>
      <c r="D266" s="81"/>
      <c r="E266" s="93"/>
      <c r="F266" s="94"/>
      <c r="G266" s="129"/>
      <c r="H266" s="285"/>
      <c r="I266" s="95"/>
      <c r="J266" s="263"/>
    </row>
    <row r="267" spans="1:12" ht="16.5">
      <c r="A267" s="80"/>
      <c r="B267" s="196"/>
      <c r="C267" s="204" t="s">
        <v>59</v>
      </c>
      <c r="D267" s="204"/>
      <c r="E267" s="79" t="s">
        <v>182</v>
      </c>
      <c r="F267" s="79"/>
      <c r="G267" s="79"/>
      <c r="H267" s="293"/>
      <c r="I267" s="79"/>
      <c r="J267" s="263"/>
    </row>
    <row r="268" spans="1:12" ht="15">
      <c r="A268" s="80"/>
      <c r="B268" s="196"/>
      <c r="C268" s="204"/>
      <c r="D268" s="204"/>
      <c r="E268" s="201" t="s">
        <v>467</v>
      </c>
      <c r="F268" s="201"/>
      <c r="G268" s="201"/>
      <c r="H268" s="291"/>
      <c r="I268" s="201"/>
      <c r="J268" s="263"/>
    </row>
    <row r="269" spans="1:12" ht="15">
      <c r="A269" s="80"/>
      <c r="B269" s="196"/>
      <c r="C269" s="204"/>
      <c r="D269" s="204"/>
      <c r="E269" s="201" t="s">
        <v>465</v>
      </c>
      <c r="F269" s="201"/>
      <c r="G269" s="201"/>
      <c r="H269" s="291"/>
      <c r="I269" s="201"/>
      <c r="J269" s="263"/>
    </row>
    <row r="270" spans="1:12" ht="15">
      <c r="A270" s="80"/>
      <c r="B270" s="196"/>
      <c r="C270" s="204"/>
      <c r="D270" s="204"/>
      <c r="E270" s="201" t="s">
        <v>466</v>
      </c>
      <c r="F270" s="201"/>
      <c r="G270" s="201"/>
      <c r="H270" s="291"/>
      <c r="I270" s="201"/>
      <c r="J270" s="263"/>
    </row>
    <row r="271" spans="1:12">
      <c r="A271" s="80">
        <f>+A264+1</f>
        <v>101</v>
      </c>
      <c r="B271" s="196"/>
      <c r="C271" s="188"/>
      <c r="D271" s="188"/>
      <c r="E271" s="82" t="s">
        <v>97</v>
      </c>
      <c r="F271" s="83" t="s">
        <v>100</v>
      </c>
      <c r="G271" s="139">
        <v>1</v>
      </c>
      <c r="H271" s="301">
        <f>ESA_ESI!H38</f>
        <v>0</v>
      </c>
      <c r="I271" s="84">
        <f>G271*H271</f>
        <v>0</v>
      </c>
      <c r="J271" s="263" t="s">
        <v>152</v>
      </c>
    </row>
    <row r="272" spans="1:12">
      <c r="A272" s="80">
        <f>A271+1</f>
        <v>102</v>
      </c>
      <c r="B272" s="196"/>
      <c r="C272" s="188"/>
      <c r="D272" s="188"/>
      <c r="E272" s="82" t="s">
        <v>98</v>
      </c>
      <c r="F272" s="83" t="s">
        <v>100</v>
      </c>
      <c r="G272" s="139">
        <v>1</v>
      </c>
      <c r="H272" s="301">
        <f>ESA_ESI!H51</f>
        <v>0</v>
      </c>
      <c r="I272" s="84">
        <f>G272*H272</f>
        <v>0</v>
      </c>
      <c r="J272" s="263" t="s">
        <v>152</v>
      </c>
    </row>
    <row r="273" spans="1:10" ht="13.5" thickBot="1">
      <c r="A273" s="80"/>
      <c r="B273" s="196"/>
      <c r="C273" s="188"/>
      <c r="D273" s="188"/>
      <c r="E273" s="115" t="s">
        <v>541</v>
      </c>
      <c r="F273" s="105" t="s">
        <v>100</v>
      </c>
      <c r="G273" s="147">
        <v>1</v>
      </c>
      <c r="H273" s="302">
        <f>ESA_ESI!H74</f>
        <v>0</v>
      </c>
      <c r="I273" s="84">
        <f>G273*H273</f>
        <v>0</v>
      </c>
      <c r="J273" s="263" t="s">
        <v>152</v>
      </c>
    </row>
    <row r="274" spans="1:10" ht="13.5" thickBot="1">
      <c r="A274" s="80"/>
      <c r="B274" s="196"/>
      <c r="C274" s="188"/>
      <c r="D274" s="188"/>
      <c r="E274" s="99" t="s">
        <v>37</v>
      </c>
      <c r="F274" s="100"/>
      <c r="G274" s="142"/>
      <c r="H274" s="297"/>
      <c r="I274" s="92">
        <f>SUBTOTAL(9,I271:I272)</f>
        <v>0</v>
      </c>
    </row>
    <row r="275" spans="1:10">
      <c r="A275" s="80"/>
      <c r="B275" s="196"/>
      <c r="C275" s="188"/>
      <c r="D275" s="188"/>
      <c r="E275" s="93"/>
      <c r="F275" s="94"/>
      <c r="G275" s="129"/>
      <c r="H275" s="285"/>
      <c r="I275" s="95"/>
      <c r="J275" s="263"/>
    </row>
    <row r="276" spans="1:10" ht="16.5">
      <c r="A276" s="80"/>
      <c r="B276" s="196"/>
      <c r="C276" s="204" t="s">
        <v>67</v>
      </c>
      <c r="D276" s="204"/>
      <c r="E276" s="79" t="s">
        <v>183</v>
      </c>
      <c r="F276" s="79"/>
      <c r="G276" s="79"/>
      <c r="H276" s="293"/>
      <c r="I276" s="79"/>
      <c r="J276" s="263"/>
    </row>
    <row r="277" spans="1:10" ht="15">
      <c r="A277" s="80"/>
      <c r="B277" s="196"/>
      <c r="C277" s="204"/>
      <c r="D277" s="204"/>
      <c r="E277" s="201" t="s">
        <v>464</v>
      </c>
      <c r="F277" s="201"/>
      <c r="G277" s="201"/>
      <c r="H277" s="291"/>
      <c r="I277" s="201"/>
      <c r="J277" s="263"/>
    </row>
    <row r="278" spans="1:10" ht="15">
      <c r="A278" s="80"/>
      <c r="B278" s="196"/>
      <c r="C278" s="204"/>
      <c r="D278" s="204"/>
      <c r="E278" s="201" t="s">
        <v>465</v>
      </c>
      <c r="F278" s="201"/>
      <c r="G278" s="201"/>
      <c r="H278" s="291"/>
      <c r="I278" s="201"/>
      <c r="J278" s="263"/>
    </row>
    <row r="279" spans="1:10" ht="15">
      <c r="A279" s="80"/>
      <c r="B279" s="196"/>
      <c r="C279" s="204"/>
      <c r="D279" s="204"/>
      <c r="E279" s="201" t="s">
        <v>466</v>
      </c>
      <c r="F279" s="201"/>
      <c r="G279" s="201"/>
      <c r="H279" s="291"/>
      <c r="I279" s="201"/>
      <c r="J279" s="263"/>
    </row>
    <row r="280" spans="1:10">
      <c r="A280" s="80">
        <f>+A272+1</f>
        <v>103</v>
      </c>
      <c r="B280" s="196"/>
      <c r="C280" s="81"/>
      <c r="D280" s="81"/>
      <c r="E280" s="82" t="s">
        <v>142</v>
      </c>
      <c r="F280" s="83" t="s">
        <v>100</v>
      </c>
      <c r="G280" s="139">
        <v>1</v>
      </c>
      <c r="H280" s="301">
        <f>ESA_ESI!H69</f>
        <v>0</v>
      </c>
      <c r="I280" s="84">
        <f>G280*H280</f>
        <v>0</v>
      </c>
      <c r="J280" s="263" t="s">
        <v>152</v>
      </c>
    </row>
    <row r="281" spans="1:10" ht="13.5" thickBot="1">
      <c r="A281" s="80">
        <f>A280+1</f>
        <v>104</v>
      </c>
      <c r="B281" s="196"/>
      <c r="C281" s="81"/>
      <c r="D281" s="81"/>
      <c r="E281" s="82" t="s">
        <v>99</v>
      </c>
      <c r="F281" s="83" t="s">
        <v>100</v>
      </c>
      <c r="G281" s="139">
        <v>1</v>
      </c>
      <c r="H281" s="301">
        <f>ESA_ESI!H74</f>
        <v>0</v>
      </c>
      <c r="I281" s="84">
        <f>G281*H281</f>
        <v>0</v>
      </c>
      <c r="J281" s="263" t="s">
        <v>152</v>
      </c>
    </row>
    <row r="282" spans="1:10" ht="13.5" thickBot="1">
      <c r="A282" s="80"/>
      <c r="B282" s="196"/>
      <c r="C282" s="81"/>
      <c r="D282" s="81"/>
      <c r="E282" s="99" t="s">
        <v>37</v>
      </c>
      <c r="F282" s="100"/>
      <c r="G282" s="142"/>
      <c r="H282" s="297"/>
      <c r="I282" s="92">
        <f>SUBTOTAL(9,I280:I281)</f>
        <v>0</v>
      </c>
    </row>
    <row r="283" spans="1:10" ht="14.25" customHeight="1" thickBot="1">
      <c r="A283" s="80"/>
      <c r="B283" s="196"/>
      <c r="C283" s="81"/>
      <c r="D283" s="81"/>
      <c r="E283" s="93"/>
      <c r="F283" s="94"/>
      <c r="G283" s="129"/>
      <c r="H283" s="285"/>
      <c r="I283" s="95"/>
      <c r="J283" s="263"/>
    </row>
    <row r="284" spans="1:10" ht="16.5">
      <c r="A284" s="80"/>
      <c r="B284" s="196"/>
      <c r="C284" s="96" t="s">
        <v>90</v>
      </c>
      <c r="D284" s="96"/>
      <c r="E284" s="185" t="s">
        <v>73</v>
      </c>
      <c r="F284" s="185"/>
      <c r="G284" s="185"/>
      <c r="H284" s="303"/>
      <c r="I284" s="185"/>
      <c r="J284" s="263"/>
    </row>
    <row r="285" spans="1:10" ht="15">
      <c r="A285" s="80"/>
      <c r="B285" s="196"/>
      <c r="C285" s="96"/>
      <c r="D285" s="96"/>
      <c r="E285" s="201" t="s">
        <v>459</v>
      </c>
      <c r="F285" s="201"/>
      <c r="G285" s="201"/>
      <c r="H285" s="291"/>
      <c r="I285" s="201"/>
      <c r="J285" s="263"/>
    </row>
    <row r="286" spans="1:10" ht="15">
      <c r="A286" s="80"/>
      <c r="B286" s="196"/>
      <c r="C286" s="96"/>
      <c r="D286" s="96"/>
      <c r="E286" s="203" t="s">
        <v>460</v>
      </c>
      <c r="F286" s="203"/>
      <c r="G286" s="203"/>
      <c r="H286" s="298"/>
      <c r="I286" s="203"/>
      <c r="J286" s="263"/>
    </row>
    <row r="287" spans="1:10" ht="15">
      <c r="A287" s="80"/>
      <c r="B287" s="196"/>
      <c r="C287" s="96"/>
      <c r="D287" s="96"/>
      <c r="E287" s="203" t="s">
        <v>461</v>
      </c>
      <c r="F287" s="203"/>
      <c r="G287" s="203"/>
      <c r="H287" s="298"/>
      <c r="I287" s="203"/>
      <c r="J287" s="263"/>
    </row>
    <row r="288" spans="1:10" ht="15">
      <c r="A288" s="80"/>
      <c r="B288" s="196"/>
      <c r="C288" s="96"/>
      <c r="D288" s="96"/>
      <c r="E288" s="203" t="s">
        <v>462</v>
      </c>
      <c r="F288" s="203"/>
      <c r="G288" s="203"/>
      <c r="H288" s="298"/>
      <c r="I288" s="203"/>
      <c r="J288" s="263"/>
    </row>
    <row r="289" spans="1:11" ht="15">
      <c r="A289" s="80"/>
      <c r="B289" s="196"/>
      <c r="C289" s="96"/>
      <c r="D289" s="96"/>
      <c r="E289" s="203" t="s">
        <v>463</v>
      </c>
      <c r="F289" s="203"/>
      <c r="G289" s="203"/>
      <c r="H289" s="298"/>
      <c r="I289" s="203"/>
      <c r="J289" s="263"/>
    </row>
    <row r="290" spans="1:11" customFormat="1" ht="25.5">
      <c r="A290" s="87">
        <f>A281+1</f>
        <v>105</v>
      </c>
      <c r="B290" s="199"/>
      <c r="C290" s="110" t="s">
        <v>46</v>
      </c>
      <c r="D290" s="110"/>
      <c r="E290" s="85" t="s">
        <v>238</v>
      </c>
      <c r="F290" s="88" t="s">
        <v>39</v>
      </c>
      <c r="G290" s="139">
        <v>4.8</v>
      </c>
      <c r="H290" s="294"/>
      <c r="I290" s="89">
        <f>G290*H290</f>
        <v>0</v>
      </c>
      <c r="J290" s="261" t="s">
        <v>158</v>
      </c>
      <c r="K290" s="149"/>
    </row>
    <row r="291" spans="1:11" customFormat="1">
      <c r="A291" s="87">
        <f>A290+1</f>
        <v>106</v>
      </c>
      <c r="B291" s="199"/>
      <c r="C291" s="110" t="s">
        <v>46</v>
      </c>
      <c r="D291" s="110"/>
      <c r="E291" s="85" t="s">
        <v>209</v>
      </c>
      <c r="F291" s="88" t="s">
        <v>38</v>
      </c>
      <c r="G291" s="140">
        <v>1</v>
      </c>
      <c r="H291" s="294"/>
      <c r="I291" s="89">
        <f t="shared" ref="I291:I301" si="15">G291*H291</f>
        <v>0</v>
      </c>
      <c r="J291" s="261" t="s">
        <v>158</v>
      </c>
      <c r="K291" s="149"/>
    </row>
    <row r="292" spans="1:11" customFormat="1">
      <c r="A292" s="87">
        <f>A291+1</f>
        <v>107</v>
      </c>
      <c r="B292" s="199"/>
      <c r="C292" s="110" t="s">
        <v>46</v>
      </c>
      <c r="D292" s="110"/>
      <c r="E292" s="85" t="s">
        <v>210</v>
      </c>
      <c r="F292" s="88" t="s">
        <v>38</v>
      </c>
      <c r="G292" s="140">
        <v>1</v>
      </c>
      <c r="H292" s="294"/>
      <c r="I292" s="89">
        <f>G292*H292</f>
        <v>0</v>
      </c>
      <c r="J292" s="261" t="s">
        <v>158</v>
      </c>
      <c r="K292" s="149"/>
    </row>
    <row r="293" spans="1:11" customFormat="1">
      <c r="A293" s="87">
        <f>A292+1</f>
        <v>108</v>
      </c>
      <c r="B293" s="199"/>
      <c r="C293" s="110" t="s">
        <v>46</v>
      </c>
      <c r="D293" s="110"/>
      <c r="E293" s="85" t="s">
        <v>237</v>
      </c>
      <c r="F293" s="88" t="s">
        <v>38</v>
      </c>
      <c r="G293" s="140">
        <v>1</v>
      </c>
      <c r="H293" s="294"/>
      <c r="I293" s="89">
        <f t="shared" si="15"/>
        <v>0</v>
      </c>
      <c r="J293" s="261" t="s">
        <v>158</v>
      </c>
      <c r="K293" s="149"/>
    </row>
    <row r="294" spans="1:11" customFormat="1" ht="30" customHeight="1">
      <c r="A294" s="87">
        <f>A293+1</f>
        <v>109</v>
      </c>
      <c r="B294" s="199"/>
      <c r="C294" s="110" t="s">
        <v>46</v>
      </c>
      <c r="D294" s="110"/>
      <c r="E294" s="85" t="s">
        <v>239</v>
      </c>
      <c r="F294" s="88" t="s">
        <v>39</v>
      </c>
      <c r="G294" s="140">
        <v>5.5</v>
      </c>
      <c r="H294" s="294"/>
      <c r="I294" s="89">
        <f t="shared" si="15"/>
        <v>0</v>
      </c>
      <c r="J294" s="261" t="s">
        <v>158</v>
      </c>
      <c r="K294" s="149"/>
    </row>
    <row r="295" spans="1:11" customFormat="1">
      <c r="A295" s="87">
        <f t="shared" ref="A295:A301" si="16">A294+1</f>
        <v>110</v>
      </c>
      <c r="B295" s="199"/>
      <c r="C295" s="110" t="s">
        <v>46</v>
      </c>
      <c r="D295" s="110"/>
      <c r="E295" s="85" t="s">
        <v>241</v>
      </c>
      <c r="F295" s="88" t="s">
        <v>38</v>
      </c>
      <c r="G295" s="140">
        <v>1</v>
      </c>
      <c r="H295" s="294"/>
      <c r="I295" s="89">
        <f t="shared" si="15"/>
        <v>0</v>
      </c>
      <c r="J295" s="261" t="s">
        <v>158</v>
      </c>
      <c r="K295" s="149"/>
    </row>
    <row r="296" spans="1:11" customFormat="1">
      <c r="A296" s="87">
        <f t="shared" si="16"/>
        <v>111</v>
      </c>
      <c r="B296" s="199"/>
      <c r="C296" s="110" t="s">
        <v>46</v>
      </c>
      <c r="D296" s="110"/>
      <c r="E296" s="85" t="s">
        <v>240</v>
      </c>
      <c r="F296" s="88" t="s">
        <v>38</v>
      </c>
      <c r="G296" s="140">
        <v>1</v>
      </c>
      <c r="H296" s="294"/>
      <c r="I296" s="89">
        <f t="shared" si="15"/>
        <v>0</v>
      </c>
      <c r="J296" s="261" t="s">
        <v>158</v>
      </c>
      <c r="K296" s="149"/>
    </row>
    <row r="297" spans="1:11" customFormat="1">
      <c r="A297" s="87">
        <f t="shared" si="16"/>
        <v>112</v>
      </c>
      <c r="B297" s="199"/>
      <c r="C297" s="110" t="s">
        <v>46</v>
      </c>
      <c r="D297" s="110"/>
      <c r="E297" s="85" t="s">
        <v>242</v>
      </c>
      <c r="F297" s="88" t="s">
        <v>38</v>
      </c>
      <c r="G297" s="140">
        <v>1</v>
      </c>
      <c r="H297" s="294"/>
      <c r="I297" s="89">
        <f t="shared" si="15"/>
        <v>0</v>
      </c>
      <c r="J297" s="261" t="s">
        <v>158</v>
      </c>
      <c r="K297" s="149"/>
    </row>
    <row r="298" spans="1:11" customFormat="1">
      <c r="A298" s="87">
        <f t="shared" si="16"/>
        <v>113</v>
      </c>
      <c r="B298" s="199"/>
      <c r="C298" s="110" t="s">
        <v>46</v>
      </c>
      <c r="D298" s="110"/>
      <c r="E298" s="85" t="s">
        <v>243</v>
      </c>
      <c r="F298" s="88" t="s">
        <v>38</v>
      </c>
      <c r="G298" s="140">
        <v>1</v>
      </c>
      <c r="H298" s="294"/>
      <c r="I298" s="89">
        <f t="shared" si="15"/>
        <v>0</v>
      </c>
      <c r="J298" s="261" t="s">
        <v>158</v>
      </c>
      <c r="K298" s="149"/>
    </row>
    <row r="299" spans="1:11" customFormat="1">
      <c r="A299" s="87">
        <f t="shared" si="16"/>
        <v>114</v>
      </c>
      <c r="B299" s="199"/>
      <c r="C299" s="110" t="s">
        <v>47</v>
      </c>
      <c r="D299" s="110"/>
      <c r="E299" s="85" t="s">
        <v>101</v>
      </c>
      <c r="F299" s="88" t="s">
        <v>44</v>
      </c>
      <c r="G299" s="140">
        <f>SUM(I290:I298)</f>
        <v>0</v>
      </c>
      <c r="H299" s="296"/>
      <c r="I299" s="89">
        <f t="shared" si="15"/>
        <v>0</v>
      </c>
      <c r="J299" s="261" t="s">
        <v>158</v>
      </c>
      <c r="K299" s="149"/>
    </row>
    <row r="300" spans="1:11" customFormat="1" ht="15.75" customHeight="1">
      <c r="A300" s="87">
        <f t="shared" si="16"/>
        <v>115</v>
      </c>
      <c r="B300" s="199"/>
      <c r="C300" s="110" t="s">
        <v>47</v>
      </c>
      <c r="D300" s="110"/>
      <c r="E300" s="85" t="s">
        <v>102</v>
      </c>
      <c r="F300" s="88" t="s">
        <v>44</v>
      </c>
      <c r="G300" s="140">
        <f>+G299</f>
        <v>0</v>
      </c>
      <c r="H300" s="296"/>
      <c r="I300" s="89">
        <f t="shared" si="15"/>
        <v>0</v>
      </c>
      <c r="J300" s="261" t="s">
        <v>158</v>
      </c>
      <c r="K300" s="149"/>
    </row>
    <row r="301" spans="1:11" customFormat="1" ht="13.5" thickBot="1">
      <c r="A301" s="87">
        <f t="shared" si="16"/>
        <v>116</v>
      </c>
      <c r="B301" s="199"/>
      <c r="C301" s="110"/>
      <c r="D301" s="110"/>
      <c r="E301" s="85" t="s">
        <v>61</v>
      </c>
      <c r="F301" s="113" t="s">
        <v>44</v>
      </c>
      <c r="G301" s="140">
        <f>+G300</f>
        <v>0</v>
      </c>
      <c r="H301" s="304"/>
      <c r="I301" s="114">
        <f t="shared" si="15"/>
        <v>0</v>
      </c>
      <c r="J301" s="261" t="s">
        <v>158</v>
      </c>
      <c r="K301" s="149"/>
    </row>
    <row r="302" spans="1:11" ht="13.5" thickBot="1">
      <c r="A302" s="80"/>
      <c r="B302" s="196"/>
      <c r="C302" s="81"/>
      <c r="D302" s="81"/>
      <c r="E302" s="99" t="s">
        <v>37</v>
      </c>
      <c r="F302" s="100"/>
      <c r="G302" s="142"/>
      <c r="H302" s="297"/>
      <c r="I302" s="92">
        <f>SUM(I290:I301)</f>
        <v>0</v>
      </c>
    </row>
    <row r="303" spans="1:11">
      <c r="A303" s="80"/>
      <c r="B303" s="196"/>
      <c r="C303" s="81"/>
      <c r="D303" s="81"/>
      <c r="E303" s="93"/>
      <c r="F303" s="94"/>
      <c r="G303" s="129"/>
      <c r="H303" s="285"/>
      <c r="I303" s="95"/>
    </row>
    <row r="304" spans="1:11" customFormat="1" ht="16.5">
      <c r="A304" s="87"/>
      <c r="B304" s="199"/>
      <c r="C304" s="176" t="s">
        <v>91</v>
      </c>
      <c r="D304" s="176"/>
      <c r="E304" s="184" t="s">
        <v>211</v>
      </c>
      <c r="F304" s="184"/>
      <c r="G304" s="184"/>
      <c r="H304" s="305"/>
      <c r="I304" s="184"/>
      <c r="J304" s="261"/>
      <c r="K304" s="149"/>
    </row>
    <row r="305" spans="1:11" customFormat="1" ht="15">
      <c r="A305" s="87"/>
      <c r="B305" s="199"/>
      <c r="C305" s="176"/>
      <c r="D305" s="176"/>
      <c r="E305" s="201" t="s">
        <v>453</v>
      </c>
      <c r="F305" s="201"/>
      <c r="G305" s="201"/>
      <c r="H305" s="291"/>
      <c r="I305" s="201"/>
      <c r="J305" s="261"/>
      <c r="K305" s="149"/>
    </row>
    <row r="306" spans="1:11" customFormat="1" ht="15">
      <c r="A306" s="87"/>
      <c r="B306" s="199"/>
      <c r="C306" s="176"/>
      <c r="D306" s="176"/>
      <c r="E306" s="201" t="s">
        <v>454</v>
      </c>
      <c r="F306" s="201"/>
      <c r="G306" s="201"/>
      <c r="H306" s="291"/>
      <c r="I306" s="201"/>
      <c r="J306" s="261"/>
      <c r="K306" s="149"/>
    </row>
    <row r="307" spans="1:11" customFormat="1" ht="15">
      <c r="A307" s="87"/>
      <c r="B307" s="199"/>
      <c r="C307" s="176"/>
      <c r="D307" s="176"/>
      <c r="E307" s="201" t="s">
        <v>455</v>
      </c>
      <c r="F307" s="201"/>
      <c r="G307" s="201"/>
      <c r="H307" s="291"/>
      <c r="I307" s="201"/>
      <c r="J307" s="261"/>
      <c r="K307" s="149"/>
    </row>
    <row r="308" spans="1:11" customFormat="1" ht="15">
      <c r="A308" s="87"/>
      <c r="B308" s="199"/>
      <c r="C308" s="176"/>
      <c r="D308" s="176"/>
      <c r="E308" s="201" t="s">
        <v>456</v>
      </c>
      <c r="F308" s="201"/>
      <c r="G308" s="201"/>
      <c r="H308" s="291"/>
      <c r="I308" s="201"/>
      <c r="J308" s="261"/>
      <c r="K308" s="149"/>
    </row>
    <row r="309" spans="1:11" customFormat="1" ht="15">
      <c r="A309" s="87"/>
      <c r="B309" s="199"/>
      <c r="C309" s="176"/>
      <c r="D309" s="176"/>
      <c r="E309" s="201" t="s">
        <v>457</v>
      </c>
      <c r="F309" s="201"/>
      <c r="G309" s="201"/>
      <c r="H309" s="291"/>
      <c r="I309" s="201"/>
      <c r="J309" s="261"/>
      <c r="K309" s="149"/>
    </row>
    <row r="310" spans="1:11" customFormat="1" ht="15">
      <c r="A310" s="87"/>
      <c r="B310" s="199"/>
      <c r="C310" s="176"/>
      <c r="D310" s="176"/>
      <c r="E310" s="201" t="s">
        <v>458</v>
      </c>
      <c r="F310" s="201"/>
      <c r="G310" s="201"/>
      <c r="H310" s="291"/>
      <c r="I310" s="201"/>
      <c r="J310" s="261"/>
      <c r="K310" s="149"/>
    </row>
    <row r="311" spans="1:11" customFormat="1" ht="25.5">
      <c r="A311" s="87">
        <f>A301+1</f>
        <v>117</v>
      </c>
      <c r="B311" s="199"/>
      <c r="C311" s="110" t="s">
        <v>47</v>
      </c>
      <c r="D311" s="110"/>
      <c r="E311" s="85" t="s">
        <v>222</v>
      </c>
      <c r="F311" s="88" t="s">
        <v>38</v>
      </c>
      <c r="G311" s="139">
        <v>3</v>
      </c>
      <c r="H311" s="294"/>
      <c r="I311" s="89">
        <f>G311*H311</f>
        <v>0</v>
      </c>
      <c r="J311" s="261" t="s">
        <v>152</v>
      </c>
      <c r="K311" s="149"/>
    </row>
    <row r="312" spans="1:11" customFormat="1">
      <c r="A312" s="87">
        <f>A311+1</f>
        <v>118</v>
      </c>
      <c r="B312" s="199"/>
      <c r="C312" s="110" t="s">
        <v>47</v>
      </c>
      <c r="D312" s="110"/>
      <c r="E312" s="85" t="s">
        <v>223</v>
      </c>
      <c r="F312" s="88" t="s">
        <v>35</v>
      </c>
      <c r="G312" s="139">
        <v>1</v>
      </c>
      <c r="H312" s="294"/>
      <c r="I312" s="89">
        <f>G312*H312</f>
        <v>0</v>
      </c>
      <c r="J312" s="261" t="s">
        <v>152</v>
      </c>
      <c r="K312" s="149"/>
    </row>
    <row r="313" spans="1:11" customFormat="1" ht="15" customHeight="1">
      <c r="A313" s="87">
        <f t="shared" ref="A313:A320" si="17">A312+1</f>
        <v>119</v>
      </c>
      <c r="B313" s="199"/>
      <c r="C313" s="110" t="s">
        <v>346</v>
      </c>
      <c r="D313" s="110"/>
      <c r="E313" s="85" t="s">
        <v>389</v>
      </c>
      <c r="F313" s="88" t="s">
        <v>38</v>
      </c>
      <c r="G313" s="139">
        <v>2</v>
      </c>
      <c r="H313" s="294"/>
      <c r="I313" s="89">
        <f>G313*H313</f>
        <v>0</v>
      </c>
      <c r="J313" s="261" t="s">
        <v>152</v>
      </c>
      <c r="K313" s="149"/>
    </row>
    <row r="314" spans="1:11" customFormat="1" ht="15" customHeight="1">
      <c r="A314" s="87">
        <f>A313+1</f>
        <v>120</v>
      </c>
      <c r="B314" s="199"/>
      <c r="C314" s="110" t="s">
        <v>346</v>
      </c>
      <c r="D314" s="110"/>
      <c r="E314" s="85" t="s">
        <v>390</v>
      </c>
      <c r="F314" s="88" t="s">
        <v>38</v>
      </c>
      <c r="G314" s="139">
        <v>1</v>
      </c>
      <c r="H314" s="294"/>
      <c r="I314" s="89">
        <f>G314*H314</f>
        <v>0</v>
      </c>
      <c r="J314" s="261" t="s">
        <v>152</v>
      </c>
      <c r="K314" s="149"/>
    </row>
    <row r="315" spans="1:11" customFormat="1">
      <c r="A315" s="87">
        <f>A313+1</f>
        <v>120</v>
      </c>
      <c r="B315" s="199"/>
      <c r="C315" s="110" t="s">
        <v>46</v>
      </c>
      <c r="D315" s="110"/>
      <c r="E315" s="107" t="s">
        <v>221</v>
      </c>
      <c r="F315" s="108" t="s">
        <v>38</v>
      </c>
      <c r="G315" s="143">
        <v>1</v>
      </c>
      <c r="H315" s="300"/>
      <c r="I315" s="109">
        <f t="shared" ref="I315:I320" si="18">G315*H315</f>
        <v>0</v>
      </c>
      <c r="J315" s="261" t="s">
        <v>158</v>
      </c>
      <c r="K315" s="149"/>
    </row>
    <row r="316" spans="1:11" customFormat="1">
      <c r="A316" s="87">
        <f t="shared" si="17"/>
        <v>121</v>
      </c>
      <c r="B316" s="199"/>
      <c r="C316" s="110" t="s">
        <v>47</v>
      </c>
      <c r="D316" s="110"/>
      <c r="E316" s="85" t="s">
        <v>220</v>
      </c>
      <c r="F316" s="85" t="s">
        <v>38</v>
      </c>
      <c r="G316" s="139">
        <f>+G315</f>
        <v>1</v>
      </c>
      <c r="H316" s="294"/>
      <c r="I316" s="89">
        <f t="shared" si="18"/>
        <v>0</v>
      </c>
      <c r="J316" s="261" t="s">
        <v>158</v>
      </c>
      <c r="K316" s="149"/>
    </row>
    <row r="317" spans="1:11" customFormat="1">
      <c r="A317" s="87">
        <f t="shared" si="17"/>
        <v>122</v>
      </c>
      <c r="B317" s="199"/>
      <c r="C317" s="191" t="s">
        <v>47</v>
      </c>
      <c r="D317" s="191"/>
      <c r="E317" s="85" t="s">
        <v>214</v>
      </c>
      <c r="F317" s="88" t="s">
        <v>35</v>
      </c>
      <c r="G317" s="139">
        <v>1</v>
      </c>
      <c r="H317" s="294"/>
      <c r="I317" s="89">
        <f t="shared" si="18"/>
        <v>0</v>
      </c>
      <c r="J317" s="261" t="s">
        <v>152</v>
      </c>
      <c r="K317" s="149"/>
    </row>
    <row r="318" spans="1:11" customFormat="1">
      <c r="A318" s="87">
        <f t="shared" si="17"/>
        <v>123</v>
      </c>
      <c r="B318" s="199"/>
      <c r="C318" s="191" t="s">
        <v>346</v>
      </c>
      <c r="D318" s="191"/>
      <c r="E318" s="85" t="s">
        <v>3</v>
      </c>
      <c r="F318" s="88" t="s">
        <v>38</v>
      </c>
      <c r="G318" s="139">
        <v>3</v>
      </c>
      <c r="H318" s="294"/>
      <c r="I318" s="89">
        <f t="shared" si="18"/>
        <v>0</v>
      </c>
      <c r="J318" s="261" t="s">
        <v>158</v>
      </c>
      <c r="K318" s="149"/>
    </row>
    <row r="319" spans="1:11" customFormat="1">
      <c r="A319" s="87">
        <f t="shared" si="17"/>
        <v>124</v>
      </c>
      <c r="B319" s="199"/>
      <c r="C319" s="110" t="s">
        <v>47</v>
      </c>
      <c r="D319" s="110"/>
      <c r="E319" s="85" t="s">
        <v>215</v>
      </c>
      <c r="F319" s="88" t="s">
        <v>35</v>
      </c>
      <c r="G319" s="139">
        <v>1</v>
      </c>
      <c r="H319" s="294"/>
      <c r="I319" s="89">
        <f t="shared" si="18"/>
        <v>0</v>
      </c>
      <c r="J319" s="261" t="s">
        <v>152</v>
      </c>
      <c r="K319" s="149"/>
    </row>
    <row r="320" spans="1:11" customFormat="1" ht="13.5" thickBot="1">
      <c r="A320" s="87">
        <f t="shared" si="17"/>
        <v>125</v>
      </c>
      <c r="B320" s="199"/>
      <c r="C320" s="110"/>
      <c r="D320" s="110"/>
      <c r="E320" s="85" t="s">
        <v>61</v>
      </c>
      <c r="F320" s="88" t="s">
        <v>44</v>
      </c>
      <c r="G320" s="140">
        <f>+I311+I315+I313+I314+I318</f>
        <v>0</v>
      </c>
      <c r="H320" s="304"/>
      <c r="I320" s="114">
        <f t="shared" si="18"/>
        <v>0</v>
      </c>
      <c r="J320" s="261" t="s">
        <v>152</v>
      </c>
      <c r="K320" s="149"/>
    </row>
    <row r="321" spans="1:11" customFormat="1" ht="13.5" thickBot="1">
      <c r="A321" s="87"/>
      <c r="B321" s="199"/>
      <c r="C321" s="110"/>
      <c r="D321" s="110"/>
      <c r="E321" s="99" t="s">
        <v>37</v>
      </c>
      <c r="F321" s="100"/>
      <c r="G321" s="146"/>
      <c r="H321" s="306"/>
      <c r="I321" s="92">
        <f>SUBTOTAL(9,I311:I320)</f>
        <v>0</v>
      </c>
      <c r="J321" s="261"/>
      <c r="K321" s="149"/>
    </row>
    <row r="322" spans="1:11">
      <c r="A322" s="80"/>
      <c r="B322" s="196"/>
      <c r="C322" s="81"/>
      <c r="D322" s="81"/>
      <c r="E322" s="93"/>
      <c r="F322" s="94"/>
      <c r="G322" s="129"/>
      <c r="H322" s="285"/>
      <c r="I322" s="95"/>
      <c r="J322" s="263"/>
    </row>
    <row r="323" spans="1:11" ht="16.5">
      <c r="A323" s="80"/>
      <c r="B323" s="196"/>
      <c r="C323" s="96" t="s">
        <v>92</v>
      </c>
      <c r="D323" s="96"/>
      <c r="E323" s="79" t="s">
        <v>74</v>
      </c>
      <c r="F323" s="79"/>
      <c r="G323" s="79"/>
      <c r="H323" s="293"/>
      <c r="I323" s="79"/>
      <c r="J323" s="263"/>
    </row>
    <row r="324" spans="1:11" ht="15">
      <c r="A324" s="80"/>
      <c r="B324" s="196"/>
      <c r="C324" s="96"/>
      <c r="D324" s="96"/>
      <c r="E324" s="201" t="s">
        <v>448</v>
      </c>
      <c r="F324" s="201"/>
      <c r="G324" s="201"/>
      <c r="H324" s="291"/>
      <c r="I324" s="201"/>
      <c r="J324" s="263"/>
    </row>
    <row r="325" spans="1:11" ht="15">
      <c r="A325" s="80"/>
      <c r="B325" s="196"/>
      <c r="C325" s="96"/>
      <c r="D325" s="96"/>
      <c r="E325" s="201" t="s">
        <v>449</v>
      </c>
      <c r="F325" s="201"/>
      <c r="G325" s="201"/>
      <c r="H325" s="291"/>
      <c r="I325" s="201"/>
      <c r="J325" s="263"/>
    </row>
    <row r="326" spans="1:11" ht="15">
      <c r="A326" s="80"/>
      <c r="B326" s="196"/>
      <c r="C326" s="96"/>
      <c r="D326" s="96"/>
      <c r="E326" s="201" t="s">
        <v>450</v>
      </c>
      <c r="F326" s="201"/>
      <c r="G326" s="201"/>
      <c r="H326" s="291"/>
      <c r="I326" s="201"/>
      <c r="J326" s="263"/>
    </row>
    <row r="327" spans="1:11" ht="15">
      <c r="A327" s="80"/>
      <c r="B327" s="196"/>
      <c r="C327" s="96"/>
      <c r="D327" s="96"/>
      <c r="E327" s="201" t="s">
        <v>451</v>
      </c>
      <c r="F327" s="201"/>
      <c r="G327" s="201"/>
      <c r="H327" s="291"/>
      <c r="I327" s="201"/>
      <c r="J327" s="263"/>
    </row>
    <row r="328" spans="1:11" ht="15">
      <c r="A328" s="80"/>
      <c r="B328" s="196"/>
      <c r="C328" s="96"/>
      <c r="D328" s="96"/>
      <c r="E328" s="201" t="s">
        <v>452</v>
      </c>
      <c r="F328" s="201"/>
      <c r="G328" s="201"/>
      <c r="H328" s="291"/>
      <c r="I328" s="201"/>
      <c r="J328" s="263"/>
    </row>
    <row r="329" spans="1:11">
      <c r="A329" s="80">
        <f>A320+1</f>
        <v>126</v>
      </c>
      <c r="B329" s="196" t="s">
        <v>396</v>
      </c>
      <c r="C329" s="81" t="s">
        <v>205</v>
      </c>
      <c r="D329" s="81"/>
      <c r="E329" s="82" t="s">
        <v>395</v>
      </c>
      <c r="F329" s="83" t="s">
        <v>38</v>
      </c>
      <c r="G329" s="139">
        <v>3</v>
      </c>
      <c r="H329" s="294"/>
      <c r="I329" s="84">
        <f t="shared" ref="I329:I343" si="19">G329*H329</f>
        <v>0</v>
      </c>
      <c r="J329" s="263" t="s">
        <v>152</v>
      </c>
    </row>
    <row r="330" spans="1:11">
      <c r="A330" s="80">
        <f>A329+1</f>
        <v>127</v>
      </c>
      <c r="B330" s="196" t="s">
        <v>398</v>
      </c>
      <c r="C330" s="81" t="s">
        <v>47</v>
      </c>
      <c r="D330" s="81"/>
      <c r="E330" s="82" t="s">
        <v>397</v>
      </c>
      <c r="F330" s="83" t="s">
        <v>38</v>
      </c>
      <c r="G330" s="139">
        <v>1</v>
      </c>
      <c r="H330" s="294"/>
      <c r="I330" s="84">
        <f t="shared" si="19"/>
        <v>0</v>
      </c>
      <c r="J330" s="263" t="s">
        <v>158</v>
      </c>
    </row>
    <row r="331" spans="1:11">
      <c r="A331" s="80">
        <f>A330+1</f>
        <v>128</v>
      </c>
      <c r="B331" s="196" t="s">
        <v>406</v>
      </c>
      <c r="C331" s="81" t="s">
        <v>47</v>
      </c>
      <c r="D331" s="81"/>
      <c r="E331" s="82" t="s">
        <v>405</v>
      </c>
      <c r="F331" s="83" t="s">
        <v>392</v>
      </c>
      <c r="G331" s="139">
        <v>1</v>
      </c>
      <c r="H331" s="294"/>
      <c r="I331" s="84">
        <f t="shared" si="19"/>
        <v>0</v>
      </c>
      <c r="J331" s="263" t="s">
        <v>158</v>
      </c>
    </row>
    <row r="332" spans="1:11">
      <c r="A332" s="80">
        <f>A331+1</f>
        <v>129</v>
      </c>
      <c r="B332" s="196" t="s">
        <v>400</v>
      </c>
      <c r="C332" s="81" t="s">
        <v>47</v>
      </c>
      <c r="D332" s="81"/>
      <c r="E332" s="82" t="s">
        <v>399</v>
      </c>
      <c r="F332" s="83" t="s">
        <v>38</v>
      </c>
      <c r="G332" s="139">
        <v>3</v>
      </c>
      <c r="H332" s="294"/>
      <c r="I332" s="84">
        <f t="shared" si="19"/>
        <v>0</v>
      </c>
      <c r="J332" s="263" t="s">
        <v>152</v>
      </c>
    </row>
    <row r="333" spans="1:11" ht="25.5">
      <c r="A333" s="80">
        <f>A332+1</f>
        <v>130</v>
      </c>
      <c r="B333" s="196"/>
      <c r="C333" s="177" t="s">
        <v>85</v>
      </c>
      <c r="D333" s="177"/>
      <c r="E333" s="107" t="s">
        <v>244</v>
      </c>
      <c r="F333" s="108" t="s">
        <v>38</v>
      </c>
      <c r="G333" s="144">
        <v>1</v>
      </c>
      <c r="H333" s="300"/>
      <c r="I333" s="109">
        <f>G333*H333</f>
        <v>0</v>
      </c>
      <c r="J333" s="261" t="s">
        <v>158</v>
      </c>
    </row>
    <row r="334" spans="1:11" ht="25.5">
      <c r="A334" s="80">
        <f>A333+1</f>
        <v>131</v>
      </c>
      <c r="B334" s="196"/>
      <c r="C334" s="177" t="s">
        <v>85</v>
      </c>
      <c r="D334" s="177"/>
      <c r="E334" s="107" t="s">
        <v>391</v>
      </c>
      <c r="F334" s="108" t="s">
        <v>38</v>
      </c>
      <c r="G334" s="144">
        <v>1</v>
      </c>
      <c r="H334" s="300"/>
      <c r="I334" s="109">
        <f>G334*H334</f>
        <v>0</v>
      </c>
      <c r="J334" s="261" t="s">
        <v>152</v>
      </c>
    </row>
    <row r="335" spans="1:11" ht="25.5">
      <c r="A335" s="80">
        <f t="shared" ref="A335:A343" si="20">A334+1</f>
        <v>132</v>
      </c>
      <c r="B335" s="196"/>
      <c r="C335" s="177" t="s">
        <v>148</v>
      </c>
      <c r="D335" s="177"/>
      <c r="E335" s="107" t="s">
        <v>246</v>
      </c>
      <c r="F335" s="108" t="s">
        <v>38</v>
      </c>
      <c r="G335" s="144">
        <v>2</v>
      </c>
      <c r="H335" s="300"/>
      <c r="I335" s="109">
        <f>G335*H335</f>
        <v>0</v>
      </c>
      <c r="J335" s="261" t="s">
        <v>152</v>
      </c>
    </row>
    <row r="336" spans="1:11" ht="25.5">
      <c r="A336" s="80">
        <f t="shared" si="20"/>
        <v>133</v>
      </c>
      <c r="B336" s="196"/>
      <c r="C336" s="177" t="s">
        <v>179</v>
      </c>
      <c r="D336" s="177"/>
      <c r="E336" s="107" t="s">
        <v>247</v>
      </c>
      <c r="F336" s="108" t="s">
        <v>38</v>
      </c>
      <c r="G336" s="144">
        <v>1</v>
      </c>
      <c r="H336" s="300"/>
      <c r="I336" s="109">
        <f>G336*H336</f>
        <v>0</v>
      </c>
      <c r="J336" s="261" t="s">
        <v>152</v>
      </c>
    </row>
    <row r="337" spans="1:12" ht="25.5">
      <c r="A337" s="80">
        <f t="shared" si="20"/>
        <v>134</v>
      </c>
      <c r="B337" s="196"/>
      <c r="C337" s="81" t="s">
        <v>393</v>
      </c>
      <c r="D337" s="81"/>
      <c r="E337" s="82" t="s">
        <v>245</v>
      </c>
      <c r="F337" s="83" t="s">
        <v>38</v>
      </c>
      <c r="G337" s="139">
        <v>1</v>
      </c>
      <c r="H337" s="294"/>
      <c r="I337" s="84">
        <f t="shared" si="19"/>
        <v>0</v>
      </c>
      <c r="J337" s="263" t="s">
        <v>152</v>
      </c>
    </row>
    <row r="338" spans="1:12">
      <c r="A338" s="80"/>
      <c r="B338" s="196" t="s">
        <v>403</v>
      </c>
      <c r="C338" s="81" t="s">
        <v>47</v>
      </c>
      <c r="D338" s="81"/>
      <c r="E338" s="82" t="s">
        <v>401</v>
      </c>
      <c r="F338" s="83" t="s">
        <v>38</v>
      </c>
      <c r="G338" s="139">
        <v>7</v>
      </c>
      <c r="H338" s="294"/>
      <c r="I338" s="84">
        <f t="shared" si="19"/>
        <v>0</v>
      </c>
      <c r="J338" s="263" t="s">
        <v>158</v>
      </c>
    </row>
    <row r="339" spans="1:12">
      <c r="A339" s="80">
        <f>A337+1</f>
        <v>135</v>
      </c>
      <c r="B339" s="196"/>
      <c r="C339" s="81" t="s">
        <v>46</v>
      </c>
      <c r="D339" s="81"/>
      <c r="E339" s="82" t="s">
        <v>402</v>
      </c>
      <c r="F339" s="83" t="s">
        <v>38</v>
      </c>
      <c r="G339" s="139">
        <v>1</v>
      </c>
      <c r="H339" s="294"/>
      <c r="I339" s="84">
        <f t="shared" si="19"/>
        <v>0</v>
      </c>
      <c r="J339" s="263" t="s">
        <v>158</v>
      </c>
    </row>
    <row r="340" spans="1:12" ht="25.5">
      <c r="A340" s="80">
        <f t="shared" si="20"/>
        <v>136</v>
      </c>
      <c r="B340" s="196"/>
      <c r="C340" s="81" t="s">
        <v>346</v>
      </c>
      <c r="D340" s="81"/>
      <c r="E340" s="82" t="s">
        <v>394</v>
      </c>
      <c r="F340" s="83" t="s">
        <v>38</v>
      </c>
      <c r="G340" s="139">
        <v>1</v>
      </c>
      <c r="H340" s="294"/>
      <c r="I340" s="84">
        <f t="shared" si="19"/>
        <v>0</v>
      </c>
      <c r="J340" s="263" t="s">
        <v>158</v>
      </c>
    </row>
    <row r="341" spans="1:12">
      <c r="A341" s="80">
        <f t="shared" si="20"/>
        <v>137</v>
      </c>
      <c r="B341" s="196"/>
      <c r="C341" s="81" t="s">
        <v>346</v>
      </c>
      <c r="D341" s="81"/>
      <c r="E341" s="82" t="s">
        <v>217</v>
      </c>
      <c r="F341" s="83" t="s">
        <v>38</v>
      </c>
      <c r="G341" s="139">
        <v>1</v>
      </c>
      <c r="H341" s="294"/>
      <c r="I341" s="84">
        <f t="shared" si="19"/>
        <v>0</v>
      </c>
      <c r="J341" s="263" t="s">
        <v>158</v>
      </c>
    </row>
    <row r="342" spans="1:12" ht="25.5">
      <c r="A342" s="80">
        <f t="shared" si="20"/>
        <v>138</v>
      </c>
      <c r="B342" s="196"/>
      <c r="C342" s="81" t="s">
        <v>346</v>
      </c>
      <c r="D342" s="81"/>
      <c r="E342" s="82" t="s">
        <v>248</v>
      </c>
      <c r="F342" s="83" t="s">
        <v>38</v>
      </c>
      <c r="G342" s="139">
        <v>1</v>
      </c>
      <c r="H342" s="294"/>
      <c r="I342" s="84">
        <f t="shared" si="19"/>
        <v>0</v>
      </c>
      <c r="J342" s="263" t="s">
        <v>158</v>
      </c>
    </row>
    <row r="343" spans="1:12" ht="13.5" thickBot="1">
      <c r="A343" s="80">
        <f t="shared" si="20"/>
        <v>139</v>
      </c>
      <c r="B343" s="196"/>
      <c r="C343" s="81"/>
      <c r="D343" s="81"/>
      <c r="E343" s="82" t="s">
        <v>61</v>
      </c>
      <c r="F343" s="105" t="s">
        <v>44</v>
      </c>
      <c r="G343" s="139">
        <f>SUM(I333:I337,I339:I342)</f>
        <v>0</v>
      </c>
      <c r="H343" s="299"/>
      <c r="I343" s="106">
        <f t="shared" si="19"/>
        <v>0</v>
      </c>
      <c r="J343" s="263" t="s">
        <v>158</v>
      </c>
    </row>
    <row r="344" spans="1:12" ht="13.5" thickBot="1">
      <c r="A344" s="80"/>
      <c r="B344" s="196"/>
      <c r="C344" s="81"/>
      <c r="D344" s="81"/>
      <c r="E344" s="99" t="s">
        <v>37</v>
      </c>
      <c r="F344" s="100"/>
      <c r="G344" s="142"/>
      <c r="H344" s="297"/>
      <c r="I344" s="92">
        <f>SUM(I329:I343)</f>
        <v>0</v>
      </c>
    </row>
    <row r="345" spans="1:12">
      <c r="A345" s="80"/>
      <c r="B345" s="196"/>
      <c r="C345" s="81"/>
      <c r="D345" s="81"/>
      <c r="E345" s="93"/>
      <c r="F345" s="94"/>
      <c r="G345" s="129"/>
      <c r="H345" s="285"/>
      <c r="I345" s="95"/>
      <c r="J345" s="263"/>
      <c r="L345" s="3" t="s">
        <v>176</v>
      </c>
    </row>
    <row r="346" spans="1:12" ht="16.5">
      <c r="A346" s="80"/>
      <c r="B346" s="196"/>
      <c r="C346" s="96" t="s">
        <v>93</v>
      </c>
      <c r="D346" s="96"/>
      <c r="E346" s="79" t="s">
        <v>60</v>
      </c>
      <c r="F346" s="79"/>
      <c r="G346" s="79"/>
      <c r="H346" s="293"/>
      <c r="I346" s="79"/>
      <c r="J346" s="263"/>
    </row>
    <row r="347" spans="1:12" ht="15">
      <c r="A347" s="80"/>
      <c r="B347" s="196"/>
      <c r="C347" s="96"/>
      <c r="D347" s="96"/>
      <c r="E347" s="201" t="s">
        <v>448</v>
      </c>
      <c r="F347" s="201"/>
      <c r="G347" s="201"/>
      <c r="H347" s="291"/>
      <c r="I347" s="201"/>
      <c r="J347" s="263"/>
    </row>
    <row r="348" spans="1:12" ht="15">
      <c r="A348" s="80"/>
      <c r="B348" s="196"/>
      <c r="C348" s="96"/>
      <c r="D348" s="96"/>
      <c r="E348" s="201" t="s">
        <v>449</v>
      </c>
      <c r="F348" s="201"/>
      <c r="G348" s="201"/>
      <c r="H348" s="291"/>
      <c r="I348" s="201"/>
      <c r="J348" s="263"/>
    </row>
    <row r="349" spans="1:12" ht="15">
      <c r="A349" s="80"/>
      <c r="B349" s="196"/>
      <c r="C349" s="96"/>
      <c r="D349" s="96"/>
      <c r="E349" s="201" t="s">
        <v>450</v>
      </c>
      <c r="F349" s="201"/>
      <c r="G349" s="201"/>
      <c r="H349" s="291"/>
      <c r="I349" s="201"/>
      <c r="J349" s="263"/>
    </row>
    <row r="350" spans="1:12" ht="15">
      <c r="A350" s="80"/>
      <c r="B350" s="196"/>
      <c r="C350" s="96"/>
      <c r="D350" s="96"/>
      <c r="E350" s="201" t="s">
        <v>451</v>
      </c>
      <c r="F350" s="201"/>
      <c r="G350" s="201"/>
      <c r="H350" s="291"/>
      <c r="I350" s="201"/>
      <c r="J350" s="263"/>
    </row>
    <row r="351" spans="1:12" ht="15">
      <c r="A351" s="80"/>
      <c r="B351" s="196"/>
      <c r="C351" s="96"/>
      <c r="D351" s="96"/>
      <c r="E351" s="201" t="s">
        <v>452</v>
      </c>
      <c r="F351" s="201"/>
      <c r="G351" s="201"/>
      <c r="H351" s="291"/>
      <c r="I351" s="201"/>
      <c r="J351" s="263"/>
    </row>
    <row r="352" spans="1:12">
      <c r="A352" s="80">
        <f>A343+1</f>
        <v>140</v>
      </c>
      <c r="B352" s="196" t="s">
        <v>404</v>
      </c>
      <c r="C352" s="162" t="s">
        <v>47</v>
      </c>
      <c r="D352" s="162"/>
      <c r="E352" s="163" t="s">
        <v>5</v>
      </c>
      <c r="F352" s="164" t="s">
        <v>38</v>
      </c>
      <c r="G352" s="171">
        <v>2</v>
      </c>
      <c r="H352" s="294"/>
      <c r="I352" s="165">
        <f>G352*H352</f>
        <v>0</v>
      </c>
      <c r="J352" s="158" t="s">
        <v>152</v>
      </c>
    </row>
    <row r="353" spans="1:10" ht="25.5">
      <c r="A353" s="80">
        <f>A352+1</f>
        <v>141</v>
      </c>
      <c r="B353" s="196"/>
      <c r="C353" s="166" t="s">
        <v>46</v>
      </c>
      <c r="D353" s="166"/>
      <c r="E353" s="167" t="s">
        <v>6</v>
      </c>
      <c r="F353" s="168" t="s">
        <v>38</v>
      </c>
      <c r="G353" s="172">
        <v>2</v>
      </c>
      <c r="H353" s="307"/>
      <c r="I353" s="169">
        <f>G353*H353</f>
        <v>0</v>
      </c>
      <c r="J353" s="158" t="s">
        <v>152</v>
      </c>
    </row>
    <row r="354" spans="1:10">
      <c r="A354" s="80">
        <f>A353+1</f>
        <v>142</v>
      </c>
      <c r="B354" s="196" t="s">
        <v>408</v>
      </c>
      <c r="C354" s="162" t="s">
        <v>47</v>
      </c>
      <c r="D354" s="162"/>
      <c r="E354" s="82" t="s">
        <v>407</v>
      </c>
      <c r="F354" s="83" t="s">
        <v>38</v>
      </c>
      <c r="G354" s="139">
        <v>1</v>
      </c>
      <c r="H354" s="294"/>
      <c r="I354" s="84">
        <f>G354*H354</f>
        <v>0</v>
      </c>
      <c r="J354" s="263" t="s">
        <v>152</v>
      </c>
    </row>
    <row r="355" spans="1:10" ht="25.5">
      <c r="A355" s="80">
        <f>A354+1</f>
        <v>143</v>
      </c>
      <c r="B355" s="196"/>
      <c r="C355" s="166" t="s">
        <v>46</v>
      </c>
      <c r="D355" s="166"/>
      <c r="E355" s="102" t="s">
        <v>206</v>
      </c>
      <c r="F355" s="103" t="s">
        <v>38</v>
      </c>
      <c r="G355" s="143">
        <v>1</v>
      </c>
      <c r="H355" s="307"/>
      <c r="I355" s="104">
        <f>G355*H355</f>
        <v>0</v>
      </c>
      <c r="J355" s="263" t="s">
        <v>152</v>
      </c>
    </row>
    <row r="356" spans="1:10" ht="13.5" thickBot="1">
      <c r="A356" s="80">
        <f>A355+1</f>
        <v>144</v>
      </c>
      <c r="B356" s="196"/>
      <c r="C356" s="81"/>
      <c r="D356" s="81"/>
      <c r="E356" s="82" t="s">
        <v>61</v>
      </c>
      <c r="F356" s="105" t="s">
        <v>44</v>
      </c>
      <c r="G356" s="139">
        <f>I353+I355</f>
        <v>0</v>
      </c>
      <c r="H356" s="299"/>
      <c r="I356" s="106">
        <f>G356*H356</f>
        <v>0</v>
      </c>
      <c r="J356" s="263" t="s">
        <v>152</v>
      </c>
    </row>
    <row r="357" spans="1:10" ht="13.5" thickBot="1">
      <c r="A357" s="80"/>
      <c r="B357" s="196"/>
      <c r="C357" s="81"/>
      <c r="D357" s="81"/>
      <c r="E357" s="99" t="s">
        <v>37</v>
      </c>
      <c r="F357" s="100"/>
      <c r="G357" s="142"/>
      <c r="H357" s="297"/>
      <c r="I357" s="92">
        <f>SUBTOTAL(9,I352:I356)</f>
        <v>0</v>
      </c>
    </row>
    <row r="358" spans="1:10">
      <c r="A358" s="80"/>
      <c r="B358" s="196"/>
      <c r="C358" s="81"/>
      <c r="D358" s="81"/>
      <c r="E358" s="93"/>
      <c r="F358" s="94"/>
      <c r="G358" s="129"/>
      <c r="H358" s="285"/>
      <c r="I358" s="95"/>
    </row>
    <row r="359" spans="1:10">
      <c r="A359" s="80"/>
      <c r="B359" s="196"/>
      <c r="C359" s="81"/>
      <c r="D359" s="81"/>
      <c r="E359" s="93"/>
      <c r="F359" s="94"/>
      <c r="G359" s="129"/>
      <c r="H359" s="285"/>
      <c r="I359" s="95"/>
      <c r="J359" s="263"/>
    </row>
    <row r="360" spans="1:10" ht="16.5">
      <c r="A360" s="80"/>
      <c r="B360" s="196"/>
      <c r="C360" s="96" t="s">
        <v>94</v>
      </c>
      <c r="D360" s="96"/>
      <c r="E360" s="79" t="s">
        <v>75</v>
      </c>
      <c r="F360" s="79"/>
      <c r="G360" s="79"/>
      <c r="H360" s="293"/>
      <c r="I360" s="79"/>
      <c r="J360" s="263"/>
    </row>
    <row r="361" spans="1:10" ht="15">
      <c r="A361" s="80"/>
      <c r="B361" s="196"/>
      <c r="C361" s="96"/>
      <c r="D361" s="96"/>
      <c r="E361" s="201" t="s">
        <v>442</v>
      </c>
      <c r="F361" s="201"/>
      <c r="G361" s="201"/>
      <c r="H361" s="291"/>
      <c r="I361" s="201"/>
      <c r="J361" s="263"/>
    </row>
    <row r="362" spans="1:10" ht="15">
      <c r="A362" s="80"/>
      <c r="B362" s="196"/>
      <c r="C362" s="96"/>
      <c r="D362" s="96"/>
      <c r="E362" s="201" t="s">
        <v>446</v>
      </c>
      <c r="F362" s="201"/>
      <c r="G362" s="201"/>
      <c r="H362" s="291"/>
      <c r="I362" s="201"/>
      <c r="J362" s="263"/>
    </row>
    <row r="363" spans="1:10" ht="15">
      <c r="A363" s="80"/>
      <c r="B363" s="196"/>
      <c r="C363" s="96"/>
      <c r="D363" s="96"/>
      <c r="E363" s="201" t="s">
        <v>447</v>
      </c>
      <c r="F363" s="201"/>
      <c r="G363" s="201"/>
      <c r="H363" s="291"/>
      <c r="I363" s="201"/>
      <c r="J363" s="263"/>
    </row>
    <row r="364" spans="1:10" ht="15">
      <c r="A364" s="80"/>
      <c r="B364" s="196"/>
      <c r="C364" s="96"/>
      <c r="D364" s="96"/>
      <c r="E364" s="201" t="s">
        <v>445</v>
      </c>
      <c r="F364" s="201"/>
      <c r="G364" s="201"/>
      <c r="H364" s="291"/>
      <c r="I364" s="201"/>
      <c r="J364" s="263"/>
    </row>
    <row r="365" spans="1:10">
      <c r="A365" s="80">
        <f>A356+1</f>
        <v>145</v>
      </c>
      <c r="B365" s="196" t="s">
        <v>410</v>
      </c>
      <c r="C365" s="81"/>
      <c r="D365" s="81"/>
      <c r="E365" s="155" t="s">
        <v>409</v>
      </c>
      <c r="F365" s="83" t="s">
        <v>36</v>
      </c>
      <c r="G365" s="139">
        <f>2.5*0.5</f>
        <v>1.25</v>
      </c>
      <c r="H365" s="294"/>
      <c r="I365" s="157">
        <f t="shared" ref="I365:I373" si="21">G365*H365</f>
        <v>0</v>
      </c>
      <c r="J365" s="263" t="s">
        <v>152</v>
      </c>
    </row>
    <row r="366" spans="1:10" ht="25.5">
      <c r="A366" s="80">
        <f>A365+1</f>
        <v>146</v>
      </c>
      <c r="B366" s="196" t="s">
        <v>412</v>
      </c>
      <c r="C366" s="81"/>
      <c r="D366" s="81"/>
      <c r="E366" s="155" t="s">
        <v>411</v>
      </c>
      <c r="F366" s="175" t="s">
        <v>36</v>
      </c>
      <c r="G366" s="178">
        <f>0.01*G369</f>
        <v>7.4999999999999997E-2</v>
      </c>
      <c r="H366" s="179"/>
      <c r="I366" s="157">
        <f t="shared" si="21"/>
        <v>0</v>
      </c>
      <c r="J366" s="263" t="s">
        <v>152</v>
      </c>
    </row>
    <row r="367" spans="1:10">
      <c r="A367" s="80">
        <f>A366+1</f>
        <v>147</v>
      </c>
      <c r="B367" s="196" t="s">
        <v>433</v>
      </c>
      <c r="C367" s="81"/>
      <c r="D367" s="81"/>
      <c r="E367" s="155" t="s">
        <v>432</v>
      </c>
      <c r="F367" s="175" t="s">
        <v>36</v>
      </c>
      <c r="G367" s="178">
        <f>G375</f>
        <v>7.5</v>
      </c>
      <c r="H367" s="179"/>
      <c r="I367" s="157">
        <f t="shared" si="21"/>
        <v>0</v>
      </c>
      <c r="J367" s="263" t="s">
        <v>152</v>
      </c>
    </row>
    <row r="368" spans="1:10">
      <c r="A368" s="80">
        <f>A367+1</f>
        <v>148</v>
      </c>
      <c r="B368" s="196" t="s">
        <v>416</v>
      </c>
      <c r="C368" s="81"/>
      <c r="D368" s="81"/>
      <c r="E368" s="82" t="s">
        <v>415</v>
      </c>
      <c r="F368" s="83" t="s">
        <v>36</v>
      </c>
      <c r="G368" s="139">
        <f>4+3.5</f>
        <v>7.5</v>
      </c>
      <c r="H368" s="294"/>
      <c r="I368" s="84">
        <f t="shared" si="21"/>
        <v>0</v>
      </c>
      <c r="J368" s="263" t="s">
        <v>152</v>
      </c>
    </row>
    <row r="369" spans="1:10" ht="25.5">
      <c r="A369" s="80">
        <f t="shared" ref="A369:A381" si="22">A368+1</f>
        <v>149</v>
      </c>
      <c r="B369" s="196" t="s">
        <v>413</v>
      </c>
      <c r="C369" s="81"/>
      <c r="D369" s="81"/>
      <c r="E369" s="155" t="s">
        <v>414</v>
      </c>
      <c r="F369" s="83" t="s">
        <v>36</v>
      </c>
      <c r="G369" s="139">
        <f>4+3.5</f>
        <v>7.5</v>
      </c>
      <c r="H369" s="294"/>
      <c r="I369" s="84">
        <f t="shared" si="21"/>
        <v>0</v>
      </c>
      <c r="J369" s="263" t="s">
        <v>152</v>
      </c>
    </row>
    <row r="370" spans="1:10">
      <c r="A370" s="80">
        <f t="shared" si="22"/>
        <v>150</v>
      </c>
      <c r="B370" s="196" t="s">
        <v>420</v>
      </c>
      <c r="C370" s="81" t="s">
        <v>76</v>
      </c>
      <c r="D370" s="81"/>
      <c r="E370" s="82" t="s">
        <v>419</v>
      </c>
      <c r="F370" s="83" t="s">
        <v>36</v>
      </c>
      <c r="G370" s="139">
        <v>4</v>
      </c>
      <c r="H370" s="294"/>
      <c r="I370" s="84">
        <f t="shared" si="21"/>
        <v>0</v>
      </c>
      <c r="J370" s="263" t="s">
        <v>152</v>
      </c>
    </row>
    <row r="371" spans="1:10">
      <c r="A371" s="80">
        <f t="shared" si="22"/>
        <v>151</v>
      </c>
      <c r="B371" s="196"/>
      <c r="C371" s="101" t="s">
        <v>77</v>
      </c>
      <c r="D371" s="101"/>
      <c r="E371" s="102" t="s">
        <v>78</v>
      </c>
      <c r="F371" s="103" t="s">
        <v>48</v>
      </c>
      <c r="G371" s="143">
        <f>1.2*G370</f>
        <v>4.8</v>
      </c>
      <c r="H371" s="300"/>
      <c r="I371" s="104">
        <f t="shared" si="21"/>
        <v>0</v>
      </c>
      <c r="J371" s="263" t="s">
        <v>152</v>
      </c>
    </row>
    <row r="372" spans="1:10">
      <c r="A372" s="80">
        <f t="shared" si="22"/>
        <v>152</v>
      </c>
      <c r="B372" s="196" t="s">
        <v>335</v>
      </c>
      <c r="C372" s="81" t="s">
        <v>76</v>
      </c>
      <c r="D372" s="81"/>
      <c r="E372" s="82" t="s">
        <v>334</v>
      </c>
      <c r="F372" s="83" t="s">
        <v>39</v>
      </c>
      <c r="G372" s="139">
        <f>G373</f>
        <v>9.1199999999999992</v>
      </c>
      <c r="H372" s="294"/>
      <c r="I372" s="84">
        <f t="shared" si="21"/>
        <v>0</v>
      </c>
      <c r="J372" s="263" t="s">
        <v>152</v>
      </c>
    </row>
    <row r="373" spans="1:10" ht="25.5">
      <c r="A373" s="80">
        <f t="shared" si="22"/>
        <v>153</v>
      </c>
      <c r="B373" s="196"/>
      <c r="C373" s="101" t="s">
        <v>77</v>
      </c>
      <c r="D373" s="101"/>
      <c r="E373" s="102" t="s">
        <v>169</v>
      </c>
      <c r="F373" s="103" t="s">
        <v>39</v>
      </c>
      <c r="G373" s="144">
        <v>9.1199999999999992</v>
      </c>
      <c r="H373" s="300"/>
      <c r="I373" s="104">
        <f t="shared" si="21"/>
        <v>0</v>
      </c>
      <c r="J373" s="263" t="s">
        <v>152</v>
      </c>
    </row>
    <row r="374" spans="1:10">
      <c r="A374" s="80">
        <f t="shared" si="22"/>
        <v>154</v>
      </c>
      <c r="B374" s="196" t="s">
        <v>418</v>
      </c>
      <c r="C374" s="81" t="s">
        <v>199</v>
      </c>
      <c r="D374" s="81"/>
      <c r="E374" s="82" t="s">
        <v>417</v>
      </c>
      <c r="F374" s="83" t="s">
        <v>36</v>
      </c>
      <c r="G374" s="139">
        <f>4+3.5</f>
        <v>7.5</v>
      </c>
      <c r="H374" s="294"/>
      <c r="I374" s="84">
        <f t="shared" ref="I374:I382" si="23">G374*H374</f>
        <v>0</v>
      </c>
      <c r="J374" s="263" t="s">
        <v>152</v>
      </c>
    </row>
    <row r="375" spans="1:10" ht="25.5">
      <c r="A375" s="80">
        <f t="shared" si="22"/>
        <v>155</v>
      </c>
      <c r="B375" s="196" t="s">
        <v>426</v>
      </c>
      <c r="C375" s="81" t="s">
        <v>161</v>
      </c>
      <c r="D375" s="81"/>
      <c r="E375" s="82" t="s">
        <v>425</v>
      </c>
      <c r="F375" s="83" t="s">
        <v>36</v>
      </c>
      <c r="G375" s="139">
        <f>+G374</f>
        <v>7.5</v>
      </c>
      <c r="H375" s="294"/>
      <c r="I375" s="84">
        <f t="shared" si="23"/>
        <v>0</v>
      </c>
      <c r="J375" s="263" t="s">
        <v>152</v>
      </c>
    </row>
    <row r="376" spans="1:10" ht="25.5">
      <c r="A376" s="80">
        <f t="shared" si="22"/>
        <v>156</v>
      </c>
      <c r="B376" s="196"/>
      <c r="C376" s="101" t="s">
        <v>82</v>
      </c>
      <c r="D376" s="101"/>
      <c r="E376" s="102" t="s">
        <v>160</v>
      </c>
      <c r="F376" s="103" t="s">
        <v>36</v>
      </c>
      <c r="G376" s="144">
        <f>(3.5+4)*1.1</f>
        <v>8.25</v>
      </c>
      <c r="H376" s="300"/>
      <c r="I376" s="104">
        <f t="shared" si="23"/>
        <v>0</v>
      </c>
      <c r="J376" s="263" t="s">
        <v>152</v>
      </c>
    </row>
    <row r="377" spans="1:10" ht="25.5">
      <c r="A377" s="80">
        <f t="shared" si="22"/>
        <v>157</v>
      </c>
      <c r="B377" s="196" t="s">
        <v>427</v>
      </c>
      <c r="C377" s="81" t="s">
        <v>84</v>
      </c>
      <c r="D377" s="81"/>
      <c r="E377" s="85" t="s">
        <v>428</v>
      </c>
      <c r="F377" s="83" t="s">
        <v>39</v>
      </c>
      <c r="G377" s="140">
        <f>7.53-0.9-0.9-0.75</f>
        <v>4.9799999999999995</v>
      </c>
      <c r="H377" s="294"/>
      <c r="I377" s="84">
        <f t="shared" si="23"/>
        <v>0</v>
      </c>
      <c r="J377" s="263" t="s">
        <v>152</v>
      </c>
    </row>
    <row r="378" spans="1:10" ht="25.5">
      <c r="A378" s="80">
        <f t="shared" si="22"/>
        <v>158</v>
      </c>
      <c r="B378" s="196"/>
      <c r="C378" s="101" t="s">
        <v>83</v>
      </c>
      <c r="D378" s="101"/>
      <c r="E378" s="102" t="s">
        <v>429</v>
      </c>
      <c r="F378" s="103" t="s">
        <v>36</v>
      </c>
      <c r="G378" s="143">
        <f>0.6*0.6*2</f>
        <v>0.72</v>
      </c>
      <c r="H378" s="300"/>
      <c r="I378" s="104">
        <f t="shared" si="23"/>
        <v>0</v>
      </c>
      <c r="J378" s="263" t="s">
        <v>152</v>
      </c>
    </row>
    <row r="379" spans="1:10">
      <c r="A379" s="80">
        <f t="shared" si="22"/>
        <v>159</v>
      </c>
      <c r="B379" s="196" t="s">
        <v>326</v>
      </c>
      <c r="C379" s="81" t="s">
        <v>84</v>
      </c>
      <c r="D379" s="81"/>
      <c r="E379" s="82" t="s">
        <v>325</v>
      </c>
      <c r="F379" s="83" t="s">
        <v>39</v>
      </c>
      <c r="G379" s="139">
        <f>G377</f>
        <v>4.9799999999999995</v>
      </c>
      <c r="H379" s="294"/>
      <c r="I379" s="84">
        <f>G379*H379</f>
        <v>0</v>
      </c>
      <c r="J379" s="263" t="s">
        <v>152</v>
      </c>
    </row>
    <row r="380" spans="1:10">
      <c r="A380" s="80">
        <f t="shared" si="22"/>
        <v>160</v>
      </c>
      <c r="B380" s="196"/>
      <c r="C380" s="101" t="s">
        <v>83</v>
      </c>
      <c r="D380" s="101"/>
      <c r="E380" s="102" t="s">
        <v>430</v>
      </c>
      <c r="F380" s="103" t="s">
        <v>38</v>
      </c>
      <c r="G380" s="143">
        <v>2</v>
      </c>
      <c r="H380" s="300"/>
      <c r="I380" s="104">
        <f t="shared" si="23"/>
        <v>0</v>
      </c>
      <c r="J380" s="263" t="s">
        <v>152</v>
      </c>
    </row>
    <row r="381" spans="1:10" ht="25.5">
      <c r="A381" s="80">
        <f t="shared" si="22"/>
        <v>161</v>
      </c>
      <c r="B381" s="196"/>
      <c r="C381" s="81" t="s">
        <v>52</v>
      </c>
      <c r="D381" s="81"/>
      <c r="E381" s="82" t="s">
        <v>180</v>
      </c>
      <c r="F381" s="83" t="s">
        <v>35</v>
      </c>
      <c r="G381" s="139">
        <v>1</v>
      </c>
      <c r="H381" s="294"/>
      <c r="I381" s="84">
        <f t="shared" si="23"/>
        <v>0</v>
      </c>
      <c r="J381" s="263" t="s">
        <v>152</v>
      </c>
    </row>
    <row r="382" spans="1:10" ht="13.5" thickBot="1">
      <c r="A382" s="80">
        <f>A381+1</f>
        <v>162</v>
      </c>
      <c r="B382" s="196"/>
      <c r="C382" s="81"/>
      <c r="D382" s="81"/>
      <c r="E382" s="82" t="s">
        <v>61</v>
      </c>
      <c r="F382" s="105" t="s">
        <v>44</v>
      </c>
      <c r="G382" s="139">
        <f>+I374+I376+I378+I380+I371+I373+I381</f>
        <v>0</v>
      </c>
      <c r="H382" s="299"/>
      <c r="I382" s="106">
        <f t="shared" si="23"/>
        <v>0</v>
      </c>
      <c r="J382" s="263" t="s">
        <v>152</v>
      </c>
    </row>
    <row r="383" spans="1:10" ht="13.5" thickBot="1">
      <c r="A383" s="80"/>
      <c r="B383" s="196"/>
      <c r="C383" s="81"/>
      <c r="D383" s="81"/>
      <c r="E383" s="99" t="s">
        <v>37</v>
      </c>
      <c r="F383" s="100"/>
      <c r="G383" s="142"/>
      <c r="H383" s="297"/>
      <c r="I383" s="92">
        <f>SUBTOTAL(9,I365:I382)</f>
        <v>0</v>
      </c>
    </row>
    <row r="384" spans="1:10">
      <c r="A384" s="80"/>
      <c r="B384" s="196"/>
      <c r="C384" s="81"/>
      <c r="D384" s="81"/>
      <c r="E384" s="93"/>
      <c r="F384" s="94"/>
      <c r="G384" s="129"/>
      <c r="H384" s="285"/>
      <c r="I384" s="95"/>
      <c r="J384" s="263"/>
    </row>
    <row r="385" spans="1:18" ht="16.5">
      <c r="A385" s="80"/>
      <c r="B385" s="196"/>
      <c r="C385" s="96" t="s">
        <v>163</v>
      </c>
      <c r="D385" s="96"/>
      <c r="E385" s="79" t="s">
        <v>207</v>
      </c>
      <c r="F385" s="79"/>
      <c r="G385" s="79"/>
      <c r="H385" s="293"/>
      <c r="I385" s="79"/>
      <c r="J385" s="263"/>
    </row>
    <row r="386" spans="1:18" s="25" customFormat="1" ht="15">
      <c r="A386" s="80"/>
      <c r="B386" s="78"/>
      <c r="E386" s="201" t="s">
        <v>442</v>
      </c>
      <c r="F386" s="201"/>
      <c r="G386" s="201"/>
      <c r="H386" s="291"/>
      <c r="I386" s="201"/>
      <c r="J386" s="267"/>
      <c r="K386" s="202"/>
      <c r="R386" s="202"/>
    </row>
    <row r="387" spans="1:18" s="25" customFormat="1" ht="15">
      <c r="A387" s="80"/>
      <c r="B387" s="78"/>
      <c r="E387" s="201" t="s">
        <v>443</v>
      </c>
      <c r="F387" s="201"/>
      <c r="G387" s="201"/>
      <c r="H387" s="291"/>
      <c r="I387" s="201"/>
      <c r="J387" s="267"/>
      <c r="K387" s="202"/>
      <c r="R387" s="202"/>
    </row>
    <row r="388" spans="1:18" s="25" customFormat="1" ht="15">
      <c r="A388" s="80"/>
      <c r="B388" s="78"/>
      <c r="E388" s="201" t="s">
        <v>444</v>
      </c>
      <c r="F388" s="201"/>
      <c r="G388" s="201"/>
      <c r="H388" s="291"/>
      <c r="I388" s="201"/>
      <c r="J388" s="267"/>
      <c r="K388" s="202"/>
      <c r="R388" s="202"/>
    </row>
    <row r="389" spans="1:18" s="25" customFormat="1" ht="15">
      <c r="A389" s="80"/>
      <c r="B389" s="78"/>
      <c r="E389" s="201" t="s">
        <v>445</v>
      </c>
      <c r="F389" s="201"/>
      <c r="G389" s="201"/>
      <c r="H389" s="291"/>
      <c r="I389" s="201"/>
      <c r="J389" s="267"/>
      <c r="K389" s="202"/>
      <c r="R389" s="202"/>
    </row>
    <row r="390" spans="1:18" ht="25.5">
      <c r="A390" s="80">
        <f>A382+1</f>
        <v>163</v>
      </c>
      <c r="B390" s="196" t="s">
        <v>412</v>
      </c>
      <c r="C390" s="81"/>
      <c r="D390" s="81"/>
      <c r="E390" s="155" t="s">
        <v>431</v>
      </c>
      <c r="F390" s="175" t="s">
        <v>36</v>
      </c>
      <c r="G390" s="186">
        <f>0.7*G391</f>
        <v>19.669999999999998</v>
      </c>
      <c r="H390" s="179"/>
      <c r="I390" s="157">
        <f>G390*H390</f>
        <v>0</v>
      </c>
      <c r="J390" s="263" t="s">
        <v>152</v>
      </c>
    </row>
    <row r="391" spans="1:18">
      <c r="A391" s="80">
        <f t="shared" ref="A391:A400" si="24">A390+1</f>
        <v>164</v>
      </c>
      <c r="B391" s="196" t="s">
        <v>439</v>
      </c>
      <c r="C391" s="81"/>
      <c r="D391" s="81"/>
      <c r="E391" s="155" t="s">
        <v>249</v>
      </c>
      <c r="F391" s="175" t="s">
        <v>36</v>
      </c>
      <c r="G391" s="139">
        <f>12+16.1</f>
        <v>28.1</v>
      </c>
      <c r="H391" s="179"/>
      <c r="I391" s="157">
        <f>G391*H391</f>
        <v>0</v>
      </c>
      <c r="J391" s="263" t="s">
        <v>152</v>
      </c>
    </row>
    <row r="392" spans="1:18">
      <c r="A392" s="80">
        <f t="shared" si="24"/>
        <v>165</v>
      </c>
      <c r="B392" s="196" t="s">
        <v>416</v>
      </c>
      <c r="C392" s="81"/>
      <c r="D392" s="81"/>
      <c r="E392" s="82" t="s">
        <v>415</v>
      </c>
      <c r="F392" s="83" t="s">
        <v>36</v>
      </c>
      <c r="G392" s="186">
        <f>G391</f>
        <v>28.1</v>
      </c>
      <c r="H392" s="294"/>
      <c r="I392" s="157">
        <f>G392*H392</f>
        <v>0</v>
      </c>
      <c r="J392" s="263" t="s">
        <v>152</v>
      </c>
    </row>
    <row r="393" spans="1:18" ht="25.5">
      <c r="A393" s="80">
        <f t="shared" si="24"/>
        <v>166</v>
      </c>
      <c r="B393" s="196" t="s">
        <v>434</v>
      </c>
      <c r="C393" s="81"/>
      <c r="D393" s="81"/>
      <c r="E393" s="155" t="s">
        <v>435</v>
      </c>
      <c r="F393" s="155" t="s">
        <v>36</v>
      </c>
      <c r="G393" s="173">
        <f>G391</f>
        <v>28.1</v>
      </c>
      <c r="H393" s="294"/>
      <c r="I393" s="157">
        <f t="shared" ref="I393:I400" si="25">G393*H393</f>
        <v>0</v>
      </c>
      <c r="J393" s="158" t="s">
        <v>152</v>
      </c>
    </row>
    <row r="394" spans="1:18">
      <c r="A394" s="80">
        <f t="shared" si="24"/>
        <v>167</v>
      </c>
      <c r="B394" s="196" t="s">
        <v>441</v>
      </c>
      <c r="C394" s="81"/>
      <c r="D394" s="81"/>
      <c r="E394" s="155" t="s">
        <v>440</v>
      </c>
      <c r="F394" s="155" t="s">
        <v>36</v>
      </c>
      <c r="G394" s="173">
        <f>+G393</f>
        <v>28.1</v>
      </c>
      <c r="H394" s="294"/>
      <c r="I394" s="157">
        <f t="shared" si="25"/>
        <v>0</v>
      </c>
      <c r="J394" s="158" t="s">
        <v>152</v>
      </c>
    </row>
    <row r="395" spans="1:18" ht="12.75" customHeight="1">
      <c r="A395" s="80">
        <f t="shared" si="24"/>
        <v>168</v>
      </c>
      <c r="B395" s="199"/>
      <c r="C395" s="81"/>
      <c r="D395" s="81"/>
      <c r="E395" s="159" t="s">
        <v>4</v>
      </c>
      <c r="F395" s="160" t="s">
        <v>36</v>
      </c>
      <c r="G395" s="174">
        <f>G394*1.1</f>
        <v>30.910000000000004</v>
      </c>
      <c r="H395" s="300"/>
      <c r="I395" s="161">
        <f t="shared" si="25"/>
        <v>0</v>
      </c>
      <c r="J395" s="158" t="s">
        <v>152</v>
      </c>
    </row>
    <row r="396" spans="1:18">
      <c r="A396" s="87">
        <f t="shared" si="24"/>
        <v>169</v>
      </c>
      <c r="B396" s="199" t="s">
        <v>436</v>
      </c>
      <c r="C396" s="81" t="s">
        <v>151</v>
      </c>
      <c r="D396" s="81"/>
      <c r="E396" s="82" t="s">
        <v>437</v>
      </c>
      <c r="F396" s="83" t="s">
        <v>39</v>
      </c>
      <c r="G396" s="139">
        <f>18.5-2*0.9+15.5-0.9</f>
        <v>31.300000000000004</v>
      </c>
      <c r="H396" s="294"/>
      <c r="I396" s="84">
        <f t="shared" si="25"/>
        <v>0</v>
      </c>
      <c r="J396" s="263" t="s">
        <v>152</v>
      </c>
    </row>
    <row r="397" spans="1:18">
      <c r="A397" s="80">
        <f t="shared" si="24"/>
        <v>170</v>
      </c>
      <c r="B397" s="196"/>
      <c r="C397" s="101" t="s">
        <v>150</v>
      </c>
      <c r="D397" s="101"/>
      <c r="E397" s="102" t="s">
        <v>438</v>
      </c>
      <c r="F397" s="103" t="s">
        <v>39</v>
      </c>
      <c r="G397" s="143">
        <f>+G396*1.1</f>
        <v>34.430000000000007</v>
      </c>
      <c r="H397" s="300"/>
      <c r="I397" s="104">
        <f t="shared" si="25"/>
        <v>0</v>
      </c>
      <c r="J397" s="263" t="s">
        <v>152</v>
      </c>
    </row>
    <row r="398" spans="1:18">
      <c r="A398" s="80">
        <f t="shared" si="24"/>
        <v>171</v>
      </c>
      <c r="B398" s="196" t="s">
        <v>422</v>
      </c>
      <c r="C398" s="81" t="s">
        <v>423</v>
      </c>
      <c r="D398" s="81"/>
      <c r="E398" s="82" t="s">
        <v>421</v>
      </c>
      <c r="F398" s="83" t="s">
        <v>39</v>
      </c>
      <c r="G398" s="139">
        <f>G399</f>
        <v>1.4</v>
      </c>
      <c r="H398" s="294"/>
      <c r="I398" s="84">
        <f t="shared" si="25"/>
        <v>0</v>
      </c>
      <c r="J398" s="263" t="s">
        <v>152</v>
      </c>
    </row>
    <row r="399" spans="1:18" ht="25.5">
      <c r="A399" s="80">
        <f t="shared" si="24"/>
        <v>172</v>
      </c>
      <c r="B399" s="196"/>
      <c r="C399" s="81" t="s">
        <v>424</v>
      </c>
      <c r="D399" s="81"/>
      <c r="E399" s="82" t="s">
        <v>208</v>
      </c>
      <c r="F399" s="83" t="s">
        <v>39</v>
      </c>
      <c r="G399" s="139">
        <f>0.7*2</f>
        <v>1.4</v>
      </c>
      <c r="H399" s="294"/>
      <c r="I399" s="84">
        <f t="shared" si="25"/>
        <v>0</v>
      </c>
      <c r="J399" s="263" t="s">
        <v>152</v>
      </c>
    </row>
    <row r="400" spans="1:18" ht="13.5" thickBot="1">
      <c r="A400" s="80">
        <f t="shared" si="24"/>
        <v>173</v>
      </c>
      <c r="B400" s="196"/>
      <c r="C400" s="81"/>
      <c r="D400" s="81"/>
      <c r="E400" s="82" t="s">
        <v>61</v>
      </c>
      <c r="F400" s="105" t="s">
        <v>44</v>
      </c>
      <c r="G400" s="139">
        <f>+I390+I393+I395+I397+I399</f>
        <v>0</v>
      </c>
      <c r="H400" s="299"/>
      <c r="I400" s="106">
        <f t="shared" si="25"/>
        <v>0</v>
      </c>
      <c r="J400" s="263" t="s">
        <v>152</v>
      </c>
    </row>
    <row r="401" spans="1:10" ht="13.5" thickBot="1">
      <c r="C401" s="81"/>
      <c r="D401" s="81"/>
      <c r="E401" s="99" t="s">
        <v>37</v>
      </c>
      <c r="F401" s="100"/>
      <c r="G401" s="142"/>
      <c r="H401" s="297"/>
      <c r="I401" s="92">
        <f>SUBTOTAL(9,I390:I400)</f>
        <v>0</v>
      </c>
    </row>
    <row r="402" spans="1:10">
      <c r="C402" s="81"/>
      <c r="D402" s="81"/>
      <c r="E402" s="115"/>
      <c r="F402" s="105"/>
      <c r="G402" s="147"/>
      <c r="H402" s="302"/>
      <c r="I402" s="106"/>
    </row>
    <row r="403" spans="1:10" ht="16.5">
      <c r="C403" s="78">
        <v>3</v>
      </c>
      <c r="D403" s="78"/>
      <c r="E403" s="79" t="s">
        <v>51</v>
      </c>
      <c r="F403" s="79"/>
      <c r="G403" s="79"/>
      <c r="H403" s="293"/>
      <c r="I403" s="79"/>
    </row>
    <row r="404" spans="1:10">
      <c r="A404" s="80">
        <f>A400+1</f>
        <v>174</v>
      </c>
      <c r="B404" s="196"/>
      <c r="C404" s="81" t="s">
        <v>181</v>
      </c>
      <c r="D404" s="81"/>
      <c r="E404" s="82" t="s">
        <v>95</v>
      </c>
      <c r="F404" s="83" t="s">
        <v>38</v>
      </c>
      <c r="G404" s="139">
        <v>1</v>
      </c>
      <c r="H404" s="294"/>
      <c r="I404" s="84">
        <f>G404*H404</f>
        <v>0</v>
      </c>
      <c r="J404" s="263" t="s">
        <v>158</v>
      </c>
    </row>
    <row r="405" spans="1:10">
      <c r="A405" s="80">
        <f>A404+1</f>
        <v>175</v>
      </c>
      <c r="B405" s="196"/>
      <c r="C405" s="81"/>
      <c r="D405" s="81"/>
      <c r="E405" s="82" t="s">
        <v>132</v>
      </c>
      <c r="F405" s="83" t="s">
        <v>35</v>
      </c>
      <c r="G405" s="139">
        <v>1</v>
      </c>
      <c r="H405" s="294"/>
      <c r="I405" s="84">
        <f>G405*H405</f>
        <v>0</v>
      </c>
      <c r="J405" s="263" t="s">
        <v>152</v>
      </c>
    </row>
    <row r="406" spans="1:10" ht="13.5" thickBot="1">
      <c r="A406" s="80">
        <f>A405+1</f>
        <v>176</v>
      </c>
      <c r="B406" s="196"/>
      <c r="C406" s="81"/>
      <c r="D406" s="81"/>
      <c r="E406" s="82" t="s">
        <v>507</v>
      </c>
      <c r="F406" s="83" t="s">
        <v>35</v>
      </c>
      <c r="G406" s="139">
        <v>1</v>
      </c>
      <c r="H406" s="294"/>
      <c r="I406" s="84">
        <f>G406*H406</f>
        <v>0</v>
      </c>
      <c r="J406" s="263" t="s">
        <v>152</v>
      </c>
    </row>
    <row r="407" spans="1:10" ht="13.5" thickBot="1">
      <c r="A407" s="80"/>
      <c r="B407" s="196"/>
      <c r="E407" s="99" t="s">
        <v>37</v>
      </c>
      <c r="F407" s="100"/>
      <c r="G407" s="142"/>
      <c r="H407" s="297"/>
      <c r="I407" s="116">
        <f>SUBTOTAL(9,I404:I406)</f>
        <v>0</v>
      </c>
      <c r="J407" s="263"/>
    </row>
    <row r="408" spans="1:10">
      <c r="A408" s="80"/>
      <c r="B408" s="196"/>
      <c r="E408" s="93"/>
      <c r="F408" s="94"/>
      <c r="G408" s="129"/>
      <c r="H408" s="285"/>
      <c r="I408" s="95"/>
      <c r="J408" s="263"/>
    </row>
  </sheetData>
  <sheetProtection password="C5F8" sheet="1" selectLockedCells="1"/>
  <mergeCells count="2">
    <mergeCell ref="E6:G6"/>
    <mergeCell ref="E5:G5"/>
  </mergeCells>
  <phoneticPr fontId="8" type="noConversion"/>
  <conditionalFormatting sqref="F72:F73">
    <cfRule type="expression" dxfId="1" priority="1" stopIfTrue="1">
      <formula>ISTEXT(F72)</formula>
    </cfRule>
  </conditionalFormatting>
  <conditionalFormatting sqref="G72:I73">
    <cfRule type="expression" dxfId="0" priority="2" stopIfTrue="1">
      <formula>ISNUMBER(G72)</formula>
    </cfRule>
  </conditionalFormatting>
  <hyperlinks>
    <hyperlink ref="E12" location="Kapitola_2" display="Kapitola_2"/>
    <hyperlink ref="E11" location="Kapitola_1" display="Kapitola_1"/>
    <hyperlink ref="E125:I125" location="Rekapitulace_2" display="Stropní deska v úrovni terénu"/>
    <hyperlink ref="E27" location="Dokoncovaci_prace" display="Dokoncovaci_prace"/>
    <hyperlink ref="E146:I146" location="Rekapitulace_2b" display="Živičné izolace"/>
    <hyperlink ref="E160:I160" location="Rekapitulace_2c" display="Povlakové izolace proti vodě"/>
    <hyperlink ref="E205:I205" location="Rekapitulace_2d" display="Izolace tepelné"/>
    <hyperlink ref="E220:I220" location="Rekapitulace_2e" display="Kanalizace"/>
    <hyperlink ref="E238:I238" location="Rekapitulace_2f" display="Konstrukce klempířské"/>
    <hyperlink ref="E14" location="Kapitola_2b" display="Kapitola_2b"/>
    <hyperlink ref="E15" location="Kapitola_2c" display="Kapitola_2c"/>
    <hyperlink ref="E16" location="Kapitola_2d" display="Kapitola_2d"/>
    <hyperlink ref="E17" location="Kapitola_2e" display="Kapitola_2e"/>
    <hyperlink ref="E18" location="Kapitola_2f" display="Kapitola_2f"/>
    <hyperlink ref="E19" location="Kapitola_2g" display="Kapitola_2g"/>
    <hyperlink ref="E267:I267" location="Rekapitulace_2g" display="Elektroinstalace - silnoproud"/>
    <hyperlink ref="E284:I284" location="Rekapitulace_2i" display="Vzduchotechnika"/>
    <hyperlink ref="E276:I276" location="Rekapitulace_2h" display="Elektroinstalace - slaboproud"/>
    <hyperlink ref="E323:I323" location="Rekapitulace_2j" display="Konstrukce truhlářské"/>
    <hyperlink ref="E346:I346" location="Rekapitulace_2k" display="Konstrukce zámečnické"/>
    <hyperlink ref="E360:I360" location="Rekapitulace_2l" display="Podlahy z dlaždic"/>
    <hyperlink ref="E385:I385" location="Rekapitulace_2m" display="Podlahy povlakové"/>
    <hyperlink ref="E20:E26" location="Kapitola_2g" display="Kapitola_2g"/>
    <hyperlink ref="E20" location="Kapitola_2h" display="Kapitola_2h"/>
    <hyperlink ref="E21" location="Kapitola_2i" display="Kapitola_2i"/>
    <hyperlink ref="E23" location="Kapitola_2j" display="Kapitola_2j"/>
    <hyperlink ref="E24" location="Kapitola_2k" display="Kapitola_2k"/>
    <hyperlink ref="E25" location="Kapitola_2l" display="Kapitola_2l"/>
    <hyperlink ref="E26" location="Kapitola_2m" display="Kapitola_2m"/>
    <hyperlink ref="E403:I403" location="Rekapitulace_Dokončovací_práce" display="Dokončovací práce"/>
    <hyperlink ref="E304:I304" location="Rekapitulace_2h" display="Elektroinstalace - slaboproud"/>
    <hyperlink ref="L133" r:id="rId1"/>
    <hyperlink ref="L252" r:id="rId2"/>
    <hyperlink ref="L251" r:id="rId3"/>
    <hyperlink ref="L253" r:id="rId4"/>
    <hyperlink ref="L257" r:id="rId5"/>
    <hyperlink ref="E95:I95" location="Rekapitulace_1" display="Bourací a přípravné práce"/>
  </hyperlinks>
  <printOptions horizontalCentered="1"/>
  <pageMargins left="0.39370078740157483" right="0.39370078740157483" top="0.39370078740157483" bottom="0.47244094488188981" header="0.51181102362204722" footer="0.39370078740157483"/>
  <pageSetup paperSize="9" scale="80" firstPageNumber="0" orientation="portrait" horizontalDpi="300" verticalDpi="300" r:id="rId6"/>
  <headerFooter alignWithMargins="0"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topLeftCell="A704" workbookViewId="0">
      <selection activeCell="K15" sqref="K15"/>
    </sheetView>
  </sheetViews>
  <sheetFormatPr defaultRowHeight="12.75"/>
  <cols>
    <col min="1" max="1" width="4.7109375" style="224" customWidth="1"/>
    <col min="2" max="2" width="11.85546875" style="224" customWidth="1"/>
    <col min="3" max="3" width="44.140625" customWidth="1"/>
    <col min="4" max="4" width="4.5703125" customWidth="1"/>
    <col min="5" max="5" width="5.5703125" customWidth="1"/>
    <col min="6" max="7" width="8.140625" style="152" bestFit="1" customWidth="1"/>
    <col min="8" max="8" width="11.5703125" customWidth="1"/>
    <col min="9" max="9" width="1.28515625" style="62" customWidth="1"/>
    <col min="10" max="10" width="0" style="62" hidden="1" customWidth="1"/>
    <col min="11" max="11" width="12.85546875" style="152" customWidth="1"/>
    <col min="12" max="12" width="10.42578125" customWidth="1"/>
  </cols>
  <sheetData>
    <row r="1" spans="1:13" s="12" customFormat="1" ht="21" customHeight="1">
      <c r="A1" s="217"/>
      <c r="B1" s="217" t="s">
        <v>560</v>
      </c>
      <c r="C1" s="217"/>
      <c r="D1" s="260"/>
      <c r="E1" s="260"/>
      <c r="F1" s="260"/>
      <c r="G1" s="260"/>
      <c r="H1" s="260"/>
      <c r="I1" s="260"/>
      <c r="J1" s="243"/>
      <c r="K1" s="248"/>
    </row>
    <row r="2" spans="1:13" s="12" customFormat="1" ht="24" customHeight="1">
      <c r="A2" s="218"/>
      <c r="B2" s="218"/>
      <c r="C2" s="219" t="s">
        <v>104</v>
      </c>
      <c r="F2" s="248"/>
      <c r="G2" s="248"/>
      <c r="I2" s="117"/>
      <c r="J2" s="117"/>
      <c r="K2" s="248"/>
    </row>
    <row r="3" spans="1:13" s="12" customFormat="1" ht="16.5" customHeight="1">
      <c r="A3" s="218"/>
      <c r="B3" s="218"/>
      <c r="C3" s="220" t="s">
        <v>105</v>
      </c>
      <c r="F3" s="248"/>
      <c r="G3" s="248"/>
      <c r="I3" s="117"/>
      <c r="J3" s="117"/>
      <c r="K3" s="248"/>
    </row>
    <row r="4" spans="1:13" s="12" customFormat="1">
      <c r="A4" s="225"/>
      <c r="B4" s="225" t="s">
        <v>106</v>
      </c>
      <c r="C4" s="226" t="s">
        <v>107</v>
      </c>
      <c r="D4" s="227"/>
      <c r="E4" s="225" t="s">
        <v>41</v>
      </c>
      <c r="F4" s="249" t="s">
        <v>108</v>
      </c>
      <c r="G4" s="249" t="s">
        <v>109</v>
      </c>
      <c r="H4" s="225" t="s">
        <v>42</v>
      </c>
      <c r="I4" s="118"/>
      <c r="J4" s="117" t="s">
        <v>110</v>
      </c>
      <c r="K4" s="249" t="s">
        <v>536</v>
      </c>
    </row>
    <row r="5" spans="1:13" s="12" customFormat="1" ht="14.1" customHeight="1">
      <c r="A5" s="225">
        <v>1</v>
      </c>
      <c r="B5" s="225">
        <v>210201064</v>
      </c>
      <c r="C5" s="227" t="s">
        <v>509</v>
      </c>
      <c r="D5" s="227" t="s">
        <v>38</v>
      </c>
      <c r="E5" s="227">
        <v>1</v>
      </c>
      <c r="F5" s="250"/>
      <c r="G5" s="250"/>
      <c r="H5" s="228">
        <f>(F5+G5)*E5</f>
        <v>0</v>
      </c>
      <c r="I5" s="119"/>
      <c r="J5" s="117">
        <f>E5*F5</f>
        <v>0</v>
      </c>
      <c r="K5" s="248"/>
    </row>
    <row r="6" spans="1:13" s="12" customFormat="1" ht="14.1" customHeight="1">
      <c r="A6" s="225">
        <f t="shared" ref="A6:A37" si="0">A5+1</f>
        <v>2</v>
      </c>
      <c r="B6" s="225">
        <v>210201064</v>
      </c>
      <c r="C6" s="227" t="s">
        <v>111</v>
      </c>
      <c r="D6" s="227" t="s">
        <v>38</v>
      </c>
      <c r="E6" s="227">
        <v>5</v>
      </c>
      <c r="F6" s="250"/>
      <c r="G6" s="250"/>
      <c r="H6" s="228">
        <f t="shared" ref="H6:H37" si="1">(F6+G6)*E6</f>
        <v>0</v>
      </c>
      <c r="I6" s="119"/>
      <c r="J6" s="117">
        <f t="shared" ref="J6:J33" si="2">E6*F6</f>
        <v>0</v>
      </c>
      <c r="K6" s="248"/>
    </row>
    <row r="7" spans="1:13" s="12" customFormat="1" ht="14.1" customHeight="1">
      <c r="A7" s="225">
        <f t="shared" si="0"/>
        <v>3</v>
      </c>
      <c r="B7" s="225">
        <v>210201064</v>
      </c>
      <c r="C7" s="227" t="s">
        <v>510</v>
      </c>
      <c r="D7" s="227" t="s">
        <v>38</v>
      </c>
      <c r="E7" s="227">
        <v>1</v>
      </c>
      <c r="F7" s="250"/>
      <c r="G7" s="250"/>
      <c r="H7" s="228">
        <f t="shared" si="1"/>
        <v>0</v>
      </c>
      <c r="I7" s="119"/>
      <c r="J7" s="117">
        <f t="shared" si="2"/>
        <v>0</v>
      </c>
      <c r="K7" s="248"/>
    </row>
    <row r="8" spans="1:13" s="12" customFormat="1" ht="14.1" customHeight="1">
      <c r="A8" s="225">
        <f t="shared" si="0"/>
        <v>4</v>
      </c>
      <c r="B8" s="225">
        <v>210111021</v>
      </c>
      <c r="C8" s="227" t="s">
        <v>113</v>
      </c>
      <c r="D8" s="227" t="s">
        <v>38</v>
      </c>
      <c r="E8" s="227">
        <v>26</v>
      </c>
      <c r="F8" s="250"/>
      <c r="G8" s="250"/>
      <c r="H8" s="228">
        <f t="shared" si="1"/>
        <v>0</v>
      </c>
      <c r="I8" s="119"/>
      <c r="J8" s="117">
        <f t="shared" si="2"/>
        <v>0</v>
      </c>
      <c r="K8" s="248"/>
    </row>
    <row r="9" spans="1:13" s="12" customFormat="1" ht="14.1" customHeight="1">
      <c r="A9" s="225">
        <f t="shared" si="0"/>
        <v>5</v>
      </c>
      <c r="B9" s="225">
        <v>210110041</v>
      </c>
      <c r="C9" s="227" t="s">
        <v>114</v>
      </c>
      <c r="D9" s="227" t="s">
        <v>38</v>
      </c>
      <c r="E9" s="227">
        <v>5</v>
      </c>
      <c r="F9" s="250"/>
      <c r="G9" s="250"/>
      <c r="H9" s="228">
        <f t="shared" si="1"/>
        <v>0</v>
      </c>
      <c r="I9" s="119"/>
      <c r="J9" s="117">
        <f t="shared" si="2"/>
        <v>0</v>
      </c>
      <c r="K9" s="248"/>
    </row>
    <row r="10" spans="1:13" s="12" customFormat="1" ht="14.1" customHeight="1">
      <c r="A10" s="225">
        <f t="shared" si="0"/>
        <v>6</v>
      </c>
      <c r="B10" s="225">
        <v>210110045</v>
      </c>
      <c r="C10" s="227" t="s">
        <v>511</v>
      </c>
      <c r="D10" s="227" t="s">
        <v>38</v>
      </c>
      <c r="E10" s="227">
        <v>4</v>
      </c>
      <c r="F10" s="250"/>
      <c r="G10" s="250"/>
      <c r="H10" s="228">
        <f>(F10+G10)*E10</f>
        <v>0</v>
      </c>
      <c r="I10" s="119"/>
      <c r="J10" s="117">
        <f t="shared" si="2"/>
        <v>0</v>
      </c>
      <c r="K10" s="248"/>
    </row>
    <row r="11" spans="1:13" s="12" customFormat="1" ht="14.1" customHeight="1">
      <c r="A11" s="225">
        <f t="shared" si="0"/>
        <v>7</v>
      </c>
      <c r="B11" s="225" t="s">
        <v>112</v>
      </c>
      <c r="C11" s="227" t="s">
        <v>512</v>
      </c>
      <c r="D11" s="227" t="s">
        <v>38</v>
      </c>
      <c r="E11" s="227">
        <v>1</v>
      </c>
      <c r="F11" s="250"/>
      <c r="G11" s="250"/>
      <c r="H11" s="228">
        <f>(F11+G11)*E11</f>
        <v>0</v>
      </c>
      <c r="I11" s="119"/>
      <c r="J11" s="117">
        <f t="shared" si="2"/>
        <v>0</v>
      </c>
      <c r="K11" s="248"/>
    </row>
    <row r="12" spans="1:13" s="12" customFormat="1" ht="14.1" customHeight="1">
      <c r="A12" s="225">
        <f t="shared" si="0"/>
        <v>8</v>
      </c>
      <c r="B12" s="225" t="s">
        <v>112</v>
      </c>
      <c r="C12" s="227" t="s">
        <v>115</v>
      </c>
      <c r="D12" s="227" t="s">
        <v>38</v>
      </c>
      <c r="E12" s="227">
        <v>15</v>
      </c>
      <c r="F12" s="250"/>
      <c r="G12" s="250"/>
      <c r="H12" s="228">
        <f t="shared" si="1"/>
        <v>0</v>
      </c>
      <c r="I12" s="119"/>
      <c r="J12" s="117">
        <f t="shared" si="2"/>
        <v>0</v>
      </c>
      <c r="K12" s="248"/>
    </row>
    <row r="13" spans="1:13" s="12" customFormat="1" ht="14.1" customHeight="1">
      <c r="A13" s="225">
        <f t="shared" si="0"/>
        <v>9</v>
      </c>
      <c r="B13" s="225" t="s">
        <v>112</v>
      </c>
      <c r="C13" s="229" t="s">
        <v>116</v>
      </c>
      <c r="D13" s="229" t="s">
        <v>38</v>
      </c>
      <c r="E13" s="229">
        <v>6</v>
      </c>
      <c r="F13" s="250"/>
      <c r="G13" s="250"/>
      <c r="H13" s="228">
        <f t="shared" si="1"/>
        <v>0</v>
      </c>
      <c r="I13" s="119"/>
      <c r="J13" s="117">
        <f t="shared" si="2"/>
        <v>0</v>
      </c>
      <c r="K13" s="248"/>
    </row>
    <row r="14" spans="1:13" s="12" customFormat="1" ht="14.1" customHeight="1">
      <c r="A14" s="225">
        <f t="shared" si="0"/>
        <v>10</v>
      </c>
      <c r="B14" s="225" t="s">
        <v>112</v>
      </c>
      <c r="C14" s="230" t="s">
        <v>513</v>
      </c>
      <c r="D14" s="227" t="s">
        <v>38</v>
      </c>
      <c r="E14" s="231">
        <v>4</v>
      </c>
      <c r="F14" s="250"/>
      <c r="G14" s="250"/>
      <c r="H14" s="228">
        <f t="shared" si="1"/>
        <v>0</v>
      </c>
      <c r="I14" s="119"/>
      <c r="J14" s="117">
        <f t="shared" si="2"/>
        <v>0</v>
      </c>
      <c r="K14" s="248"/>
    </row>
    <row r="15" spans="1:13" s="12" customFormat="1" ht="13.5" customHeight="1">
      <c r="A15" s="225">
        <f t="shared" si="0"/>
        <v>11</v>
      </c>
      <c r="B15" s="225" t="s">
        <v>112</v>
      </c>
      <c r="C15" s="230" t="s">
        <v>514</v>
      </c>
      <c r="D15" s="227" t="s">
        <v>38</v>
      </c>
      <c r="E15" s="231">
        <v>1</v>
      </c>
      <c r="F15" s="250"/>
      <c r="G15" s="250"/>
      <c r="H15" s="228">
        <f t="shared" si="1"/>
        <v>0</v>
      </c>
      <c r="I15" s="119"/>
      <c r="J15" s="117">
        <f t="shared" si="2"/>
        <v>0</v>
      </c>
      <c r="K15" s="248"/>
      <c r="M15" s="15"/>
    </row>
    <row r="16" spans="1:13" s="12" customFormat="1" ht="14.1" customHeight="1">
      <c r="A16" s="225">
        <f t="shared" si="0"/>
        <v>12</v>
      </c>
      <c r="B16" s="225">
        <v>210220321</v>
      </c>
      <c r="C16" s="227" t="s">
        <v>185</v>
      </c>
      <c r="D16" s="227" t="s">
        <v>38</v>
      </c>
      <c r="E16" s="227">
        <v>2</v>
      </c>
      <c r="F16" s="250"/>
      <c r="G16" s="250"/>
      <c r="H16" s="228">
        <f t="shared" si="1"/>
        <v>0</v>
      </c>
      <c r="I16" s="119"/>
      <c r="J16" s="117">
        <f t="shared" si="2"/>
        <v>0</v>
      </c>
      <c r="K16" s="248"/>
    </row>
    <row r="17" spans="1:11" s="12" customFormat="1" ht="14.1" customHeight="1">
      <c r="A17" s="225">
        <f t="shared" si="0"/>
        <v>13</v>
      </c>
      <c r="B17" s="225">
        <v>210010301</v>
      </c>
      <c r="C17" s="227" t="s">
        <v>117</v>
      </c>
      <c r="D17" s="227" t="s">
        <v>38</v>
      </c>
      <c r="E17" s="227">
        <v>36</v>
      </c>
      <c r="F17" s="250"/>
      <c r="G17" s="250"/>
      <c r="H17" s="228">
        <f t="shared" si="1"/>
        <v>0</v>
      </c>
      <c r="I17" s="119"/>
      <c r="J17" s="117">
        <f t="shared" si="2"/>
        <v>0</v>
      </c>
      <c r="K17" s="248"/>
    </row>
    <row r="18" spans="1:11" s="12" customFormat="1" ht="14.1" customHeight="1">
      <c r="A18" s="225">
        <f t="shared" si="0"/>
        <v>14</v>
      </c>
      <c r="B18" s="225">
        <v>210010321</v>
      </c>
      <c r="C18" s="227" t="s">
        <v>186</v>
      </c>
      <c r="D18" s="227" t="s">
        <v>38</v>
      </c>
      <c r="E18" s="227">
        <v>8</v>
      </c>
      <c r="F18" s="250"/>
      <c r="G18" s="250"/>
      <c r="H18" s="228">
        <f t="shared" si="1"/>
        <v>0</v>
      </c>
      <c r="I18" s="119"/>
      <c r="J18" s="117">
        <f t="shared" si="2"/>
        <v>0</v>
      </c>
      <c r="K18" s="248"/>
    </row>
    <row r="19" spans="1:11" s="12" customFormat="1" ht="14.1" customHeight="1">
      <c r="A19" s="225">
        <f t="shared" si="0"/>
        <v>15</v>
      </c>
      <c r="B19" s="225">
        <v>211010011</v>
      </c>
      <c r="C19" s="227" t="s">
        <v>118</v>
      </c>
      <c r="D19" s="227" t="s">
        <v>38</v>
      </c>
      <c r="E19" s="227">
        <v>20</v>
      </c>
      <c r="F19" s="250"/>
      <c r="G19" s="250"/>
      <c r="H19" s="228">
        <f t="shared" si="1"/>
        <v>0</v>
      </c>
      <c r="I19" s="119"/>
      <c r="J19" s="117">
        <f t="shared" si="2"/>
        <v>0</v>
      </c>
      <c r="K19" s="248"/>
    </row>
    <row r="20" spans="1:11" s="12" customFormat="1" ht="14.1" customHeight="1">
      <c r="A20" s="225">
        <f t="shared" si="0"/>
        <v>16</v>
      </c>
      <c r="B20" s="225">
        <v>210010511</v>
      </c>
      <c r="C20" s="227" t="s">
        <v>515</v>
      </c>
      <c r="D20" s="227" t="s">
        <v>38</v>
      </c>
      <c r="E20" s="227">
        <v>3</v>
      </c>
      <c r="F20" s="250"/>
      <c r="G20" s="250"/>
      <c r="H20" s="228">
        <f t="shared" si="1"/>
        <v>0</v>
      </c>
      <c r="I20" s="119"/>
      <c r="J20" s="117">
        <f t="shared" si="2"/>
        <v>0</v>
      </c>
      <c r="K20" s="248"/>
    </row>
    <row r="21" spans="1:11" s="12" customFormat="1" ht="14.1" customHeight="1">
      <c r="A21" s="225">
        <f t="shared" si="0"/>
        <v>17</v>
      </c>
      <c r="B21" s="225">
        <v>210800106</v>
      </c>
      <c r="C21" s="227" t="s">
        <v>516</v>
      </c>
      <c r="D21" s="227" t="s">
        <v>39</v>
      </c>
      <c r="E21" s="227">
        <v>190</v>
      </c>
      <c r="F21" s="250"/>
      <c r="G21" s="250"/>
      <c r="H21" s="228">
        <f t="shared" si="1"/>
        <v>0</v>
      </c>
      <c r="I21" s="119"/>
      <c r="J21" s="117">
        <f t="shared" si="2"/>
        <v>0</v>
      </c>
      <c r="K21" s="248"/>
    </row>
    <row r="22" spans="1:11" s="12" customFormat="1" ht="14.1" customHeight="1">
      <c r="A22" s="225">
        <f t="shared" si="0"/>
        <v>18</v>
      </c>
      <c r="B22" s="225">
        <v>210800101</v>
      </c>
      <c r="C22" s="227" t="s">
        <v>517</v>
      </c>
      <c r="D22" s="227" t="s">
        <v>39</v>
      </c>
      <c r="E22" s="227">
        <v>10</v>
      </c>
      <c r="F22" s="250"/>
      <c r="G22" s="250"/>
      <c r="H22" s="228">
        <f t="shared" si="1"/>
        <v>0</v>
      </c>
      <c r="I22" s="119"/>
      <c r="J22" s="117">
        <f t="shared" si="2"/>
        <v>0</v>
      </c>
      <c r="K22" s="248"/>
    </row>
    <row r="23" spans="1:11" s="12" customFormat="1" ht="14.1" customHeight="1">
      <c r="A23" s="225">
        <f t="shared" si="0"/>
        <v>19</v>
      </c>
      <c r="B23" s="225">
        <v>210800105</v>
      </c>
      <c r="C23" s="227" t="s">
        <v>518</v>
      </c>
      <c r="D23" s="227" t="s">
        <v>39</v>
      </c>
      <c r="E23" s="227">
        <v>20</v>
      </c>
      <c r="F23" s="250"/>
      <c r="G23" s="250"/>
      <c r="H23" s="228">
        <f t="shared" si="1"/>
        <v>0</v>
      </c>
      <c r="I23" s="119"/>
      <c r="J23" s="117">
        <f t="shared" si="2"/>
        <v>0</v>
      </c>
      <c r="K23" s="248"/>
    </row>
    <row r="24" spans="1:11" s="12" customFormat="1" ht="12.75" customHeight="1">
      <c r="A24" s="225">
        <f t="shared" si="0"/>
        <v>20</v>
      </c>
      <c r="B24" s="225">
        <v>210800105</v>
      </c>
      <c r="C24" s="227" t="s">
        <v>216</v>
      </c>
      <c r="D24" s="227" t="s">
        <v>39</v>
      </c>
      <c r="E24" s="227">
        <v>60</v>
      </c>
      <c r="F24" s="250"/>
      <c r="G24" s="250"/>
      <c r="H24" s="228">
        <f t="shared" si="1"/>
        <v>0</v>
      </c>
      <c r="I24" s="119"/>
      <c r="J24" s="117">
        <f t="shared" si="2"/>
        <v>0</v>
      </c>
      <c r="K24" s="248"/>
    </row>
    <row r="25" spans="1:11" s="12" customFormat="1" ht="12.75" customHeight="1">
      <c r="A25" s="225">
        <f t="shared" si="0"/>
        <v>21</v>
      </c>
      <c r="B25" s="225">
        <v>210810055</v>
      </c>
      <c r="C25" s="227" t="s">
        <v>519</v>
      </c>
      <c r="D25" s="227" t="s">
        <v>39</v>
      </c>
      <c r="E25" s="227">
        <v>20</v>
      </c>
      <c r="F25" s="250"/>
      <c r="G25" s="250"/>
      <c r="H25" s="228">
        <f t="shared" si="1"/>
        <v>0</v>
      </c>
      <c r="I25" s="119"/>
      <c r="J25" s="117">
        <f t="shared" si="2"/>
        <v>0</v>
      </c>
      <c r="K25" s="248"/>
    </row>
    <row r="26" spans="1:11" s="12" customFormat="1" ht="12.75" customHeight="1">
      <c r="A26" s="225">
        <f t="shared" si="0"/>
        <v>22</v>
      </c>
      <c r="B26" s="225">
        <v>210800566</v>
      </c>
      <c r="C26" s="227" t="s">
        <v>119</v>
      </c>
      <c r="D26" s="227" t="s">
        <v>39</v>
      </c>
      <c r="E26" s="227">
        <v>10</v>
      </c>
      <c r="F26" s="250"/>
      <c r="G26" s="250"/>
      <c r="H26" s="228">
        <f t="shared" si="1"/>
        <v>0</v>
      </c>
      <c r="I26" s="119"/>
      <c r="J26" s="117">
        <f t="shared" si="2"/>
        <v>0</v>
      </c>
      <c r="K26" s="248"/>
    </row>
    <row r="27" spans="1:11" s="12" customFormat="1" ht="12.75" customHeight="1">
      <c r="A27" s="225">
        <f t="shared" si="0"/>
        <v>23</v>
      </c>
      <c r="B27" s="225">
        <v>210190005</v>
      </c>
      <c r="C27" s="227" t="s">
        <v>120</v>
      </c>
      <c r="D27" s="227" t="s">
        <v>38</v>
      </c>
      <c r="E27" s="227">
        <v>1</v>
      </c>
      <c r="F27" s="251"/>
      <c r="G27" s="250"/>
      <c r="H27" s="228">
        <f t="shared" si="1"/>
        <v>0</v>
      </c>
      <c r="I27" s="119"/>
      <c r="J27" s="117">
        <f t="shared" si="2"/>
        <v>0</v>
      </c>
      <c r="K27" s="248"/>
    </row>
    <row r="28" spans="1:11" s="12" customFormat="1" ht="12.75" customHeight="1">
      <c r="A28" s="225">
        <f t="shared" si="0"/>
        <v>24</v>
      </c>
      <c r="B28" s="225">
        <v>210292041</v>
      </c>
      <c r="C28" s="227" t="s">
        <v>121</v>
      </c>
      <c r="D28" s="227" t="s">
        <v>38</v>
      </c>
      <c r="E28" s="227">
        <v>40</v>
      </c>
      <c r="F28" s="251"/>
      <c r="G28" s="250"/>
      <c r="H28" s="228">
        <f t="shared" si="1"/>
        <v>0</v>
      </c>
      <c r="I28" s="119"/>
      <c r="J28" s="117">
        <f t="shared" si="2"/>
        <v>0</v>
      </c>
      <c r="K28" s="248"/>
    </row>
    <row r="29" spans="1:11" s="12" customFormat="1" ht="12.75" customHeight="1">
      <c r="A29" s="225">
        <f t="shared" si="0"/>
        <v>25</v>
      </c>
      <c r="B29" s="225">
        <v>210040512</v>
      </c>
      <c r="C29" s="227" t="s">
        <v>187</v>
      </c>
      <c r="D29" s="227" t="s">
        <v>38</v>
      </c>
      <c r="E29" s="227">
        <v>40</v>
      </c>
      <c r="F29" s="251"/>
      <c r="G29" s="250"/>
      <c r="H29" s="228">
        <f t="shared" si="1"/>
        <v>0</v>
      </c>
      <c r="I29" s="119"/>
      <c r="J29" s="117">
        <f t="shared" si="2"/>
        <v>0</v>
      </c>
      <c r="K29" s="248"/>
    </row>
    <row r="30" spans="1:11" s="12" customFormat="1" ht="12.75" customHeight="1">
      <c r="A30" s="225">
        <f t="shared" si="0"/>
        <v>26</v>
      </c>
      <c r="B30" s="225">
        <v>210100251</v>
      </c>
      <c r="C30" s="227" t="s">
        <v>520</v>
      </c>
      <c r="D30" s="227" t="s">
        <v>38</v>
      </c>
      <c r="E30" s="227">
        <v>1</v>
      </c>
      <c r="F30" s="251"/>
      <c r="G30" s="250"/>
      <c r="H30" s="228">
        <f t="shared" si="1"/>
        <v>0</v>
      </c>
      <c r="I30" s="119"/>
      <c r="J30" s="117">
        <f t="shared" si="2"/>
        <v>0</v>
      </c>
      <c r="K30" s="248"/>
    </row>
    <row r="31" spans="1:11" s="12" customFormat="1" ht="12.75" customHeight="1">
      <c r="A31" s="225">
        <f t="shared" si="0"/>
        <v>27</v>
      </c>
      <c r="B31" s="225">
        <v>974031122</v>
      </c>
      <c r="C31" s="227" t="s">
        <v>188</v>
      </c>
      <c r="D31" s="227" t="s">
        <v>39</v>
      </c>
      <c r="E31" s="227">
        <v>60</v>
      </c>
      <c r="F31" s="251"/>
      <c r="G31" s="250"/>
      <c r="H31" s="228">
        <f t="shared" si="1"/>
        <v>0</v>
      </c>
      <c r="I31" s="119"/>
      <c r="J31" s="117"/>
      <c r="K31" s="248"/>
    </row>
    <row r="32" spans="1:11" s="12" customFormat="1" ht="12.75" customHeight="1">
      <c r="A32" s="225">
        <f t="shared" si="0"/>
        <v>28</v>
      </c>
      <c r="B32" s="225">
        <v>210040721</v>
      </c>
      <c r="C32" s="227" t="s">
        <v>189</v>
      </c>
      <c r="D32" s="227" t="s">
        <v>38</v>
      </c>
      <c r="E32" s="227">
        <v>5</v>
      </c>
      <c r="F32" s="251"/>
      <c r="G32" s="250"/>
      <c r="H32" s="228">
        <f t="shared" si="1"/>
        <v>0</v>
      </c>
      <c r="I32" s="119"/>
      <c r="J32" s="117"/>
      <c r="K32" s="248"/>
    </row>
    <row r="33" spans="1:11" s="12" customFormat="1" ht="12.75" customHeight="1">
      <c r="A33" s="225">
        <f t="shared" si="0"/>
        <v>29</v>
      </c>
      <c r="B33" s="225">
        <v>973033141</v>
      </c>
      <c r="C33" s="227" t="s">
        <v>190</v>
      </c>
      <c r="D33" s="227" t="s">
        <v>38</v>
      </c>
      <c r="E33" s="227">
        <v>44</v>
      </c>
      <c r="F33" s="251"/>
      <c r="G33" s="250"/>
      <c r="H33" s="228">
        <f t="shared" si="1"/>
        <v>0</v>
      </c>
      <c r="I33" s="119"/>
      <c r="J33" s="117">
        <f t="shared" si="2"/>
        <v>0</v>
      </c>
      <c r="K33" s="248"/>
    </row>
    <row r="34" spans="1:11" s="12" customFormat="1" ht="12.75" customHeight="1">
      <c r="A34" s="225">
        <f t="shared" si="0"/>
        <v>30</v>
      </c>
      <c r="B34" s="225" t="s">
        <v>112</v>
      </c>
      <c r="C34" s="227" t="s">
        <v>521</v>
      </c>
      <c r="D34" s="227" t="s">
        <v>38</v>
      </c>
      <c r="E34" s="227">
        <v>2</v>
      </c>
      <c r="F34" s="251"/>
      <c r="G34" s="250"/>
      <c r="H34" s="228">
        <f t="shared" si="1"/>
        <v>0</v>
      </c>
      <c r="I34" s="120"/>
      <c r="J34" s="117">
        <f>SUM(J5:J33)</f>
        <v>0</v>
      </c>
      <c r="K34" s="248"/>
    </row>
    <row r="35" spans="1:11" s="12" customFormat="1" ht="25.5">
      <c r="A35" s="225">
        <f t="shared" si="0"/>
        <v>31</v>
      </c>
      <c r="B35" s="225" t="s">
        <v>112</v>
      </c>
      <c r="C35" s="235" t="s">
        <v>122</v>
      </c>
      <c r="D35" s="227" t="s">
        <v>123</v>
      </c>
      <c r="E35" s="227">
        <v>1</v>
      </c>
      <c r="F35" s="251"/>
      <c r="G35" s="250"/>
      <c r="H35" s="228">
        <f t="shared" si="1"/>
        <v>0</v>
      </c>
      <c r="I35" s="120"/>
      <c r="J35" s="117"/>
      <c r="K35" s="248"/>
    </row>
    <row r="36" spans="1:11" s="12" customFormat="1" ht="12.75" customHeight="1">
      <c r="A36" s="225">
        <f t="shared" si="0"/>
        <v>32</v>
      </c>
      <c r="B36" s="225" t="s">
        <v>43</v>
      </c>
      <c r="C36" s="227" t="s">
        <v>191</v>
      </c>
      <c r="D36" s="227" t="s">
        <v>124</v>
      </c>
      <c r="E36" s="227">
        <v>24</v>
      </c>
      <c r="F36" s="251"/>
      <c r="G36" s="250"/>
      <c r="H36" s="228">
        <f t="shared" si="1"/>
        <v>0</v>
      </c>
      <c r="I36" s="120"/>
      <c r="J36" s="117"/>
      <c r="K36" s="248"/>
    </row>
    <row r="37" spans="1:11" s="12" customFormat="1" ht="12.75" customHeight="1">
      <c r="A37" s="225">
        <f t="shared" si="0"/>
        <v>33</v>
      </c>
      <c r="B37" s="225" t="s">
        <v>43</v>
      </c>
      <c r="C37" s="227" t="s">
        <v>125</v>
      </c>
      <c r="D37" s="227" t="s">
        <v>124</v>
      </c>
      <c r="E37" s="227">
        <v>12</v>
      </c>
      <c r="F37" s="251"/>
      <c r="G37" s="250"/>
      <c r="H37" s="228">
        <f t="shared" si="1"/>
        <v>0</v>
      </c>
      <c r="I37" s="119"/>
      <c r="J37" s="117"/>
      <c r="K37" s="248"/>
    </row>
    <row r="38" spans="1:11" s="12" customFormat="1" ht="12.75" customHeight="1">
      <c r="A38" s="225"/>
      <c r="B38" s="225"/>
      <c r="C38" s="226" t="s">
        <v>126</v>
      </c>
      <c r="D38" s="227"/>
      <c r="E38" s="227"/>
      <c r="F38" s="251"/>
      <c r="G38" s="251"/>
      <c r="H38" s="232">
        <f>SUM(H5:H37)</f>
        <v>0</v>
      </c>
      <c r="I38" s="119"/>
      <c r="J38" s="117">
        <f>E38*F38</f>
        <v>0</v>
      </c>
      <c r="K38" s="248"/>
    </row>
    <row r="39" spans="1:11" s="12" customFormat="1" ht="12.75" customHeight="1">
      <c r="A39" s="225"/>
      <c r="B39" s="225"/>
      <c r="C39" s="226"/>
      <c r="D39" s="227"/>
      <c r="E39" s="227"/>
      <c r="F39" s="251"/>
      <c r="G39" s="251"/>
      <c r="H39" s="232"/>
      <c r="I39" s="119"/>
      <c r="J39" s="117">
        <f t="shared" ref="J39:J46" si="3">E39*F39</f>
        <v>0</v>
      </c>
      <c r="K39" s="248"/>
    </row>
    <row r="40" spans="1:11" s="12" customFormat="1" ht="12.75" customHeight="1">
      <c r="A40" s="225"/>
      <c r="B40" s="225"/>
      <c r="C40" s="226" t="s">
        <v>522</v>
      </c>
      <c r="D40" s="227"/>
      <c r="E40" s="227"/>
      <c r="F40" s="251"/>
      <c r="G40" s="251"/>
      <c r="H40" s="228"/>
      <c r="I40" s="119"/>
      <c r="J40" s="117"/>
      <c r="K40" s="248"/>
    </row>
    <row r="41" spans="1:11" s="12" customFormat="1" ht="12.75" customHeight="1">
      <c r="A41" s="225">
        <v>1</v>
      </c>
      <c r="B41" s="225"/>
      <c r="C41" s="227" t="s">
        <v>523</v>
      </c>
      <c r="D41" s="227" t="s">
        <v>38</v>
      </c>
      <c r="E41" s="227">
        <v>1</v>
      </c>
      <c r="F41" s="250"/>
      <c r="G41" s="251"/>
      <c r="H41" s="228">
        <f t="shared" ref="H41:H50" si="4">(F41+G41)*E41</f>
        <v>0</v>
      </c>
      <c r="I41" s="119"/>
      <c r="J41" s="117"/>
      <c r="K41" s="248"/>
    </row>
    <row r="42" spans="1:11" s="12" customFormat="1" ht="12.75" customHeight="1">
      <c r="A42" s="225">
        <f>A41+1</f>
        <v>2</v>
      </c>
      <c r="B42" s="225"/>
      <c r="C42" s="227" t="s">
        <v>127</v>
      </c>
      <c r="D42" s="227" t="s">
        <v>38</v>
      </c>
      <c r="E42" s="227">
        <v>1</v>
      </c>
      <c r="F42" s="250"/>
      <c r="G42" s="251"/>
      <c r="H42" s="228">
        <f t="shared" si="4"/>
        <v>0</v>
      </c>
      <c r="I42" s="119"/>
      <c r="J42" s="117">
        <f t="shared" si="3"/>
        <v>0</v>
      </c>
      <c r="K42" s="248"/>
    </row>
    <row r="43" spans="1:11" s="12" customFormat="1" ht="12.75" customHeight="1">
      <c r="A43" s="225">
        <f t="shared" ref="A43:A50" si="5">A42+1</f>
        <v>3</v>
      </c>
      <c r="B43" s="225"/>
      <c r="C43" s="227" t="s">
        <v>192</v>
      </c>
      <c r="D43" s="227" t="s">
        <v>38</v>
      </c>
      <c r="E43" s="227">
        <v>1</v>
      </c>
      <c r="F43" s="250"/>
      <c r="G43" s="251"/>
      <c r="H43" s="228">
        <f t="shared" si="4"/>
        <v>0</v>
      </c>
      <c r="I43" s="119"/>
      <c r="J43" s="117">
        <f t="shared" si="3"/>
        <v>0</v>
      </c>
      <c r="K43" s="248"/>
    </row>
    <row r="44" spans="1:11" s="12" customFormat="1" ht="12.75" customHeight="1">
      <c r="A44" s="225">
        <f t="shared" si="5"/>
        <v>4</v>
      </c>
      <c r="B44" s="225"/>
      <c r="C44" s="227" t="s">
        <v>524</v>
      </c>
      <c r="D44" s="227" t="s">
        <v>38</v>
      </c>
      <c r="E44" s="227">
        <v>1</v>
      </c>
      <c r="F44" s="250"/>
      <c r="G44" s="251"/>
      <c r="H44" s="228">
        <f t="shared" si="4"/>
        <v>0</v>
      </c>
      <c r="I44" s="119"/>
      <c r="J44" s="117">
        <f t="shared" si="3"/>
        <v>0</v>
      </c>
      <c r="K44" s="248"/>
    </row>
    <row r="45" spans="1:11" s="12" customFormat="1" ht="12.75" customHeight="1">
      <c r="A45" s="225">
        <f t="shared" si="5"/>
        <v>5</v>
      </c>
      <c r="B45" s="225"/>
      <c r="C45" s="227" t="s">
        <v>525</v>
      </c>
      <c r="D45" s="227" t="s">
        <v>38</v>
      </c>
      <c r="E45" s="227">
        <v>1</v>
      </c>
      <c r="F45" s="250"/>
      <c r="G45" s="251"/>
      <c r="H45" s="228">
        <f t="shared" si="4"/>
        <v>0</v>
      </c>
      <c r="I45" s="119"/>
      <c r="J45" s="117">
        <f t="shared" si="3"/>
        <v>0</v>
      </c>
      <c r="K45" s="248"/>
    </row>
    <row r="46" spans="1:11" s="12" customFormat="1" ht="12.75" customHeight="1">
      <c r="A46" s="225">
        <f t="shared" si="5"/>
        <v>6</v>
      </c>
      <c r="B46" s="225"/>
      <c r="C46" s="227" t="s">
        <v>526</v>
      </c>
      <c r="D46" s="227" t="s">
        <v>38</v>
      </c>
      <c r="E46" s="227">
        <v>1</v>
      </c>
      <c r="F46" s="250"/>
      <c r="G46" s="251"/>
      <c r="H46" s="228">
        <f t="shared" si="4"/>
        <v>0</v>
      </c>
      <c r="I46" s="119"/>
      <c r="J46" s="117">
        <f t="shared" si="3"/>
        <v>0</v>
      </c>
      <c r="K46" s="248"/>
    </row>
    <row r="47" spans="1:11" s="12" customFormat="1" ht="12.75" customHeight="1">
      <c r="A47" s="225">
        <f t="shared" si="5"/>
        <v>7</v>
      </c>
      <c r="B47" s="225"/>
      <c r="C47" s="227" t="s">
        <v>527</v>
      </c>
      <c r="D47" s="227" t="s">
        <v>38</v>
      </c>
      <c r="E47" s="227">
        <v>7</v>
      </c>
      <c r="F47" s="250"/>
      <c r="G47" s="251"/>
      <c r="H47" s="228">
        <f t="shared" si="4"/>
        <v>0</v>
      </c>
      <c r="I47" s="120"/>
      <c r="J47" s="117">
        <f>SUM(J38:J46)</f>
        <v>0</v>
      </c>
      <c r="K47" s="248"/>
    </row>
    <row r="48" spans="1:11" s="12" customFormat="1" ht="12.75" customHeight="1">
      <c r="A48" s="225">
        <f t="shared" si="5"/>
        <v>8</v>
      </c>
      <c r="B48" s="225"/>
      <c r="C48" s="227" t="s">
        <v>128</v>
      </c>
      <c r="D48" s="227" t="s">
        <v>39</v>
      </c>
      <c r="E48" s="227">
        <v>0.5</v>
      </c>
      <c r="F48" s="250"/>
      <c r="G48" s="251"/>
      <c r="H48" s="228">
        <f t="shared" si="4"/>
        <v>0</v>
      </c>
      <c r="I48" s="120"/>
      <c r="J48" s="117"/>
      <c r="K48" s="248"/>
    </row>
    <row r="49" spans="1:11" s="12" customFormat="1" ht="12.75" customHeight="1">
      <c r="A49" s="225">
        <f t="shared" si="5"/>
        <v>9</v>
      </c>
      <c r="B49" s="225"/>
      <c r="C49" s="227" t="s">
        <v>528</v>
      </c>
      <c r="D49" s="227" t="s">
        <v>35</v>
      </c>
      <c r="E49" s="227">
        <v>1</v>
      </c>
      <c r="F49" s="250"/>
      <c r="G49" s="251"/>
      <c r="H49" s="228">
        <f t="shared" si="4"/>
        <v>0</v>
      </c>
      <c r="I49" s="120"/>
      <c r="J49" s="117"/>
      <c r="K49" s="248"/>
    </row>
    <row r="50" spans="1:11" s="12" customFormat="1" ht="12.75" customHeight="1">
      <c r="A50" s="225">
        <f t="shared" si="5"/>
        <v>10</v>
      </c>
      <c r="B50" s="225"/>
      <c r="C50" s="227" t="s">
        <v>129</v>
      </c>
      <c r="D50" s="227" t="s">
        <v>35</v>
      </c>
      <c r="E50" s="227">
        <v>1</v>
      </c>
      <c r="F50" s="251"/>
      <c r="G50" s="250"/>
      <c r="H50" s="228">
        <f t="shared" si="4"/>
        <v>0</v>
      </c>
      <c r="I50" s="120"/>
      <c r="J50" s="117"/>
      <c r="K50" s="248"/>
    </row>
    <row r="51" spans="1:11" s="12" customFormat="1" ht="18" customHeight="1">
      <c r="A51" s="225"/>
      <c r="B51" s="225"/>
      <c r="C51" s="226" t="s">
        <v>529</v>
      </c>
      <c r="D51" s="227"/>
      <c r="E51" s="227"/>
      <c r="F51" s="252"/>
      <c r="G51" s="252"/>
      <c r="H51" s="232">
        <f>SUM(H41:H50)</f>
        <v>0</v>
      </c>
      <c r="I51" s="120"/>
      <c r="J51" s="117"/>
      <c r="K51" s="248"/>
    </row>
    <row r="52" spans="1:11" s="12" customFormat="1" ht="12.75" customHeight="1">
      <c r="A52" s="225"/>
      <c r="B52" s="225"/>
      <c r="C52" s="226"/>
      <c r="D52" s="227"/>
      <c r="E52" s="227"/>
      <c r="F52" s="252"/>
      <c r="G52" s="252"/>
      <c r="H52" s="232"/>
      <c r="I52" s="120"/>
      <c r="J52" s="117"/>
      <c r="K52" s="248"/>
    </row>
    <row r="53" spans="1:11" s="12" customFormat="1" ht="12.75" customHeight="1">
      <c r="A53" s="225"/>
      <c r="B53" s="225"/>
      <c r="C53" s="233" t="s">
        <v>130</v>
      </c>
      <c r="D53" s="227"/>
      <c r="E53" s="227"/>
      <c r="F53" s="252"/>
      <c r="G53" s="252"/>
      <c r="H53" s="232"/>
      <c r="I53" s="120"/>
      <c r="J53" s="117"/>
      <c r="K53" s="248"/>
    </row>
    <row r="54" spans="1:11" s="12" customFormat="1" ht="12.75" customHeight="1">
      <c r="A54" s="225"/>
      <c r="B54" s="225"/>
      <c r="C54" s="226" t="s">
        <v>107</v>
      </c>
      <c r="D54" s="227"/>
      <c r="E54" s="225" t="s">
        <v>41</v>
      </c>
      <c r="F54" s="249" t="s">
        <v>108</v>
      </c>
      <c r="G54" s="249" t="s">
        <v>109</v>
      </c>
      <c r="H54" s="225" t="s">
        <v>42</v>
      </c>
      <c r="I54" s="119"/>
      <c r="J54" s="117" t="e">
        <f>E54*F54</f>
        <v>#VALUE!</v>
      </c>
      <c r="K54" s="248"/>
    </row>
    <row r="55" spans="1:11" s="12" customFormat="1" ht="25.5">
      <c r="A55" s="225">
        <v>1</v>
      </c>
      <c r="B55" s="225">
        <v>210111012</v>
      </c>
      <c r="C55" s="235" t="s">
        <v>539</v>
      </c>
      <c r="D55" s="227" t="s">
        <v>38</v>
      </c>
      <c r="E55" s="227">
        <v>4</v>
      </c>
      <c r="F55" s="250"/>
      <c r="G55" s="250"/>
      <c r="H55" s="228">
        <f t="shared" ref="H55:H67" si="6">(F55+G55)*E55</f>
        <v>0</v>
      </c>
      <c r="I55" s="119"/>
      <c r="J55" s="117"/>
      <c r="K55" s="248"/>
    </row>
    <row r="56" spans="1:11" s="12" customFormat="1" ht="12.75" customHeight="1">
      <c r="A56" s="225">
        <f>A55+1</f>
        <v>2</v>
      </c>
      <c r="B56" s="225">
        <v>210111012</v>
      </c>
      <c r="C56" s="227" t="s">
        <v>530</v>
      </c>
      <c r="D56" s="227" t="s">
        <v>38</v>
      </c>
      <c r="E56" s="227">
        <v>3</v>
      </c>
      <c r="F56" s="250"/>
      <c r="G56" s="250"/>
      <c r="H56" s="228">
        <f t="shared" si="6"/>
        <v>0</v>
      </c>
      <c r="I56" s="119"/>
      <c r="J56" s="117"/>
      <c r="K56" s="248"/>
    </row>
    <row r="57" spans="1:11" s="12" customFormat="1" ht="12.75" customHeight="1">
      <c r="A57" s="225">
        <f t="shared" ref="A57:A67" si="7">A56+1</f>
        <v>3</v>
      </c>
      <c r="B57" s="225">
        <v>210111012</v>
      </c>
      <c r="C57" s="227" t="s">
        <v>193</v>
      </c>
      <c r="D57" s="227" t="s">
        <v>38</v>
      </c>
      <c r="E57" s="227">
        <v>1</v>
      </c>
      <c r="F57" s="250"/>
      <c r="G57" s="250"/>
      <c r="H57" s="228">
        <f t="shared" si="6"/>
        <v>0</v>
      </c>
      <c r="I57" s="119"/>
      <c r="J57" s="117">
        <f>E57*F57</f>
        <v>0</v>
      </c>
      <c r="K57" s="248"/>
    </row>
    <row r="58" spans="1:11" s="12" customFormat="1" ht="12.75" customHeight="1">
      <c r="A58" s="225">
        <f t="shared" si="7"/>
        <v>4</v>
      </c>
      <c r="B58" s="225">
        <v>210010301</v>
      </c>
      <c r="C58" s="227" t="s">
        <v>194</v>
      </c>
      <c r="D58" s="227" t="s">
        <v>38</v>
      </c>
      <c r="E58" s="227">
        <v>8</v>
      </c>
      <c r="F58" s="250"/>
      <c r="G58" s="250"/>
      <c r="H58" s="228">
        <f t="shared" si="6"/>
        <v>0</v>
      </c>
      <c r="I58" s="119"/>
      <c r="J58" s="117"/>
      <c r="K58" s="248"/>
    </row>
    <row r="59" spans="1:11" s="12" customFormat="1" ht="12.75" customHeight="1">
      <c r="A59" s="225">
        <f t="shared" si="7"/>
        <v>5</v>
      </c>
      <c r="B59" s="225">
        <v>210010301</v>
      </c>
      <c r="C59" s="227" t="s">
        <v>531</v>
      </c>
      <c r="D59" s="227" t="s">
        <v>38</v>
      </c>
      <c r="E59" s="227">
        <v>1</v>
      </c>
      <c r="F59" s="250"/>
      <c r="G59" s="250"/>
      <c r="H59" s="228">
        <f t="shared" si="6"/>
        <v>0</v>
      </c>
      <c r="I59" s="119"/>
      <c r="J59" s="117"/>
      <c r="K59" s="248"/>
    </row>
    <row r="60" spans="1:11" s="12" customFormat="1" ht="12.75" customHeight="1">
      <c r="A60" s="225">
        <f t="shared" si="7"/>
        <v>6</v>
      </c>
      <c r="B60" s="225">
        <v>210800549</v>
      </c>
      <c r="C60" s="227" t="s">
        <v>532</v>
      </c>
      <c r="D60" s="227" t="s">
        <v>39</v>
      </c>
      <c r="E60" s="227">
        <v>60</v>
      </c>
      <c r="F60" s="250"/>
      <c r="G60" s="250"/>
      <c r="H60" s="228">
        <f t="shared" si="6"/>
        <v>0</v>
      </c>
      <c r="I60" s="119"/>
      <c r="J60" s="117"/>
      <c r="K60" s="248"/>
    </row>
    <row r="61" spans="1:11" s="12" customFormat="1" ht="12.75" customHeight="1">
      <c r="A61" s="225">
        <f t="shared" si="7"/>
        <v>7</v>
      </c>
      <c r="B61" s="225">
        <v>210800549</v>
      </c>
      <c r="C61" s="227" t="s">
        <v>195</v>
      </c>
      <c r="D61" s="227" t="s">
        <v>39</v>
      </c>
      <c r="E61" s="227">
        <v>17</v>
      </c>
      <c r="F61" s="250"/>
      <c r="G61" s="250"/>
      <c r="H61" s="228">
        <f t="shared" si="6"/>
        <v>0</v>
      </c>
      <c r="I61" s="119"/>
      <c r="J61" s="117"/>
      <c r="K61" s="248"/>
    </row>
    <row r="62" spans="1:11" s="12" customFormat="1" ht="12.75" customHeight="1">
      <c r="A62" s="225">
        <f t="shared" si="7"/>
        <v>8</v>
      </c>
      <c r="B62" s="225">
        <v>210010003</v>
      </c>
      <c r="C62" s="227" t="s">
        <v>533</v>
      </c>
      <c r="D62" s="227" t="s">
        <v>39</v>
      </c>
      <c r="E62" s="227">
        <v>17</v>
      </c>
      <c r="F62" s="250"/>
      <c r="G62" s="250"/>
      <c r="H62" s="228">
        <f t="shared" si="6"/>
        <v>0</v>
      </c>
      <c r="I62" s="119"/>
      <c r="J62" s="117">
        <f>E62*F62</f>
        <v>0</v>
      </c>
      <c r="K62" s="248"/>
    </row>
    <row r="63" spans="1:11" s="12" customFormat="1" ht="12.75" customHeight="1">
      <c r="A63" s="225">
        <f t="shared" si="7"/>
        <v>9</v>
      </c>
      <c r="B63" s="225">
        <v>973033141</v>
      </c>
      <c r="C63" s="227" t="s">
        <v>190</v>
      </c>
      <c r="D63" s="227" t="s">
        <v>38</v>
      </c>
      <c r="E63" s="227">
        <v>6</v>
      </c>
      <c r="F63" s="251"/>
      <c r="G63" s="250"/>
      <c r="H63" s="228">
        <f t="shared" si="6"/>
        <v>0</v>
      </c>
      <c r="I63" s="119"/>
      <c r="J63" s="117"/>
      <c r="K63" s="248"/>
    </row>
    <row r="64" spans="1:11" s="12" customFormat="1" ht="12.75" customHeight="1">
      <c r="A64" s="225">
        <f t="shared" si="7"/>
        <v>10</v>
      </c>
      <c r="B64" s="225">
        <v>974031122</v>
      </c>
      <c r="C64" s="227" t="s">
        <v>188</v>
      </c>
      <c r="D64" s="227" t="s">
        <v>39</v>
      </c>
      <c r="E64" s="227">
        <v>40</v>
      </c>
      <c r="F64" s="251"/>
      <c r="G64" s="250"/>
      <c r="H64" s="228">
        <f t="shared" si="6"/>
        <v>0</v>
      </c>
      <c r="I64" s="117"/>
      <c r="J64" s="117"/>
      <c r="K64" s="248"/>
    </row>
    <row r="65" spans="1:12" s="12" customFormat="1">
      <c r="A65" s="225">
        <f t="shared" si="7"/>
        <v>11</v>
      </c>
      <c r="B65" s="225">
        <v>210292041</v>
      </c>
      <c r="C65" s="227" t="s">
        <v>121</v>
      </c>
      <c r="D65" s="227" t="s">
        <v>38</v>
      </c>
      <c r="E65" s="227">
        <v>6</v>
      </c>
      <c r="F65" s="251"/>
      <c r="G65" s="250"/>
      <c r="H65" s="228">
        <f t="shared" si="6"/>
        <v>0</v>
      </c>
      <c r="I65" s="121"/>
      <c r="J65" s="117">
        <f>E65*F65</f>
        <v>0</v>
      </c>
      <c r="K65" s="248"/>
      <c r="L65" s="13"/>
    </row>
    <row r="66" spans="1:12" s="12" customFormat="1">
      <c r="A66" s="225">
        <f t="shared" si="7"/>
        <v>12</v>
      </c>
      <c r="B66" s="225">
        <v>210010353</v>
      </c>
      <c r="C66" s="234" t="s">
        <v>534</v>
      </c>
      <c r="D66" s="227" t="s">
        <v>38</v>
      </c>
      <c r="E66" s="227">
        <v>1</v>
      </c>
      <c r="F66" s="250"/>
      <c r="G66" s="250"/>
      <c r="H66" s="228">
        <f t="shared" si="6"/>
        <v>0</v>
      </c>
      <c r="I66" s="121"/>
      <c r="J66" s="117">
        <f>E66*F66</f>
        <v>0</v>
      </c>
      <c r="K66" s="248"/>
      <c r="L66" s="13"/>
    </row>
    <row r="67" spans="1:12" s="12" customFormat="1" ht="14.1" customHeight="1">
      <c r="A67" s="225">
        <f t="shared" si="7"/>
        <v>13</v>
      </c>
      <c r="B67" s="225">
        <v>210110041</v>
      </c>
      <c r="C67" s="234" t="s">
        <v>535</v>
      </c>
      <c r="D67" s="227" t="s">
        <v>38</v>
      </c>
      <c r="E67" s="227">
        <v>1</v>
      </c>
      <c r="F67" s="250"/>
      <c r="G67" s="250"/>
      <c r="H67" s="228">
        <f t="shared" si="6"/>
        <v>0</v>
      </c>
      <c r="I67" s="122"/>
      <c r="J67" s="117">
        <f>SUM(J65:J66)</f>
        <v>0</v>
      </c>
      <c r="K67" s="248"/>
    </row>
    <row r="68" spans="1:12" s="12" customFormat="1" ht="14.1" customHeight="1">
      <c r="A68" s="225"/>
      <c r="B68" s="225"/>
      <c r="C68" s="234"/>
      <c r="D68" s="227"/>
      <c r="E68" s="227"/>
      <c r="F68" s="251"/>
      <c r="G68" s="251"/>
      <c r="H68" s="228"/>
      <c r="I68" s="122"/>
      <c r="J68" s="117"/>
      <c r="K68" s="248"/>
    </row>
    <row r="69" spans="1:12" s="12" customFormat="1" ht="14.1" customHeight="1">
      <c r="A69" s="225"/>
      <c r="B69" s="225"/>
      <c r="C69" s="226" t="s">
        <v>131</v>
      </c>
      <c r="D69" s="227"/>
      <c r="E69" s="227"/>
      <c r="F69" s="251"/>
      <c r="G69" s="251"/>
      <c r="H69" s="232">
        <f>SUM(H55:H67)</f>
        <v>0</v>
      </c>
      <c r="I69" s="122"/>
      <c r="J69" s="117"/>
      <c r="K69" s="248"/>
    </row>
    <row r="70" spans="1:12" s="12" customFormat="1" ht="12.75" customHeight="1">
      <c r="A70" s="225"/>
      <c r="B70" s="225"/>
      <c r="C70" s="226"/>
      <c r="D70" s="227"/>
      <c r="E70" s="227"/>
      <c r="F70" s="251"/>
      <c r="G70" s="251"/>
      <c r="H70" s="232"/>
      <c r="I70" s="120"/>
      <c r="J70" s="120" t="e">
        <f>#REF!+J47+J34+J67</f>
        <v>#REF!</v>
      </c>
      <c r="K70" s="248"/>
    </row>
    <row r="71" spans="1:12" s="12" customFormat="1" ht="12.75" customHeight="1">
      <c r="A71" s="225"/>
      <c r="B71" s="225"/>
      <c r="C71" s="226"/>
      <c r="D71" s="227"/>
      <c r="E71" s="227"/>
      <c r="F71" s="251"/>
      <c r="G71" s="251"/>
      <c r="H71" s="232"/>
      <c r="I71" s="120"/>
      <c r="J71" s="120"/>
      <c r="K71" s="248"/>
    </row>
    <row r="72" spans="1:12" s="12" customFormat="1" ht="12.75" customHeight="1">
      <c r="A72" s="225"/>
      <c r="B72" s="225"/>
      <c r="C72" s="226" t="s">
        <v>99</v>
      </c>
      <c r="D72" s="227"/>
      <c r="E72" s="227"/>
      <c r="F72" s="252"/>
      <c r="G72" s="252"/>
      <c r="H72" s="227"/>
      <c r="I72" s="120"/>
      <c r="J72" s="120"/>
      <c r="K72" s="248"/>
    </row>
    <row r="73" spans="1:12" s="12" customFormat="1" ht="12.75" customHeight="1">
      <c r="A73" s="225">
        <v>1</v>
      </c>
      <c r="B73" s="225"/>
      <c r="C73" s="235" t="s">
        <v>540</v>
      </c>
      <c r="D73" s="227" t="s">
        <v>35</v>
      </c>
      <c r="E73" s="227">
        <v>1</v>
      </c>
      <c r="F73" s="251"/>
      <c r="G73" s="250"/>
      <c r="H73" s="228">
        <f>(F73+G73)*E73</f>
        <v>0</v>
      </c>
      <c r="I73" s="120"/>
      <c r="J73" s="120"/>
      <c r="K73" s="248"/>
    </row>
    <row r="74" spans="1:12" s="12" customFormat="1">
      <c r="A74" s="225"/>
      <c r="B74" s="225"/>
      <c r="C74" s="226" t="s">
        <v>133</v>
      </c>
      <c r="D74" s="226"/>
      <c r="E74" s="236"/>
      <c r="F74" s="253"/>
      <c r="G74" s="253"/>
      <c r="H74" s="232">
        <f>SUM(H73:H73)</f>
        <v>0</v>
      </c>
      <c r="I74" s="123"/>
      <c r="J74" s="117"/>
      <c r="K74" s="248"/>
    </row>
    <row r="75" spans="1:12" s="12" customFormat="1" ht="14.1" customHeight="1">
      <c r="A75" s="237"/>
      <c r="B75" s="237"/>
      <c r="C75" s="238"/>
      <c r="D75" s="238"/>
      <c r="E75" s="239"/>
      <c r="F75" s="254"/>
      <c r="G75" s="254"/>
      <c r="H75" s="240"/>
      <c r="I75" s="117"/>
      <c r="J75" s="117"/>
      <c r="K75" s="248"/>
    </row>
    <row r="76" spans="1:12" ht="24.75" customHeight="1">
      <c r="A76" s="225"/>
      <c r="B76" s="225"/>
      <c r="C76" s="226" t="s">
        <v>134</v>
      </c>
      <c r="D76" s="227"/>
      <c r="E76" s="227"/>
      <c r="F76" s="252"/>
      <c r="G76" s="252"/>
      <c r="H76" s="232">
        <f>H74+H69+H51+H38</f>
        <v>0</v>
      </c>
    </row>
    <row r="77" spans="1:12" ht="27.75" customHeight="1">
      <c r="A77" s="225"/>
      <c r="B77" s="225"/>
      <c r="C77" s="226" t="s">
        <v>135</v>
      </c>
      <c r="D77" s="241">
        <v>0.15</v>
      </c>
      <c r="E77" s="227"/>
      <c r="F77" s="252"/>
      <c r="G77" s="252"/>
      <c r="H77" s="232">
        <f>H76*D77</f>
        <v>0</v>
      </c>
    </row>
    <row r="78" spans="1:12" ht="15" customHeight="1">
      <c r="A78" s="225"/>
      <c r="B78" s="225"/>
      <c r="C78" s="226" t="s">
        <v>136</v>
      </c>
      <c r="D78" s="227"/>
      <c r="E78" s="227"/>
      <c r="F78" s="252"/>
      <c r="G78" s="252"/>
      <c r="H78" s="232">
        <f>SUM(H76:H77)</f>
        <v>0</v>
      </c>
    </row>
    <row r="79" spans="1:12">
      <c r="A79" s="225"/>
      <c r="B79" s="225"/>
      <c r="C79" s="226"/>
      <c r="D79" s="227"/>
      <c r="E79" s="227"/>
      <c r="F79" s="252"/>
      <c r="G79" s="252"/>
      <c r="H79" s="232"/>
    </row>
    <row r="80" spans="1:12" ht="12.75" customHeight="1">
      <c r="A80" s="225"/>
      <c r="B80" s="225"/>
      <c r="C80" s="226" t="s">
        <v>137</v>
      </c>
      <c r="D80" s="227"/>
      <c r="E80" s="227"/>
      <c r="F80" s="252"/>
      <c r="G80" s="252"/>
      <c r="H80" s="227"/>
    </row>
    <row r="81" spans="1:8">
      <c r="A81" s="225"/>
      <c r="B81" s="225"/>
      <c r="C81" s="245" t="s">
        <v>546</v>
      </c>
      <c r="D81" s="244"/>
      <c r="E81" s="244"/>
      <c r="F81" s="255"/>
      <c r="G81" s="255"/>
      <c r="H81" s="244"/>
    </row>
    <row r="82" spans="1:8">
      <c r="A82" s="225"/>
      <c r="B82" s="225"/>
      <c r="C82" s="245" t="s">
        <v>547</v>
      </c>
      <c r="D82" s="244"/>
      <c r="E82" s="244"/>
      <c r="F82" s="255"/>
      <c r="G82" s="255"/>
      <c r="H82" s="244"/>
    </row>
    <row r="83" spans="1:8">
      <c r="A83" s="225"/>
      <c r="B83" s="225"/>
      <c r="C83" s="245" t="s">
        <v>548</v>
      </c>
      <c r="D83" s="244"/>
      <c r="E83" s="244"/>
      <c r="F83" s="255"/>
      <c r="G83" s="255"/>
      <c r="H83" s="244"/>
    </row>
    <row r="84" spans="1:8">
      <c r="A84" s="225"/>
      <c r="B84" s="225"/>
      <c r="C84" s="245" t="s">
        <v>549</v>
      </c>
      <c r="D84" s="244"/>
      <c r="E84" s="244"/>
      <c r="F84" s="255"/>
      <c r="G84" s="255"/>
      <c r="H84" s="244"/>
    </row>
    <row r="85" spans="1:8">
      <c r="A85" s="225"/>
      <c r="B85" s="225"/>
      <c r="C85" s="245" t="s">
        <v>550</v>
      </c>
      <c r="D85" s="244"/>
      <c r="E85" s="244"/>
      <c r="F85" s="255"/>
      <c r="G85" s="255"/>
      <c r="H85" s="244"/>
    </row>
    <row r="86" spans="1:8">
      <c r="A86" s="225"/>
      <c r="B86" s="225"/>
      <c r="C86" s="245" t="s">
        <v>551</v>
      </c>
      <c r="D86" s="244"/>
      <c r="E86" s="244"/>
      <c r="F86" s="255"/>
      <c r="G86" s="255"/>
      <c r="H86" s="244"/>
    </row>
    <row r="87" spans="1:8">
      <c r="A87" s="225"/>
      <c r="B87" s="225"/>
      <c r="C87" s="245" t="s">
        <v>552</v>
      </c>
      <c r="D87" s="244"/>
      <c r="E87" s="244"/>
      <c r="F87" s="255"/>
      <c r="G87" s="255"/>
      <c r="H87" s="244"/>
    </row>
    <row r="88" spans="1:8">
      <c r="A88" s="225"/>
      <c r="B88" s="225"/>
      <c r="C88" s="246" t="s">
        <v>32</v>
      </c>
      <c r="D88" s="246"/>
      <c r="E88" s="246"/>
      <c r="F88" s="256"/>
      <c r="G88" s="256"/>
      <c r="H88" s="246"/>
    </row>
    <row r="89" spans="1:8">
      <c r="A89" s="225"/>
      <c r="B89" s="225"/>
      <c r="C89" s="246" t="s">
        <v>138</v>
      </c>
      <c r="D89" s="246"/>
      <c r="E89" s="246"/>
      <c r="F89" s="256"/>
      <c r="G89" s="256"/>
      <c r="H89" s="246"/>
    </row>
    <row r="90" spans="1:8" ht="12.75" customHeight="1">
      <c r="A90" s="225"/>
      <c r="B90" s="225"/>
      <c r="C90" s="246" t="s">
        <v>553</v>
      </c>
      <c r="D90" s="246"/>
      <c r="E90" s="246"/>
      <c r="F90" s="256"/>
      <c r="G90" s="256"/>
      <c r="H90" s="246"/>
    </row>
    <row r="91" spans="1:8">
      <c r="A91" s="225"/>
      <c r="B91" s="225"/>
      <c r="C91" s="221" t="s">
        <v>554</v>
      </c>
      <c r="D91" s="222"/>
      <c r="E91" s="222"/>
      <c r="F91" s="257"/>
      <c r="G91" s="257"/>
      <c r="H91" s="222"/>
    </row>
    <row r="92" spans="1:8" ht="25.5">
      <c r="A92" s="225"/>
      <c r="B92" s="225"/>
      <c r="C92" s="222" t="s">
        <v>555</v>
      </c>
      <c r="D92" s="222"/>
      <c r="E92" s="222"/>
      <c r="F92" s="257"/>
      <c r="G92" s="257"/>
      <c r="H92" s="222"/>
    </row>
    <row r="93" spans="1:8">
      <c r="A93" s="225"/>
      <c r="B93" s="225"/>
      <c r="C93" s="246" t="s">
        <v>139</v>
      </c>
      <c r="D93" s="246"/>
      <c r="E93" s="246"/>
      <c r="F93" s="256"/>
      <c r="G93" s="256"/>
      <c r="H93" s="246"/>
    </row>
    <row r="94" spans="1:8">
      <c r="A94" s="225"/>
      <c r="B94" s="225"/>
      <c r="C94" s="247" t="s">
        <v>140</v>
      </c>
      <c r="D94" s="247"/>
      <c r="E94" s="247"/>
      <c r="F94" s="258"/>
      <c r="G94" s="258"/>
      <c r="H94" s="247"/>
    </row>
    <row r="95" spans="1:8">
      <c r="A95" s="225"/>
      <c r="B95" s="225"/>
      <c r="C95" s="223" t="s">
        <v>141</v>
      </c>
      <c r="D95" s="223"/>
      <c r="E95" s="223"/>
      <c r="F95" s="259"/>
      <c r="G95" s="259"/>
      <c r="H95" s="223"/>
    </row>
    <row r="96" spans="1:8" ht="12.75" customHeight="1">
      <c r="A96" s="242"/>
      <c r="B96" s="242"/>
      <c r="C96" s="246" t="s">
        <v>556</v>
      </c>
      <c r="D96" s="246"/>
      <c r="E96" s="246"/>
      <c r="F96" s="256"/>
      <c r="G96" s="256"/>
      <c r="H96" s="246"/>
    </row>
    <row r="97" spans="1:8" ht="12.75" customHeight="1">
      <c r="A97" s="242"/>
      <c r="B97" s="242"/>
      <c r="C97" s="246" t="s">
        <v>557</v>
      </c>
      <c r="D97" s="246"/>
      <c r="E97" s="246"/>
      <c r="F97" s="256"/>
      <c r="G97" s="256"/>
      <c r="H97" s="246"/>
    </row>
    <row r="98" spans="1:8" ht="12.75" customHeight="1">
      <c r="A98" s="242"/>
      <c r="B98" s="242"/>
      <c r="C98" s="246" t="s">
        <v>558</v>
      </c>
      <c r="D98" s="246"/>
      <c r="E98" s="246"/>
      <c r="F98" s="256"/>
      <c r="G98" s="256"/>
      <c r="H98" s="246"/>
    </row>
    <row r="99" spans="1:8" ht="12.75" customHeight="1">
      <c r="A99" s="242"/>
      <c r="B99" s="242"/>
      <c r="C99" s="246" t="s">
        <v>559</v>
      </c>
      <c r="D99" s="246"/>
      <c r="E99" s="246"/>
      <c r="F99" s="256"/>
      <c r="G99" s="256"/>
      <c r="H99" s="246"/>
    </row>
    <row r="100" spans="1:8">
      <c r="A100" s="242"/>
      <c r="B100" s="242"/>
      <c r="C100" s="246" t="s">
        <v>63</v>
      </c>
      <c r="D100" s="246"/>
      <c r="E100" s="246"/>
      <c r="F100" s="256"/>
      <c r="G100" s="256"/>
      <c r="H100" s="246"/>
    </row>
  </sheetData>
  <sheetProtection password="C5F8" sheet="1"/>
  <phoneticPr fontId="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54</vt:i4>
      </vt:variant>
    </vt:vector>
  </HeadingPairs>
  <TitlesOfParts>
    <vt:vector size="56" baseType="lpstr">
      <vt:lpstr>OBJEKT_CELKOVÉ NÁKLADY</vt:lpstr>
      <vt:lpstr>ESA_ESI</vt:lpstr>
      <vt:lpstr>Cena_1</vt:lpstr>
      <vt:lpstr>Cena_2a</vt:lpstr>
      <vt:lpstr>Cena_2b</vt:lpstr>
      <vt:lpstr>Cena_2c</vt:lpstr>
      <vt:lpstr>Cena_2d</vt:lpstr>
      <vt:lpstr>Cena_2e</vt:lpstr>
      <vt:lpstr>Cena_2f</vt:lpstr>
      <vt:lpstr>Cena_2g</vt:lpstr>
      <vt:lpstr>Cena_2h</vt:lpstr>
      <vt:lpstr>Cena_2i</vt:lpstr>
      <vt:lpstr>Cena_2j</vt:lpstr>
      <vt:lpstr>Cena_2k</vt:lpstr>
      <vt:lpstr>Cena_2l</vt:lpstr>
      <vt:lpstr>Cena_2m</vt:lpstr>
      <vt:lpstr>Cena_3a</vt:lpstr>
      <vt:lpstr>Cena_3b</vt:lpstr>
      <vt:lpstr>Cena_3c</vt:lpstr>
      <vt:lpstr>Cena_3d</vt:lpstr>
      <vt:lpstr>Cena_dokoncovaci_prace</vt:lpstr>
      <vt:lpstr>Dokoncovaci_prace</vt:lpstr>
      <vt:lpstr>Kapitola_1</vt:lpstr>
      <vt:lpstr>Kapitola_2</vt:lpstr>
      <vt:lpstr>Kapitola_2a</vt:lpstr>
      <vt:lpstr>Kapitola_2b</vt:lpstr>
      <vt:lpstr>Kapitola_2c</vt:lpstr>
      <vt:lpstr>Kapitola_2d</vt:lpstr>
      <vt:lpstr>Kapitola_2e</vt:lpstr>
      <vt:lpstr>Kapitola_2f</vt:lpstr>
      <vt:lpstr>Kapitola_2g</vt:lpstr>
      <vt:lpstr>Kapitola_2h</vt:lpstr>
      <vt:lpstr>Kapitola_2i</vt:lpstr>
      <vt:lpstr>Kapitola_2j</vt:lpstr>
      <vt:lpstr>Kapitola_2k</vt:lpstr>
      <vt:lpstr>Kapitola_2l</vt:lpstr>
      <vt:lpstr>Kapitola_2m</vt:lpstr>
      <vt:lpstr>'OBJEKT_CELKOVÉ NÁKLADY'!Názvy_tisku</vt:lpstr>
      <vt:lpstr>'OBJEKT_CELKOVÉ NÁKLADY'!Oblast_tisku</vt:lpstr>
      <vt:lpstr>Rekapitulace_1</vt:lpstr>
      <vt:lpstr>Rekapitulace_2</vt:lpstr>
      <vt:lpstr>Rekapitulace_2a</vt:lpstr>
      <vt:lpstr>Rekapitulace_2b</vt:lpstr>
      <vt:lpstr>Rekapitulace_2c</vt:lpstr>
      <vt:lpstr>Rekapitulace_2d</vt:lpstr>
      <vt:lpstr>Rekapitulace_2e</vt:lpstr>
      <vt:lpstr>Rekapitulace_2f</vt:lpstr>
      <vt:lpstr>Rekapitulace_2g</vt:lpstr>
      <vt:lpstr>Rekapitulace_2h</vt:lpstr>
      <vt:lpstr>Rekapitulace_2i</vt:lpstr>
      <vt:lpstr>Rekapitulace_2j</vt:lpstr>
      <vt:lpstr>Rekapitulace_2k</vt:lpstr>
      <vt:lpstr>Rekapitulace_2l</vt:lpstr>
      <vt:lpstr>Rekapitulace_2m</vt:lpstr>
      <vt:lpstr>Rekapitulace_3a</vt:lpstr>
      <vt:lpstr>Rekapitulace_Dokončovací_práce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Šiška</dc:creator>
  <cp:lastModifiedBy>swarzova</cp:lastModifiedBy>
  <cp:lastPrinted>2019-01-25T15:42:17Z</cp:lastPrinted>
  <dcterms:created xsi:type="dcterms:W3CDTF">2015-06-09T11:12:40Z</dcterms:created>
  <dcterms:modified xsi:type="dcterms:W3CDTF">2020-05-27T16:21:40Z</dcterms:modified>
</cp:coreProperties>
</file>