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 yWindow="32760" windowWidth="14685" windowHeight="13875" tabRatio="721" activeTab="0"/>
  </bookViews>
  <sheets>
    <sheet name="OBJEKT_CELKOVÉ NÁKLADY" sheetId="1" r:id="rId1"/>
    <sheet name="ESA_ESI" sheetId="2" r:id="rId2"/>
  </sheets>
  <definedNames>
    <definedName name="_2d">#REF!</definedName>
    <definedName name="cc">'OBJEKT_CELKOVÉ NÁKLADY'!#REF!</definedName>
    <definedName name="ccc">'OBJEKT_CELKOVÉ NÁKLADY'!#REF!</definedName>
    <definedName name="cccc">'OBJEKT_CELKOVÉ NÁKLADY'!#REF!</definedName>
    <definedName name="ccccc">'OBJEKT_CELKOVÉ NÁKLADY'!#REF!</definedName>
    <definedName name="cccccc">'OBJEKT_CELKOVÉ NÁKLADY'!#REF!</definedName>
    <definedName name="ccccccc">'OBJEKT_CELKOVÉ NÁKLADY'!#REF!</definedName>
    <definedName name="ccccccccc">'OBJEKT_CELKOVÉ NÁKLADY'!#REF!</definedName>
    <definedName name="cccccccccc">'OBJEKT_CELKOVÉ NÁKLADY'!#REF!</definedName>
    <definedName name="ccccccccccc">'OBJEKT_CELKOVÉ NÁKLADY'!#REF!</definedName>
    <definedName name="ce">'OBJEKT_CELKOVÉ NÁKLADY'!#REF!</definedName>
    <definedName name="cen">'OBJEKT_CELKOVÉ NÁKLADY'!#REF!</definedName>
    <definedName name="cena">'OBJEKT_CELKOVÉ NÁKLADY'!#REF!</definedName>
    <definedName name="Cena_">'OBJEKT_CELKOVÉ NÁKLADY'!#REF!</definedName>
    <definedName name="Cena_1">'OBJEKT_CELKOVÉ NÁKLADY'!$H$180</definedName>
    <definedName name="Cena_2a">'OBJEKT_CELKOVÉ NÁKLADY'!$H$212</definedName>
    <definedName name="Cena_2b">'OBJEKT_CELKOVÉ NÁKLADY'!$H$231</definedName>
    <definedName name="Cena_2c">'OBJEKT_CELKOVÉ NÁKLADY'!$H$340</definedName>
    <definedName name="Cena_2d">'OBJEKT_CELKOVÉ NÁKLADY'!$H$477</definedName>
    <definedName name="Cena_2e">'OBJEKT_CELKOVÉ NÁKLADY'!$H$495</definedName>
    <definedName name="Cena_2f">'OBJEKT_CELKOVÉ NÁKLADY'!$H$530</definedName>
    <definedName name="Cena_2g">'OBJEKT_CELKOVÉ NÁKLADY'!$H$655</definedName>
    <definedName name="Cena_2h">'OBJEKT_CELKOVÉ NÁKLADY'!$H$661</definedName>
    <definedName name="Cena_2i">'OBJEKT_CELKOVÉ NÁKLADY'!$H$565</definedName>
    <definedName name="Cena_2j">'OBJEKT_CELKOVÉ NÁKLADY'!$H$389</definedName>
    <definedName name="Cena_2k">'OBJEKT_CELKOVÉ NÁKLADY'!$H$400</definedName>
    <definedName name="Cena_2l">'OBJEKT_CELKOVÉ NÁKLADY'!$H$422</definedName>
    <definedName name="Cena_2m">'OBJEKT_CELKOVÉ NÁKLADY'!$H$442</definedName>
    <definedName name="Cena_3a">'OBJEKT_CELKOVÉ NÁKLADY'!$H$655</definedName>
    <definedName name="Cena_3b">'OBJEKT_CELKOVÉ NÁKLADY'!$H$661</definedName>
    <definedName name="Cena_3c">'OBJEKT_CELKOVÉ NÁKLADY'!$H$565</definedName>
    <definedName name="Cena_3d">'OBJEKT_CELKOVÉ NÁKLADY'!$H$389</definedName>
    <definedName name="Cena_3e">'OBJEKT_CELKOVÉ NÁKLADY'!#REF!</definedName>
    <definedName name="Cena_3f">'OBJEKT_CELKOVÉ NÁKLADY'!#REF!</definedName>
    <definedName name="Cena_3g">'OBJEKT_CELKOVÉ NÁKLADY'!#REF!</definedName>
    <definedName name="Cena_4a">'OBJEKT_CELKOVÉ NÁKLADY'!#REF!</definedName>
    <definedName name="Cena_4b">'OBJEKT_CELKOVÉ NÁKLADY'!#REF!</definedName>
    <definedName name="Cena_4c">'OBJEKT_CELKOVÉ NÁKLADY'!#REF!</definedName>
    <definedName name="Cena_4d">'OBJEKT_CELKOVÉ NÁKLADY'!#REF!</definedName>
    <definedName name="Cena_4e">'OBJEKT_CELKOVÉ NÁKLADY'!#REF!</definedName>
    <definedName name="Cena_5">'OBJEKT_CELKOVÉ NÁKLADY'!#REF!</definedName>
    <definedName name="Cena_6">'OBJEKT_CELKOVÉ NÁKLADY'!#REF!</definedName>
    <definedName name="Cena_dokoncovaci_prace">'OBJEKT_CELKOVÉ NÁKLADY'!$H$665</definedName>
    <definedName name="Cena_doplňky_dodavatele">'OBJEKT_CELKOVÉ NÁKLADY'!#REF!</definedName>
    <definedName name="Dokoncovaci_prace">'OBJEKT_CELKOVÉ NÁKLADY'!$D$663</definedName>
    <definedName name="Doplňky_dodavatele">'OBJEKT_CELKOVÉ NÁKLADY'!#REF!</definedName>
    <definedName name="kap">'OBJEKT_CELKOVÉ NÁKLADY'!#REF!</definedName>
    <definedName name="kap5">'OBJEKT_CELKOVÉ NÁKLADY'!#REF!</definedName>
    <definedName name="kap6">'OBJEKT_CELKOVÉ NÁKLADY'!#REF!</definedName>
    <definedName name="kapc">'OBJEKT_CELKOVÉ NÁKLADY'!#REF!</definedName>
    <definedName name="kapd">'OBJEKT_CELKOVÉ NÁKLADY'!#REF!</definedName>
    <definedName name="kape">'OBJEKT_CELKOVÉ NÁKLADY'!#REF!</definedName>
    <definedName name="Kapitola_1">'OBJEKT_CELKOVÉ NÁKLADY'!$D$133</definedName>
    <definedName name="Kapitola_2">'OBJEKT_CELKOVÉ NÁKLADY'!$D$182</definedName>
    <definedName name="Kapitola_2a">'OBJEKT_CELKOVÉ NÁKLADY'!$D$183</definedName>
    <definedName name="Kapitola_2b">'OBJEKT_CELKOVÉ NÁKLADY'!$D$214</definedName>
    <definedName name="Kapitola_2c">'OBJEKT_CELKOVÉ NÁKLADY'!$D$233</definedName>
    <definedName name="Kapitola_2d">'OBJEKT_CELKOVÉ NÁKLADY'!$D$460</definedName>
    <definedName name="Kapitola_2e">'OBJEKT_CELKOVÉ NÁKLADY'!$D$479</definedName>
    <definedName name="Kapitola_2f">'OBJEKT_CELKOVÉ NÁKLADY'!$D$498</definedName>
    <definedName name="Kapitola_2g">'OBJEKT_CELKOVÉ NÁKLADY'!$D$650</definedName>
    <definedName name="Kapitola_2h">'OBJEKT_CELKOVÉ NÁKLADY'!$D$657</definedName>
    <definedName name="Kapitola_2i">'OBJEKT_CELKOVÉ NÁKLADY'!$D$532</definedName>
    <definedName name="Kapitola_2j">'OBJEKT_CELKOVÉ NÁKLADY'!$D$342</definedName>
    <definedName name="Kapitola_2k">'OBJEKT_CELKOVÉ NÁKLADY'!$D$391</definedName>
    <definedName name="Kapitola_2l">'OBJEKT_CELKOVÉ NÁKLADY'!$D$402</definedName>
    <definedName name="Kapitola_2m">'OBJEKT_CELKOVÉ NÁKLADY'!$D$424</definedName>
    <definedName name="Kapitola_3">'OBJEKT_CELKOVÉ NÁKLADY'!#REF!</definedName>
    <definedName name="Kapitola_4">'OBJEKT_CELKOVÉ NÁKLADY'!#REF!</definedName>
    <definedName name="Kapitola_4a">'OBJEKT_CELKOVÉ NÁKLADY'!#REF!</definedName>
    <definedName name="Kapitola_4b">'OBJEKT_CELKOVÉ NÁKLADY'!#REF!</definedName>
    <definedName name="Kapitola_4c">'OBJEKT_CELKOVÉ NÁKLADY'!#REF!</definedName>
    <definedName name="Kapitola_4d">'OBJEKT_CELKOVÉ NÁKLADY'!#REF!</definedName>
    <definedName name="Kapitola_4e">'OBJEKT_CELKOVÉ NÁKLADY'!#REF!</definedName>
    <definedName name="Kapitola_5">'OBJEKT_CELKOVÉ NÁKLADY'!#REF!</definedName>
    <definedName name="Kapitola_6">'OBJEKT_CELKOVÉ NÁKLADY'!#REF!</definedName>
    <definedName name="_xlnm.Print_Titles" localSheetId="0">'OBJEKT_CELKOVÉ NÁKLADY'!$2:$2</definedName>
    <definedName name="_xlnm.Print_Area" localSheetId="1">'ESA_ESI'!$A$2:$H$103</definedName>
    <definedName name="_xlnm.Print_Area" localSheetId="0">'OBJEKT_CELKOVÉ NÁKLADY'!$A$4:$I$665</definedName>
    <definedName name="rek3">'OBJEKT_CELKOVÉ NÁKLADY'!#REF!</definedName>
    <definedName name="rek4">'OBJEKT_CELKOVÉ NÁKLADY'!#REF!</definedName>
    <definedName name="rek4b">'OBJEKT_CELKOVÉ NÁKLADY'!#REF!</definedName>
    <definedName name="rek4c">'OBJEKT_CELKOVÉ NÁKLADY'!#REF!</definedName>
    <definedName name="rek4d">'OBJEKT_CELKOVÉ NÁKLADY'!#REF!</definedName>
    <definedName name="reka">'OBJEKT_CELKOVÉ NÁKLADY'!#REF!</definedName>
    <definedName name="Rekapitulace_1">'OBJEKT_CELKOVÉ NÁKLADY'!$D$13</definedName>
    <definedName name="Rekapitulace_2">'OBJEKT_CELKOVÉ NÁKLADY'!$D$14</definedName>
    <definedName name="Rekapitulace_2a">'OBJEKT_CELKOVÉ NÁKLADY'!$D$15</definedName>
    <definedName name="Rekapitulace_2b">'OBJEKT_CELKOVÉ NÁKLADY'!$D$16</definedName>
    <definedName name="Rekapitulace_2c">'OBJEKT_CELKOVÉ NÁKLADY'!$D$17</definedName>
    <definedName name="Rekapitulace_2d">'OBJEKT_CELKOVÉ NÁKLADY'!$D$24</definedName>
    <definedName name="Rekapitulace_2e">'OBJEKT_CELKOVÉ NÁKLADY'!$D$25</definedName>
    <definedName name="Rekapitulace_2f">'OBJEKT_CELKOVÉ NÁKLADY'!$D$26</definedName>
    <definedName name="Rekapitulace_2g">'OBJEKT_CELKOVÉ NÁKLADY'!$D$30</definedName>
    <definedName name="Rekapitulace_2h">'OBJEKT_CELKOVÉ NÁKLADY'!$D$31</definedName>
    <definedName name="Rekapitulace_2i">'OBJEKT_CELKOVÉ NÁKLADY'!$D$27</definedName>
    <definedName name="Rekapitulace_2j">'OBJEKT_CELKOVÉ NÁKLADY'!$D$18</definedName>
    <definedName name="Rekapitulace_2k">'OBJEKT_CELKOVÉ NÁKLADY'!$D$19</definedName>
    <definedName name="Rekapitulace_2l">'OBJEKT_CELKOVÉ NÁKLADY'!$D$20</definedName>
    <definedName name="Rekapitulace_2m">'OBJEKT_CELKOVÉ NÁKLADY'!$D$21</definedName>
    <definedName name="Rekapitulace_3">'OBJEKT_CELKOVÉ NÁKLADY'!#REF!</definedName>
    <definedName name="Rekapitulace_3a">'OBJEKT_CELKOVÉ NÁKLADY'!$D$31</definedName>
    <definedName name="Rekapitulace_3b">'OBJEKT_CELKOVÉ NÁKLADY'!#REF!</definedName>
    <definedName name="Rekapitulace_3c">'OBJEKT_CELKOVÉ NÁKLADY'!#REF!</definedName>
    <definedName name="Rekapitulace_3d">'OBJEKT_CELKOVÉ NÁKLADY'!#REF!</definedName>
    <definedName name="Rekapitulace_3e">'OBJEKT_CELKOVÉ NÁKLADY'!#REF!</definedName>
    <definedName name="Rekapitulace_3f">'OBJEKT_CELKOVÉ NÁKLADY'!#REF!</definedName>
    <definedName name="Rekapitulace_3g">'OBJEKT_CELKOVÉ NÁKLADY'!#REF!</definedName>
    <definedName name="Rekapitulace_4">'OBJEKT_CELKOVÉ NÁKLADY'!#REF!</definedName>
    <definedName name="Rekapitulace_4a">'OBJEKT_CELKOVÉ NÁKLADY'!#REF!</definedName>
    <definedName name="Rekapitulace_4b">'OBJEKT_CELKOVÉ NÁKLADY'!#REF!</definedName>
    <definedName name="Rekapitulace_4c">'OBJEKT_CELKOVÉ NÁKLADY'!#REF!</definedName>
    <definedName name="Rekapitulace_4d">'OBJEKT_CELKOVÉ NÁKLADY'!#REF!</definedName>
    <definedName name="Rekapitulace_4e">'OBJEKT_CELKOVÉ NÁKLADY'!#REF!</definedName>
    <definedName name="Rekapitulace_5">'OBJEKT_CELKOVÉ NÁKLADY'!#REF!</definedName>
    <definedName name="Rekapitulace_6">'OBJEKT_CELKOVÉ NÁKLADY'!#REF!</definedName>
    <definedName name="Rekapitulace_Dokončovací_práce">'OBJEKT_CELKOVÉ NÁKLADY'!$D$32</definedName>
    <definedName name="Rekapitulace_Doplňky_dodavatele">'OBJEKT_CELKOVÉ NÁKLADY'!#REF!</definedName>
    <definedName name="rekb">'OBJEKT_CELKOVÉ NÁKLADY'!#REF!</definedName>
    <definedName name="rekc">'OBJEKT_CELKOVÉ NÁKLADY'!#REF!</definedName>
    <definedName name="rekd">'OBJEKT_CELKOVÉ NÁKLADY'!#REF!</definedName>
    <definedName name="reke">'OBJEKT_CELKOVÉ NÁKLADY'!#REF!</definedName>
    <definedName name="rekf">'OBJEKT_CELKOVÉ NÁKLADY'!#REF!</definedName>
    <definedName name="rekg">'OBJEKT_CELKOVÉ NÁKLADY'!#REF!</definedName>
  </definedNames>
  <calcPr fullCalcOnLoad="1"/>
</workbook>
</file>

<file path=xl/sharedStrings.xml><?xml version="1.0" encoding="utf-8"?>
<sst xmlns="http://schemas.openxmlformats.org/spreadsheetml/2006/main" count="2147" uniqueCount="1129">
  <si>
    <t>2</t>
  </si>
  <si>
    <t>D</t>
  </si>
  <si>
    <t>M</t>
  </si>
  <si>
    <t>kg</t>
  </si>
  <si>
    <t>Pokud není samostaně uvedeno v jedn. cenách kalkulována svislá doprava vč. naložení na dopravní prostředek</t>
  </si>
  <si>
    <t>Pokud nejsou výrobky vyspecifikovány ve výkazu, platí specifikace uvedená v projektové dokumentaci</t>
  </si>
  <si>
    <t>Dokončovací práce</t>
  </si>
  <si>
    <t>M+D</t>
  </si>
  <si>
    <t>2a</t>
  </si>
  <si>
    <t>2b</t>
  </si>
  <si>
    <t>2c</t>
  </si>
  <si>
    <t>2d</t>
  </si>
  <si>
    <t>2e</t>
  </si>
  <si>
    <t>2f</t>
  </si>
  <si>
    <t>2g</t>
  </si>
  <si>
    <t>Konstrukce zámečnické</t>
  </si>
  <si>
    <t xml:space="preserve">Přesun hmot, doprava, režie - stanovený procentní sazbou </t>
  </si>
  <si>
    <t>Soupis stavebních prací, výkonů a služeb</t>
  </si>
  <si>
    <t>Pokud nejsou výměry uvedeny ve vzorci u jednotlivých buněk, byly změřeny z CAD výkresu</t>
  </si>
  <si>
    <t>Přesun hmot, doprava, režie - stanovený procentní sazbou</t>
  </si>
  <si>
    <t>f) náklady na zkoušky a atesty během výstavby, výkresy skutečného provedení a zúčtovací podklady</t>
  </si>
  <si>
    <t>g)  náklady na požadované záruky, pojištění a ostatní finanční náklady</t>
  </si>
  <si>
    <t>Stěny a příčky</t>
  </si>
  <si>
    <t>Není-li uvedeno jinak jsou položky uvažovány společně dodávka i montáž. Položky označené kódem jsou detailně popsány v tabulce skladeb konstrukcí a povrchových úprav.</t>
  </si>
  <si>
    <t>Zdravotechnika - vnitřní kanalizace</t>
  </si>
  <si>
    <t>Zdravotechnika - vnitřní vodovod</t>
  </si>
  <si>
    <t xml:space="preserve">Zdravotechnika - zařizovací předměty, armatury </t>
  </si>
  <si>
    <t>Vzduchotechnika</t>
  </si>
  <si>
    <t>Konstrukce truhlářské</t>
  </si>
  <si>
    <t>Podlahy z dlaždic</t>
  </si>
  <si>
    <t>Není-li uvedeno jinak jsou položky uvažovány společně dodávka i montáž. Součástí nacenění budou všechny systémové doplňky, kotevní a upevňovací prostředky, úpravy spár a rohů a jiný pomocný materiál specifikovaný v technických a montážních předpisech vybraného výrobce. Položky označené kódem jsou detailně popsány v tabulce skladeb konstrukcí a povrchových úprav.</t>
  </si>
  <si>
    <t>Těsnící stěrka, předpokládaná spotřeba 1,5 kg/m2</t>
  </si>
  <si>
    <t>Není-li uvedeno jinak jsou položky uvažovány společně dodávka i montáž. Součástí nacenění budou všechny systémové doplňky, kotevní a upevňovací prostředky, tmelení spár a rohů a jiný pomocný materiál specifikovaný v technických a montážních předpisech vybraného výrobce. V ceně bude zakalkulováno pomocné lešení. Položky označené kódem jsou detailně popsány v tabulce skladeb konstrukcí a povrchových úprav.</t>
  </si>
  <si>
    <t>Není-li uvedeno jinak jsou položky uvažovány společně dodávka i montáž. Součástí nacenění budou všechny systémové doplňky, kotevní a upevňovací prostředky, tmelení spár a rohů a jiný pomocný materiál specifikovaný v technických a montážních předpisech vybraného výrobce. Položky označené kódem jsou detailně popsány v tabulce skladeb konstrukcí a povrchových úprav.</t>
  </si>
  <si>
    <t>Zkouška těsnosti potrubí kanalizace vodou do DN 125</t>
  </si>
  <si>
    <t>Příplatek za nestandardní povrchovou úpravu Q3</t>
  </si>
  <si>
    <t>SOK1-D</t>
  </si>
  <si>
    <t>SOK1-M</t>
  </si>
  <si>
    <t>Následující kompletizované výrobky jsou detailně popsány v technických parametrech výplní otvorů (popř. ve výpisu prvků PSV), dle kterých je nutno provést ocenění. Není-li uvedeno jinak jsou položky uvažovány společně dodávka i montáž. Součástí nacenění budou všechny systémové doplňky, kotevní a upevňovací prostředky a jiný pomocný materiál uvedený v technických parametrech výplní otvorů, souboru stavebních detailů a v technických a montážních předpisech vybraného výrobce.</t>
  </si>
  <si>
    <t>Vyvěšení dřevěných dveřních křídel pl. do 2 m2</t>
  </si>
  <si>
    <t>Demontáž uzávěrek zápachových jednoduchých</t>
  </si>
  <si>
    <t>Uzávěrka zápachová pračková podomítková společná s připojovacím kolenem na vodovod, nerez krytka</t>
  </si>
  <si>
    <t>Materiál + montáž silnoproudých rozvodů celkem</t>
  </si>
  <si>
    <t>Rozvodnice RB celkem</t>
  </si>
  <si>
    <t>Různé</t>
  </si>
  <si>
    <t>Kapitola silnoproudých elektroinstalačních prací vč. demontáží stávajících prvků je detailně rozepsána v samostatném listu, který je nedílnou součástí tohoto soupisu stavebních prací, výkonů a služeb. Níže jsou uvedeny pouze dílčí součtové položky jednotlivých kapitol členěné dle samostatného listu</t>
  </si>
  <si>
    <t>Kapitola slaboproudých elektroinstalačních prací vč. demontáží stávajících prvků je detailně rozepsána v samostatném listu, který je nedílnou součástí tohoto soupisu stavebních prací, výkonů a služeb. Níže jsou uvedeny pouze dílčí součtové položky jednotlivých kapitol členěné dle samostatného listu</t>
  </si>
  <si>
    <t>soubor</t>
  </si>
  <si>
    <t>Demontáže VZT zařízení jsou popsány v kapitole Přípravné, bourací a sanační práce. Není-li uvedeno jinak jsou položky uvažovány jako dodávka. Montáž a kompletace jsou uvedeny jako souborné položky. Součástí nacenění budou všechny systémové doplňky, kotevní, upevňovací prostředky a jiný pomocný materiál specifikovaný v technických a montážních předpisech vybraného výrobce. Položky vzduchotechnických výrobků jsou detailně popsány v projektové dokumentaci.</t>
  </si>
  <si>
    <t>Ventil rohový G 1/2 bez připojovací hadičky</t>
  </si>
  <si>
    <t>ELEKTROINSTALACE</t>
  </si>
  <si>
    <t>SILNOPROUD</t>
  </si>
  <si>
    <t>Položka</t>
  </si>
  <si>
    <t>Materiál + montáž</t>
  </si>
  <si>
    <t>materiál</t>
  </si>
  <si>
    <t>montáž</t>
  </si>
  <si>
    <t>B - svítidlo stropní  LED,16W, IP20</t>
  </si>
  <si>
    <t>R</t>
  </si>
  <si>
    <t>zásuvka 230V</t>
  </si>
  <si>
    <t>zásuvka 230V  s ochranou před přepětím</t>
  </si>
  <si>
    <t>spínač č.1 - jednopólový</t>
  </si>
  <si>
    <t>rámeček 1x - jednoduchý</t>
  </si>
  <si>
    <t>rámeček 2x, dvojrámeček</t>
  </si>
  <si>
    <t>krabice přístrojová KP</t>
  </si>
  <si>
    <t>hmoždinky vč.vrutu, vrtání</t>
  </si>
  <si>
    <t>vodič CY 4 - zel.žl.</t>
  </si>
  <si>
    <t>rozvodnice RB</t>
  </si>
  <si>
    <t>přezkoušení vedení</t>
  </si>
  <si>
    <t>práce neoceněné položkami ceníku (drobný pomocný materiál)</t>
  </si>
  <si>
    <t>soub</t>
  </si>
  <si>
    <t>hod</t>
  </si>
  <si>
    <t>revize el.zařízení</t>
  </si>
  <si>
    <t xml:space="preserve">Materiál + montáž silnoproud celkem </t>
  </si>
  <si>
    <t>svorkovnice KLM</t>
  </si>
  <si>
    <t>zapojení rozvaděče</t>
  </si>
  <si>
    <t>SLABOPROUD</t>
  </si>
  <si>
    <t xml:space="preserve">Materiál + montáž slaboproud celkem </t>
  </si>
  <si>
    <t>Dokumentace skutečného provedení (2 vyhotovení)</t>
  </si>
  <si>
    <t xml:space="preserve">Celkem </t>
  </si>
  <si>
    <t>Celkové rozpočtové náklady elektroinstalace bez DPH</t>
  </si>
  <si>
    <t xml:space="preserve">DPH </t>
  </si>
  <si>
    <t>Cena vč. DPH</t>
  </si>
  <si>
    <t>Poznámky pro zhotovitele</t>
  </si>
  <si>
    <t xml:space="preserve">Uvedené technické parametry jsou pro zhotovitele závazné. Zhotovitel je oprávněn zvolit jiné, srovnatelné materiály, jež zabezpečí shodnou anebo vyšší technickou hodnotu díla. Nabízené materiály předloží objednateli ke schválení a dosažení požadovaných parametrů doloží hodnověrnými dokumenty (atesty, výsledky zkoušek, doklad o shodě apod.). Kde zhotovitel nabídne srovnatelný výrobek nebo materiál na místo označeného nebo specifikovaného, který byl přijat k začlenění do díla, pak se má zato, že sazby a ceny ve výkazu výměr zahrnují veškeré povinnosti a náklady spojené se začleněním srovnatelného výrobku do díla.  </t>
  </si>
  <si>
    <t xml:space="preserve"> - náklady na opatření k zajištění bezpečnosti práce</t>
  </si>
  <si>
    <t xml:space="preserve"> -  všechny potřebné pomocné dodávky a práce pro upevnění, zabezpečení funkčnosti a finální pohledové 
úpravy, které jsou běžně součástí dodávaného výrobku nebo systému  nebo jsou předepsány projektem a 
nejsou výslovně uvedeny jako samostatné položky ;</t>
  </si>
  <si>
    <t xml:space="preserve"> - náklady na protihluková a protiprašná zařízení </t>
  </si>
  <si>
    <t xml:space="preserve"> - náklady na požadované záruky, pojištění a ostatní finanční náklady.</t>
  </si>
  <si>
    <t xml:space="preserve"> - náklady na prořez a ztratné zabudovaného materiálu</t>
  </si>
  <si>
    <t>Materiál + montáž slaboproud celkem</t>
  </si>
  <si>
    <t>Zakrytí okenních výplní PE folií vč. dodání</t>
  </si>
  <si>
    <t>Stavební úpravy bytové jednotky</t>
  </si>
  <si>
    <t>Izolace návleková  tl. stěny 20 mm vnitřní průměr 25 mm</t>
  </si>
  <si>
    <t>Izolace návleková  tl. stěny 13 mm vnitřní průměr 25 mm</t>
  </si>
  <si>
    <t>SK1-D</t>
  </si>
  <si>
    <t>SOK2-D</t>
  </si>
  <si>
    <t>SOK2-M</t>
  </si>
  <si>
    <t>o</t>
  </si>
  <si>
    <t>Opravy</t>
  </si>
  <si>
    <t>Investice</t>
  </si>
  <si>
    <t>i</t>
  </si>
  <si>
    <t>Cena bez DPH</t>
  </si>
  <si>
    <t>KD(I)1-M</t>
  </si>
  <si>
    <t>Přípravné a bourací práce</t>
  </si>
  <si>
    <t xml:space="preserve">Tmelení akrylátovým tmelem </t>
  </si>
  <si>
    <t>Úpravy povrchů vnitřní (stěny, stropy)</t>
  </si>
  <si>
    <t>Hydroizolační koutová těsnící páska vč. rohových tvarovek (svislé stěny)</t>
  </si>
  <si>
    <t>Hydroizolační koutová těsnící páska vč. rohových tvarovek (vororovné plochy)</t>
  </si>
  <si>
    <t>DU1</t>
  </si>
  <si>
    <t>DU2</t>
  </si>
  <si>
    <t>DU3-M</t>
  </si>
  <si>
    <t>DU3a-D</t>
  </si>
  <si>
    <t>DU3b-D</t>
  </si>
  <si>
    <t>DU3-D</t>
  </si>
  <si>
    <t xml:space="preserve"> </t>
  </si>
  <si>
    <t>V1</t>
  </si>
  <si>
    <t xml:space="preserve">Elektroinstalace - silnoproud </t>
  </si>
  <si>
    <t>Elektroinstalace - slaboproud</t>
  </si>
  <si>
    <r>
      <rPr>
        <i/>
        <sz val="10"/>
        <rFont val="Arial CE"/>
        <family val="2"/>
      </rPr>
      <t>Investor:</t>
    </r>
    <r>
      <rPr>
        <sz val="14"/>
        <rFont val="Arial CE"/>
        <family val="2"/>
      </rPr>
      <t xml:space="preserve"> Městská Část Praha 5 zastoupená firmou Centra a.s.</t>
    </r>
  </si>
  <si>
    <t>svorka Bernard vč.Cu pásku</t>
  </si>
  <si>
    <t>krabicová rozvodka KR 68</t>
  </si>
  <si>
    <t>ukončení vodiče</t>
  </si>
  <si>
    <t>sekání průrazů</t>
  </si>
  <si>
    <t>sekání (vrtání) otvoru pro krabice</t>
  </si>
  <si>
    <t>demontážní práce</t>
  </si>
  <si>
    <t>proudový chránič 16/1N/0,03</t>
  </si>
  <si>
    <t>televizní zásuvka STA</t>
  </si>
  <si>
    <t>Baterie dřezová stojánková páková směšovací, chrom,  vč.flexo hadiček - specifikace dle PD</t>
  </si>
  <si>
    <t xml:space="preserve">opravy </t>
  </si>
  <si>
    <t xml:space="preserve">investice </t>
  </si>
  <si>
    <t xml:space="preserve">kontrola </t>
  </si>
  <si>
    <t>Podlahy dřevěné a povlakové</t>
  </si>
  <si>
    <t>DU3</t>
  </si>
  <si>
    <t>poznámka</t>
  </si>
  <si>
    <t>Nástěnka závitová plastová PPR PN 20, 25x4.2, 1/2</t>
  </si>
  <si>
    <t>Nástěnný komplet (Nástěnka dvojitá závitová plastová) PPR PN 20, 25x4.2, 1/2</t>
  </si>
  <si>
    <t>m3</t>
  </si>
  <si>
    <t>V4</t>
  </si>
  <si>
    <t>Topení</t>
  </si>
  <si>
    <t>Demontáž ventilu výtokového nástěnného</t>
  </si>
  <si>
    <t>Demontáž klozetu včetně splachovací nádrže</t>
  </si>
  <si>
    <t>Odsekání vnitřních obkladů stěn nad 2 m2</t>
  </si>
  <si>
    <t>Stropy a stropní konstrukce a podhledy</t>
  </si>
  <si>
    <t>Kuchyňská linka vč. pracovní desky, bez spotřebičů dle specifikace v PD</t>
  </si>
  <si>
    <t>Příplatek k obkladu stěn keram.,za plochu do 10 m2</t>
  </si>
  <si>
    <t>978013121R00</t>
  </si>
  <si>
    <t>712990813RT1</t>
  </si>
  <si>
    <t>979011211R00</t>
  </si>
  <si>
    <t>979081111RT2</t>
  </si>
  <si>
    <t xml:space="preserve">Odvoz suti a vybour. hmot na skládku do 1 km kontejnerem </t>
  </si>
  <si>
    <t>979081121RT2</t>
  </si>
  <si>
    <t>Příplatek k odvozu za každý další 1 km (uvažováno 9km)</t>
  </si>
  <si>
    <t>979094211R00</t>
  </si>
  <si>
    <t>Nakládání nebo překládání vybourané suti</t>
  </si>
  <si>
    <t>979990107R00</t>
  </si>
  <si>
    <t>Poplatek za skládku suti - směs betonu,cihel</t>
  </si>
  <si>
    <t>Poplatek za skládku suti - dřevo</t>
  </si>
  <si>
    <t>979990161R00</t>
  </si>
  <si>
    <t>d</t>
  </si>
  <si>
    <t>346244313R00</t>
  </si>
  <si>
    <t>342091051R00</t>
  </si>
  <si>
    <t>Těsnění styku příčky se stáv. konstrukcí PU pěnou</t>
  </si>
  <si>
    <t>342668111R00</t>
  </si>
  <si>
    <t>Parotěsná zábrana tl. min. 0,25mm, propustnost páry – difuzní tloušťka Sd 50m</t>
  </si>
  <si>
    <t>713111221RK4</t>
  </si>
  <si>
    <t>713111261RK2</t>
  </si>
  <si>
    <t>Utěsnění prostupu parozábranou pevnou páskou vč. dodávky pásky  podél ventilátoru)</t>
  </si>
  <si>
    <t>713111271RS2</t>
  </si>
  <si>
    <t>Utěsnění styku s jinou konstr. oboustrannou páskou, vč. dodávky pásky (po obvodu místností)</t>
  </si>
  <si>
    <t>713111121RT1</t>
  </si>
  <si>
    <t xml:space="preserve">Větrací plastová mřížka do SDK podhledu, průměr 100 mm (větrání plynu)  včetně kotvícího materiálu </t>
  </si>
  <si>
    <t>Montáž mřížek</t>
  </si>
  <si>
    <t>SK2-D+M</t>
  </si>
  <si>
    <t>612475111RT3</t>
  </si>
  <si>
    <t>Penetrace podkladu (před vystěrkováním)</t>
  </si>
  <si>
    <t>Začištění omítek kolem oken,dveří apod. s použitím suché maltové směsi</t>
  </si>
  <si>
    <t>612409991RT2</t>
  </si>
  <si>
    <t>Omítka vápenná vnitřního ostění - štuková s použitím suché maltové směsi</t>
  </si>
  <si>
    <t>612425931RT2</t>
  </si>
  <si>
    <t xml:space="preserve">Omítka stěn vnitřní tenkovrstvá vápenná - štuk. Položka obsahuje nátěr podkladu spojovacím můstkem a štukovou omítku tl. 5 mm. Ruční provedení. </t>
  </si>
  <si>
    <t>Příplatek za zabudované rohovníky, stěny</t>
  </si>
  <si>
    <t>612473186R00</t>
  </si>
  <si>
    <t>781479711R00</t>
  </si>
  <si>
    <t>https://www.siko.cz/lista-ukoncovaci-l-hlinik-10-mm-250-cm-al10250/p/AL10250?gclid=EAIaIQobChMIsYDCpJ7F6QIVie3tCh0zFQanEAAYAyAAEgKzu_D_BwE</t>
  </si>
  <si>
    <t>https://www.siko.cz/lista-ukoncovaci-l-kartacovana-nerez-10-mm-250-cm-nrzk10250/p/NRZK10250</t>
  </si>
  <si>
    <t>https://www.datart.cz/Vestavna-trouba-MORA-VT-433-BW.html?gclid=EAIaIQobChMIpMnpia_H6QIVGofVCh2towCrEAAYASAAEgKGBfD_BwE</t>
  </si>
  <si>
    <t>Montáž obložkové zárubně a dřevěného křídla dveří</t>
  </si>
  <si>
    <t>766670011R00</t>
  </si>
  <si>
    <r>
      <t xml:space="preserve">Větrací mřížka do zděné příčky, plast </t>
    </r>
    <r>
      <rPr>
        <sz val="10"/>
        <color indexed="49"/>
        <rFont val="Arial"/>
        <family val="2"/>
      </rPr>
      <t>Ø</t>
    </r>
    <r>
      <rPr>
        <i/>
        <sz val="10"/>
        <color indexed="49"/>
        <rFont val="Arial"/>
        <family val="2"/>
      </rPr>
      <t>100mm</t>
    </r>
  </si>
  <si>
    <t>SK1-D+M</t>
  </si>
  <si>
    <t>SK1,2-M</t>
  </si>
  <si>
    <t>SK1-M</t>
  </si>
  <si>
    <t>SK1</t>
  </si>
  <si>
    <t>DU3c-D</t>
  </si>
  <si>
    <t>Malba nadpraží</t>
  </si>
  <si>
    <t>DS1</t>
  </si>
  <si>
    <t>Izolace tepelné stropů rovných, spodem, drátem, 1 vrstva - materiál ve specifikaci</t>
  </si>
  <si>
    <t>https://rajstavitelu.cz/p/92-isover-eps-150#</t>
  </si>
  <si>
    <t>Pokládka izolace podlah, nasucho, jednovrstvá</t>
  </si>
  <si>
    <t>Separační folie vodorovná, vč. přelepení spojů, vč. dodávky materiálu</t>
  </si>
  <si>
    <t>Montáž kuchyňské linké linky, vč. úpravy pracovní desky a montáže spotřebičů</t>
  </si>
  <si>
    <t>771111122R00</t>
  </si>
  <si>
    <t>Lišta hliníková přechodová, Podrobně viz tabulka prvků PSV</t>
  </si>
  <si>
    <t>https://www.floorwood.cz/prechodova-lista-sroubovaci-obla-stribrna-e01/</t>
  </si>
  <si>
    <t>Ventilační přivzdušňovací hlavice, DN50</t>
  </si>
  <si>
    <t>721273160RT1</t>
  </si>
  <si>
    <t>https://ok-levne.cz/hl138-podomitkovy-sifon-ke-klimatizacnim-jednotkam-dn32-100x100mm.html</t>
  </si>
  <si>
    <t>Umyvadlo keramické 600/490/195 mm připevněné na stěnu šrouby vč. pilety clickclack- specifikace dle PD (ref. výrobek Lyra Plus)</t>
  </si>
  <si>
    <t>Dřezový sifon plastový</t>
  </si>
  <si>
    <t>https://www.siko.cz/umyvadlo-jika-lyra-plus-60x49-cm-otvor-pro-baterii-uprostred-h8143830001041/p/1438.3.000.104.1</t>
  </si>
  <si>
    <t>978059531R00</t>
  </si>
  <si>
    <t xml:space="preserve">Montáž uzávěrek zápach. </t>
  </si>
  <si>
    <t>723163103R00</t>
  </si>
  <si>
    <t>723163104R00</t>
  </si>
  <si>
    <t>723235111R00</t>
  </si>
  <si>
    <t>Stavební přípomoce (potrubí v přizdívce-drážky vymazány maltou, prostupy-osazení chráničky)</t>
  </si>
  <si>
    <t>spínač č.6 - střídavý</t>
  </si>
  <si>
    <t>rámeček 3x, trojrámeček</t>
  </si>
  <si>
    <t>CYKYLo 3Cx2,5 vč.prořezu</t>
  </si>
  <si>
    <t>CYKYLo 2Ax1,5 vč.prořezu</t>
  </si>
  <si>
    <t>CYKYLo 3Ax1,5 vč.prořezu</t>
  </si>
  <si>
    <t>CYKYLo 3Cx1,5 vč.prořezu</t>
  </si>
  <si>
    <t>CYKYLo 5Cx1,5 vč.prořezu</t>
  </si>
  <si>
    <t>ukončení kabelu 4x10</t>
  </si>
  <si>
    <t xml:space="preserve">frézování drážky na stěnách </t>
  </si>
  <si>
    <t>frézování drážky na  stropech</t>
  </si>
  <si>
    <t>Rozvaděč RB</t>
  </si>
  <si>
    <t>Jistič 10/1-B</t>
  </si>
  <si>
    <t>Jistič 16/1-B</t>
  </si>
  <si>
    <t>pom.materiál (svorky, vodiče)</t>
  </si>
  <si>
    <t xml:space="preserve">Rozvaděč RB celkem </t>
  </si>
  <si>
    <t>telefonní zásuvka (zásuvka,maska,kryt) - Cat5e</t>
  </si>
  <si>
    <t>komunikační zásuvka PC (zásuvka,maska,kryt)</t>
  </si>
  <si>
    <t>krabice KO s víčkem</t>
  </si>
  <si>
    <t>kabel UTP Cat 5e vč.prořezu</t>
  </si>
  <si>
    <t>koaxiální kabel CB 130F vč.prořezu</t>
  </si>
  <si>
    <t>trubka PVC 2321</t>
  </si>
  <si>
    <t>krabice 125x125 - na povrch</t>
  </si>
  <si>
    <t>SYKFY 5x2x0,5</t>
  </si>
  <si>
    <t>podíl přidružených výkonů</t>
  </si>
  <si>
    <t>Montáž uzávěrek zápach. umyvadlových D32</t>
  </si>
  <si>
    <t>"O"opravy
"I" Investice</t>
  </si>
  <si>
    <t>Bandáž koutů - provedení</t>
  </si>
  <si>
    <t xml:space="preserve">Tmelení spár silikonem, obklad, sokl - dlažba, obklad vnitřní rohy , tmelení návazností na zárubně, zařizovací předměty </t>
  </si>
  <si>
    <t>SK1,2D</t>
  </si>
  <si>
    <t>Montáž parozábrany s přelepením spojů</t>
  </si>
  <si>
    <t>Vysávání podlah prům.vysavačem pro pokládku dlažby</t>
  </si>
  <si>
    <t>771101101R00</t>
  </si>
  <si>
    <t>Provedení hydroizol. stěrky pod dlažby dvouvrstvé vč. osazení systémových prvků</t>
  </si>
  <si>
    <t>3a</t>
  </si>
  <si>
    <t>Zdravotechnika - demontáže</t>
  </si>
  <si>
    <t>725290010RA0</t>
  </si>
  <si>
    <t>725810811R00</t>
  </si>
  <si>
    <t>Svislá doprava suti a vybour. hmot za 2.NP nošením</t>
  </si>
  <si>
    <t>3b</t>
  </si>
  <si>
    <t>3c</t>
  </si>
  <si>
    <t>3d</t>
  </si>
  <si>
    <t>3e</t>
  </si>
  <si>
    <t>3f</t>
  </si>
  <si>
    <t>3g</t>
  </si>
  <si>
    <t>Zdravotechnika</t>
  </si>
  <si>
    <t>776511810RT1</t>
  </si>
  <si>
    <t>Vyvedení odpadních výpustek D 110 x 2,7 (wc)</t>
  </si>
  <si>
    <t>721194109R00</t>
  </si>
  <si>
    <t>Obklad soklíků keram.rovných, tmel,výška 100 mm do lepidla vč. spár. a úpravy horní hrany v návaznosti na omítku</t>
  </si>
  <si>
    <t>Keramická dlažba dle specifikace v PD (sokl - proveden pásky 100 mm z řezané dlažby)</t>
  </si>
  <si>
    <t>Vyvedení odpadních výpustek D 50 x 1,8 (sprcha)</t>
  </si>
  <si>
    <t>725869204R00</t>
  </si>
  <si>
    <t>Montáž uzávěrek zápach.dřez.jednoduchý D 40</t>
  </si>
  <si>
    <t>763761201R00</t>
  </si>
  <si>
    <t>Není-li uvedeno jinak jsou položky uvažovány jako dodávka. Montáž a kompletace jsou uvedeny jako souborné položky. Součástí nacenění budou všechny systémové doplňky, kotevní, upevňovací prostředky, montážní sady a jiný pomocný materiál specifikovaný v technických a montážních předpisech vybraného výrobce. Položky zařizovacích předmětů jsou detailně popsány v projektové dokumentaci.</t>
  </si>
  <si>
    <t>Není-li uvedeno jinak jsou položky uvažovány společně dodávka i montáž. Součástí nacenění budou všechny systémové doplňky, kotevní, upevňovací prostředky a jiný pomocný materiál specifikovaný v technických a montážních předpisech vybraného výrobce.</t>
  </si>
  <si>
    <r>
      <t>Těsnící stěrka dle specifikace v PD, předpokládaná spotřeba 1,5kg/m</t>
    </r>
    <r>
      <rPr>
        <i/>
        <vertAlign val="superscript"/>
        <sz val="10"/>
        <color indexed="49"/>
        <rFont val="Arial"/>
        <family val="2"/>
      </rPr>
      <t>2</t>
    </r>
  </si>
  <si>
    <t>725860811R00</t>
  </si>
  <si>
    <t>784011221RT2</t>
  </si>
  <si>
    <t>968061125R00</t>
  </si>
  <si>
    <t>Potrubí z PPR, D 25x4,2 mm, PN 20, vč. zed. výpom.</t>
  </si>
  <si>
    <t>Tlaková zkouška vodovodního potrubí DN32</t>
  </si>
  <si>
    <t>725869101R00</t>
  </si>
  <si>
    <t>Montáž baterie umyv.a dřezové stojánkové</t>
  </si>
  <si>
    <t>721194103R00</t>
  </si>
  <si>
    <t>721194104R00</t>
  </si>
  <si>
    <t>Vyvedení odpadních výpustek D 40 x 1,8 (pro dřez)</t>
  </si>
  <si>
    <t>721194105R00</t>
  </si>
  <si>
    <t>Montáž sprchových koutů (vanička vč. napojení na sifon, zástěna)</t>
  </si>
  <si>
    <t>Montáž držáku sprchy</t>
  </si>
  <si>
    <t>725849302R00</t>
  </si>
  <si>
    <t>RTS kody</t>
  </si>
  <si>
    <t>342091043R00</t>
  </si>
  <si>
    <t>416091082R00</t>
  </si>
  <si>
    <t>784402801R00</t>
  </si>
  <si>
    <t>Potrubí HT připojovací DN 110 x 2,7mm, vč. nezbytných kolen, odboček, redukcí a montáže</t>
  </si>
  <si>
    <t>Potrubí HT připojovací D 50 x 1,8 mm, vč. nezbytných kolen, odboček, redukcí a montáže</t>
  </si>
  <si>
    <t>Potrubí HT připojovací D 75 x 1,9 mm, vč. nezbytných kolen, odboček, redukcí a montáže</t>
  </si>
  <si>
    <t>Penetrace podkladu pod obklady, položka obsahuje provedení penetračního nátěru včetně dodávky materiálu.</t>
  </si>
  <si>
    <t>612474410R00</t>
  </si>
  <si>
    <t>781475118RT1</t>
  </si>
  <si>
    <t>781111121R00</t>
  </si>
  <si>
    <t>Montáž lišt rohových, vanových a dilatačních</t>
  </si>
  <si>
    <t>781101142R00</t>
  </si>
  <si>
    <t>771101147R00</t>
  </si>
  <si>
    <t>612481211RT2</t>
  </si>
  <si>
    <t xml:space="preserve">Malba standard, bílá, bez penetr.,min. 2x stěny a stropy </t>
  </si>
  <si>
    <t>784115212R00</t>
  </si>
  <si>
    <t>D+M</t>
  </si>
  <si>
    <t>722172331R00</t>
  </si>
  <si>
    <t>722290215R00</t>
  </si>
  <si>
    <t>722290234R00</t>
  </si>
  <si>
    <t xml:space="preserve">Proplach a dezinfekce vodovod.potrubí </t>
  </si>
  <si>
    <t>Montáž umyvadel na šrouby do zdiva</t>
  </si>
  <si>
    <t>725219401R00</t>
  </si>
  <si>
    <t xml:space="preserve">Umyvadlový sifon s vtokem vč. napojovací manžety chrom </t>
  </si>
  <si>
    <t>Baterie umyvadlová stoján. Ruční páková, bez otvír.odpadu standard vč.flexo hadiček</t>
  </si>
  <si>
    <t>725829202R00</t>
  </si>
  <si>
    <t>725249101R00</t>
  </si>
  <si>
    <t>Vaničkový sifon, průměr otvoru 90 mm, DN50, krytka leštěná nerez průměr 120 mm, otvor sifonu 90 mm, průměr odpadu 50 mm, průtok 39 l/min, shora čistitelný odpadní systém</t>
  </si>
  <si>
    <t>725319101R00</t>
  </si>
  <si>
    <t>Montáž dřezů jednoduchých</t>
  </si>
  <si>
    <t>T01 D+M</t>
  </si>
  <si>
    <t>771101142R00</t>
  </si>
  <si>
    <t>771575118RT1</t>
  </si>
  <si>
    <t>771475014RU7</t>
  </si>
  <si>
    <t>Montáž podlahových lišt přechodových</t>
  </si>
  <si>
    <t>V3 -M</t>
  </si>
  <si>
    <t>V3- D</t>
  </si>
  <si>
    <t>Malba sádrokarto (příčky, podhledy)</t>
  </si>
  <si>
    <t>Příplatek k podhledu sádrokart. za plochu do 5 m2</t>
  </si>
  <si>
    <t xml:space="preserve">Penetrace podkladu nátěrem </t>
  </si>
  <si>
    <t>Montáž revizních dvířek, mřížek</t>
  </si>
  <si>
    <t>V5</t>
  </si>
  <si>
    <t>Není-li uvedeno jinak jsou položky uvažovány jako dodávka. Montáž a kompletace jsou uvedeny jako souborné položky. Součástí nacenění budou všechny systémové doplňky, kotevní, upevňovací prostředky a jiný pomocný materiál specifikovaný v technických a montážních předpisech vybraného výrobce.</t>
  </si>
  <si>
    <t>Plyn</t>
  </si>
  <si>
    <t>Kohout kulový 1/2" plyn</t>
  </si>
  <si>
    <t>Zkouška plynu dle ČSN, zkouška pevnosti a těsnosti</t>
  </si>
  <si>
    <t>Baterie sprchová nástěnná páková včetně sprchového setu a příslušenství - specifikace dle PD</t>
  </si>
  <si>
    <t>Dřez jednoduchý nerezový (400x500) se zápachovou uzávěrkou, specifikace dle PD</t>
  </si>
  <si>
    <t>počet mj</t>
  </si>
  <si>
    <t>cena mj</t>
  </si>
  <si>
    <t>cena celkem</t>
  </si>
  <si>
    <t>Rekapitulace</t>
  </si>
  <si>
    <t>Celkem základní cena</t>
  </si>
  <si>
    <t>DPH stavby</t>
  </si>
  <si>
    <t>Celkem vč. DPH</t>
  </si>
  <si>
    <t>Poznámky pro uchazeče</t>
  </si>
  <si>
    <t>Jednotkové ceny by měly obsahovat:</t>
  </si>
  <si>
    <t>b) náklady na opatření k zajištění bezpečnosti práce</t>
  </si>
  <si>
    <t xml:space="preserve">e) náklady na protihluková a protiprašná zařízení </t>
  </si>
  <si>
    <t>Některé výměry v této specifikaci jsou orientační (převážně jsou uvažovány na horní hranici možných dodávek a prací); je žádoucí, aby fakturovány byly pouze skutečně provedené práce.</t>
  </si>
  <si>
    <t>Nedílnou součástí tohoto výkazu je i projektová dokumentace. Pokud dle názoru dodavatele některé práce a dodávky ve výkazu výměr chybí, doplní je do oddílu "Doplňky dodavatele".</t>
  </si>
  <si>
    <t>kpl</t>
  </si>
  <si>
    <t>m2</t>
  </si>
  <si>
    <t>Celkem</t>
  </si>
  <si>
    <t>ks</t>
  </si>
  <si>
    <t>m</t>
  </si>
  <si>
    <t>t</t>
  </si>
  <si>
    <t>počet</t>
  </si>
  <si>
    <t>celkem</t>
  </si>
  <si>
    <t>HZS</t>
  </si>
  <si>
    <t>%</t>
  </si>
  <si>
    <t>Potrubí z PPR, D 32x5,4 mm, PN 20, vč. zed. výpom.</t>
  </si>
  <si>
    <t>DS2</t>
  </si>
  <si>
    <t>V2</t>
  </si>
  <si>
    <t>V2,5</t>
  </si>
  <si>
    <t>Demontáž potrubí u polohy stávajícího plynoměru</t>
  </si>
  <si>
    <t>Odstranění PVC a koberců lepených bez podložky z ploch nad 20 m2</t>
  </si>
  <si>
    <t>713121111R00</t>
  </si>
  <si>
    <t>713191100RT9</t>
  </si>
  <si>
    <t>Broušení anhydritových potěrů - odstranění šlemu</t>
  </si>
  <si>
    <t>632441491R00</t>
  </si>
  <si>
    <t>Penetrace velmi savých podkladů</t>
  </si>
  <si>
    <t>722172333R00</t>
  </si>
  <si>
    <t>Demontáž potrubí ocelových závitových DN 25</t>
  </si>
  <si>
    <t>723290823R00</t>
  </si>
  <si>
    <t>Přesun vybouraných hmot - plynovody, H 12 - 24 m</t>
  </si>
  <si>
    <t>230330051R00</t>
  </si>
  <si>
    <t>Bourání zděných příček z plných cihel vč. omítky</t>
  </si>
  <si>
    <t>Odstranění násypu nebo nánosu tl. 5 - 10 cm, z ploch jednotlivě do 10 m2</t>
  </si>
  <si>
    <t>Příčka, přizdívka z tvárnic porobet. tl. 100 mm hlad. tvárnice 600 x 250 x 100 mm, P3 - 550, vč. spražení se zděnou stěnou (navrtané trny nebo pásovina do každé třetí spáry po cca 1,0 m</t>
  </si>
  <si>
    <t>342012121R00_P</t>
  </si>
  <si>
    <t>342263990RD1_P</t>
  </si>
  <si>
    <t>Příplatek k příčce sádrokart. za desku tl. 12,5 mm, mechanicky odolná deska dle PD, na jedné straně</t>
  </si>
  <si>
    <t>D1-D</t>
  </si>
  <si>
    <t xml:space="preserve">Galerka s LED osvětlením, 60x60x14cm,dub platin ref. výrobek AQUALINE - ZOJA/KERAMIA FRESH </t>
  </si>
  <si>
    <t>https://www.mall.cz/plynove-varne-desky/concept-pdv7460bc?gclid=EAIaIQobChMI0evMsq_H6QIVgYxRCh0KAAVIEAAYASAAEgLB8fD_BwE</t>
  </si>
  <si>
    <t>https://www.svet-koupelny.cz/keramia-fresh/zoja-keramia-fresh-galerka-s-halogenovym-osvetlenim-60x60x14cm-dub-platin-lev-45027/aqualine/</t>
  </si>
  <si>
    <t>965048515R00</t>
  </si>
  <si>
    <t xml:space="preserve">Potěr samonivelační ručně tl. 2 mm, vyrovnávací, pevnosti 15 MPa; odhad 100% plochy </t>
  </si>
  <si>
    <t>KD(I)1-D</t>
  </si>
  <si>
    <t>775413040R00</t>
  </si>
  <si>
    <t xml:space="preserve">Montáž dřevěné soklové podlahové lišty </t>
  </si>
  <si>
    <t>Podlahová lišta dle specifikace v PD vč. prořezu 10%</t>
  </si>
  <si>
    <t>https://www.drevene-listy-eshop.cz/drevene-listy/eshop/4-1-DUBOVE-LISTY/0/5/2-LISTA-PARKETOVA-dub</t>
  </si>
  <si>
    <t>Penetrace savých podkladů, vč. dodávky  0,25 l/m2</t>
  </si>
  <si>
    <t>632415104RT2</t>
  </si>
  <si>
    <t>Položení podlah lamelových se zámkovým spojem</t>
  </si>
  <si>
    <t>Podlahy lamelové - dřevo, specifikace dle PD, vč. prořezu 10%</t>
  </si>
  <si>
    <t>https://iparador.cz/drevene-podlahy/2345-parador-trendtime-8-dub-limed-handcrafted-4v-trivrstva-drevena-podlaha-plovouci.html</t>
  </si>
  <si>
    <t>Demontáž dřevěného obložení stěn</t>
  </si>
  <si>
    <t>Demontáž ohřívače vody</t>
  </si>
  <si>
    <t>725220841R00</t>
  </si>
  <si>
    <t>Demontáž ocelové vany</t>
  </si>
  <si>
    <t>725514801R00_P</t>
  </si>
  <si>
    <t>Vyvedení odpadních výpustek D 50 x 1,8 (vana)</t>
  </si>
  <si>
    <t>Izolace návleková  tl. stěny 13 mm vnitřní průměr 32 mm</t>
  </si>
  <si>
    <t>Kohout kulový nerozebíratelný PP-R D 32</t>
  </si>
  <si>
    <t>Kohout kulový nerozebíratelný PP-R D 25</t>
  </si>
  <si>
    <t>725229102RT2</t>
  </si>
  <si>
    <t>Montáž van ocel. a plastových s uzávěr. HL 500-5/4 (vč. napojení na sifon)</t>
  </si>
  <si>
    <t>Vana, smaltovaná ocel, 1700/700mm, tloušťka oceli 1,5 mm - specifikace dle PD</t>
  </si>
  <si>
    <r>
      <t>Vanová odpadová přepadová soustava vč. zápachové uzávěry s otočným kolenem</t>
    </r>
    <r>
      <rPr>
        <i/>
        <sz val="10"/>
        <color indexed="15"/>
        <rFont val="Arial"/>
        <family val="2"/>
      </rPr>
      <t>,</t>
    </r>
    <r>
      <rPr>
        <i/>
        <sz val="10"/>
        <color indexed="49"/>
        <rFont val="Arial"/>
        <family val="2"/>
      </rPr>
      <t xml:space="preserve"> DN50, uzavírání odpadu pomocí bovdenového ovládání, chrom, průtok 51,6 l/min, průtok přepad 42 l/min</t>
    </r>
  </si>
  <si>
    <t>https://www.koupelny-ptacek.cz/vana-smaltovana-jika-klasicka-riga-3407-0-000-170x70-cm-bila</t>
  </si>
  <si>
    <t>https://jika-shop.cz/lyra-plus-klozet-zavesny-49-cm-compact-hluboke-splachovani-bily-663152338201/</t>
  </si>
  <si>
    <t>Klozet závěsný s hlubokým splachováním odpad zadní, vč. sedátka a připojovací tlakové hadice - specifikace dle PD</t>
  </si>
  <si>
    <t>https://jika-shop.cz/sedatko-lyra-plus-duroplast-se-zpomalovacim-mechanismem-plastove-uchyty-bile-zavesne-klozety-6631593/</t>
  </si>
  <si>
    <t>Modul pro závěsné WC, pro zazdívání vč. ovládacích tlačítek - matný chrom</t>
  </si>
  <si>
    <t>https://jika-shop.cz/tlacitko-ovladaci-jika-pl3-single-flush-matny-chrom-663909366000/</t>
  </si>
  <si>
    <t>https://jika-shop.cz/jika-basic-wc-system-modul-pro-zavesne-wc-pro-predezdeni-663909365100/</t>
  </si>
  <si>
    <t>725119306R00</t>
  </si>
  <si>
    <t>Montáž klozetu závěsného</t>
  </si>
  <si>
    <t>Uzávěrka zápachová pračková (myčka) podomítková,plast. krytka</t>
  </si>
  <si>
    <t>725869203R00_P</t>
  </si>
  <si>
    <t>https://www.vodo-plasttop.cz/podomitkova-zapachova-uzaverka-hl405-sifon-prackovy</t>
  </si>
  <si>
    <t>https://www.vodo-plasttop.cz/sifon-prackovy-podomitkovy-bily-eppp450</t>
  </si>
  <si>
    <t>Přechodový prvek mezikus (ocel/mědˇ)</t>
  </si>
  <si>
    <t>Tlaková zkouška Cu potrubí do D 35</t>
  </si>
  <si>
    <t>Kohouty plnící a vypouštěcí ČSN 13 7061, G1/2</t>
  </si>
  <si>
    <t>Stavební přípomoce - drážky, prostupy, zapravení</t>
  </si>
  <si>
    <t>Ocelové deskové tělesa Korado Radik ventil kompakt  11VK500/400</t>
  </si>
  <si>
    <t>jen materiál</t>
  </si>
  <si>
    <t>svítidlo  pod linku bez vypínače LED 10W</t>
  </si>
  <si>
    <t>spínač č.5 - sériový</t>
  </si>
  <si>
    <t>spínač č.7 - křížový</t>
  </si>
  <si>
    <t>rámeček 4x, trojrámeček</t>
  </si>
  <si>
    <t>proudový chránič 10/1N/0,03</t>
  </si>
  <si>
    <t>přrážka za podružný materiál</t>
  </si>
  <si>
    <t>Plynové kotel, specifikace dle PD část D14</t>
  </si>
  <si>
    <t>Set k odvodu kondenzátu</t>
  </si>
  <si>
    <t>https://kotle.heureka.cz/vaillant-vuw-246-5-5-ecotec-plus/specifikace/#section</t>
  </si>
  <si>
    <t>https://www.topenilevne.cz/vaillant-vrt-50-p51506/</t>
  </si>
  <si>
    <t>https://www.spalensky.com/e/ostatni-drevene-vyrobky-676/dverni-prahy-971/?page=1&amp;sort=title&amp;parameters=2582</t>
  </si>
  <si>
    <t>650kč/m2</t>
  </si>
  <si>
    <t>REZERVA</t>
  </si>
  <si>
    <t>766812114R00_P</t>
  </si>
  <si>
    <t>775541600R00</t>
  </si>
  <si>
    <t>721171808R00_P</t>
  </si>
  <si>
    <t>Demontáž připojovacího potrubí kanalizace</t>
  </si>
  <si>
    <t>722260902R00_P</t>
  </si>
  <si>
    <t>https://www.aaaradiatory.cz/cu-trubka-supersan-28x1-5-p15537/</t>
  </si>
  <si>
    <t>733163102R00</t>
  </si>
  <si>
    <t>733163103R00</t>
  </si>
  <si>
    <t>733163104R00</t>
  </si>
  <si>
    <t>733163105R00</t>
  </si>
  <si>
    <t>733190306R00</t>
  </si>
  <si>
    <t>Montáž otopných těles koupelnových (žebříků)</t>
  </si>
  <si>
    <t>735179110R00</t>
  </si>
  <si>
    <t>735171350R00_P</t>
  </si>
  <si>
    <t>Potrubí měděné pro chráničky D 28x1,5</t>
  </si>
  <si>
    <t>Potrubí měděné pro chráničky D 35x1,5</t>
  </si>
  <si>
    <t>733163106R00</t>
  </si>
  <si>
    <t>722130801R00</t>
  </si>
  <si>
    <t>https://www.koupelnovevybaveni.cz/flexira-hadice-xconnect-gas-basic-1000-mm-r1-2-g1-2-h121g1-10</t>
  </si>
  <si>
    <t>5513101491_P</t>
  </si>
  <si>
    <t>Hadice flexi plyn 1000 mm, nerezová hadice s nerezovými převlečnými maticemi 1/2" na obou stranách s plochým těsněním NBR.</t>
  </si>
  <si>
    <t>34196376_P</t>
  </si>
  <si>
    <t>4848173030_P</t>
  </si>
  <si>
    <t>https://www.ypsilonplus.cz/kk-s-filtrem-filterball-51f</t>
  </si>
  <si>
    <t>979011219R00</t>
  </si>
  <si>
    <t>Přípl.k svislé dopr.suti za každé další NP nošením</t>
  </si>
  <si>
    <t>979082111R00</t>
  </si>
  <si>
    <t>Vnitrostaveništní doprava suti a vybouraných hmot do 10 m</t>
  </si>
  <si>
    <t>Vnitrostaveništní doprava suti a vybouraných hmot do 10m</t>
  </si>
  <si>
    <t>979990001R00_P</t>
  </si>
  <si>
    <t>Poplatek za skládku materiálu</t>
  </si>
  <si>
    <t>979095312R00</t>
  </si>
  <si>
    <t>Naložení a složení suti</t>
  </si>
  <si>
    <t>998011003R00_P</t>
  </si>
  <si>
    <t>Vedlejší rozpočtové náklady</t>
  </si>
  <si>
    <t>M.J.</t>
  </si>
  <si>
    <t>Množství</t>
  </si>
  <si>
    <t>Jedn. cena</t>
  </si>
  <si>
    <t>Cena celkem</t>
  </si>
  <si>
    <t>VRN1</t>
  </si>
  <si>
    <t xml:space="preserve">Průzkumné, geodetické a projektové práce </t>
  </si>
  <si>
    <t>VRN2</t>
  </si>
  <si>
    <t xml:space="preserve">Příprava staveniště </t>
  </si>
  <si>
    <t>Do této položky patří náklady spojené:</t>
  </si>
  <si>
    <t>VRN3</t>
  </si>
  <si>
    <t xml:space="preserve">Zařízení staveniště </t>
  </si>
  <si>
    <t>V rámci nákladů na zařízení staveniště ocení zhotovitel veškeré náklady spojené s vybudováním, provozem a odstraněním zařízení staveniště, a to ve fázích:</t>
  </si>
  <si>
    <t>VRN4</t>
  </si>
  <si>
    <t>Inženýrská činnost</t>
  </si>
  <si>
    <t xml:space="preserve">Náklady spojené s dohledem v prostorách a místech, ve kterých bylo prováděno svařování a řezání - dohled bude prováděn minimálně po dobu 8 hodin od ukončení prací (ČSN 050601) </t>
  </si>
  <si>
    <t>Náklady na součinnost při kolaudaci v rámci plánované etapizace výstavby</t>
  </si>
  <si>
    <t>VRN5</t>
  </si>
  <si>
    <t>Finanční náklady</t>
  </si>
  <si>
    <t>VRN6</t>
  </si>
  <si>
    <t>Provozní vlivy</t>
  </si>
  <si>
    <t>VRN7</t>
  </si>
  <si>
    <t>Ostatní náklady</t>
  </si>
  <si>
    <t>Ostatní materiály, práce, dodávky, služby a výkony jinde neuvedené</t>
  </si>
  <si>
    <t xml:space="preserve"> - Ostatní materiály, práce, dodávky, služby, ztížené výrobní podmínky související s umístěním stavby a výkony neuvedené v položkových soupisech jednotlivých částí zakázky, potřebné k provedení, dokončení a předání bezvadného díla (jedná se o veškeré samostatně nerozpočtované práce, materiály, výkony, služby a konstrukce), vyplývající ze smlouvy o dílo, dotačního titulu, projektové dokumentace nebo správních rozhodnutí a dokladů shromážděných v dokladové části projektu či jinde. Součástí této položky je i doprava pracovníků na staveniště. Dále sem patří veškeré samostatně nerozpočtované práce a dodávky (dodavatel je povinen provést kontrolu a případnou opravu soupisu prací v rámci podání nabídky na stavební práce). </t>
  </si>
  <si>
    <t xml:space="preserve">Zabezpečení stávajících zařízení a vybavení   </t>
  </si>
  <si>
    <t>Náklady spojené s povinným pojištěním dodavatele dle požadavku objednatele, náklady na požadovanou bankovní záruku za splnění závazku provést dílo-stavbu, je-li tato bankovní záruka pořadována v zadavacích či jiných podmínkách a dokumentech, jež jsou součástí zadavací dokumentace.</t>
  </si>
  <si>
    <t>Náklady na předání dokladové části  o vlastnostech materiálů, o provedených zkouškách a měření, o výchozích kontrolách provozuschopnosti,  o zaškolení obsluhy, revizní zprávy s výsledkem-bez závad, doklady o oprávnění k provádění prací, doklady o likvidaci odpadů, návody k obsluze, kopie záručních listů   - 2x tištěně a 1x v elektronické podobě</t>
  </si>
  <si>
    <t>Vedlejší rozpočtové náklady (VRN)</t>
  </si>
  <si>
    <t>Rozdělení podle investic a oprav (bez VRN a DPH)</t>
  </si>
  <si>
    <t>Rozdělení podle investic a oprav vč. VRN bez DPH</t>
  </si>
  <si>
    <t>Rozdělení VRN podle investic a oprav</t>
  </si>
  <si>
    <t>28349014_P</t>
  </si>
  <si>
    <t>28349060_P</t>
  </si>
  <si>
    <t>346971152R00_P</t>
  </si>
  <si>
    <t>342264101R00</t>
  </si>
  <si>
    <t>342264513R00_P</t>
  </si>
  <si>
    <t>781147P001</t>
  </si>
  <si>
    <t>781147P002</t>
  </si>
  <si>
    <t>781147P004</t>
  </si>
  <si>
    <t>781497132R00_P</t>
  </si>
  <si>
    <t>781497121R00_P</t>
  </si>
  <si>
    <t>Hydroizolační stěrka dvouvrstvá, pod obklady</t>
  </si>
  <si>
    <t>https://www.dek.cz/produkty/detail/1640140505-weber-akryzol-hydroizolacni-hmota-15kg?tab_id=popis</t>
  </si>
  <si>
    <t>585811012_P</t>
  </si>
  <si>
    <t>23152419_P</t>
  </si>
  <si>
    <t>924952311R00_P01</t>
  </si>
  <si>
    <t>61581624.A_P</t>
  </si>
  <si>
    <t>615290744_P</t>
  </si>
  <si>
    <t>54112115_P</t>
  </si>
  <si>
    <t>728414611R00_P</t>
  </si>
  <si>
    <t>53821107_P</t>
  </si>
  <si>
    <t>781147P005</t>
  </si>
  <si>
    <t>781147P007</t>
  </si>
  <si>
    <t>23152401_P</t>
  </si>
  <si>
    <t>776521200RT1_P</t>
  </si>
  <si>
    <t>61151391_P</t>
  </si>
  <si>
    <t>61413711_P</t>
  </si>
  <si>
    <t>5537000213_P</t>
  </si>
  <si>
    <t>551620220_P</t>
  </si>
  <si>
    <t>551620208_P</t>
  </si>
  <si>
    <t>551620214_P</t>
  </si>
  <si>
    <t>551620240_P</t>
  </si>
  <si>
    <t>55145015_P</t>
  </si>
  <si>
    <t>55145001_P</t>
  </si>
  <si>
    <t>55145009_P</t>
  </si>
  <si>
    <t>642938111_P</t>
  </si>
  <si>
    <t>55484470.A_P</t>
  </si>
  <si>
    <t>725224138R00</t>
  </si>
  <si>
    <t>55231355_P</t>
  </si>
  <si>
    <t>725014163R00_P</t>
  </si>
  <si>
    <t>726212321R00_P</t>
  </si>
  <si>
    <t>725860186RT1</t>
  </si>
  <si>
    <t>725860184RT1</t>
  </si>
  <si>
    <t>725810402R00</t>
  </si>
  <si>
    <t>735191910R00</t>
  </si>
  <si>
    <t>Napuštění topného systému</t>
  </si>
  <si>
    <t>Odvzdušnění ut těles</t>
  </si>
  <si>
    <t>735191905R00</t>
  </si>
  <si>
    <t>220711301R00_P</t>
  </si>
  <si>
    <t>Autonomní hlásič kouře, vč. montáže</t>
  </si>
  <si>
    <t xml:space="preserve">Provedení revize plynovodu </t>
  </si>
  <si>
    <t>723190909R00_P</t>
  </si>
  <si>
    <t>Přípojka k plynoměru</t>
  </si>
  <si>
    <t>723160204R00</t>
  </si>
  <si>
    <t>723160334R00</t>
  </si>
  <si>
    <t>Rozpěrka přípojky plynoměru G 1</t>
  </si>
  <si>
    <t>220261662R00_P</t>
  </si>
  <si>
    <t>723160804R00</t>
  </si>
  <si>
    <t>733193932R00_P</t>
  </si>
  <si>
    <t>762521811R00_P</t>
  </si>
  <si>
    <t>24612230_P</t>
  </si>
  <si>
    <t>Přemístění vodoměru a uzávěru vody a úpravy potrubí</t>
  </si>
  <si>
    <t>Termostatické hlavice s vestavěným čidlem</t>
  </si>
  <si>
    <t>Stavební úpravy bytové jednotky č.2, Malátová 434/11 150 00 Praha 5</t>
  </si>
  <si>
    <t>968072455R00</t>
  </si>
  <si>
    <t>Vybourání kovových dveřních zárubní pl. do 2 m2</t>
  </si>
  <si>
    <t>968062245R00</t>
  </si>
  <si>
    <t>Vybourání dřevěných rámů oken jednoduch. pl. 2 m2</t>
  </si>
  <si>
    <t>Vyvěšení dřevěných dveřních křídel pl. nad 2 m2</t>
  </si>
  <si>
    <t>968061126R00</t>
  </si>
  <si>
    <t>767900010RAB</t>
  </si>
  <si>
    <t>962032231R00</t>
  </si>
  <si>
    <t>Bourání dlažeb kamenin. tl. do 25 mm, pl.nad 1 m2</t>
  </si>
  <si>
    <t>965081723R00</t>
  </si>
  <si>
    <t>762900060RAB</t>
  </si>
  <si>
    <t>Demontáž dřevěných podlah z prken s polštáři</t>
  </si>
  <si>
    <t>762900065RA0</t>
  </si>
  <si>
    <t>Demontáž dřevotřískových podlah</t>
  </si>
  <si>
    <t>m.č. 202.7,  tl. 70mm</t>
  </si>
  <si>
    <t>m.č. 202.2,3,4  tl. 100mm</t>
  </si>
  <si>
    <t>m.č. 202.5, 6  tl. 110mm</t>
  </si>
  <si>
    <t>766900020RAB_P</t>
  </si>
  <si>
    <t>963016111R00</t>
  </si>
  <si>
    <t>DMTZ podhledu SDK, kovová kce., 1xoplášť.12,5 mm</t>
  </si>
  <si>
    <t>962065311R00_P</t>
  </si>
  <si>
    <t>Bourání nosné konst. podhledu, trámky ze dřeva měkkého</t>
  </si>
  <si>
    <t xml:space="preserve">Průzkumné práce - průzkum stávající dřevěné podlahy - pásová sonda podél vnější nosné stěny a v místech stávající koupelny </t>
  </si>
  <si>
    <t>Likvidace akumulačních pecí</t>
  </si>
  <si>
    <t>Demontáž plynového sporáku</t>
  </si>
  <si>
    <t>725530826R00_P</t>
  </si>
  <si>
    <t>Přizdívka z tvárnic porobet. tl. 50 mm hlad. tvárnice 600 x 250 x 50 mm, P 4 - 600, vč. spražení se zděnou stěnou (navrtané trny nebo pásovina do každé třetí spáry po cca 1,0 m</t>
  </si>
  <si>
    <t>Podezdívka vany (1600/700mm) výšky do 600 mm  tl. 100 mm vč.provedení revizního otvoru pro obklad na silikon (návaznosti na spádové možnosti kanalizace)</t>
  </si>
  <si>
    <t>202.7 = 1,55*2,55+1,21*1,2+1,41*3,1-0,8*2,05</t>
  </si>
  <si>
    <t>202.8 =  2,5*3,1-0,8*2,05+1,55*2,5*2+0,9*2,5+0,88*1,2</t>
  </si>
  <si>
    <t>202.9 =  0,9*2,5+1*3,1-0,8*2,05</t>
  </si>
  <si>
    <t>311230014RA0_P</t>
  </si>
  <si>
    <t>202.9, tl. 300mm = 0,77*2,45</t>
  </si>
  <si>
    <t xml:space="preserve">Dozdívky zdivem z cihel pálených plných na MVC, tl. 15-90 cm, vč. vysekání kapes pro zavázání  </t>
  </si>
  <si>
    <t>Revizní dvířka kovová s magnety otevíravá s úchytem 250/400mm (u uzávěru vody a vodměru), včetně kotvícího materiálu</t>
  </si>
  <si>
    <t xml:space="preserve">Montáž SDK podhledu jednoduše opláštěného na samonosný rošt s parotěsnou zábranou, vč dodávky nosných profilů  tmelení, broušení a zatmelení návazností na zděné stěny (akrylátovým tmelem) </t>
  </si>
  <si>
    <t xml:space="preserve">Montáž SDK podhledu jednoduše opláštěného na samonosný rošt, vč dodávky nosných profilů  tmelení, broušení a zatmelení návazností na zděné stěny (akrylátovým tmelem) </t>
  </si>
  <si>
    <t>416021121R00_P</t>
  </si>
  <si>
    <t>416021123R00_P</t>
  </si>
  <si>
    <t>27,9+25,9+9,5+16,9+9,8</t>
  </si>
  <si>
    <t>2,0+4,0+1,7</t>
  </si>
  <si>
    <t>Odstranění stávajících maleb oškrábáním (STĚNY) H do 3,8m, mimo přizdívky a pohledy.</t>
  </si>
  <si>
    <t>,</t>
  </si>
  <si>
    <t>202.9 = 3,0*3,34</t>
  </si>
  <si>
    <t>202.3 = 22,19* 2,9-0,9*2,05-1*2,05-1,38*2,16-1,365*2,16</t>
  </si>
  <si>
    <t>202.5 = 9,82*0,8</t>
  </si>
  <si>
    <t>202.6 = 14,34*2,8-2*0,9*2,05-1,5*1,5</t>
  </si>
  <si>
    <t>202.8 = 5,72*1,84</t>
  </si>
  <si>
    <t>202.4 = 21,6*2,9-0,9*2,05-1*2,05-1,39*2,16-1,37*2,16-5,67*2,9</t>
  </si>
  <si>
    <t>202.7 = 16,16*2,8-2*0,9*2,05-1*2,05-4,91*2,8</t>
  </si>
  <si>
    <t>202.1 = 12,13*3,34-0,9*2,02-1*2,02-1,5*1,5*2-0,7*2,05-10,53</t>
  </si>
  <si>
    <t>202.2 = 19,16*2,6-1,5*1,5-2*0,9*2,05</t>
  </si>
  <si>
    <t>202.1 = 12,13*3,34-2*0,9*2,02-0,8*2,05-1,28*1,47*2</t>
  </si>
  <si>
    <t>202.7 = 5,52*2,6-0,8*2,05+0,1*1,21</t>
  </si>
  <si>
    <t>202.8 = 8,1*2,5-0,8*2,05+0,1*1,6</t>
  </si>
  <si>
    <t>202.9 = 5,68*2,5-0,8*2,05</t>
  </si>
  <si>
    <t>202.10 = 4,98*3,34-0,4*0,4-0,8*2,05</t>
  </si>
  <si>
    <t>202.11 = 2,93*3,34</t>
  </si>
  <si>
    <t>612421311R00</t>
  </si>
  <si>
    <t>Oprava vápen.omítek stěn do 30 % pl. - hrubých</t>
  </si>
  <si>
    <t>202.1 = 1,26*0,14</t>
  </si>
  <si>
    <t>202.2 = 0,56*1,1+0,51*1,02</t>
  </si>
  <si>
    <t>202.3 = 0,32*1,38+0,32*1,37</t>
  </si>
  <si>
    <t>202.4 = 0,32*1,38+0,32*1,37</t>
  </si>
  <si>
    <t>202.6 = 17,35*2,8-0,9*2,05*2-1,28*1,47</t>
  </si>
  <si>
    <t>202.7 = 5,52*2,6-0,8*2,05</t>
  </si>
  <si>
    <t>202.10 = 4,98*3,34-0,4*0,4-0,8*2,05+1,5+0,23*0,4*3</t>
  </si>
  <si>
    <t>202.1 = 2*2,05</t>
  </si>
  <si>
    <t>202.2 = 2*2,31+2*2,1</t>
  </si>
  <si>
    <t>202.3 = 4*2,8</t>
  </si>
  <si>
    <t>202.4 = 4*2,8</t>
  </si>
  <si>
    <t>202.5 = 2,1+2,3</t>
  </si>
  <si>
    <t>202.6 = 2*2,3+2*1,21</t>
  </si>
  <si>
    <t>202.7 = 1,21</t>
  </si>
  <si>
    <t>202.8 = 0</t>
  </si>
  <si>
    <t>202.9 = 0</t>
  </si>
  <si>
    <t>202.10 = 2*2,1+2*0,4</t>
  </si>
  <si>
    <t>202.11 = 0</t>
  </si>
  <si>
    <t>202.4 = 20,18*2,9-0,9*2,05-1,39*2,16-1,37*2,16-5,67*2,9</t>
  </si>
  <si>
    <t>202.2 = 2*0,56*2,31+2*0,51*2,1</t>
  </si>
  <si>
    <t>202.2 = 13,83*2,6-3*0,9*2,05-3*0,8*2,05</t>
  </si>
  <si>
    <t>202.3 = 2*0,32*2,16*2</t>
  </si>
  <si>
    <t>202.4 = 2*0,32*2,16*2</t>
  </si>
  <si>
    <t>202.5 = 14,16*2,8-0,9*2,05-4,91*2,8-1,28*1,47</t>
  </si>
  <si>
    <t>202.5 = 2*0,53*2,1+2*0,41*1,5</t>
  </si>
  <si>
    <t>202.6 = 0,41*1,28+0,15*1,545</t>
  </si>
  <si>
    <t>202.6 = 0,15*1,21*2+2*0,41*1,5</t>
  </si>
  <si>
    <t>202.5 = 0,41*1,28+0,53*1</t>
  </si>
  <si>
    <t>202.10 = 1,5+0,23*0,4</t>
  </si>
  <si>
    <t>202.10 = 2*0,23*0,4</t>
  </si>
  <si>
    <t>202.1 = 2,34+2*(1,28+2*1,47)+2*(0,9+2*2,05)+0,8+2,05</t>
  </si>
  <si>
    <t>202.2 = 3*(0,8+2,05*2)+3*(0,9+2*2,05)</t>
  </si>
  <si>
    <t>202.3 = 2*(0,9+2*2,05)+2*(1,38+2*2,16)</t>
  </si>
  <si>
    <t>202.4 = 0,9+2*2,05+2*(1,38+2*2,16)</t>
  </si>
  <si>
    <t>202.5 = 0,9*2,05*2+1,28+2,*1,47</t>
  </si>
  <si>
    <t>202.6 =  2*(0,9*2,05*2)+1,28+2,*1,47</t>
  </si>
  <si>
    <t>202.7 = 0,8+2*2,05</t>
  </si>
  <si>
    <t>202.8 = 0,8+2*2,05</t>
  </si>
  <si>
    <t>202.9 = 0,8+2*2,05</t>
  </si>
  <si>
    <t>202.10 = 0,8+2*2,05+3*0,4</t>
  </si>
  <si>
    <t>202.3 = 20,93* 2,9-2*0,9*2,05-1,38*2,16-1,365*2,16-0,6*4,3</t>
  </si>
  <si>
    <t>Obkládání stěn vnitř.keram. do tmele do 200x400 mm, položka obsahuje lepící a spárovací tmel (kuchyň)</t>
  </si>
  <si>
    <t>Keramický obklad 200/400/7mm dle specifikace v PD, vč. prořezu 10%, (kuchyň)</t>
  </si>
  <si>
    <t>https://www.rako.cz/cs/wadmb220</t>
  </si>
  <si>
    <t>Obkládání stěn vnitř.keram. do tmele 200x200mm, položka obsahuje lepící a spárovací tmel</t>
  </si>
  <si>
    <t>Keramický obklad 200/200/10mm dle specifikace v PD, vč. prořezu 10%, bíla (koupelna, WC)</t>
  </si>
  <si>
    <t>https://www.rako.cz/cs/waa1n000</t>
  </si>
  <si>
    <t>https://www.keramikasoukup.cz/katalog/maioliche</t>
  </si>
  <si>
    <t>202.8 = 2,4*8,3+1,6*0,1-0,8*2,05</t>
  </si>
  <si>
    <t>202.9 = 2,4*4,68-0,8*2,05</t>
  </si>
  <si>
    <t>Keramický obklad 200/200/7mm - DEKOR, dle specifikace v PD, vč. prořezu 10% (stěna + podezdívka vany, zadní stěna WC)</t>
  </si>
  <si>
    <t>Nerezová (kartáčovaná) ukončovací lišta (kuchyň), profilu L10mm, L=2,5m</t>
  </si>
  <si>
    <t>Al ukončovací lišta (přírodní) profilu L10mm (rohy,přizdívky,výklenek), L=2,5m</t>
  </si>
  <si>
    <t>https://www.keramikasoukup.cz/obklady-a-dlazby/velkoformatova-dlazba-zoxidovaneho-kovu-oxidatio-vanadium-61-x-61-cm</t>
  </si>
  <si>
    <r>
      <t>Keramická dlažba 610/610mm dle specifikace</t>
    </r>
    <r>
      <rPr>
        <i/>
        <sz val="10"/>
        <color indexed="40"/>
        <rFont val="Arial"/>
        <family val="2"/>
      </rPr>
      <t xml:space="preserve"> </t>
    </r>
    <r>
      <rPr>
        <i/>
        <sz val="10"/>
        <color indexed="49"/>
        <rFont val="Arial"/>
        <family val="2"/>
      </rPr>
      <t>v PD vč. prořezu 10%, včetně lepícího tmelu</t>
    </r>
  </si>
  <si>
    <t>781475114RT1</t>
  </si>
  <si>
    <t>děrovaná DTD</t>
  </si>
  <si>
    <t xml:space="preserve">dodávka kování </t>
  </si>
  <si>
    <t>podřezání dveří</t>
  </si>
  <si>
    <t>D2-D</t>
  </si>
  <si>
    <t>D3-D</t>
  </si>
  <si>
    <t>D4-D</t>
  </si>
  <si>
    <t>D5-D</t>
  </si>
  <si>
    <t>D6-D</t>
  </si>
  <si>
    <t>D7-D</t>
  </si>
  <si>
    <t>Dveře dřevěné vnitřní 1křídlové 700x1970mm podříznuté vč. zárubně , dle specifikace v PD</t>
  </si>
  <si>
    <t>Dveře dřevěné vnitřní 1křídlové 700x1970mm vč. zárubně  podříznuté dle specifikace v PD</t>
  </si>
  <si>
    <t>Dveře dřevěné vnitřní 1křídlové 800x1970mm vč. zárubně   podříznuté dle specifikace v PD</t>
  </si>
  <si>
    <t>Dveře dřevěné vnitřní , prosklené, 1křídlové 800x1970mm vč. zárubně  podříznuté dle specifikace v PD</t>
  </si>
  <si>
    <t>Dveře dřevěné vnitřní 1křídlové 800x1970mm vč. zárubně , dle specifikace v PD</t>
  </si>
  <si>
    <t>61174005_P</t>
  </si>
  <si>
    <t>https://www.next.cz/bezpecnostni-dvere-sd-101</t>
  </si>
  <si>
    <t>55331240_P</t>
  </si>
  <si>
    <t>alertservis.cz › assets › cenik_bezpecnostni_dvere_2015</t>
  </si>
  <si>
    <t>Bezpečnostní kování a zámek</t>
  </si>
  <si>
    <t>Práh dřevěný d. 800 mm, š.150mm, vč. povrchové úpravy a kotvení, tl.20mm</t>
  </si>
  <si>
    <t>766670011R00_P</t>
  </si>
  <si>
    <t>Montáž bezpečnostní zárubně a dřevěného křídla dveří vč. klik štítu</t>
  </si>
  <si>
    <t>Dveře bezpečnostní plné B3 1kř. 80x197 cm včetně příslušenství dle specifikace v PD</t>
  </si>
  <si>
    <t>549146430_P</t>
  </si>
  <si>
    <t>Dveře dřevěné vnitřní 1křídlové 700x1970mm podříznuté vč. zárubně  dle specifikace v PD</t>
  </si>
  <si>
    <t>prahová padací lišta</t>
  </si>
  <si>
    <t>tepelná úprava dveří D6</t>
  </si>
  <si>
    <t>zasklení Conex</t>
  </si>
  <si>
    <t xml:space="preserve">Příplatky k vnitřní dveřím </t>
  </si>
  <si>
    <t>642940012RA0_P</t>
  </si>
  <si>
    <t>642940014RA0_P</t>
  </si>
  <si>
    <t>https://www.dverecag.cz/konfigurator/kubik/kubik-bz/ral-9003/matelux-ciry/standard/</t>
  </si>
  <si>
    <t>https://www.datart.cz/odsavac-par-gorenje-classico-bhp62cli-bezovy.html</t>
  </si>
  <si>
    <t xml:space="preserve">Vestavná digestoř ref. výrobek.Gorenje Retro BHP62CLI, béžový, vč. montáže </t>
  </si>
  <si>
    <t>Vestavná el. trouba,krémová, ref. výrobek Amica EBR 7331 W AA, vč. montáže</t>
  </si>
  <si>
    <t>Plynová deska, tvrzené sklo černé, čtyřplotýnka ref. výrobek Concept PDV7460bc, vč. montáže</t>
  </si>
  <si>
    <t>https://online.ferona.cz/detail/23149/profil-ipe-valcovany-za-tepla-din-1025-5-ipe-100</t>
  </si>
  <si>
    <t>Základní nátěr ocelového nosníku</t>
  </si>
  <si>
    <t>Základní nátěr na ocel</t>
  </si>
  <si>
    <t>KDI1-M</t>
  </si>
  <si>
    <t>KDI1-D</t>
  </si>
  <si>
    <t>Deska EPS 150, tl.20mm, (500x1000mm)</t>
  </si>
  <si>
    <t>Deska EPS 150, tl.50mm, (500x1000mm)</t>
  </si>
  <si>
    <t>Montáž podlah keram.,režné hladké, včetně lepícího tmelu, 60/60cm</t>
  </si>
  <si>
    <t>Broušení nerovností betonových podlah do 5 mm; odhad 70% plochy (bude upřesněno po provedení bouracích prací)</t>
  </si>
  <si>
    <t>776101101R00</t>
  </si>
  <si>
    <t>Vysávání podlah prům.vysavačem pod povlak.podlahy</t>
  </si>
  <si>
    <t xml:space="preserve">Lepení povlakových podlah z dílců PVC a CV (vinyl) vč. lepidla </t>
  </si>
  <si>
    <t>Podlaha z PVC -dekor dřevo, specifikace dle PD, vč. prořezu 10%</t>
  </si>
  <si>
    <t>Lepení podlahových soklíků pryžových</t>
  </si>
  <si>
    <t>Podlahová lišta pvc vč. prořezu 10%</t>
  </si>
  <si>
    <t>776521200RT1</t>
  </si>
  <si>
    <t>776411000RT1</t>
  </si>
  <si>
    <t>KD(I)1,2,DP1,PV1</t>
  </si>
  <si>
    <t>721170955R00_P</t>
  </si>
  <si>
    <t>721176103R00_P</t>
  </si>
  <si>
    <t>721176104R00_P</t>
  </si>
  <si>
    <t>721176105R00_P</t>
  </si>
  <si>
    <t>721290111R00</t>
  </si>
  <si>
    <t>725850145R00_P</t>
  </si>
  <si>
    <t>Vodní zápachová uzávěrka DN32 pro odvod kondenzátu (kotel) s přídavnou mechanickou zápachovou uzávěrkou (kulička), podomítkové provedení. (ref. v. HL 138K - do niky)</t>
  </si>
  <si>
    <t>64213637_P1</t>
  </si>
  <si>
    <t>64213637_P2</t>
  </si>
  <si>
    <t>Umyvátko keramické 400/310/145 mm připevněné na stěnu šrouby vč. pilety clickclack- specifikace dle PD (ref. výrobek Lyra Plus)</t>
  </si>
  <si>
    <t>https://www.koupelny-ptacek.cz/umyvatko-klasicke-jika-bez-otvoru-lyra-plus-1538-1-000-109-40-cm-bila</t>
  </si>
  <si>
    <t>Vanička sprchová čtvrtkruhová 900x900/30 mm litý mramor - specifikace dle PD</t>
  </si>
  <si>
    <t>https://www.siko.cz/sprchova-vanicka-ctvrtkruhova-ravak-chrome-90x90-cm-lity-mramor-xa247701010/p/EL90PROCHROM0</t>
  </si>
  <si>
    <t>https://www.koupelny-sen.cz/vanickovy-sifon-prumer-otvoru-90-mm-dn50-krytka-lestena-nerez-ewn0850</t>
  </si>
  <si>
    <t>Sprchový kout bez vaničky s profilem v lesklém chromu a výplní z čirého skla s dekorem transparent, výška 2000 mm, š.900mm, otočný systém otevírání.  dle specifikace v PD</t>
  </si>
  <si>
    <t>https://www.siko.cz/sprchovy-kout-ctvrtkruh-90x90x200-cm-roth-proxima-line-chrom-leskly-539-9000000-00-02/p/539-9000000-00-02</t>
  </si>
  <si>
    <t>725849201R00</t>
  </si>
  <si>
    <t>Montáž baterií sprchových, pevná výška</t>
  </si>
  <si>
    <t>Ventily odvzdušňovací automatické, G3/8</t>
  </si>
  <si>
    <t>Radiátorová armatura s přednastavením rohová G3/4</t>
  </si>
  <si>
    <t>Ocelové deskové tělesa Korado Radik ventil kompakt  11VK500/500</t>
  </si>
  <si>
    <t>Ocelové deskové tělesa Korado Radik ventil kompakt  11VK500/1000</t>
  </si>
  <si>
    <t>Ocelové deskové tělesa Korado Radik ventil kompakt  22VK500/1100</t>
  </si>
  <si>
    <t>https://instalcentrum.eu/produkt-5029/korado-koralux-koupelnovy-zebrik-klc-1820500/</t>
  </si>
  <si>
    <t>Ocelové těleso žebříkové KLT 1820.50M+ETT 400 W</t>
  </si>
  <si>
    <t>725610810R00</t>
  </si>
  <si>
    <t>Demontáž nefukční odbočky do sousedního bytu</t>
  </si>
  <si>
    <t>Úprava odbočky na plynové potrubí DN 25</t>
  </si>
  <si>
    <t>723190914R00_P</t>
  </si>
  <si>
    <t>732291812R00</t>
  </si>
  <si>
    <t>Demontáž topných těles elektrických do 7500 W</t>
  </si>
  <si>
    <t>Rezerva - Ucpávka protipožární, průchod stěnou, tl. 15 cm</t>
  </si>
  <si>
    <t>849_Malátova  434/11_bj_2</t>
  </si>
  <si>
    <t>C – svítidlo nástěnné LED, 16W, IP20</t>
  </si>
  <si>
    <t>CYKY-J 4x10</t>
  </si>
  <si>
    <t>CYA 10 zel.žl.</t>
  </si>
  <si>
    <t>kabelová spojka 4x10</t>
  </si>
  <si>
    <t>zapojení rekup.jednotky, ovládání</t>
  </si>
  <si>
    <t>rozvaděč provedení na povrch, IP30, 36 modulů</t>
  </si>
  <si>
    <t>svodič přepětí SPB -12/280/2 B+C</t>
  </si>
  <si>
    <t>proudový chránič 25/1/0,03</t>
  </si>
  <si>
    <t>tlačítkový ovladač zvonkový</t>
  </si>
  <si>
    <t>D1-D6-M</t>
  </si>
  <si>
    <t>D7-M</t>
  </si>
  <si>
    <t xml:space="preserve">Demontáž podlah vlysových lepených včetně lišt </t>
  </si>
  <si>
    <t>775511800R00</t>
  </si>
  <si>
    <t>342012123R00_P</t>
  </si>
  <si>
    <t>962084131R00</t>
  </si>
  <si>
    <t>Bourání příček deskových,sádrokartonových tl.10 cm</t>
  </si>
  <si>
    <t>970031200R00</t>
  </si>
  <si>
    <t>Vrtání jádrové do zdiva cihelného do D 200 mm (VZT prům. 180mm)</t>
  </si>
  <si>
    <t>735158210R00</t>
  </si>
  <si>
    <t>Tlakové zkoušky panelových těles 1řadých</t>
  </si>
  <si>
    <t>735158220R00</t>
  </si>
  <si>
    <t>Tlakové zkoušky panelových těles 2řadých</t>
  </si>
  <si>
    <t>735159110R00</t>
  </si>
  <si>
    <t>Montáž panelových těles 1řadých do délky 1500 mm</t>
  </si>
  <si>
    <t>734233112R00_P</t>
  </si>
  <si>
    <t>Kohout kulový, vnitř.-vnitř., G 3/4</t>
  </si>
  <si>
    <t>734293272RP0_P</t>
  </si>
  <si>
    <t>Kohout kulový s filtrem, vnitř.-vnitř., G 3/4</t>
  </si>
  <si>
    <t>734293312R00_P</t>
  </si>
  <si>
    <t>734215133R00_P</t>
  </si>
  <si>
    <t>Radiátorová armatura s přednastavením rohová pro stř. p. G3/4,pro dvojtrubkový systém, bez hlavice</t>
  </si>
  <si>
    <t>5512001400_P</t>
  </si>
  <si>
    <t>Radiátorové šroubení uzavírací s vyp. funkcí rohové G1/2, pro dvojtrubkový systém</t>
  </si>
  <si>
    <t>734209103R00</t>
  </si>
  <si>
    <t>Montáž armatur závitových,s 1závitem, G 1/2</t>
  </si>
  <si>
    <t>734209113R00</t>
  </si>
  <si>
    <t>Montáž armatur závitových,se 2závity, G 1/2</t>
  </si>
  <si>
    <t>734209114R00</t>
  </si>
  <si>
    <t>Montáž armatur závitových,se 2závity, G 3/4</t>
  </si>
  <si>
    <t>723166002R00</t>
  </si>
  <si>
    <t>Zhotov.ohybu jednoduchého na potrubí Cu D 15, plyn</t>
  </si>
  <si>
    <t>735157240R00</t>
  </si>
  <si>
    <t>735157241R00</t>
  </si>
  <si>
    <t>735157246R00</t>
  </si>
  <si>
    <t>735157647R00</t>
  </si>
  <si>
    <t>735159210R00</t>
  </si>
  <si>
    <t>Montáž panelových těles 2řadých do délky 1140 mm</t>
  </si>
  <si>
    <t>Výměna potrubí kanalizace pod stropem z litiny na PVC - HT. Dimenze dle stávající.</t>
  </si>
  <si>
    <t>W03</t>
  </si>
  <si>
    <t>W01</t>
  </si>
  <si>
    <t>W02</t>
  </si>
  <si>
    <t>https://www.oknostyl.cz/drevena-okna-eurookna-cenik/</t>
  </si>
  <si>
    <t>61110301_P</t>
  </si>
  <si>
    <t>61110318_P</t>
  </si>
  <si>
    <t>641940015RA0</t>
  </si>
  <si>
    <t>Montáž oken plochy nad 1,5 m2 do zdiva</t>
  </si>
  <si>
    <t>Dřevěné okno 1280/1470mm historického vzhledu, profil IV 78 mm, vč. parapetu dle specifikace v PD</t>
  </si>
  <si>
    <t>641940011RA0</t>
  </si>
  <si>
    <t>Montáž okna plochy do 0,81 m2 do zdiva</t>
  </si>
  <si>
    <t>766601229R00_P</t>
  </si>
  <si>
    <t>766601211R00_P</t>
  </si>
  <si>
    <t>Demontáž dřevěného podhledu a polystyrenových desek</t>
  </si>
  <si>
    <t>Těsnění okenní spáry, ostění, PT fólie + PP páska, dle specifikace v PD</t>
  </si>
  <si>
    <t>Těsnění oken.spáry,parapet, PT folie + PP folie+páska, dle specifikace v PD</t>
  </si>
  <si>
    <t>766622921R00_P</t>
  </si>
  <si>
    <t>54914576_P</t>
  </si>
  <si>
    <t>767612912R00_P</t>
  </si>
  <si>
    <t>Kličky historického vzhledu, mosaz</t>
  </si>
  <si>
    <t>767612915R00</t>
  </si>
  <si>
    <t>Oprava - seřízení dřevěného okna</t>
  </si>
  <si>
    <t>Repase oken a balkonových dveří,  vč.přesklení rozbité tabule okenního křídla</t>
  </si>
  <si>
    <t>Výměna, doplnění kliček oken pokoje a na pavlači</t>
  </si>
  <si>
    <t>Demontáž okenních žaluzií</t>
  </si>
  <si>
    <t>Demontáž nástěnného elektrického topidla</t>
  </si>
  <si>
    <t>Demontáž vestavěné skříně, l.4m/š.0,6m/v.3,6m</t>
  </si>
  <si>
    <t>Demontáž skříněk pod oknem</t>
  </si>
  <si>
    <t>648951411RT2_P</t>
  </si>
  <si>
    <t>766825821R00_P</t>
  </si>
  <si>
    <t>766825811R00_P</t>
  </si>
  <si>
    <t>55346839_P</t>
  </si>
  <si>
    <t>766624063R00_P</t>
  </si>
  <si>
    <t>Montáž lamelových žaluzií oken</t>
  </si>
  <si>
    <t>Žaluzie vnitřní horizontální  lamelové STANDARD (okna ulice)</t>
  </si>
  <si>
    <t>962200041RA0</t>
  </si>
  <si>
    <t>Bourání příček ze sklobetonu</t>
  </si>
  <si>
    <t>783626010R00_P</t>
  </si>
  <si>
    <t>Nátěr - lak dřevěného podhledu pavlače</t>
  </si>
  <si>
    <t>735411811R00</t>
  </si>
  <si>
    <t>966077111R00_P</t>
  </si>
  <si>
    <t>311271170R00_P</t>
  </si>
  <si>
    <t>Drobné dozdívky z plné cihly původních prostupů (sopouchy, potrubí)</t>
  </si>
  <si>
    <t>Vsazení odbočky na PVC potrubí DN 110 (HTED,  DN110/110/50/67°) napojená na PVC potrubí</t>
  </si>
  <si>
    <t>Revizní kus na potrubí nad kotlem - kocentrické potrubí DN 80/125mm</t>
  </si>
  <si>
    <t>Koleno 87° PP potrubí DN80mm</t>
  </si>
  <si>
    <t>Patní koleno s podpěrou DN 80, PP</t>
  </si>
  <si>
    <t>484813512_P</t>
  </si>
  <si>
    <t>Adaptér připoj.paralelní pro konden.kotle 80/80 mm</t>
  </si>
  <si>
    <t>Koleno 45° PP potrubí DN80mm</t>
  </si>
  <si>
    <t>484813544_P</t>
  </si>
  <si>
    <t>731412547R00_P</t>
  </si>
  <si>
    <t xml:space="preserve"> - Zabezpečení stávajících zařízení a vybavení proti mechanickému poškození, prachu,zatečení (při opravách a rekonstrukcích) - položka zahrnuje každodenní zabezpečování objektu (po dobu trvání stavby) proti zatečení zakrýváním úřinným způsobem, pokud vlivem špatného zabezpečení stavby dojde ke škodám na budově, budou tyto škody zhotovitelem odstraněny na jeho náklady neprodleně (a zároveň nejpozději před předáním stavby investorovi)
- Náklady na kompletační činnost včetně denních úklidů staveniště a závěrečného úklidu</t>
  </si>
  <si>
    <t xml:space="preserve"> - Vybudování zařízení staveniště - náklady na zřízení přípojek energií, vybudování případných měřících odběrných míst a vlastní vybudování objektů zařízení staveniště vč. soc. zázemí
 - Provoz zařízení staveniště -  náklady na energie spotřebované dodavatelem v rámci provozu zařízení staveniště, náklady na potřebný úklid v prostorách zařízení staveniště, náklady na nutnou údržbu a opravy na objektech zařízení staveniště a na přípojkách energií.
- Odstranění zařízení staveniště. Položka zahrnuje i náklady na úpravu povrchů po odstranění zařízení staveniště a úklid ploch, na kterých bylo zařízení staveniště provozováno.
 - Součástí této položky jsou standardní prvky BOZP, včetně jejich dodávky, montáže, údržby a demontáže, respektive likvidace) a plnění povinosti vyplývajících z plánu BOZP včetně připomínek příslušných úřadů. Součástí položky Zařízení staveniště je poskytnutí části zařízení staveniště pro umožnění činnosti TD, AD a SÚ za účelem konání kontrolním dnů a všech dalších svolávaných jednání (předpokládá se čistý prostor - např. stavební buňka či jiná kancelář stavby).
- uvedení plochy pro zařízení staveniště do původního stavu</t>
  </si>
  <si>
    <t>Nákladů na ztížené podmínky provádění tam, kde jsou stavební práce zcela nebo zčásti omezovány provozem jiných osob. Jedná se zejména o zvýšené náklady související s omezením provozem v objektu, náklady v důsledku nezbytného respektování stávající dopravy v okolí stavby ovlivňující stavební práce (ochrana kolem vstupů do budovy). Náklady na ztížené provádění stavebních prací v důsledku provozu budovy po dobu stavby (nutnost ochranných konstrukcí, ochranných zábradlí a hrazení, apod.). Bytový dům bude investorem užíván po celou dobu stavby ke svému obvyklému účelu a náklady s tím spojené jsou součástí této položky.</t>
  </si>
  <si>
    <t>731412577R00</t>
  </si>
  <si>
    <t>Kryt komína, šachty pro kondenzační kotel</t>
  </si>
  <si>
    <t>731412585R00_P</t>
  </si>
  <si>
    <t>sada</t>
  </si>
  <si>
    <t>731412577R00_P</t>
  </si>
  <si>
    <t>https://www.ventilatory.cz/protidestova-striska-na-zakonceni-vzduchotechnickeho-potrubi-o-100-mm-x11003</t>
  </si>
  <si>
    <t>Protidešťová stříška potrubí spalovacího vzduchu, DN100</t>
  </si>
  <si>
    <t>cenik Vaillant 2020</t>
  </si>
  <si>
    <t>734223223R00_P2</t>
  </si>
  <si>
    <t>734223223R00_P1</t>
  </si>
  <si>
    <t>731249322R00_P</t>
  </si>
  <si>
    <t>731249321R00</t>
  </si>
  <si>
    <t>Montáž závěsných kotlů s TUV, odtah do komína</t>
  </si>
  <si>
    <t>Montáž odkouření kondenzačního kotle</t>
  </si>
  <si>
    <t>722181213RT7_P</t>
  </si>
  <si>
    <t>722181213RU1_P</t>
  </si>
  <si>
    <t>722181214RT7_P</t>
  </si>
  <si>
    <t>722202213R00_P</t>
  </si>
  <si>
    <t>722202413R00_P</t>
  </si>
  <si>
    <t>722202414R00_P</t>
  </si>
  <si>
    <t>722202221R00_P</t>
  </si>
  <si>
    <t>722190401R00</t>
  </si>
  <si>
    <t>Vyvedení a upevnění výpustek DN 15</t>
  </si>
  <si>
    <t>28349052_P</t>
  </si>
  <si>
    <t>Montáž revizní dlaždice vany, na silikon</t>
  </si>
  <si>
    <t>Vyvedení odpadních výpustek D 32 x 1,8 (pro umyvadlo, pračku, myčku)</t>
  </si>
  <si>
    <t>998011002R00_P</t>
  </si>
  <si>
    <t>Základní nátěr na ocel (stávající ocelové nosníky)</t>
  </si>
  <si>
    <t>625907111R00_P</t>
  </si>
  <si>
    <t>Odstranění rzi stávajících ocel. nosníků</t>
  </si>
  <si>
    <t>24626035_P1</t>
  </si>
  <si>
    <t>24626035_P2</t>
  </si>
  <si>
    <t>Demontáž satelitní antény - fasáda dvůr, vč. zapravení děr</t>
  </si>
  <si>
    <t>Požární ucpávka v místě kanalizace pod stropem</t>
  </si>
  <si>
    <t>28650012_P</t>
  </si>
  <si>
    <t>317121047RT2</t>
  </si>
  <si>
    <t>Překlad nenosný pórobeton, světlost otv. do 105 cm</t>
  </si>
  <si>
    <t>Tyč průřezu IPE 100, střední, jakost oceli S235</t>
  </si>
  <si>
    <t>317941121R00_P</t>
  </si>
  <si>
    <t>Osazení ocelových válcovaných nosníků do č.12</t>
  </si>
  <si>
    <t>342270040RAB_P</t>
  </si>
  <si>
    <t>342270042RAA_P</t>
  </si>
  <si>
    <t>622473187RT2</t>
  </si>
  <si>
    <t>Příplatek za okenní lištu (APU) - montáž,včetně dodávky lišty</t>
  </si>
  <si>
    <t>Koleno 87° PP potrubí DN125mm</t>
  </si>
  <si>
    <t>Koleno 45° PP potrubí DN125mm</t>
  </si>
  <si>
    <t>https://www.topenilevne.cz/almeva-starr-trubka-s-hrdlem-1m-80mm-p51839/</t>
  </si>
  <si>
    <t>731412552R00_P1</t>
  </si>
  <si>
    <t>731412561R00_P1</t>
  </si>
  <si>
    <t>731412563R00_P1</t>
  </si>
  <si>
    <t>731412552R00_P2</t>
  </si>
  <si>
    <t>731412563R00_P2</t>
  </si>
  <si>
    <t>731412561R00_P2</t>
  </si>
  <si>
    <t>https://www.topenilevne.cz/jednotrubkovy-system-c2406/?af=NDUoODAqKQ==</t>
  </si>
  <si>
    <t>https://www.topenilevne.cz/jednotrubkovy-system-c2406/?af=NDUoMTI1Kik=</t>
  </si>
  <si>
    <t>Potrubí pro odkouření (vodorovné), PP hladké potrubí průměr 80mm/1, včetně příslušenství  (kotvící prvky a pod)</t>
  </si>
  <si>
    <t>Potrubí pro přívod spalovaného vzduchu (vodorovné), PP hladké potrubí průměr 125mm/1MM, včetně příslušenství  (kotvící prvky a pod)</t>
  </si>
  <si>
    <t>https://www.levnekominy.cz/tloustka-materialu-2x-0-12-mm/flexi-nerez-dn-80-plyn-tl-2x-0-12mm</t>
  </si>
  <si>
    <t xml:space="preserve">Základní sada pro odvod spalin pružnou flexi rourou DN80, stěna 2x0,12mm vsazenou do komína, nerez (ohebná trubka, spojovací prvky, rozpěrné držáky,přechodka 80/100mm, šachtový nádstavec, trubka vyústění), délka 14,5m </t>
  </si>
  <si>
    <t>https://www.levnekominy.cz/tloustka-materialu-2x-0-12-mm/flexi-nerez-dn-130-plyn-tl-2x-0-12mm</t>
  </si>
  <si>
    <t>Patní koleno s podpěrou DN 125, PP</t>
  </si>
  <si>
    <t xml:space="preserve">Flexibil. hadice pro pružné vedení DN 130 mm, nerez, stěna 2x0,12mm - přívod spalovacího vzduchu (ohebná trubka, spojovací prvky, rozpěrné držáky,přechodka, šachtový nádstavec, trubka vyústění), délka 14,5m </t>
  </si>
  <si>
    <t>723190251R00</t>
  </si>
  <si>
    <t>Vyvedení a upevnění plynovodních výpustek DN 15</t>
  </si>
  <si>
    <t>723190252R00</t>
  </si>
  <si>
    <t>Vyvedení a upevnění plynovodních výpustek DN 20</t>
  </si>
  <si>
    <t>Podezdívka sprchové vaničky (900/900mm) výšky do 150 mm  tl. 100 mm vč.provedení revizního otvoru pro obklad na silikon (návaznosti na spádové možnosti kanalizace)</t>
  </si>
  <si>
    <t>zakladní dveře Kubik, plne</t>
  </si>
  <si>
    <t>zakladní dveře Kubik, prosklené</t>
  </si>
  <si>
    <t>obložka HPL</t>
  </si>
  <si>
    <t>obložka, obla hrana, laminat plus, příčka 6-20cm</t>
  </si>
  <si>
    <t>073844133R00_P</t>
  </si>
  <si>
    <t>762810010RAB_P</t>
  </si>
  <si>
    <t>970031130R00</t>
  </si>
  <si>
    <t>Zpětná úprava podlahy po chemickém ošetření zhlaví nosných stropních trámů (Záklop z hrubých prken na sraz tl. 24 mm)</t>
  </si>
  <si>
    <t>346244313R00_P</t>
  </si>
  <si>
    <t>632412140RT3_P</t>
  </si>
  <si>
    <t>Protidešťová žaluzie IGC 200</t>
  </si>
  <si>
    <t>Talířový ventil přívodní kovový 80</t>
  </si>
  <si>
    <t>Talířový ventil odvodní kovový 160</t>
  </si>
  <si>
    <t>Talířový ventil odvodní kovový 125</t>
  </si>
  <si>
    <t>Potrubí SPIRO 80 včetně tvarovek, třída těsnosti min. C dle ČSN EN 12237</t>
  </si>
  <si>
    <t>Potrubí SPIRO 100 včetně tvarovek,  třída těsnosti min. C dle ČSN EN 12237</t>
  </si>
  <si>
    <t>Potrubí SPIRO 125 včetně tvarovek,  třída těsnosti min. C dle ČSN EN 12237</t>
  </si>
  <si>
    <t>Potrubí SPIRO 160 včetně tvarovek, třída těsnosti min. C dle ČSN EN 12237</t>
  </si>
  <si>
    <t>Potrubí SPIRO 200 včetně tvarovek, třída těsnosti min. C dle ČSN EN 12237</t>
  </si>
  <si>
    <t>Tepelná izolace (minerální plsť 40 mm + Al fólie)</t>
  </si>
  <si>
    <t>S1</t>
  </si>
  <si>
    <t>S2</t>
  </si>
  <si>
    <t>S4</t>
  </si>
  <si>
    <t>S6</t>
  </si>
  <si>
    <t>S8</t>
  </si>
  <si>
    <t>T1</t>
  </si>
  <si>
    <t>T2</t>
  </si>
  <si>
    <t>T4</t>
  </si>
  <si>
    <t>T6</t>
  </si>
  <si>
    <t>429512021_P</t>
  </si>
  <si>
    <t>202.3 =  2,5*0,85</t>
  </si>
  <si>
    <t>Zárubeň ocelová bezpečnostní pro dodatečnou montáž- 150/1970/800mm dle specifikace v PD</t>
  </si>
  <si>
    <t>61187550_P</t>
  </si>
  <si>
    <t>648951411R00</t>
  </si>
  <si>
    <t>Osazení parapetních desek dřevěných š. do 25 cm</t>
  </si>
  <si>
    <t>4295330101_P</t>
  </si>
  <si>
    <t>T02</t>
  </si>
  <si>
    <t>č.4,5</t>
  </si>
  <si>
    <t>č.3</t>
  </si>
  <si>
    <t>č.6,7</t>
  </si>
  <si>
    <t>č.8</t>
  </si>
  <si>
    <t>č.9</t>
  </si>
  <si>
    <t>č.10</t>
  </si>
  <si>
    <t>č.11</t>
  </si>
  <si>
    <t>728413521R00</t>
  </si>
  <si>
    <t>Montáž talířového ventilu kruhového do d 100 mm</t>
  </si>
  <si>
    <t>728413522R00</t>
  </si>
  <si>
    <t>Montáž talířového ventilu kruhového do d 200 mm</t>
  </si>
  <si>
    <t>728314121R00</t>
  </si>
  <si>
    <t>Montáž protidešť. žaluzie kruhové do d 300 mm</t>
  </si>
  <si>
    <t>Tlumící hadice ohebná 82 hliníková Al laminátová hadice opatřena tepelnou a hlukovou izolací z vrstvy minerální vatytloušťky 25 mm (16 kg/m3) s parozábranou</t>
  </si>
  <si>
    <t>Tlumící hadice ohebná 102 hliníková Al laminátová hadice opatřena tepelnou a hlukovou izolací z vrstvy minerální vatytloušťky 25 mm (16 kg/m3) s parozábranou</t>
  </si>
  <si>
    <t>4298150131_P</t>
  </si>
  <si>
    <t>4298150133_P</t>
  </si>
  <si>
    <t>4298150130_P1</t>
  </si>
  <si>
    <t>4298150130_P2</t>
  </si>
  <si>
    <t>784496500R00_P1</t>
  </si>
  <si>
    <t>784496500R00_P2</t>
  </si>
  <si>
    <t>781101210RT2_P</t>
  </si>
  <si>
    <t>784111101R00_P</t>
  </si>
  <si>
    <t>632411906R00_P</t>
  </si>
  <si>
    <t>632411904R00_P</t>
  </si>
  <si>
    <t>Vrtání jádrové do zdiva cihelného do D 160 mm (VZT prům. 150mm)</t>
  </si>
  <si>
    <t>970031060R00</t>
  </si>
  <si>
    <t>Vrtání jádrové do zdiva cihelného do D 60 mm  (plyn, voda prům. 40mm)</t>
  </si>
  <si>
    <t>č.2</t>
  </si>
  <si>
    <t>42981160_P</t>
  </si>
  <si>
    <t>42981161_P</t>
  </si>
  <si>
    <t>42981162_P</t>
  </si>
  <si>
    <t>42981164_P</t>
  </si>
  <si>
    <t>42981166_P</t>
  </si>
  <si>
    <t>728112112R00</t>
  </si>
  <si>
    <t>Montáž potrubí plechového kruhového do d 200 mm</t>
  </si>
  <si>
    <t>728115412R00</t>
  </si>
  <si>
    <t>Montáž potrubí ohebného izolovan. z AL do d 200 mm</t>
  </si>
  <si>
    <t>42972741_P1</t>
  </si>
  <si>
    <t>42972741_P2</t>
  </si>
  <si>
    <t>42972740_P1</t>
  </si>
  <si>
    <t>42972740_P2</t>
  </si>
  <si>
    <t>42972740_P3</t>
  </si>
  <si>
    <t>42972740_P4</t>
  </si>
  <si>
    <t>42972740_P5</t>
  </si>
  <si>
    <t xml:space="preserve">Tlumící hadice ohebná 127 hliníková Al laminátová hadice opatřena tepelnou a hlukovou izolací z vrstvy minerální vatytloušťky 25 mm (16 kg/m3) s parozábranou </t>
  </si>
  <si>
    <t xml:space="preserve">Tlumící hadice ohebná 160 hliníková Al laminátová hadice opatřena tepelnou a hlukovou izolací z vrstvy minerální vatytloušťky 25 mm (16 kg/m3) s parozábranou </t>
  </si>
  <si>
    <t>611481211RT2</t>
  </si>
  <si>
    <t xml:space="preserve">Montáž výztužné sítě (perlinky) do stěrky - vnit.stěny, ostění včetně výztužné sítě, stěrkového tmelu </t>
  </si>
  <si>
    <t xml:space="preserve">Montáž výztužné sítě (perlinky) do stěrky-stropy (nadpraží) včetně výztužné sítě, stěrkového tmelu </t>
  </si>
  <si>
    <t>202.2 = 13,83*2,6-3*0,9*2,05-3*0,8*2,05+2*0,56*2,31+2*0,51*2,1</t>
  </si>
  <si>
    <t>202.3 = 20,93* 2,9-2*0,9*2,05-1,38*2,16-1,365*2,16+2*0,32*2,16*2</t>
  </si>
  <si>
    <t>202.4 =  20,18*2,9-0,9*2,05-1,39*2,16-1,37*2,16-5,67*2,9+2*0,32*2,16*2</t>
  </si>
  <si>
    <t>202.5 = 14,16*2,8-0,9*2,05-4,91*2,8-1,28*1,47+2*0,41*1,5+2*0,53*2,1</t>
  </si>
  <si>
    <t>202.6 = 17,35*2,8-0,9*2,05*2-1,28*1,47+0,41*2*1,5+2*0,15*1,21</t>
  </si>
  <si>
    <t>1,26*0,14+0,56*1,1+0,51*1,02+0,32*1,38+0,32*1,37+0,32*1,38+0,32*1,37+0,53*1,0+0,41*1,28+0,15*1,545+0,41*1,28</t>
  </si>
  <si>
    <t>Jednotka SAVE VTC 300 L, V = 240 m3/h při 250 Pa, N = 2 x 85 W/230 V</t>
  </si>
  <si>
    <t>Modul IAM (internet) dle specifikace v PD</t>
  </si>
  <si>
    <t>Ohřívač ELB-1,7 kW VTC 300-L</t>
  </si>
  <si>
    <t>č.1</t>
  </si>
  <si>
    <t>Talířový ventil TFF-160</t>
  </si>
  <si>
    <t>Talířový ventil TFF 100</t>
  </si>
  <si>
    <t>Talířový ventil EEFC 100</t>
  </si>
  <si>
    <t>Talířový ventil EEFC 80</t>
  </si>
  <si>
    <t>Doprava mimostaveništní</t>
  </si>
  <si>
    <t xml:space="preserve">Montážní práce výše neuvedené </t>
  </si>
  <si>
    <t>Přesun hmot do 500 m</t>
  </si>
  <si>
    <t>Kompletace</t>
  </si>
  <si>
    <t>Zkoušky, měření, zaškolení</t>
  </si>
  <si>
    <t xml:space="preserve"> - s účastí zhotovitele na předání a převzetí staveniště
 - náklady na vyhotovení návrhu dočasného dopravního značení a zvláštního užívání komunikace, vč. projednání, odsouhlasení s dotčenými orgány a organizacemi a zajištění správních rozhodnutí, dodání dopravních značek a světelné signalizace, jejich rozmístění a přemísťování a jejich údržba v průběhu výstavby včetně následného odstranění, poplatky za správní řízení, splnění podmínek správních rozhodnutí a orgánu DOSS.  
 - Bezpečnostní a hygienická opatření na staveništi, náklady na ochranu staveniště před vstupem nepovolaných osob, včetně příslušného značení, náklady na ohraničení staveniště či na jeho osvětlení, náklady na vypracování potřebné dokumentace pro provoz staveniště z hlediska požární ochrany (požární řád a poplachová směrnice) a z hlediska provozu staveniště (provozně dopravní řád)
 - náklady na koordinaci s dalšími zhotoviteli </t>
  </si>
  <si>
    <t xml:space="preserve">                  </t>
  </si>
  <si>
    <t xml:space="preserve">                 </t>
  </si>
  <si>
    <r>
      <rPr>
        <sz val="10"/>
        <rFont val="Arial CE"/>
        <family val="0"/>
      </rPr>
      <t xml:space="preserve">Zpracovatel: </t>
    </r>
    <r>
      <rPr>
        <sz val="14"/>
        <rFont val="Arial CE"/>
        <family val="2"/>
      </rPr>
      <t>Atelier PHA s.r.o., Gabčíková 15,  Praha 8, 182 00</t>
    </r>
  </si>
  <si>
    <r>
      <rPr>
        <sz val="10"/>
        <rFont val="Arial CE"/>
        <family val="0"/>
      </rPr>
      <t>Datum zpracování/revize</t>
    </r>
    <r>
      <rPr>
        <sz val="14"/>
        <rFont val="Arial CE"/>
        <family val="0"/>
      </rPr>
      <t>: 10.8.2020/R00</t>
    </r>
  </si>
  <si>
    <t>Soupis prací je sestaven s využitím Cenové soustavy RTS v cenové hladině 2020/jaro</t>
  </si>
  <si>
    <t xml:space="preserve">a) náklady na veškerou svislou a vodorovnou dopravu na staveništi, náklady na dopravu materiálu na staveniště, </t>
  </si>
  <si>
    <t xml:space="preserve">staveništní přesun hmot a u bourání manipulaci se sutí, její odvoz a uložení na skládku do 20-ti km včetně poplatku, </t>
  </si>
  <si>
    <t xml:space="preserve">pokud nebudou tyto položky uvedeny dodavatelem v samostatné položce </t>
  </si>
  <si>
    <t xml:space="preserve">c)  všechny potřebné pomocné dodávky a práce pro upevnění, zabezpečení funkčnosti a finální pohledové 
úpravy, </t>
  </si>
  <si>
    <t xml:space="preserve">které jsou běžně součástí dodávaného výrobku nebo systému  nebo jsou předepsány projektem a nejsou </t>
  </si>
  <si>
    <t>výslovně uvedeny jako samostatné položky</t>
  </si>
  <si>
    <t xml:space="preserve">d) náklady na zakrývání (nebo jiné zajištění) konstrukcí a prací ostatních zhotovitelů nebo stávajících konstrukcí před </t>
  </si>
  <si>
    <t>znečištěním a poškozením a odstranění zakrytí</t>
  </si>
  <si>
    <t xml:space="preserve">Jednotková cena by měla vždy, pokud není samostatně uvedeno, obsahovat dodávku a montáž příslušné položky. </t>
  </si>
  <si>
    <t xml:space="preserve">Technické parametry materiálů a výrobků jsou uvedeny v PD. Zhotovitel při nacenění jednotlivých položek musí </t>
  </si>
  <si>
    <t xml:space="preserve">zohlednit tyto technické parametry.  </t>
  </si>
  <si>
    <t xml:space="preserve">U systémových řešení předpokládáme, že se dodavatel seznámí s typovou dokumentací výrobce a ve své ceně </t>
  </si>
  <si>
    <t xml:space="preserve">zohlední jak úplné řešení standardní, tak i všechny případné modifikace v průměrné ceně za běžnou jednotku, </t>
  </si>
  <si>
    <t>pokud nejsou v této specifikaci výslovně samostatně uvedeny.</t>
  </si>
  <si>
    <t xml:space="preserve">Některé výměry v této specifikaci jsou orientační (převážně jsou uvažovány na horní hranici možných dodávek a prací); </t>
  </si>
  <si>
    <t>je žádoucí, aby fakturovány byly pouze skutečně provedené práce.</t>
  </si>
  <si>
    <t xml:space="preserve">Nedílnou součástí tohoto výkazu je i projektová dokumentace. Pokud dle názoru dodavatele některé práce a dodávky </t>
  </si>
  <si>
    <t>ve výkazu výměr chybí, upozorní na tyto chybějící položky před uzavřením SOD".</t>
  </si>
  <si>
    <t xml:space="preserve">Uvedené referenční výrobky v PD a ve výkazu výměr nejsou pro zhotovitele závazné. Projektantem jsou uvedeny jako </t>
  </si>
  <si>
    <t xml:space="preserve">příklad vhodného produktu. Zhotovitel je oprávněn zvolit jiné, srovnatelné materiály, jež zabezpečí shodnou anebo </t>
  </si>
  <si>
    <t xml:space="preserve">vyšší technickou hodnotu díla. Nabízené materiály předloží objednateli ke schválení a dosažení požadovaných </t>
  </si>
  <si>
    <t>parametrů doloží hodnověrnými dokumenty (atesty, výsledky zkoušek, doklad o shodě apod.). Kde zhotovitel nabídne</t>
  </si>
  <si>
    <t xml:space="preserve">srovnatelný výrobek nebo materiál na místo označeného nebo specifikovaného, který byl přijat k začlenění do díla, </t>
  </si>
  <si>
    <t xml:space="preserve">pak se má zato, že sazby a ceny ve výkazu výměr zahrnují veškeré povinnosti a náklady spojené se začleněním </t>
  </si>
  <si>
    <t xml:space="preserve">srovnatelného výrobku do díla.  </t>
  </si>
  <si>
    <t xml:space="preserve">Chemickém ošetření zhlaví nosných stropních trámů </t>
  </si>
  <si>
    <t>_P</t>
  </si>
  <si>
    <t>202.6, tl. 150mm = 0,6*2,4+0,25*2,05+0,22*2,31</t>
  </si>
  <si>
    <t>202.5, tl. 450mm = 1,28*(0,83+1)</t>
  </si>
  <si>
    <t>202.4, tl. 150mm = 0,2*2,05+1*2,05</t>
  </si>
  <si>
    <t>202.2, tl. 750mm = 0,4*2,31, tl.160mm = 0,1*2,05</t>
  </si>
  <si>
    <t>202.1 tl. 125mm = (1,26*2,05-0,94*2,05)*0,125</t>
  </si>
  <si>
    <t>Příplatek za vytvoření kluzného napojení do 55 mm pro DS2</t>
  </si>
  <si>
    <t>Zesílená volně stojící předstěna z SDK s jednoduchým opláštěním, tl.65mm, vč. akustické izolace tl. 40mm (40kg/m3), dodávky nosných profilů CW50, tmelení, broušení a zatmelení návazností na zděné stěny (akrylátovým tmelem), dle specifikace v PD</t>
  </si>
  <si>
    <t>Minerální vata (19,5kg/m3) podhledu tl. 40mm</t>
  </si>
  <si>
    <t>311271932RT1</t>
  </si>
  <si>
    <t>Zdivo z tvárnic pórobetonových tl.300 mm, tvárnice P2-450, 500x200x300 mm vč. zakapsování (202.10)</t>
  </si>
  <si>
    <t xml:space="preserve">Omítka stropů, nadpraží vnitřní tenkovrstvá vápenná - štuk, ruční provedení, položka obsahuje nátěr podkladu spojovacím můstkem, </t>
  </si>
  <si>
    <t>penetrace?</t>
  </si>
  <si>
    <t xml:space="preserve">Různé </t>
  </si>
  <si>
    <t>Potěr anhydritový, plocha do 100 m2, tl.40 mm, pevnost 30MPa, ruční zpracování</t>
  </si>
  <si>
    <t>Penetrace podkladu v místech vyrovnání plochy v místech obkladů</t>
  </si>
  <si>
    <t xml:space="preserve">Omítka vnitřních stěn vápenocem. Jednovrstvá do tl. 15 mm,  pro vyrovnání rovinnosti stávajícíh stěn v místě obkladů </t>
  </si>
  <si>
    <t>Parapet pro výklenek v m.č.202.6 a u okna W03, dřevo tl. 19mm, 1550/150mm + 400/150 mm bez nosu, vč. nátěru RAL 9003</t>
  </si>
  <si>
    <t>Dřevěné okno 400/400mm, profil IV 78 mm, včetně vnějšího Al parapetu K01 dle specifikace v PD</t>
  </si>
  <si>
    <t>DP1</t>
  </si>
  <si>
    <t>Přírážka za plošné lepení k podkladu, vč. lepidla a penetrace</t>
  </si>
  <si>
    <t>P1</t>
  </si>
  <si>
    <t>SOK3</t>
  </si>
  <si>
    <t>Zesílená volně stojící předstěna z SDK s jednoduchým opláštěním do vlhkého prostředí, tl.65mm, vč.tepelné izolace tl. 40mm, dodávky nosných profilů CW50, tmelení, broušení a zatmelení návazností na zděné stěny (akrylátovým tmelem), dle specifikace v PD</t>
  </si>
  <si>
    <t>Otlučení omítek vnitřních stěn v rozsahu do 10 %</t>
  </si>
  <si>
    <t>965081713RT2</t>
  </si>
  <si>
    <t>Bourání dlažeb keramických tl.10 mm, nad 1 m2, sbíječka, dlaždice keramické</t>
  </si>
  <si>
    <t>Bourání mazanin betonových tl. 10 cm, nad 4 m2, pneumat. kladivo, tl. mazaniny 5 - 8 cm</t>
  </si>
  <si>
    <t>965042141RT3</t>
  </si>
  <si>
    <t>631582111R00</t>
  </si>
  <si>
    <t>Doplnění násypů škvárou o ploše nad 2 m2, tl. cca 50mm</t>
  </si>
  <si>
    <t>Malba stěny, ostění</t>
  </si>
  <si>
    <t>Doplnění parapetu okna do ulice, rozměry dle stávajícího ve vedlejším pokoji</t>
  </si>
  <si>
    <t>T03</t>
  </si>
  <si>
    <t>Potrubí z měděných trubek vytápění D 18 x 1,0 mm</t>
  </si>
  <si>
    <t>Potrubí z měděných trubek vytápění D 15 x 1,0 mm</t>
  </si>
  <si>
    <t>Potrubí z měděných trubek vytápění D 22 x 1,0 mm</t>
  </si>
  <si>
    <t>Izolace návleková pružná, λ=0,035, tl. stěny 8 mm, vnitřní průměr 15 mm</t>
  </si>
  <si>
    <t>Izolace návleková pružná, λ=0,035, tl. stěny 11,5 mm, vnitřní průměr 18 mm</t>
  </si>
  <si>
    <t>Izolace návleková pružná, λ=0,035, tl. stěny 14,5 mm, vnitřní průměr 22 mm</t>
  </si>
  <si>
    <t>722181213R_P1</t>
  </si>
  <si>
    <t>722181214R_P3</t>
  </si>
  <si>
    <t>722181212R_P0</t>
  </si>
  <si>
    <t>Potrubí z měděných plyn.trubek D 18 x 1,0 mm (DN 15), dle ČSN EN 1057, montáž pájením</t>
  </si>
  <si>
    <t>Potrubí z měděných plyn.trubek D 22 x 1,0 mm (DN 20), dle ČSN EN 1057,  montáž pájením</t>
  </si>
  <si>
    <t>Prostorový termostat s týdenním programem</t>
  </si>
  <si>
    <t>poznámky</t>
  </si>
</sst>
</file>

<file path=xl/styles.xml><?xml version="1.0" encoding="utf-8"?>
<styleSheet xmlns="http://schemas.openxmlformats.org/spreadsheetml/2006/main">
  <numFmts count="2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_-* #,##0_-;\-* #,##0_-;_-* &quot;-&quot;_-;_-@_-"/>
    <numFmt numFmtId="165" formatCode="_-* #,##0.00_-;\-* #,##0.00_-;_-* &quot;-&quot;??_-;_-@_-"/>
    <numFmt numFmtId="166" formatCode="0.0%"/>
    <numFmt numFmtId="167" formatCode="0.0"/>
    <numFmt numFmtId="168" formatCode="#,##0.0"/>
    <numFmt numFmtId="169" formatCode="0.0000"/>
    <numFmt numFmtId="170" formatCode="0.000"/>
    <numFmt numFmtId="171" formatCode="0.00000"/>
    <numFmt numFmtId="172" formatCode="&quot;Yes&quot;;&quot;Yes&quot;;&quot;No&quot;"/>
    <numFmt numFmtId="173" formatCode="&quot;True&quot;;&quot;True&quot;;&quot;False&quot;"/>
    <numFmt numFmtId="174" formatCode="&quot;On&quot;;&quot;On&quot;;&quot;Off&quot;"/>
    <numFmt numFmtId="175" formatCode="[$€-2]\ #\ ##,000_);[Red]\([$€-2]\ #\ ##,000\)"/>
    <numFmt numFmtId="176" formatCode="#,##0\ &quot;Kč&quot;"/>
    <numFmt numFmtId="177" formatCode="#,##0.0\ &quot;Kč&quot;"/>
    <numFmt numFmtId="178" formatCode="[$¥€-2]\ #\ ##,000_);[Red]\([$€-2]\ #\ ##,000\)"/>
    <numFmt numFmtId="179" formatCode="#,##0\ _K_č"/>
    <numFmt numFmtId="180" formatCode="#,##0.00\ &quot;Kč&quot;"/>
    <numFmt numFmtId="181" formatCode="[$€-2]\ #,##0.00_);[Red]\([$€-2]\ #,##0.00\)"/>
    <numFmt numFmtId="182" formatCode="_(#,##0_);[Red]\-\ #,##0_);&quot;–&quot;??;_(@_)"/>
    <numFmt numFmtId="183" formatCode="_-* #,##0\ &quot;Kč&quot;_-;\-* #,##0\ &quot;Kč&quot;_-;_-* &quot;-&quot;??\ &quot;Kč&quot;_-;_-@_-"/>
    <numFmt numFmtId="184" formatCode="#,##0.000\ &quot;Kč&quot;"/>
  </numFmts>
  <fonts count="65">
    <font>
      <sz val="10"/>
      <name val="Arial CE"/>
      <family val="2"/>
    </font>
    <font>
      <sz val="10"/>
      <name val="Arial"/>
      <family val="0"/>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8"/>
      <name val="Arial CE"/>
      <family val="2"/>
    </font>
    <font>
      <b/>
      <sz val="10"/>
      <name val="Arial CE"/>
      <family val="2"/>
    </font>
    <font>
      <i/>
      <sz val="10"/>
      <name val="Arial CE"/>
      <family val="2"/>
    </font>
    <font>
      <sz val="14"/>
      <name val="Arial CE"/>
      <family val="2"/>
    </font>
    <font>
      <sz val="18"/>
      <name val="Arial CE"/>
      <family val="2"/>
    </font>
    <font>
      <b/>
      <sz val="16"/>
      <name val="Arial CE"/>
      <family val="2"/>
    </font>
    <font>
      <u val="single"/>
      <sz val="13"/>
      <color indexed="12"/>
      <name val="Arial CE"/>
      <family val="2"/>
    </font>
    <font>
      <b/>
      <sz val="11"/>
      <name val="Arial CE"/>
      <family val="2"/>
    </font>
    <font>
      <b/>
      <sz val="12"/>
      <name val="Arial CE"/>
      <family val="2"/>
    </font>
    <font>
      <b/>
      <sz val="14"/>
      <name val="Arial CE"/>
      <family val="2"/>
    </font>
    <font>
      <sz val="7"/>
      <name val="Arial CE"/>
      <family val="2"/>
    </font>
    <font>
      <sz val="11"/>
      <name val="Arial CE"/>
      <family val="2"/>
    </font>
    <font>
      <b/>
      <sz val="10"/>
      <name val="Arial"/>
      <family val="2"/>
    </font>
    <font>
      <u val="single"/>
      <sz val="10"/>
      <color indexed="20"/>
      <name val="Arial CE"/>
      <family val="2"/>
    </font>
    <font>
      <i/>
      <sz val="10"/>
      <name val="Arial"/>
      <family val="2"/>
    </font>
    <font>
      <b/>
      <sz val="12"/>
      <name val="Arial"/>
      <family val="2"/>
    </font>
    <font>
      <sz val="8"/>
      <name val="Arial"/>
      <family val="2"/>
    </font>
    <font>
      <i/>
      <sz val="10"/>
      <color indexed="49"/>
      <name val="Arial"/>
      <family val="2"/>
    </font>
    <font>
      <b/>
      <sz val="11"/>
      <color indexed="8"/>
      <name val="Arial"/>
      <family val="2"/>
    </font>
    <font>
      <b/>
      <sz val="10"/>
      <color indexed="8"/>
      <name val="Arial"/>
      <family val="2"/>
    </font>
    <font>
      <sz val="10"/>
      <color indexed="8"/>
      <name val="Arial CE"/>
      <family val="2"/>
    </font>
    <font>
      <b/>
      <sz val="10"/>
      <color indexed="8"/>
      <name val="Arial CE"/>
      <family val="2"/>
    </font>
    <font>
      <sz val="11"/>
      <color indexed="8"/>
      <name val="Arial CE"/>
      <family val="2"/>
    </font>
    <font>
      <sz val="10"/>
      <color indexed="10"/>
      <name val="Arial CE"/>
      <family val="2"/>
    </font>
    <font>
      <b/>
      <sz val="10"/>
      <color indexed="10"/>
      <name val="Arial CE"/>
      <family val="2"/>
    </font>
    <font>
      <sz val="11"/>
      <color indexed="10"/>
      <name val="Arial CE"/>
      <family val="2"/>
    </font>
    <font>
      <i/>
      <sz val="10"/>
      <color indexed="30"/>
      <name val="Arial"/>
      <family val="2"/>
    </font>
    <font>
      <sz val="10"/>
      <color indexed="49"/>
      <name val="Arial"/>
      <family val="2"/>
    </font>
    <font>
      <sz val="10"/>
      <color indexed="10"/>
      <name val="Arial"/>
      <family val="2"/>
    </font>
    <font>
      <i/>
      <vertAlign val="superscript"/>
      <sz val="10"/>
      <color indexed="49"/>
      <name val="Arial"/>
      <family val="2"/>
    </font>
    <font>
      <b/>
      <sz val="11"/>
      <name val="Calibri"/>
      <family val="2"/>
    </font>
    <font>
      <sz val="11"/>
      <name val="Calibri"/>
      <family val="2"/>
    </font>
    <font>
      <i/>
      <sz val="10"/>
      <color indexed="40"/>
      <name val="Arial"/>
      <family val="2"/>
    </font>
    <font>
      <b/>
      <sz val="8"/>
      <name val="Arial"/>
      <family val="2"/>
    </font>
    <font>
      <i/>
      <sz val="10"/>
      <color indexed="15"/>
      <name val="Arial"/>
      <family val="2"/>
    </font>
    <font>
      <sz val="12"/>
      <name val="Arial"/>
      <family val="2"/>
    </font>
    <font>
      <b/>
      <sz val="8"/>
      <color indexed="10"/>
      <name val="Arial CE"/>
      <family val="0"/>
    </font>
    <font>
      <i/>
      <sz val="8"/>
      <color indexed="49"/>
      <name val="Arial"/>
      <family val="2"/>
    </font>
    <font>
      <sz val="9"/>
      <name val="Arial"/>
      <family val="2"/>
    </font>
    <font>
      <sz val="8"/>
      <color indexed="10"/>
      <name val="Arial"/>
      <family val="2"/>
    </font>
    <font>
      <b/>
      <sz val="8"/>
      <color indexed="10"/>
      <name val="Arial"/>
      <family val="2"/>
    </font>
    <font>
      <sz val="8"/>
      <color rgb="FFFF0000"/>
      <name val="Arial"/>
      <family val="2"/>
    </font>
    <font>
      <b/>
      <sz val="8"/>
      <color rgb="FFFF0000"/>
      <name val="Arial"/>
      <family val="2"/>
    </font>
    <font>
      <sz val="10"/>
      <color rgb="FFFF0000"/>
      <name val="Arial"/>
      <family val="2"/>
    </font>
    <font>
      <sz val="10"/>
      <color rgb="FFFF0000"/>
      <name val="Arial CE"/>
      <family val="2"/>
    </font>
    <font>
      <sz val="10"/>
      <color theme="1"/>
      <name val="Arial CE"/>
      <family val="2"/>
    </font>
  </fonts>
  <fills count="27">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26"/>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9"/>
        <bgColor indexed="64"/>
      </patternFill>
    </fill>
    <fill>
      <patternFill patternType="solid">
        <fgColor indexed="9"/>
        <bgColor indexed="64"/>
      </patternFill>
    </fill>
    <fill>
      <patternFill patternType="solid">
        <fgColor indexed="22"/>
        <bgColor indexed="64"/>
      </patternFill>
    </fill>
    <fill>
      <patternFill patternType="solid">
        <fgColor indexed="44"/>
        <bgColor indexed="64"/>
      </patternFill>
    </fill>
    <fill>
      <patternFill patternType="solid">
        <fgColor indexed="26"/>
        <bgColor indexed="64"/>
      </patternFill>
    </fill>
    <fill>
      <patternFill patternType="solid">
        <fgColor theme="6" tint="0.7999799847602844"/>
        <bgColor indexed="64"/>
      </patternFill>
    </fill>
    <fill>
      <patternFill patternType="solid">
        <fgColor theme="0" tint="-0.3499799966812134"/>
        <bgColor indexed="64"/>
      </patternFill>
    </fill>
    <fill>
      <patternFill patternType="solid">
        <fgColor theme="0"/>
        <bgColor indexed="64"/>
      </patternFill>
    </fill>
    <fill>
      <patternFill patternType="solid">
        <fgColor theme="3" tint="0.7999799847602844"/>
        <bgColor indexed="64"/>
      </patternFill>
    </fill>
    <fill>
      <patternFill patternType="solid">
        <fgColor theme="0" tint="-0.24997000396251678"/>
        <bgColor indexed="64"/>
      </patternFill>
    </fill>
    <fill>
      <patternFill patternType="solid">
        <fgColor indexed="22"/>
        <bgColor indexed="64"/>
      </patternFill>
    </fill>
  </fills>
  <borders count="36">
    <border>
      <left/>
      <right/>
      <top/>
      <bottom/>
      <diagonal/>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medium">
        <color indexed="49"/>
      </bottom>
    </border>
    <border>
      <left style="thin">
        <color indexed="55"/>
      </left>
      <right style="thin">
        <color indexed="55"/>
      </right>
      <top style="thin">
        <color indexed="55"/>
      </top>
      <bottom style="thin">
        <color indexed="55"/>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color indexed="63"/>
      </right>
      <top style="thin">
        <color indexed="8"/>
      </top>
      <bottom style="thin"/>
    </border>
    <border>
      <left>
        <color indexed="63"/>
      </left>
      <right>
        <color indexed="63"/>
      </right>
      <top style="thin">
        <color indexed="8"/>
      </top>
      <bottom style="thin"/>
    </border>
    <border>
      <left>
        <color indexed="63"/>
      </left>
      <right style="thin"/>
      <top style="thin">
        <color indexed="8"/>
      </top>
      <bottom style="thin"/>
    </border>
    <border>
      <left>
        <color indexed="63"/>
      </left>
      <right>
        <color indexed="63"/>
      </right>
      <top>
        <color indexed="63"/>
      </top>
      <bottom style="hair"/>
    </border>
    <border>
      <left style="thin"/>
      <right style="thin"/>
      <top style="thin"/>
      <bottom>
        <color indexed="63"/>
      </bottom>
    </border>
    <border>
      <left style="medium"/>
      <right style="thin"/>
      <top style="medium"/>
      <bottom style="medium"/>
    </border>
    <border>
      <left style="thin"/>
      <right style="thin"/>
      <top style="medium"/>
      <bottom style="medium"/>
    </border>
    <border>
      <left>
        <color indexed="63"/>
      </left>
      <right style="medium"/>
      <top style="medium"/>
      <bottom style="medium"/>
    </border>
    <border>
      <left style="thin"/>
      <right style="thin"/>
      <top>
        <color indexed="63"/>
      </top>
      <bottom style="thin"/>
    </border>
    <border>
      <left>
        <color indexed="63"/>
      </left>
      <right>
        <color indexed="63"/>
      </right>
      <top>
        <color indexed="63"/>
      </top>
      <bottom style="medium"/>
    </border>
    <border>
      <left>
        <color indexed="63"/>
      </left>
      <right>
        <color indexed="63"/>
      </right>
      <top style="hair"/>
      <bottom style="hair"/>
    </border>
    <border>
      <left style="medium"/>
      <right>
        <color indexed="63"/>
      </right>
      <top style="medium"/>
      <bottom style="medium"/>
    </border>
    <border>
      <left>
        <color indexed="63"/>
      </left>
      <right>
        <color indexed="63"/>
      </right>
      <top style="medium"/>
      <bottom style="medium"/>
    </border>
    <border>
      <left>
        <color indexed="63"/>
      </left>
      <right>
        <color indexed="63"/>
      </right>
      <top>
        <color indexed="63"/>
      </top>
      <bottom style="hair">
        <color indexed="8"/>
      </bottom>
    </border>
    <border>
      <left style="hair">
        <color indexed="8"/>
      </left>
      <right style="hair">
        <color indexed="8"/>
      </right>
      <top style="hair">
        <color indexed="8"/>
      </top>
      <bottom style="hair">
        <color indexed="8"/>
      </bottom>
    </border>
    <border>
      <left>
        <color indexed="63"/>
      </left>
      <right>
        <color indexed="63"/>
      </right>
      <top style="hair"/>
      <bottom>
        <color indexed="63"/>
      </bottom>
    </border>
    <border>
      <left>
        <color indexed="63"/>
      </left>
      <right>
        <color indexed="63"/>
      </right>
      <top style="medium"/>
      <bottom style="hair"/>
    </border>
    <border>
      <left>
        <color indexed="63"/>
      </left>
      <right>
        <color indexed="63"/>
      </right>
      <top>
        <color indexed="63"/>
      </top>
      <bottom style="thin"/>
    </border>
    <border>
      <left style="hair">
        <color indexed="8"/>
      </left>
      <right style="hair">
        <color indexed="8"/>
      </right>
      <top>
        <color indexed="63"/>
      </top>
      <bottom>
        <color indexed="63"/>
      </bottom>
    </border>
    <border>
      <left/>
      <right/>
      <top style="hair"/>
      <bottom style="medium"/>
    </border>
    <border>
      <left style="thin"/>
      <right>
        <color indexed="63"/>
      </right>
      <top style="thin"/>
      <bottom style="thin">
        <color indexed="8"/>
      </bottom>
    </border>
    <border>
      <left>
        <color indexed="63"/>
      </left>
      <right>
        <color indexed="63"/>
      </right>
      <top style="thin"/>
      <bottom style="thin">
        <color indexed="8"/>
      </bottom>
    </border>
    <border>
      <left>
        <color indexed="63"/>
      </left>
      <right style="thin"/>
      <top style="thin"/>
      <bottom style="thin">
        <color indexed="8"/>
      </bottom>
    </border>
    <border>
      <left style="thin"/>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top style="thin">
        <color indexed="8"/>
      </top>
      <bottom style="thin">
        <color indexed="8"/>
      </bottom>
    </border>
  </borders>
  <cellStyleXfs count="9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7" borderId="0" applyNumberFormat="0" applyBorder="0" applyAlignment="0" applyProtection="0"/>
    <xf numFmtId="0" fontId="2" fillId="3"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7" borderId="0" applyNumberFormat="0" applyBorder="0" applyAlignment="0" applyProtection="0"/>
    <xf numFmtId="0" fontId="2" fillId="3" borderId="0" applyNumberFormat="0" applyBorder="0" applyAlignment="0" applyProtection="0"/>
    <xf numFmtId="0" fontId="3" fillId="8"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8"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4" fillId="0" borderId="1" applyNumberFormat="0" applyFill="0" applyAlignment="0" applyProtection="0"/>
    <xf numFmtId="43" fontId="1" fillId="0" borderId="0" applyFill="0" applyBorder="0" applyAlignment="0" applyProtection="0"/>
    <xf numFmtId="41" fontId="1" fillId="0" borderId="0" applyFill="0" applyBorder="0" applyAlignment="0" applyProtection="0"/>
    <xf numFmtId="0" fontId="25" fillId="0" borderId="0" applyNumberFormat="0" applyFill="0" applyBorder="0" applyAlignment="0" applyProtection="0"/>
    <xf numFmtId="0" fontId="5" fillId="10" borderId="0" applyNumberFormat="0" applyBorder="0" applyAlignment="0" applyProtection="0"/>
    <xf numFmtId="0" fontId="6" fillId="9" borderId="2" applyNumberFormat="0" applyAlignment="0" applyProtection="0"/>
    <xf numFmtId="44" fontId="1" fillId="0" borderId="0" applyFill="0" applyBorder="0" applyAlignment="0" applyProtection="0"/>
    <xf numFmtId="42" fontId="1" fillId="0" borderId="0" applyFill="0" applyBorder="0" applyAlignment="0" applyProtection="0"/>
    <xf numFmtId="0" fontId="7" fillId="0" borderId="3"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6" borderId="0" applyNumberFormat="0" applyBorder="0" applyAlignment="0" applyProtection="0"/>
    <xf numFmtId="0" fontId="1" fillId="0" borderId="0">
      <alignment/>
      <protection/>
    </xf>
    <xf numFmtId="0" fontId="0" fillId="0" borderId="0">
      <alignment/>
      <protection/>
    </xf>
    <xf numFmtId="0" fontId="32" fillId="0" borderId="0" applyNumberFormat="0" applyFill="0" applyBorder="0" applyAlignment="0" applyProtection="0"/>
    <xf numFmtId="0" fontId="0" fillId="4" borderId="5" applyNumberFormat="0" applyAlignment="0" applyProtection="0"/>
    <xf numFmtId="9" fontId="0" fillId="0" borderId="0" applyFill="0" applyBorder="0" applyAlignment="0" applyProtection="0"/>
    <xf numFmtId="9" fontId="1" fillId="0" borderId="0" applyFont="0" applyFill="0" applyBorder="0" applyAlignment="0" applyProtection="0"/>
    <xf numFmtId="0" fontId="12" fillId="0" borderId="6" applyNumberFormat="0" applyFill="0" applyAlignment="0" applyProtection="0"/>
    <xf numFmtId="0" fontId="13" fillId="11" borderId="0" applyNumberFormat="0" applyBorder="0" applyAlignment="0" applyProtection="0"/>
    <xf numFmtId="0" fontId="5" fillId="1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4" fillId="0" borderId="0" applyNumberFormat="0" applyFill="0" applyBorder="0" applyAlignment="0" applyProtection="0"/>
    <xf numFmtId="0" fontId="10" fillId="0" borderId="0" applyNumberFormat="0" applyFill="0" applyBorder="0" applyAlignment="0" applyProtection="0"/>
    <xf numFmtId="0" fontId="4" fillId="0" borderId="1" applyNumberFormat="0" applyFill="0" applyAlignment="0" applyProtection="0"/>
    <xf numFmtId="0" fontId="15" fillId="3" borderId="7" applyNumberFormat="0" applyAlignment="0" applyProtection="0"/>
    <xf numFmtId="0" fontId="16" fillId="2" borderId="7" applyNumberFormat="0" applyAlignment="0" applyProtection="0"/>
    <xf numFmtId="0" fontId="17" fillId="2" borderId="8" applyNumberFormat="0" applyAlignment="0" applyProtection="0"/>
    <xf numFmtId="0" fontId="18" fillId="0" borderId="0" applyNumberFormat="0" applyFill="0" applyBorder="0" applyAlignment="0" applyProtection="0"/>
    <xf numFmtId="0" fontId="14" fillId="0" borderId="0" applyNumberFormat="0" applyFill="0" applyBorder="0" applyAlignment="0" applyProtection="0"/>
    <xf numFmtId="0" fontId="3" fillId="8"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8" borderId="0" applyNumberFormat="0" applyBorder="0" applyAlignment="0" applyProtection="0"/>
    <xf numFmtId="0" fontId="3" fillId="15" borderId="0" applyNumberFormat="0" applyBorder="0" applyAlignment="0" applyProtection="0"/>
  </cellStyleXfs>
  <cellXfs count="354">
    <xf numFmtId="0" fontId="0" fillId="0" borderId="0" xfId="0" applyAlignment="1">
      <alignment/>
    </xf>
    <xf numFmtId="0" fontId="35" fillId="0" borderId="0" xfId="0" applyFont="1" applyAlignment="1">
      <alignment/>
    </xf>
    <xf numFmtId="9" fontId="0" fillId="0" borderId="9" xfId="69" applyFill="1" applyBorder="1" applyAlignment="1" applyProtection="1">
      <alignment/>
      <protection/>
    </xf>
    <xf numFmtId="0" fontId="0" fillId="0" borderId="0" xfId="0" applyFont="1" applyBorder="1" applyAlignment="1" applyProtection="1">
      <alignment/>
      <protection/>
    </xf>
    <xf numFmtId="0" fontId="0" fillId="0" borderId="0" xfId="0" applyFont="1" applyFill="1" applyBorder="1" applyAlignment="1" applyProtection="1">
      <alignment horizontal="center"/>
      <protection/>
    </xf>
    <xf numFmtId="0" fontId="0" fillId="16" borderId="0" xfId="0" applyFont="1" applyFill="1" applyAlignment="1" applyProtection="1">
      <alignment vertical="center"/>
      <protection/>
    </xf>
    <xf numFmtId="0" fontId="0" fillId="0" borderId="0" xfId="0" applyFont="1" applyAlignment="1" applyProtection="1">
      <alignment/>
      <protection/>
    </xf>
    <xf numFmtId="167" fontId="0" fillId="0" borderId="0" xfId="0" applyNumberFormat="1" applyFont="1" applyAlignment="1" applyProtection="1">
      <alignment/>
      <protection/>
    </xf>
    <xf numFmtId="0" fontId="0" fillId="0" borderId="0" xfId="0" applyFont="1" applyAlignment="1" applyProtection="1">
      <alignment vertical="center"/>
      <protection/>
    </xf>
    <xf numFmtId="0" fontId="23" fillId="0" borderId="10" xfId="0" applyFont="1" applyBorder="1" applyAlignment="1" applyProtection="1">
      <alignment vertical="center"/>
      <protection/>
    </xf>
    <xf numFmtId="0" fontId="0" fillId="0" borderId="11" xfId="0" applyFont="1" applyBorder="1" applyAlignment="1" applyProtection="1">
      <alignment/>
      <protection/>
    </xf>
    <xf numFmtId="167" fontId="0" fillId="0" borderId="11" xfId="0" applyNumberFormat="1" applyFont="1" applyBorder="1" applyAlignment="1" applyProtection="1">
      <alignment/>
      <protection/>
    </xf>
    <xf numFmtId="0" fontId="24" fillId="0" borderId="12" xfId="0" applyFont="1" applyBorder="1" applyAlignment="1" applyProtection="1">
      <alignment horizontal="right"/>
      <protection/>
    </xf>
    <xf numFmtId="0" fontId="20" fillId="0" borderId="0" xfId="0" applyFont="1" applyBorder="1" applyAlignment="1" applyProtection="1">
      <alignment/>
      <protection/>
    </xf>
    <xf numFmtId="0" fontId="0" fillId="0" borderId="0" xfId="66" applyNumberFormat="1" applyFont="1" applyFill="1" applyBorder="1" applyAlignment="1" applyProtection="1">
      <alignment horizontal="left" vertical="center"/>
      <protection/>
    </xf>
    <xf numFmtId="0" fontId="25" fillId="17" borderId="13" xfId="54" applyNumberFormat="1" applyFill="1" applyBorder="1" applyAlignment="1" applyProtection="1">
      <alignment horizontal="left" vertical="center"/>
      <protection/>
    </xf>
    <xf numFmtId="0" fontId="20" fillId="17" borderId="13" xfId="0" applyFont="1" applyFill="1" applyBorder="1" applyAlignment="1" applyProtection="1">
      <alignment/>
      <protection/>
    </xf>
    <xf numFmtId="176" fontId="20" fillId="0" borderId="13" xfId="0" applyNumberFormat="1" applyFont="1" applyBorder="1" applyAlignment="1" applyProtection="1">
      <alignment/>
      <protection/>
    </xf>
    <xf numFmtId="0" fontId="0" fillId="0" borderId="0" xfId="66" applyNumberFormat="1" applyFont="1" applyFill="1" applyBorder="1" applyAlignment="1" applyProtection="1">
      <alignment horizontal="left" vertical="center" indent="1"/>
      <protection/>
    </xf>
    <xf numFmtId="0" fontId="0" fillId="0" borderId="0" xfId="66" applyNumberFormat="1" applyFont="1" applyFill="1" applyBorder="1" applyAlignment="1" applyProtection="1">
      <alignment horizontal="left" vertical="center" indent="1"/>
      <protection/>
    </xf>
    <xf numFmtId="0" fontId="0" fillId="0" borderId="0" xfId="66" applyFont="1" applyFill="1" applyAlignment="1" applyProtection="1">
      <alignment horizontal="left" vertical="center" indent="1"/>
      <protection/>
    </xf>
    <xf numFmtId="0" fontId="0" fillId="0" borderId="0" xfId="0" applyFont="1" applyBorder="1" applyAlignment="1" applyProtection="1">
      <alignment vertical="center"/>
      <protection/>
    </xf>
    <xf numFmtId="167" fontId="0" fillId="0" borderId="0" xfId="0" applyNumberFormat="1" applyFont="1" applyBorder="1" applyAlignment="1" applyProtection="1">
      <alignment/>
      <protection/>
    </xf>
    <xf numFmtId="176" fontId="0" fillId="0" borderId="0" xfId="0" applyNumberFormat="1" applyFont="1" applyBorder="1" applyAlignment="1" applyProtection="1">
      <alignment/>
      <protection/>
    </xf>
    <xf numFmtId="0" fontId="26" fillId="0" borderId="9" xfId="0" applyFont="1" applyBorder="1" applyAlignment="1" applyProtection="1">
      <alignment vertical="center"/>
      <protection/>
    </xf>
    <xf numFmtId="0" fontId="0" fillId="0" borderId="9" xfId="0" applyFont="1" applyBorder="1" applyAlignment="1" applyProtection="1">
      <alignment/>
      <protection/>
    </xf>
    <xf numFmtId="0" fontId="0" fillId="0" borderId="9" xfId="0" applyFont="1" applyBorder="1" applyAlignment="1" applyProtection="1">
      <alignment vertical="center"/>
      <protection/>
    </xf>
    <xf numFmtId="167" fontId="0" fillId="0" borderId="9" xfId="0" applyNumberFormat="1" applyFont="1" applyBorder="1" applyAlignment="1" applyProtection="1">
      <alignment/>
      <protection/>
    </xf>
    <xf numFmtId="3" fontId="20" fillId="0" borderId="9" xfId="0" applyNumberFormat="1" applyFont="1" applyBorder="1" applyAlignment="1" applyProtection="1">
      <alignment/>
      <protection/>
    </xf>
    <xf numFmtId="3" fontId="0" fillId="0" borderId="9" xfId="0" applyNumberFormat="1" applyFont="1" applyBorder="1" applyAlignment="1" applyProtection="1">
      <alignment horizontal="right"/>
      <protection/>
    </xf>
    <xf numFmtId="176" fontId="20" fillId="0" borderId="9" xfId="0" applyNumberFormat="1" applyFont="1" applyBorder="1" applyAlignment="1" applyProtection="1">
      <alignment/>
      <protection/>
    </xf>
    <xf numFmtId="176" fontId="0" fillId="0" borderId="9" xfId="0" applyNumberFormat="1" applyFont="1" applyBorder="1" applyAlignment="1" applyProtection="1">
      <alignment/>
      <protection/>
    </xf>
    <xf numFmtId="0" fontId="0" fillId="0" borderId="14" xfId="0" applyFont="1" applyBorder="1" applyAlignment="1" applyProtection="1">
      <alignment vertical="center"/>
      <protection/>
    </xf>
    <xf numFmtId="0" fontId="0" fillId="0" borderId="14" xfId="0" applyFont="1" applyBorder="1" applyAlignment="1" applyProtection="1">
      <alignment/>
      <protection/>
    </xf>
    <xf numFmtId="10" fontId="0" fillId="0" borderId="14" xfId="69" applyNumberFormat="1" applyFill="1" applyBorder="1" applyAlignment="1" applyProtection="1">
      <alignment vertical="center"/>
      <protection/>
    </xf>
    <xf numFmtId="0" fontId="26" fillId="0" borderId="15" xfId="0" applyFont="1" applyBorder="1" applyAlignment="1" applyProtection="1">
      <alignment vertical="center"/>
      <protection/>
    </xf>
    <xf numFmtId="0" fontId="0" fillId="0" borderId="16" xfId="0" applyFont="1" applyBorder="1" applyAlignment="1" applyProtection="1">
      <alignment/>
      <protection/>
    </xf>
    <xf numFmtId="167" fontId="0" fillId="0" borderId="16" xfId="0" applyNumberFormat="1" applyFont="1" applyBorder="1" applyAlignment="1" applyProtection="1">
      <alignment/>
      <protection/>
    </xf>
    <xf numFmtId="176" fontId="20" fillId="0" borderId="17" xfId="0" applyNumberFormat="1" applyFont="1" applyBorder="1" applyAlignment="1" applyProtection="1">
      <alignment/>
      <protection/>
    </xf>
    <xf numFmtId="0" fontId="0" fillId="0" borderId="18" xfId="0" applyFont="1" applyBorder="1" applyAlignment="1" applyProtection="1">
      <alignment vertical="center"/>
      <protection/>
    </xf>
    <xf numFmtId="0" fontId="0" fillId="0" borderId="18" xfId="0" applyFont="1" applyBorder="1" applyAlignment="1" applyProtection="1">
      <alignment/>
      <protection/>
    </xf>
    <xf numFmtId="167" fontId="0" fillId="0" borderId="18" xfId="0" applyNumberFormat="1" applyFont="1" applyBorder="1" applyAlignment="1" applyProtection="1">
      <alignment/>
      <protection/>
    </xf>
    <xf numFmtId="0" fontId="0" fillId="0" borderId="19" xfId="0" applyFont="1" applyBorder="1" applyAlignment="1" applyProtection="1">
      <alignment vertical="center"/>
      <protection/>
    </xf>
    <xf numFmtId="0" fontId="0" fillId="0" borderId="19" xfId="0" applyFont="1" applyBorder="1" applyAlignment="1" applyProtection="1">
      <alignment/>
      <protection/>
    </xf>
    <xf numFmtId="167" fontId="0" fillId="0" borderId="19" xfId="0" applyNumberFormat="1" applyFont="1" applyBorder="1" applyAlignment="1" applyProtection="1">
      <alignment/>
      <protection/>
    </xf>
    <xf numFmtId="0" fontId="27" fillId="0" borderId="19" xfId="0" applyFont="1" applyBorder="1" applyAlignment="1" applyProtection="1">
      <alignment vertical="center"/>
      <protection/>
    </xf>
    <xf numFmtId="0" fontId="37" fillId="0" borderId="0" xfId="0" applyFont="1" applyFill="1" applyBorder="1" applyAlignment="1" applyProtection="1">
      <alignment horizontal="left"/>
      <protection/>
    </xf>
    <xf numFmtId="0" fontId="0" fillId="0" borderId="0" xfId="0" applyAlignment="1" applyProtection="1">
      <alignment/>
      <protection/>
    </xf>
    <xf numFmtId="0" fontId="38" fillId="0" borderId="0" xfId="0" applyFont="1" applyFill="1" applyBorder="1" applyAlignment="1" applyProtection="1">
      <alignment horizontal="left"/>
      <protection/>
    </xf>
    <xf numFmtId="182" fontId="38" fillId="0" borderId="0" xfId="0" applyNumberFormat="1" applyFont="1" applyAlignment="1" applyProtection="1">
      <alignment/>
      <protection/>
    </xf>
    <xf numFmtId="183" fontId="20" fillId="0" borderId="0" xfId="0" applyNumberFormat="1" applyFont="1" applyAlignment="1" applyProtection="1">
      <alignment/>
      <protection/>
    </xf>
    <xf numFmtId="0" fontId="20" fillId="0" borderId="0" xfId="0" applyFont="1" applyAlignment="1" applyProtection="1">
      <alignment/>
      <protection/>
    </xf>
    <xf numFmtId="176" fontId="20" fillId="0" borderId="0" xfId="0" applyNumberFormat="1" applyFont="1" applyAlignment="1" applyProtection="1">
      <alignment/>
      <protection/>
    </xf>
    <xf numFmtId="0" fontId="28" fillId="0" borderId="0" xfId="0" applyFont="1" applyFill="1" applyBorder="1" applyAlignment="1" applyProtection="1">
      <alignment vertical="center"/>
      <protection/>
    </xf>
    <xf numFmtId="0" fontId="20" fillId="0" borderId="0" xfId="0" applyFont="1" applyAlignment="1" applyProtection="1">
      <alignment vertical="center"/>
      <protection/>
    </xf>
    <xf numFmtId="167" fontId="0" fillId="0" borderId="0" xfId="0" applyNumberFormat="1" applyFont="1" applyFill="1" applyBorder="1" applyAlignment="1" applyProtection="1">
      <alignment horizontal="left" vertical="top" wrapText="1"/>
      <protection/>
    </xf>
    <xf numFmtId="0" fontId="29" fillId="0" borderId="0" xfId="0" applyFont="1" applyAlignment="1" applyProtection="1">
      <alignment vertical="center"/>
      <protection/>
    </xf>
    <xf numFmtId="0" fontId="29" fillId="0" borderId="0" xfId="0" applyFont="1" applyAlignment="1" applyProtection="1">
      <alignment/>
      <protection/>
    </xf>
    <xf numFmtId="167" fontId="29" fillId="0" borderId="0" xfId="0" applyNumberFormat="1" applyFont="1" applyAlignment="1" applyProtection="1">
      <alignment/>
      <protection/>
    </xf>
    <xf numFmtId="0" fontId="0" fillId="0" borderId="0" xfId="66" applyFont="1" applyFill="1" applyBorder="1" applyAlignment="1" applyProtection="1">
      <alignment vertical="center"/>
      <protection/>
    </xf>
    <xf numFmtId="3" fontId="0" fillId="0" borderId="0" xfId="0" applyNumberFormat="1" applyFont="1" applyFill="1" applyBorder="1" applyAlignment="1" applyProtection="1">
      <alignment horizontal="center" vertical="center"/>
      <protection/>
    </xf>
    <xf numFmtId="0" fontId="30" fillId="0" borderId="0" xfId="66" applyFont="1" applyFill="1" applyBorder="1" applyAlignment="1" applyProtection="1">
      <alignment vertical="center"/>
      <protection/>
    </xf>
    <xf numFmtId="0" fontId="26" fillId="0" borderId="0" xfId="0" applyNumberFormat="1" applyFont="1" applyFill="1" applyBorder="1" applyAlignment="1" applyProtection="1">
      <alignment horizontal="center" vertical="center"/>
      <protection/>
    </xf>
    <xf numFmtId="0" fontId="25" fillId="18" borderId="20" xfId="54" applyNumberFormat="1" applyFill="1" applyBorder="1" applyAlignment="1" applyProtection="1">
      <alignment vertical="center"/>
      <protection/>
    </xf>
    <xf numFmtId="0" fontId="1" fillId="0" borderId="0" xfId="66" applyFont="1" applyFill="1" applyBorder="1" applyAlignment="1" applyProtection="1">
      <alignment vertical="center"/>
      <protection/>
    </xf>
    <xf numFmtId="3" fontId="1" fillId="0" borderId="0" xfId="0" applyNumberFormat="1" applyFont="1" applyFill="1" applyBorder="1" applyAlignment="1" applyProtection="1">
      <alignment horizontal="center" vertical="center"/>
      <protection/>
    </xf>
    <xf numFmtId="3" fontId="1" fillId="0" borderId="13" xfId="0" applyNumberFormat="1" applyFont="1" applyFill="1" applyBorder="1" applyAlignment="1" applyProtection="1">
      <alignment horizontal="left" vertical="center" wrapText="1"/>
      <protection/>
    </xf>
    <xf numFmtId="3" fontId="1" fillId="0" borderId="13" xfId="0" applyNumberFormat="1" applyFont="1" applyFill="1" applyBorder="1" applyAlignment="1" applyProtection="1">
      <alignment horizontal="left" vertical="center"/>
      <protection/>
    </xf>
    <xf numFmtId="177" fontId="1" fillId="0" borderId="13" xfId="0" applyNumberFormat="1" applyFont="1" applyFill="1" applyBorder="1" applyAlignment="1" applyProtection="1">
      <alignment vertical="center"/>
      <protection/>
    </xf>
    <xf numFmtId="3" fontId="1" fillId="0" borderId="13" xfId="0" applyNumberFormat="1" applyFont="1" applyBorder="1" applyAlignment="1" applyProtection="1">
      <alignment horizontal="left" vertical="center" wrapText="1"/>
      <protection/>
    </xf>
    <xf numFmtId="167" fontId="45" fillId="0" borderId="13" xfId="0" applyNumberFormat="1" applyFont="1" applyFill="1" applyBorder="1" applyAlignment="1" applyProtection="1">
      <alignment horizontal="left" vertical="center"/>
      <protection/>
    </xf>
    <xf numFmtId="0" fontId="1" fillId="0" borderId="0" xfId="66" applyFont="1" applyAlignment="1" applyProtection="1">
      <alignment vertical="center"/>
      <protection/>
    </xf>
    <xf numFmtId="3" fontId="1" fillId="0" borderId="13" xfId="0" applyNumberFormat="1" applyFont="1" applyBorder="1" applyAlignment="1" applyProtection="1">
      <alignment horizontal="left" vertical="center"/>
      <protection/>
    </xf>
    <xf numFmtId="177" fontId="1" fillId="0" borderId="13" xfId="0" applyNumberFormat="1" applyFont="1" applyBorder="1" applyAlignment="1" applyProtection="1">
      <alignment vertical="center"/>
      <protection/>
    </xf>
    <xf numFmtId="0" fontId="31" fillId="6" borderId="21" xfId="66" applyFont="1" applyFill="1" applyBorder="1" applyAlignment="1" applyProtection="1">
      <alignment vertical="center" wrapText="1"/>
      <protection/>
    </xf>
    <xf numFmtId="0" fontId="1" fillId="6" borderId="22" xfId="66" applyFont="1" applyFill="1" applyBorder="1" applyProtection="1">
      <alignment/>
      <protection/>
    </xf>
    <xf numFmtId="177" fontId="1" fillId="6" borderId="17" xfId="0" applyNumberFormat="1" applyFont="1" applyFill="1" applyBorder="1" applyAlignment="1" applyProtection="1">
      <alignment/>
      <protection/>
    </xf>
    <xf numFmtId="0" fontId="0" fillId="0" borderId="0" xfId="66" applyFont="1" applyFill="1" applyBorder="1" applyAlignment="1" applyProtection="1">
      <alignment vertical="center" wrapText="1"/>
      <protection/>
    </xf>
    <xf numFmtId="0" fontId="0" fillId="0" borderId="0" xfId="66" applyFont="1" applyFill="1" applyBorder="1" applyProtection="1">
      <alignment/>
      <protection/>
    </xf>
    <xf numFmtId="3" fontId="0" fillId="0" borderId="0" xfId="0" applyNumberFormat="1" applyFont="1" applyBorder="1" applyAlignment="1" applyProtection="1">
      <alignment/>
      <protection/>
    </xf>
    <xf numFmtId="0" fontId="26" fillId="0" borderId="0" xfId="0" applyNumberFormat="1" applyFont="1" applyFill="1" applyBorder="1" applyAlignment="1" applyProtection="1">
      <alignment horizontal="center" vertical="center"/>
      <protection/>
    </xf>
    <xf numFmtId="167" fontId="45" fillId="0" borderId="13" xfId="0" applyNumberFormat="1" applyFont="1" applyBorder="1" applyAlignment="1" applyProtection="1">
      <alignment horizontal="left" vertical="center"/>
      <protection/>
    </xf>
    <xf numFmtId="0" fontId="0" fillId="0" borderId="23" xfId="66" applyFont="1" applyFill="1" applyBorder="1" applyAlignment="1" applyProtection="1">
      <alignment vertical="center" wrapText="1"/>
      <protection/>
    </xf>
    <xf numFmtId="0" fontId="20" fillId="6" borderId="21" xfId="66" applyFont="1" applyFill="1" applyBorder="1" applyAlignment="1" applyProtection="1">
      <alignment vertical="center" wrapText="1"/>
      <protection/>
    </xf>
    <xf numFmtId="0" fontId="0" fillId="6" borderId="22" xfId="66" applyFont="1" applyFill="1" applyBorder="1" applyProtection="1">
      <alignment/>
      <protection/>
    </xf>
    <xf numFmtId="167" fontId="0" fillId="6" borderId="22" xfId="0" applyNumberFormat="1" applyFont="1" applyFill="1" applyBorder="1" applyAlignment="1" applyProtection="1">
      <alignment/>
      <protection/>
    </xf>
    <xf numFmtId="3" fontId="36" fillId="0" borderId="0" xfId="0" applyNumberFormat="1" applyFont="1" applyFill="1" applyBorder="1" applyAlignment="1" applyProtection="1">
      <alignment horizontal="center" vertical="center"/>
      <protection/>
    </xf>
    <xf numFmtId="3" fontId="36" fillId="0" borderId="13" xfId="0" applyNumberFormat="1" applyFont="1" applyFill="1" applyBorder="1" applyAlignment="1" applyProtection="1">
      <alignment horizontal="left" vertical="center" wrapText="1"/>
      <protection/>
    </xf>
    <xf numFmtId="3" fontId="36" fillId="0" borderId="13" xfId="0" applyNumberFormat="1" applyFont="1" applyFill="1" applyBorder="1" applyAlignment="1" applyProtection="1">
      <alignment horizontal="left" vertical="center"/>
      <protection/>
    </xf>
    <xf numFmtId="177" fontId="36" fillId="0" borderId="13" xfId="0" applyNumberFormat="1" applyFont="1" applyFill="1" applyBorder="1" applyAlignment="1" applyProtection="1">
      <alignment vertical="center"/>
      <protection/>
    </xf>
    <xf numFmtId="3" fontId="1" fillId="0" borderId="0" xfId="0" applyNumberFormat="1" applyFont="1" applyFill="1" applyBorder="1" applyAlignment="1" applyProtection="1">
      <alignment horizontal="left" vertical="center"/>
      <protection/>
    </xf>
    <xf numFmtId="177" fontId="1" fillId="0" borderId="0" xfId="0" applyNumberFormat="1" applyFont="1" applyFill="1" applyBorder="1" applyAlignment="1" applyProtection="1">
      <alignment vertical="center"/>
      <protection/>
    </xf>
    <xf numFmtId="3" fontId="36" fillId="0" borderId="13" xfId="0" applyNumberFormat="1" applyFont="1" applyBorder="1" applyAlignment="1" applyProtection="1">
      <alignment horizontal="left" vertical="center" wrapText="1"/>
      <protection/>
    </xf>
    <xf numFmtId="3" fontId="36" fillId="0" borderId="13" xfId="0" applyNumberFormat="1" applyFont="1" applyBorder="1" applyAlignment="1" applyProtection="1">
      <alignment horizontal="left" vertical="center"/>
      <protection/>
    </xf>
    <xf numFmtId="177" fontId="36" fillId="0" borderId="13" xfId="0" applyNumberFormat="1" applyFont="1" applyBorder="1" applyAlignment="1" applyProtection="1">
      <alignment vertical="center"/>
      <protection/>
    </xf>
    <xf numFmtId="3" fontId="1" fillId="0" borderId="0" xfId="0" applyNumberFormat="1" applyFont="1" applyFill="1" applyAlignment="1" applyProtection="1">
      <alignment horizontal="center" vertical="center"/>
      <protection/>
    </xf>
    <xf numFmtId="0" fontId="0" fillId="0" borderId="23" xfId="66" applyFont="1" applyFill="1" applyBorder="1" applyAlignment="1" applyProtection="1">
      <alignment vertical="center" wrapText="1"/>
      <protection/>
    </xf>
    <xf numFmtId="177" fontId="1" fillId="0" borderId="0" xfId="0" applyNumberFormat="1" applyFont="1" applyAlignment="1" applyProtection="1">
      <alignment vertical="center"/>
      <protection/>
    </xf>
    <xf numFmtId="0" fontId="26" fillId="0" borderId="0" xfId="0" applyFont="1" applyFill="1" applyAlignment="1" applyProtection="1">
      <alignment horizontal="center" vertical="center"/>
      <protection/>
    </xf>
    <xf numFmtId="3" fontId="0" fillId="6" borderId="17" xfId="0" applyNumberFormat="1" applyFont="1" applyFill="1" applyBorder="1" applyAlignment="1" applyProtection="1">
      <alignment/>
      <protection/>
    </xf>
    <xf numFmtId="0" fontId="19" fillId="0" borderId="24" xfId="0" applyFont="1" applyBorder="1" applyAlignment="1" applyProtection="1">
      <alignment horizontal="right"/>
      <protection locked="0"/>
    </xf>
    <xf numFmtId="0" fontId="42" fillId="0" borderId="0" xfId="0" applyFont="1" applyAlignment="1" applyProtection="1">
      <alignment/>
      <protection locked="0"/>
    </xf>
    <xf numFmtId="0" fontId="43" fillId="0" borderId="0" xfId="0" applyFont="1" applyAlignment="1" applyProtection="1">
      <alignment/>
      <protection locked="0"/>
    </xf>
    <xf numFmtId="0" fontId="44" fillId="0" borderId="0" xfId="0" applyFont="1" applyAlignment="1" applyProtection="1">
      <alignment/>
      <protection locked="0"/>
    </xf>
    <xf numFmtId="167" fontId="42" fillId="0" borderId="0" xfId="0" applyNumberFormat="1" applyFont="1" applyBorder="1" applyAlignment="1" applyProtection="1">
      <alignment/>
      <protection locked="0"/>
    </xf>
    <xf numFmtId="170" fontId="45" fillId="0" borderId="13" xfId="0" applyNumberFormat="1" applyFont="1" applyFill="1" applyBorder="1" applyAlignment="1" applyProtection="1">
      <alignment horizontal="left" vertical="center"/>
      <protection/>
    </xf>
    <xf numFmtId="0" fontId="26" fillId="0" borderId="0" xfId="0" applyFont="1" applyFill="1" applyAlignment="1" applyProtection="1">
      <alignment horizontal="center" vertical="center"/>
      <protection/>
    </xf>
    <xf numFmtId="3" fontId="36" fillId="0" borderId="0" xfId="0" applyNumberFormat="1" applyFont="1" applyFill="1" applyAlignment="1" applyProtection="1">
      <alignment horizontal="center" vertical="center"/>
      <protection/>
    </xf>
    <xf numFmtId="0" fontId="0" fillId="0" borderId="0" xfId="0" applyFont="1" applyAlignment="1" applyProtection="1">
      <alignment/>
      <protection locked="0"/>
    </xf>
    <xf numFmtId="3" fontId="1" fillId="19" borderId="20" xfId="0" applyNumberFormat="1" applyFont="1" applyFill="1" applyBorder="1" applyAlignment="1" applyProtection="1">
      <alignment vertical="center" wrapText="1"/>
      <protection/>
    </xf>
    <xf numFmtId="3" fontId="33" fillId="19" borderId="20" xfId="0" applyNumberFormat="1" applyFont="1" applyFill="1" applyBorder="1" applyAlignment="1" applyProtection="1">
      <alignment vertical="center" wrapText="1"/>
      <protection/>
    </xf>
    <xf numFmtId="3" fontId="1" fillId="19" borderId="25" xfId="0" applyNumberFormat="1" applyFont="1" applyFill="1" applyBorder="1" applyAlignment="1" applyProtection="1">
      <alignment vertical="center" wrapText="1"/>
      <protection/>
    </xf>
    <xf numFmtId="0" fontId="25" fillId="18" borderId="20" xfId="54" applyNumberFormat="1" applyFont="1" applyFill="1" applyBorder="1" applyAlignment="1" applyProtection="1">
      <alignment vertical="center"/>
      <protection/>
    </xf>
    <xf numFmtId="0" fontId="0" fillId="0" borderId="0" xfId="0" applyAlignment="1">
      <alignment horizontal="center"/>
    </xf>
    <xf numFmtId="167" fontId="45" fillId="0" borderId="13" xfId="0" applyNumberFormat="1" applyFont="1" applyFill="1" applyBorder="1" applyAlignment="1" applyProtection="1">
      <alignment horizontal="left" vertical="center" wrapText="1"/>
      <protection/>
    </xf>
    <xf numFmtId="0" fontId="43" fillId="0" borderId="0" xfId="0" applyFont="1" applyFill="1" applyAlignment="1" applyProtection="1">
      <alignment/>
      <protection locked="0"/>
    </xf>
    <xf numFmtId="0" fontId="25" fillId="18" borderId="26" xfId="54" applyNumberFormat="1" applyFill="1" applyBorder="1" applyAlignment="1" applyProtection="1">
      <alignment vertical="center"/>
      <protection/>
    </xf>
    <xf numFmtId="0" fontId="25" fillId="18" borderId="20" xfId="54" applyFont="1" applyFill="1" applyBorder="1" applyAlignment="1" applyProtection="1">
      <alignment vertical="center"/>
      <protection/>
    </xf>
    <xf numFmtId="0" fontId="25" fillId="18" borderId="20" xfId="54" applyFill="1" applyBorder="1" applyAlignment="1" applyProtection="1">
      <alignment vertical="center"/>
      <protection/>
    </xf>
    <xf numFmtId="177" fontId="1" fillId="20" borderId="13" xfId="0" applyNumberFormat="1" applyFont="1" applyFill="1" applyBorder="1" applyAlignment="1" applyProtection="1">
      <alignment vertical="center"/>
      <protection/>
    </xf>
    <xf numFmtId="0" fontId="0" fillId="0" borderId="23" xfId="66" applyFont="1" applyBorder="1" applyAlignment="1" applyProtection="1">
      <alignment vertical="center" wrapText="1"/>
      <protection/>
    </xf>
    <xf numFmtId="0" fontId="25" fillId="17" borderId="13" xfId="54" applyNumberFormat="1" applyFont="1" applyFill="1" applyBorder="1" applyAlignment="1" applyProtection="1">
      <alignment horizontal="left" vertical="center"/>
      <protection/>
    </xf>
    <xf numFmtId="3" fontId="1" fillId="16" borderId="0" xfId="0" applyNumberFormat="1" applyFont="1" applyFill="1" applyBorder="1" applyAlignment="1" applyProtection="1">
      <alignment horizontal="center" vertical="center"/>
      <protection/>
    </xf>
    <xf numFmtId="3" fontId="1" fillId="16" borderId="0" xfId="0" applyNumberFormat="1" applyFont="1" applyFill="1" applyAlignment="1" applyProtection="1">
      <alignment horizontal="center" vertical="center"/>
      <protection/>
    </xf>
    <xf numFmtId="0" fontId="42" fillId="0" borderId="0" xfId="66" applyNumberFormat="1" applyFont="1" applyFill="1" applyBorder="1" applyAlignment="1" applyProtection="1">
      <alignment horizontal="left" vertical="center"/>
      <protection/>
    </xf>
    <xf numFmtId="177" fontId="42" fillId="0" borderId="0" xfId="0" applyNumberFormat="1" applyFont="1" applyAlignment="1" applyProtection="1">
      <alignment/>
      <protection locked="0"/>
    </xf>
    <xf numFmtId="0" fontId="26" fillId="16" borderId="0" xfId="0" applyNumberFormat="1" applyFont="1" applyFill="1" applyBorder="1" applyAlignment="1" applyProtection="1">
      <alignment horizontal="center" vertical="center"/>
      <protection/>
    </xf>
    <xf numFmtId="0" fontId="19" fillId="0" borderId="24" xfId="0" applyFont="1" applyBorder="1" applyAlignment="1" applyProtection="1">
      <alignment horizontal="right" wrapText="1"/>
      <protection/>
    </xf>
    <xf numFmtId="177" fontId="1" fillId="6" borderId="22" xfId="0" applyNumberFormat="1" applyFont="1" applyFill="1" applyBorder="1" applyAlignment="1" applyProtection="1">
      <alignment/>
      <protection/>
    </xf>
    <xf numFmtId="0" fontId="49" fillId="6" borderId="21" xfId="66" applyFont="1" applyFill="1" applyBorder="1" applyAlignment="1" applyProtection="1">
      <alignment vertical="center" wrapText="1"/>
      <protection/>
    </xf>
    <xf numFmtId="0" fontId="50" fillId="6" borderId="22" xfId="66" applyFont="1" applyFill="1" applyBorder="1" applyAlignment="1" applyProtection="1">
      <alignment vertical="center"/>
      <protection/>
    </xf>
    <xf numFmtId="177" fontId="50" fillId="6" borderId="22" xfId="0" applyNumberFormat="1" applyFont="1" applyFill="1" applyBorder="1" applyAlignment="1" applyProtection="1">
      <alignment vertical="center"/>
      <protection/>
    </xf>
    <xf numFmtId="167" fontId="0" fillId="6" borderId="22" xfId="0" applyNumberFormat="1" applyFill="1" applyBorder="1" applyAlignment="1" applyProtection="1">
      <alignment/>
      <protection/>
    </xf>
    <xf numFmtId="3" fontId="1" fillId="0" borderId="0" xfId="0" applyNumberFormat="1" applyFont="1" applyAlignment="1" applyProtection="1">
      <alignment horizontal="center" vertical="center"/>
      <protection/>
    </xf>
    <xf numFmtId="0" fontId="0" fillId="0" borderId="23" xfId="66" applyFont="1" applyBorder="1" applyAlignment="1" applyProtection="1">
      <alignment vertical="center" wrapText="1"/>
      <protection/>
    </xf>
    <xf numFmtId="170" fontId="0" fillId="0" borderId="0" xfId="0" applyNumberFormat="1" applyFont="1" applyAlignment="1" applyProtection="1">
      <alignment/>
      <protection/>
    </xf>
    <xf numFmtId="170" fontId="0" fillId="0" borderId="11" xfId="0" applyNumberFormat="1" applyFont="1" applyBorder="1" applyAlignment="1" applyProtection="1">
      <alignment/>
      <protection/>
    </xf>
    <xf numFmtId="170" fontId="20" fillId="0" borderId="13" xfId="0" applyNumberFormat="1" applyFont="1" applyBorder="1" applyAlignment="1" applyProtection="1">
      <alignment/>
      <protection/>
    </xf>
    <xf numFmtId="170" fontId="0" fillId="0" borderId="0" xfId="0" applyNumberFormat="1" applyFont="1" applyBorder="1" applyAlignment="1" applyProtection="1">
      <alignment/>
      <protection/>
    </xf>
    <xf numFmtId="170" fontId="27" fillId="0" borderId="9" xfId="0" applyNumberFormat="1" applyFont="1" applyBorder="1" applyAlignment="1" applyProtection="1">
      <alignment/>
      <protection/>
    </xf>
    <xf numFmtId="170" fontId="0" fillId="0" borderId="9" xfId="0" applyNumberFormat="1" applyFont="1" applyBorder="1" applyAlignment="1" applyProtection="1">
      <alignment/>
      <protection/>
    </xf>
    <xf numFmtId="170" fontId="0" fillId="0" borderId="14" xfId="0" applyNumberFormat="1" applyFont="1" applyBorder="1" applyAlignment="1" applyProtection="1">
      <alignment/>
      <protection/>
    </xf>
    <xf numFmtId="170" fontId="0" fillId="0" borderId="16" xfId="0" applyNumberFormat="1" applyFont="1" applyBorder="1" applyAlignment="1" applyProtection="1">
      <alignment/>
      <protection/>
    </xf>
    <xf numFmtId="170" fontId="0" fillId="0" borderId="18" xfId="0" applyNumberFormat="1" applyFont="1" applyBorder="1" applyAlignment="1" applyProtection="1">
      <alignment/>
      <protection/>
    </xf>
    <xf numFmtId="170" fontId="0" fillId="0" borderId="19" xfId="0" applyNumberFormat="1" applyFont="1" applyBorder="1" applyAlignment="1" applyProtection="1">
      <alignment/>
      <protection/>
    </xf>
    <xf numFmtId="170" fontId="0" fillId="0" borderId="0" xfId="0" applyNumberFormat="1" applyAlignment="1" applyProtection="1">
      <alignment/>
      <protection/>
    </xf>
    <xf numFmtId="170" fontId="29" fillId="0" borderId="0" xfId="0" applyNumberFormat="1" applyFont="1" applyAlignment="1" applyProtection="1">
      <alignment/>
      <protection/>
    </xf>
    <xf numFmtId="170" fontId="0" fillId="0" borderId="0" xfId="0" applyNumberFormat="1" applyFont="1" applyFill="1" applyBorder="1" applyAlignment="1" applyProtection="1">
      <alignment horizontal="left" vertical="top" wrapText="1"/>
      <protection/>
    </xf>
    <xf numFmtId="170" fontId="1" fillId="0" borderId="13" xfId="0" applyNumberFormat="1" applyFont="1" applyFill="1" applyBorder="1" applyAlignment="1" applyProtection="1">
      <alignment horizontal="right" vertical="center"/>
      <protection/>
    </xf>
    <xf numFmtId="170" fontId="1" fillId="0" borderId="13" xfId="0" applyNumberFormat="1" applyFont="1" applyFill="1" applyBorder="1" applyAlignment="1" applyProtection="1">
      <alignment horizontal="right" vertical="center"/>
      <protection hidden="1"/>
    </xf>
    <xf numFmtId="170" fontId="1" fillId="6" borderId="22" xfId="0" applyNumberFormat="1" applyFont="1" applyFill="1" applyBorder="1" applyAlignment="1" applyProtection="1">
      <alignment/>
      <protection/>
    </xf>
    <xf numFmtId="170" fontId="25" fillId="18" borderId="20" xfId="54" applyNumberFormat="1" applyFill="1" applyBorder="1" applyAlignment="1" applyProtection="1">
      <alignment vertical="center"/>
      <protection/>
    </xf>
    <xf numFmtId="170" fontId="1" fillId="0" borderId="13" xfId="0" applyNumberFormat="1" applyFont="1" applyBorder="1" applyAlignment="1" applyProtection="1">
      <alignment horizontal="right" vertical="center"/>
      <protection/>
    </xf>
    <xf numFmtId="170" fontId="36" fillId="0" borderId="13" xfId="0" applyNumberFormat="1" applyFont="1" applyFill="1" applyBorder="1" applyAlignment="1" applyProtection="1">
      <alignment horizontal="right" vertical="center"/>
      <protection/>
    </xf>
    <xf numFmtId="170" fontId="0" fillId="6" borderId="22" xfId="0" applyNumberFormat="1" applyFont="1" applyFill="1" applyBorder="1" applyAlignment="1" applyProtection="1">
      <alignment/>
      <protection/>
    </xf>
    <xf numFmtId="170" fontId="36" fillId="0" borderId="13" xfId="0" applyNumberFormat="1" applyFont="1" applyBorder="1" applyAlignment="1" applyProtection="1">
      <alignment horizontal="right" vertical="center"/>
      <protection/>
    </xf>
    <xf numFmtId="170" fontId="36" fillId="0" borderId="13" xfId="0" applyNumberFormat="1" applyFont="1" applyFill="1" applyBorder="1" applyAlignment="1" applyProtection="1">
      <alignment horizontal="right" vertical="center"/>
      <protection hidden="1"/>
    </xf>
    <xf numFmtId="170" fontId="50" fillId="6" borderId="22" xfId="0" applyNumberFormat="1" applyFont="1" applyFill="1" applyBorder="1" applyAlignment="1" applyProtection="1">
      <alignment vertical="center"/>
      <protection/>
    </xf>
    <xf numFmtId="170" fontId="25" fillId="18" borderId="26" xfId="54" applyNumberFormat="1" applyFill="1" applyBorder="1" applyAlignment="1" applyProtection="1">
      <alignment vertical="center"/>
      <protection/>
    </xf>
    <xf numFmtId="170" fontId="0" fillId="6" borderId="22" xfId="0" applyNumberFormat="1" applyFill="1" applyBorder="1" applyAlignment="1" applyProtection="1">
      <alignment/>
      <protection/>
    </xf>
    <xf numFmtId="2" fontId="1" fillId="0" borderId="13" xfId="0" applyNumberFormat="1" applyFont="1" applyBorder="1" applyAlignment="1" applyProtection="1">
      <alignment horizontal="right" vertical="center"/>
      <protection hidden="1"/>
    </xf>
    <xf numFmtId="2" fontId="36" fillId="0" borderId="13" xfId="0" applyNumberFormat="1" applyFont="1" applyBorder="1" applyAlignment="1" applyProtection="1">
      <alignment horizontal="right" vertical="center"/>
      <protection hidden="1"/>
    </xf>
    <xf numFmtId="170" fontId="1" fillId="0" borderId="13" xfId="0" applyNumberFormat="1" applyFont="1" applyBorder="1" applyAlignment="1" applyProtection="1">
      <alignment horizontal="right" vertical="center"/>
      <protection hidden="1"/>
    </xf>
    <xf numFmtId="0" fontId="34" fillId="0" borderId="0" xfId="0" applyFont="1" applyAlignment="1" applyProtection="1">
      <alignment/>
      <protection locked="0"/>
    </xf>
    <xf numFmtId="0" fontId="35" fillId="0" borderId="0" xfId="0" applyFont="1" applyAlignment="1">
      <alignment horizontal="center"/>
    </xf>
    <xf numFmtId="0" fontId="34" fillId="0" borderId="0" xfId="0" applyFont="1" applyAlignment="1">
      <alignment/>
    </xf>
    <xf numFmtId="0" fontId="34" fillId="0" borderId="27" xfId="0" applyFont="1" applyBorder="1" applyAlignment="1">
      <alignment/>
    </xf>
    <xf numFmtId="0" fontId="52" fillId="0" borderId="0" xfId="0" applyFont="1" applyAlignment="1">
      <alignment/>
    </xf>
    <xf numFmtId="4" fontId="35" fillId="0" borderId="0" xfId="0" applyNumberFormat="1" applyFont="1" applyAlignment="1">
      <alignment/>
    </xf>
    <xf numFmtId="0" fontId="19" fillId="0" borderId="0" xfId="0" applyFont="1" applyAlignment="1">
      <alignment/>
    </xf>
    <xf numFmtId="4" fontId="52" fillId="0" borderId="0" xfId="0" applyNumberFormat="1" applyFont="1" applyAlignment="1">
      <alignment/>
    </xf>
    <xf numFmtId="0" fontId="35" fillId="0" borderId="0" xfId="0" applyFont="1" applyAlignment="1">
      <alignment horizontal="left"/>
    </xf>
    <xf numFmtId="0" fontId="35" fillId="0" borderId="0" xfId="0" applyFont="1" applyAlignment="1">
      <alignment wrapText="1"/>
    </xf>
    <xf numFmtId="4" fontId="60" fillId="0" borderId="0" xfId="0" applyNumberFormat="1" applyFont="1" applyAlignment="1">
      <alignment/>
    </xf>
    <xf numFmtId="0" fontId="60" fillId="0" borderId="0" xfId="0" applyFont="1" applyAlignment="1">
      <alignment/>
    </xf>
    <xf numFmtId="0" fontId="60" fillId="0" borderId="0" xfId="0" applyFont="1" applyAlignment="1">
      <alignment horizontal="center"/>
    </xf>
    <xf numFmtId="9" fontId="52" fillId="0" borderId="0" xfId="70" applyFont="1" applyAlignment="1">
      <alignment/>
    </xf>
    <xf numFmtId="0" fontId="61" fillId="0" borderId="0" xfId="0" applyFont="1" applyAlignment="1">
      <alignment/>
    </xf>
    <xf numFmtId="9" fontId="61" fillId="0" borderId="0" xfId="70" applyFont="1" applyAlignment="1">
      <alignment/>
    </xf>
    <xf numFmtId="4" fontId="61" fillId="0" borderId="0" xfId="0" applyNumberFormat="1" applyFont="1" applyAlignment="1">
      <alignment/>
    </xf>
    <xf numFmtId="9" fontId="35" fillId="0" borderId="0" xfId="70" applyFont="1" applyAlignment="1">
      <alignment/>
    </xf>
    <xf numFmtId="0" fontId="0" fillId="0" borderId="0" xfId="0" applyAlignment="1">
      <alignment horizontal="left" vertical="center" wrapText="1"/>
    </xf>
    <xf numFmtId="3" fontId="0" fillId="0" borderId="0" xfId="0" applyNumberFormat="1" applyAlignment="1">
      <alignment horizontal="left" vertical="center"/>
    </xf>
    <xf numFmtId="0" fontId="0" fillId="0" borderId="23" xfId="66" applyFont="1" applyBorder="1" applyAlignment="1" applyProtection="1">
      <alignment vertical="center" wrapText="1"/>
      <protection/>
    </xf>
    <xf numFmtId="0" fontId="25" fillId="18" borderId="0" xfId="54" applyNumberFormat="1" applyFill="1" applyBorder="1" applyAlignment="1" applyProtection="1">
      <alignment vertical="center"/>
      <protection/>
    </xf>
    <xf numFmtId="180" fontId="1" fillId="21" borderId="13" xfId="0" applyNumberFormat="1" applyFont="1" applyFill="1" applyBorder="1" applyAlignment="1" applyProtection="1">
      <alignment vertical="center"/>
      <protection locked="0"/>
    </xf>
    <xf numFmtId="0" fontId="47" fillId="0" borderId="0" xfId="66" applyFont="1" applyFill="1" applyAlignment="1" applyProtection="1">
      <alignment horizontal="left" vertical="center"/>
      <protection/>
    </xf>
    <xf numFmtId="0" fontId="47" fillId="0" borderId="0" xfId="66" applyFont="1" applyFill="1" applyAlignment="1" applyProtection="1">
      <alignment horizontal="left" vertical="center"/>
      <protection/>
    </xf>
    <xf numFmtId="0" fontId="47" fillId="0" borderId="0" xfId="66" applyFont="1" applyFill="1" applyBorder="1" applyAlignment="1" applyProtection="1">
      <alignment horizontal="left" vertical="center"/>
      <protection/>
    </xf>
    <xf numFmtId="0" fontId="42" fillId="0" borderId="0" xfId="0" applyFont="1" applyFill="1" applyBorder="1" applyAlignment="1" applyProtection="1">
      <alignment horizontal="left"/>
      <protection/>
    </xf>
    <xf numFmtId="0" fontId="43" fillId="0" borderId="0" xfId="0" applyFont="1" applyFill="1" applyBorder="1" applyAlignment="1" applyProtection="1">
      <alignment horizontal="left"/>
      <protection/>
    </xf>
    <xf numFmtId="170" fontId="55" fillId="0" borderId="24" xfId="0" applyNumberFormat="1" applyFont="1" applyBorder="1" applyAlignment="1" applyProtection="1">
      <alignment horizontal="left"/>
      <protection/>
    </xf>
    <xf numFmtId="0" fontId="44" fillId="0" borderId="0" xfId="66" applyFont="1" applyFill="1" applyBorder="1" applyAlignment="1" applyProtection="1">
      <alignment horizontal="left" vertical="center"/>
      <protection/>
    </xf>
    <xf numFmtId="0" fontId="47" fillId="0" borderId="0" xfId="66" applyFont="1" applyFill="1" applyBorder="1" applyAlignment="1" applyProtection="1">
      <alignment horizontal="left" vertical="center"/>
      <protection/>
    </xf>
    <xf numFmtId="0" fontId="42" fillId="0" borderId="0" xfId="0" applyFont="1" applyAlignment="1" applyProtection="1">
      <alignment horizontal="left"/>
      <protection/>
    </xf>
    <xf numFmtId="0" fontId="42" fillId="0" borderId="0" xfId="0" applyFont="1" applyFill="1" applyAlignment="1" applyProtection="1">
      <alignment horizontal="left" vertical="center"/>
      <protection/>
    </xf>
    <xf numFmtId="0" fontId="47" fillId="16" borderId="0" xfId="66" applyFont="1" applyFill="1" applyBorder="1" applyAlignment="1" applyProtection="1">
      <alignment horizontal="left" vertical="center"/>
      <protection/>
    </xf>
    <xf numFmtId="0" fontId="42" fillId="0" borderId="0" xfId="0" applyFont="1" applyBorder="1" applyAlignment="1" applyProtection="1">
      <alignment horizontal="left" vertical="center"/>
      <protection/>
    </xf>
    <xf numFmtId="0" fontId="47" fillId="0" borderId="0" xfId="66" applyFont="1" applyAlignment="1" applyProtection="1">
      <alignment horizontal="left" vertical="center"/>
      <protection hidden="1"/>
    </xf>
    <xf numFmtId="0" fontId="47" fillId="0" borderId="0" xfId="66" applyFont="1" applyAlignment="1" applyProtection="1">
      <alignment horizontal="left" vertical="center"/>
      <protection/>
    </xf>
    <xf numFmtId="3" fontId="1" fillId="16" borderId="0" xfId="0" applyNumberFormat="1" applyFont="1" applyFill="1" applyAlignment="1" applyProtection="1">
      <alignment horizontal="center" vertical="center"/>
      <protection hidden="1"/>
    </xf>
    <xf numFmtId="0" fontId="0" fillId="0" borderId="23" xfId="66" applyBorder="1" applyAlignment="1" applyProtection="1">
      <alignment vertical="center" wrapText="1"/>
      <protection hidden="1"/>
    </xf>
    <xf numFmtId="3" fontId="1" fillId="0" borderId="13" xfId="0" applyNumberFormat="1" applyFont="1" applyBorder="1" applyAlignment="1" applyProtection="1">
      <alignment horizontal="left" vertical="center"/>
      <protection hidden="1"/>
    </xf>
    <xf numFmtId="177" fontId="1" fillId="20" borderId="13" xfId="0" applyNumberFormat="1" applyFont="1" applyFill="1" applyBorder="1" applyAlignment="1" applyProtection="1">
      <alignment vertical="center"/>
      <protection locked="0"/>
    </xf>
    <xf numFmtId="177" fontId="1" fillId="0" borderId="13" xfId="0" applyNumberFormat="1" applyFont="1" applyBorder="1" applyAlignment="1" applyProtection="1">
      <alignment vertical="center"/>
      <protection hidden="1"/>
    </xf>
    <xf numFmtId="0" fontId="0" fillId="0" borderId="0" xfId="0" applyAlignment="1" applyProtection="1">
      <alignment/>
      <protection hidden="1"/>
    </xf>
    <xf numFmtId="3" fontId="1" fillId="0" borderId="0" xfId="0" applyNumberFormat="1" applyFont="1" applyAlignment="1" applyProtection="1">
      <alignment horizontal="center" vertical="center"/>
      <protection hidden="1"/>
    </xf>
    <xf numFmtId="3" fontId="1" fillId="0" borderId="13" xfId="0" applyNumberFormat="1" applyFont="1" applyBorder="1" applyAlignment="1" applyProtection="1">
      <alignment horizontal="left" vertical="center" wrapText="1"/>
      <protection hidden="1"/>
    </xf>
    <xf numFmtId="0" fontId="0" fillId="0" borderId="0" xfId="0" applyAlignment="1" applyProtection="1">
      <alignment horizontal="center"/>
      <protection/>
    </xf>
    <xf numFmtId="3" fontId="1" fillId="22" borderId="0" xfId="0" applyNumberFormat="1" applyFont="1" applyFill="1" applyBorder="1" applyAlignment="1" applyProtection="1">
      <alignment horizontal="center" vertical="center"/>
      <protection/>
    </xf>
    <xf numFmtId="3" fontId="36" fillId="22" borderId="0" xfId="0" applyNumberFormat="1" applyFont="1" applyFill="1" applyAlignment="1" applyProtection="1">
      <alignment horizontal="center" vertical="center"/>
      <protection/>
    </xf>
    <xf numFmtId="0" fontId="42" fillId="0" borderId="0" xfId="0" applyFont="1" applyFill="1" applyAlignment="1" applyProtection="1">
      <alignment horizontal="left"/>
      <protection/>
    </xf>
    <xf numFmtId="3" fontId="1" fillId="0" borderId="0" xfId="0" applyNumberFormat="1" applyFont="1" applyFill="1" applyAlignment="1" applyProtection="1">
      <alignment horizontal="center" vertical="center"/>
      <protection hidden="1"/>
    </xf>
    <xf numFmtId="0" fontId="42" fillId="0" borderId="0" xfId="0" applyFont="1" applyFill="1" applyAlignment="1" applyProtection="1">
      <alignment horizontal="left"/>
      <protection hidden="1"/>
    </xf>
    <xf numFmtId="167" fontId="0" fillId="0" borderId="0" xfId="0" applyNumberFormat="1" applyFont="1" applyFill="1" applyBorder="1" applyAlignment="1" applyProtection="1">
      <alignment horizontal="left" vertical="top"/>
      <protection/>
    </xf>
    <xf numFmtId="167" fontId="0" fillId="0" borderId="0" xfId="0" applyNumberFormat="1" applyFill="1" applyBorder="1" applyAlignment="1" applyProtection="1">
      <alignment horizontal="left" vertical="top" wrapText="1"/>
      <protection/>
    </xf>
    <xf numFmtId="3" fontId="0" fillId="0" borderId="0" xfId="0" applyNumberFormat="1" applyFill="1" applyBorder="1" applyAlignment="1" applyProtection="1">
      <alignment horizontal="left" vertical="center" wrapText="1"/>
      <protection/>
    </xf>
    <xf numFmtId="3" fontId="0" fillId="0" borderId="0" xfId="0" applyNumberFormat="1" applyFont="1" applyFill="1" applyBorder="1" applyAlignment="1" applyProtection="1">
      <alignment horizontal="left" vertical="center" wrapText="1"/>
      <protection/>
    </xf>
    <xf numFmtId="3" fontId="1" fillId="23" borderId="0" xfId="0" applyNumberFormat="1" applyFont="1" applyFill="1" applyAlignment="1" applyProtection="1">
      <alignment horizontal="center" vertical="center"/>
      <protection/>
    </xf>
    <xf numFmtId="170" fontId="1" fillId="23" borderId="13" xfId="0" applyNumberFormat="1" applyFont="1" applyFill="1" applyBorder="1" applyAlignment="1" applyProtection="1">
      <alignment horizontal="right" vertical="center"/>
      <protection/>
    </xf>
    <xf numFmtId="3" fontId="1" fillId="24" borderId="0" xfId="0" applyNumberFormat="1" applyFont="1" applyFill="1" applyBorder="1" applyAlignment="1" applyProtection="1">
      <alignment horizontal="center" vertical="center"/>
      <protection/>
    </xf>
    <xf numFmtId="3" fontId="1" fillId="24" borderId="0" xfId="0" applyNumberFormat="1" applyFont="1" applyFill="1" applyAlignment="1" applyProtection="1">
      <alignment horizontal="center" vertical="center"/>
      <protection/>
    </xf>
    <xf numFmtId="167" fontId="0" fillId="0" borderId="0" xfId="0" applyNumberFormat="1" applyFill="1" applyBorder="1" applyAlignment="1" applyProtection="1">
      <alignment horizontal="left" vertical="top"/>
      <protection/>
    </xf>
    <xf numFmtId="167" fontId="0" fillId="0" borderId="0" xfId="0" applyNumberFormat="1" applyFill="1" applyBorder="1" applyAlignment="1" applyProtection="1">
      <alignment vertical="top"/>
      <protection/>
    </xf>
    <xf numFmtId="167" fontId="0" fillId="0" borderId="0" xfId="0" applyNumberFormat="1" applyFont="1" applyFill="1" applyBorder="1" applyAlignment="1" applyProtection="1">
      <alignment vertical="top"/>
      <protection/>
    </xf>
    <xf numFmtId="3" fontId="0" fillId="0" borderId="0" xfId="0" applyNumberFormat="1" applyFill="1" applyBorder="1" applyAlignment="1" applyProtection="1">
      <alignment horizontal="left" vertical="center"/>
      <protection/>
    </xf>
    <xf numFmtId="167" fontId="0" fillId="0" borderId="0" xfId="0" applyNumberFormat="1" applyFont="1" applyFill="1" applyBorder="1" applyAlignment="1" applyProtection="1">
      <alignment horizontal="center" vertical="top"/>
      <protection/>
    </xf>
    <xf numFmtId="0" fontId="1" fillId="0" borderId="0" xfId="0" applyFont="1" applyAlignment="1" applyProtection="1">
      <alignment/>
      <protection/>
    </xf>
    <xf numFmtId="3" fontId="33" fillId="24" borderId="20" xfId="0" applyNumberFormat="1" applyFont="1" applyFill="1" applyBorder="1" applyAlignment="1" applyProtection="1">
      <alignment vertical="center"/>
      <protection/>
    </xf>
    <xf numFmtId="176" fontId="27" fillId="0" borderId="22" xfId="0" applyNumberFormat="1" applyFont="1" applyBorder="1" applyAlignment="1" applyProtection="1">
      <alignment/>
      <protection/>
    </xf>
    <xf numFmtId="9" fontId="0" fillId="0" borderId="0" xfId="69" applyAlignment="1" applyProtection="1">
      <alignment/>
      <protection locked="0"/>
    </xf>
    <xf numFmtId="0" fontId="42" fillId="23" borderId="0" xfId="0" applyFont="1" applyFill="1" applyAlignment="1" applyProtection="1">
      <alignment/>
      <protection locked="0"/>
    </xf>
    <xf numFmtId="0" fontId="47" fillId="0" borderId="0" xfId="66" applyFont="1" applyFill="1" applyBorder="1" applyAlignment="1" applyProtection="1">
      <alignment vertical="center"/>
      <protection/>
    </xf>
    <xf numFmtId="0" fontId="42" fillId="0" borderId="0" xfId="0" applyFont="1" applyFill="1" applyAlignment="1" applyProtection="1">
      <alignment vertical="center"/>
      <protection/>
    </xf>
    <xf numFmtId="0" fontId="19" fillId="0" borderId="28" xfId="0" applyFont="1" applyBorder="1" applyAlignment="1" applyProtection="1">
      <alignment horizontal="right"/>
      <protection/>
    </xf>
    <xf numFmtId="0" fontId="42" fillId="0" borderId="0" xfId="0" applyFont="1" applyAlignment="1" applyProtection="1">
      <alignment/>
      <protection/>
    </xf>
    <xf numFmtId="0" fontId="0" fillId="0" borderId="0" xfId="0" applyFont="1" applyAlignment="1" applyProtection="1">
      <alignment/>
      <protection/>
    </xf>
    <xf numFmtId="0" fontId="20" fillId="0" borderId="0" xfId="0" applyFont="1" applyAlignment="1" applyProtection="1">
      <alignment/>
      <protection/>
    </xf>
    <xf numFmtId="183" fontId="1" fillId="0" borderId="0" xfId="57" applyNumberFormat="1" applyAlignment="1" applyProtection="1">
      <alignment/>
      <protection/>
    </xf>
    <xf numFmtId="183" fontId="0" fillId="0" borderId="0" xfId="0" applyNumberFormat="1" applyFont="1" applyAlignment="1" applyProtection="1">
      <alignment/>
      <protection/>
    </xf>
    <xf numFmtId="176" fontId="20" fillId="0" borderId="0" xfId="0" applyNumberFormat="1" applyFont="1" applyAlignment="1" applyProtection="1">
      <alignment/>
      <protection/>
    </xf>
    <xf numFmtId="183" fontId="0" fillId="0" borderId="0" xfId="0" applyNumberFormat="1" applyFont="1" applyAlignment="1" applyProtection="1">
      <alignment/>
      <protection/>
    </xf>
    <xf numFmtId="0" fontId="0" fillId="0" borderId="0" xfId="0" applyFont="1" applyFill="1" applyAlignment="1" applyProtection="1">
      <alignment/>
      <protection/>
    </xf>
    <xf numFmtId="0" fontId="0" fillId="0" borderId="0" xfId="0" applyAlignment="1" applyProtection="1">
      <alignment horizontal="left"/>
      <protection/>
    </xf>
    <xf numFmtId="0" fontId="23" fillId="0" borderId="0" xfId="0" applyFont="1" applyBorder="1" applyAlignment="1" applyProtection="1">
      <alignment vertical="center"/>
      <protection/>
    </xf>
    <xf numFmtId="0" fontId="0" fillId="0" borderId="0" xfId="0" applyBorder="1" applyAlignment="1" applyProtection="1">
      <alignment/>
      <protection/>
    </xf>
    <xf numFmtId="2" fontId="0" fillId="0" borderId="0" xfId="0" applyNumberFormat="1" applyBorder="1" applyAlignment="1" applyProtection="1">
      <alignment/>
      <protection/>
    </xf>
    <xf numFmtId="167" fontId="0" fillId="0" borderId="0" xfId="0" applyNumberFormat="1" applyBorder="1" applyAlignment="1" applyProtection="1">
      <alignment/>
      <protection/>
    </xf>
    <xf numFmtId="0" fontId="24" fillId="0" borderId="0" xfId="0" applyFont="1" applyBorder="1" applyAlignment="1" applyProtection="1">
      <alignment horizontal="right"/>
      <protection/>
    </xf>
    <xf numFmtId="0" fontId="26" fillId="0" borderId="0" xfId="0" applyFont="1" applyAlignment="1" applyProtection="1">
      <alignment horizontal="center" vertical="center"/>
      <protection/>
    </xf>
    <xf numFmtId="0" fontId="20" fillId="25" borderId="20" xfId="0" applyFont="1" applyFill="1" applyBorder="1" applyAlignment="1" applyProtection="1">
      <alignment horizontal="left"/>
      <protection/>
    </xf>
    <xf numFmtId="2" fontId="20" fillId="25" borderId="20" xfId="0" applyNumberFormat="1" applyFont="1" applyFill="1" applyBorder="1" applyAlignment="1" applyProtection="1">
      <alignment horizontal="right"/>
      <protection/>
    </xf>
    <xf numFmtId="0" fontId="20" fillId="25" borderId="20" xfId="0" applyFont="1" applyFill="1" applyBorder="1" applyAlignment="1" applyProtection="1">
      <alignment horizontal="right"/>
      <protection/>
    </xf>
    <xf numFmtId="0" fontId="20" fillId="25" borderId="0" xfId="0" applyFont="1" applyFill="1" applyAlignment="1" applyProtection="1">
      <alignment horizontal="left"/>
      <protection/>
    </xf>
    <xf numFmtId="2" fontId="20" fillId="25" borderId="0" xfId="0" applyNumberFormat="1" applyFont="1" applyFill="1" applyAlignment="1" applyProtection="1">
      <alignment horizontal="right"/>
      <protection/>
    </xf>
    <xf numFmtId="0" fontId="20" fillId="25" borderId="0" xfId="0" applyFont="1" applyFill="1" applyAlignment="1" applyProtection="1">
      <alignment horizontal="right"/>
      <protection/>
    </xf>
    <xf numFmtId="0" fontId="1" fillId="0" borderId="0" xfId="66" applyFont="1" applyAlignment="1" applyProtection="1">
      <alignment horizontal="left" vertical="center"/>
      <protection/>
    </xf>
    <xf numFmtId="2" fontId="1" fillId="0" borderId="13" xfId="0" applyNumberFormat="1" applyFont="1" applyBorder="1" applyAlignment="1" applyProtection="1">
      <alignment horizontal="right" vertical="center"/>
      <protection/>
    </xf>
    <xf numFmtId="180" fontId="1" fillId="21" borderId="13" xfId="0" applyNumberFormat="1" applyFont="1" applyFill="1" applyBorder="1" applyAlignment="1" applyProtection="1">
      <alignment vertical="center"/>
      <protection/>
    </xf>
    <xf numFmtId="0" fontId="21" fillId="0" borderId="0" xfId="66" applyFont="1" applyAlignment="1" applyProtection="1">
      <alignment vertical="center" wrapText="1"/>
      <protection/>
    </xf>
    <xf numFmtId="0" fontId="0" fillId="0" borderId="0" xfId="66" applyFont="1" applyProtection="1">
      <alignment/>
      <protection/>
    </xf>
    <xf numFmtId="2" fontId="0" fillId="0" borderId="0" xfId="0" applyNumberFormat="1" applyAlignment="1" applyProtection="1">
      <alignment/>
      <protection/>
    </xf>
    <xf numFmtId="167" fontId="0" fillId="0" borderId="0" xfId="0" applyNumberFormat="1" applyAlignment="1" applyProtection="1">
      <alignment/>
      <protection/>
    </xf>
    <xf numFmtId="3" fontId="0" fillId="0" borderId="0" xfId="0" applyNumberFormat="1" applyAlignment="1" applyProtection="1">
      <alignment/>
      <protection/>
    </xf>
    <xf numFmtId="3" fontId="33" fillId="0" borderId="0" xfId="0" applyNumberFormat="1" applyFont="1" applyAlignment="1" applyProtection="1">
      <alignment horizontal="left" vertical="center" wrapText="1"/>
      <protection/>
    </xf>
    <xf numFmtId="2" fontId="0" fillId="6" borderId="22" xfId="0" applyNumberFormat="1" applyFill="1" applyBorder="1" applyAlignment="1" applyProtection="1">
      <alignment/>
      <protection/>
    </xf>
    <xf numFmtId="176" fontId="1" fillId="6" borderId="17" xfId="0" applyNumberFormat="1" applyFont="1" applyFill="1" applyBorder="1" applyAlignment="1" applyProtection="1">
      <alignment/>
      <protection/>
    </xf>
    <xf numFmtId="0" fontId="20" fillId="0" borderId="0" xfId="66" applyFont="1" applyFill="1" applyBorder="1" applyAlignment="1" applyProtection="1">
      <alignment vertical="center" wrapText="1"/>
      <protection/>
    </xf>
    <xf numFmtId="2" fontId="0" fillId="0" borderId="0" xfId="0" applyNumberFormat="1" applyFill="1" applyBorder="1" applyAlignment="1" applyProtection="1">
      <alignment/>
      <protection/>
    </xf>
    <xf numFmtId="167" fontId="0" fillId="0" borderId="0" xfId="0" applyNumberFormat="1" applyFill="1" applyBorder="1" applyAlignment="1" applyProtection="1">
      <alignment/>
      <protection/>
    </xf>
    <xf numFmtId="176" fontId="1" fillId="0" borderId="0" xfId="0" applyNumberFormat="1" applyFont="1" applyFill="1" applyBorder="1" applyAlignment="1" applyProtection="1">
      <alignment/>
      <protection/>
    </xf>
    <xf numFmtId="0" fontId="30" fillId="0" borderId="0" xfId="0" applyFont="1" applyFill="1" applyAlignment="1" applyProtection="1">
      <alignment/>
      <protection/>
    </xf>
    <xf numFmtId="0" fontId="30" fillId="0" borderId="0" xfId="0" applyFont="1" applyAlignment="1" applyProtection="1">
      <alignment/>
      <protection/>
    </xf>
    <xf numFmtId="170" fontId="0" fillId="0" borderId="0" xfId="0" applyNumberFormat="1" applyFont="1" applyFill="1" applyAlignment="1" applyProtection="1">
      <alignment/>
      <protection/>
    </xf>
    <xf numFmtId="170" fontId="20" fillId="0" borderId="0" xfId="0" applyNumberFormat="1" applyFont="1" applyAlignment="1" applyProtection="1">
      <alignment/>
      <protection/>
    </xf>
    <xf numFmtId="167" fontId="1" fillId="0" borderId="0" xfId="0" applyNumberFormat="1" applyFont="1" applyFill="1" applyBorder="1" applyAlignment="1" applyProtection="1">
      <alignment horizontal="right" vertical="center"/>
      <protection/>
    </xf>
    <xf numFmtId="0" fontId="62" fillId="0" borderId="0" xfId="66" applyFont="1" applyFill="1" applyAlignment="1" applyProtection="1">
      <alignment horizontal="left" vertical="center"/>
      <protection/>
    </xf>
    <xf numFmtId="3" fontId="36" fillId="0" borderId="0" xfId="0" applyNumberFormat="1" applyFont="1" applyAlignment="1" applyProtection="1">
      <alignment horizontal="center" vertical="center"/>
      <protection/>
    </xf>
    <xf numFmtId="0" fontId="25" fillId="0" borderId="0" xfId="54" applyAlignment="1" applyProtection="1">
      <alignment/>
      <protection/>
    </xf>
    <xf numFmtId="0" fontId="0" fillId="0" borderId="0" xfId="0" applyFill="1" applyAlignment="1" applyProtection="1">
      <alignment/>
      <protection/>
    </xf>
    <xf numFmtId="0" fontId="42" fillId="0" borderId="0" xfId="0" applyFont="1" applyFill="1" applyAlignment="1" applyProtection="1">
      <alignment/>
      <protection/>
    </xf>
    <xf numFmtId="3" fontId="56" fillId="0" borderId="13" xfId="0" applyNumberFormat="1" applyFont="1" applyBorder="1" applyAlignment="1" applyProtection="1">
      <alignment horizontal="left" vertical="center" wrapText="1"/>
      <protection/>
    </xf>
    <xf numFmtId="0" fontId="19" fillId="0" borderId="0" xfId="0" applyFont="1" applyAlignment="1" applyProtection="1">
      <alignment/>
      <protection/>
    </xf>
    <xf numFmtId="177" fontId="56" fillId="0" borderId="13" xfId="0" applyNumberFormat="1" applyFont="1" applyBorder="1" applyAlignment="1" applyProtection="1">
      <alignment vertical="center"/>
      <protection/>
    </xf>
    <xf numFmtId="177" fontId="56" fillId="0" borderId="0" xfId="0" applyNumberFormat="1" applyFont="1" applyAlignment="1" applyProtection="1">
      <alignment vertical="center"/>
      <protection/>
    </xf>
    <xf numFmtId="0" fontId="0" fillId="22" borderId="0" xfId="0" applyFont="1" applyFill="1" applyAlignment="1" applyProtection="1">
      <alignment/>
      <protection/>
    </xf>
    <xf numFmtId="177" fontId="56" fillId="20" borderId="13" xfId="0" applyNumberFormat="1" applyFont="1" applyFill="1" applyBorder="1" applyAlignment="1" applyProtection="1">
      <alignment vertical="center"/>
      <protection/>
    </xf>
    <xf numFmtId="177" fontId="25" fillId="0" borderId="0" xfId="54" applyNumberFormat="1" applyAlignment="1" applyProtection="1">
      <alignment/>
      <protection/>
    </xf>
    <xf numFmtId="177" fontId="0" fillId="0" borderId="0" xfId="0" applyNumberFormat="1" applyFont="1" applyFill="1" applyAlignment="1" applyProtection="1">
      <alignment/>
      <protection/>
    </xf>
    <xf numFmtId="0" fontId="62" fillId="0" borderId="0" xfId="66" applyFont="1" applyAlignment="1" applyProtection="1">
      <alignment horizontal="left" vertical="center"/>
      <protection/>
    </xf>
    <xf numFmtId="0" fontId="62" fillId="16" borderId="0" xfId="66" applyFont="1" applyFill="1" applyAlignment="1" applyProtection="1">
      <alignment horizontal="left" vertical="center"/>
      <protection/>
    </xf>
    <xf numFmtId="0" fontId="42" fillId="0" borderId="0" xfId="0" applyFont="1" applyAlignment="1" applyProtection="1">
      <alignment horizontal="left" vertical="center"/>
      <protection/>
    </xf>
    <xf numFmtId="3" fontId="36" fillId="23" borderId="0" xfId="0" applyNumberFormat="1" applyFont="1" applyFill="1" applyAlignment="1" applyProtection="1">
      <alignment horizontal="center" vertical="center"/>
      <protection/>
    </xf>
    <xf numFmtId="0" fontId="35" fillId="0" borderId="0" xfId="0" applyFont="1" applyAlignment="1" applyProtection="1">
      <alignment horizontal="center"/>
      <protection/>
    </xf>
    <xf numFmtId="0" fontId="63" fillId="0" borderId="0" xfId="0" applyFont="1" applyFill="1" applyAlignment="1" applyProtection="1">
      <alignment horizontal="left" vertical="center" wrapText="1"/>
      <protection/>
    </xf>
    <xf numFmtId="0" fontId="0" fillId="0" borderId="0" xfId="0" applyFill="1" applyAlignment="1" applyProtection="1">
      <alignment vertical="center" wrapText="1"/>
      <protection/>
    </xf>
    <xf numFmtId="0" fontId="19" fillId="0" borderId="24" xfId="0" applyFont="1" applyBorder="1" applyAlignment="1" applyProtection="1">
      <alignment horizontal="right" wrapText="1"/>
      <protection locked="0"/>
    </xf>
    <xf numFmtId="0" fontId="39" fillId="0" borderId="0" xfId="0" applyFont="1" applyAlignment="1" applyProtection="1">
      <alignment horizontal="center" vertical="center"/>
      <protection locked="0"/>
    </xf>
    <xf numFmtId="0" fontId="40" fillId="0" borderId="0" xfId="0" applyFont="1" applyAlignment="1" applyProtection="1">
      <alignment horizontal="center" vertical="center"/>
      <protection locked="0"/>
    </xf>
    <xf numFmtId="0" fontId="40" fillId="0" borderId="0" xfId="0" applyFont="1" applyFill="1" applyAlignment="1" applyProtection="1">
      <alignment horizontal="center" vertical="center"/>
      <protection locked="0"/>
    </xf>
    <xf numFmtId="0" fontId="39" fillId="0" borderId="0" xfId="0" applyFont="1" applyFill="1" applyAlignment="1" applyProtection="1">
      <alignment horizontal="center" vertical="center"/>
      <protection locked="0"/>
    </xf>
    <xf numFmtId="9" fontId="39" fillId="0" borderId="0" xfId="0" applyNumberFormat="1" applyFont="1" applyAlignment="1" applyProtection="1">
      <alignment horizontal="center" vertical="center"/>
      <protection locked="0"/>
    </xf>
    <xf numFmtId="0" fontId="41" fillId="0" borderId="0" xfId="0" applyFont="1" applyFill="1" applyAlignment="1" applyProtection="1">
      <alignment horizontal="center" vertical="center"/>
      <protection locked="0"/>
    </xf>
    <xf numFmtId="0" fontId="39" fillId="16" borderId="0" xfId="0" applyFont="1" applyFill="1" applyAlignment="1" applyProtection="1">
      <alignment horizontal="center" vertical="center"/>
      <protection locked="0"/>
    </xf>
    <xf numFmtId="0" fontId="42" fillId="0" borderId="0" xfId="0" applyFont="1" applyFill="1" applyAlignment="1" applyProtection="1">
      <alignment/>
      <protection locked="0"/>
    </xf>
    <xf numFmtId="177" fontId="42" fillId="0" borderId="0" xfId="0" applyNumberFormat="1" applyFont="1" applyFill="1" applyAlignment="1" applyProtection="1">
      <alignment/>
      <protection locked="0"/>
    </xf>
    <xf numFmtId="167" fontId="39" fillId="0" borderId="0" xfId="0" applyNumberFormat="1" applyFont="1" applyFill="1" applyBorder="1" applyAlignment="1" applyProtection="1">
      <alignment horizontal="center" vertical="center"/>
      <protection locked="0"/>
    </xf>
    <xf numFmtId="0" fontId="0" fillId="0" borderId="0" xfId="0" applyFill="1" applyAlignment="1" applyProtection="1">
      <alignment/>
      <protection locked="0"/>
    </xf>
    <xf numFmtId="0" fontId="42" fillId="0" borderId="0" xfId="0" applyFont="1" applyAlignment="1" applyProtection="1">
      <alignment/>
      <protection hidden="1" locked="0"/>
    </xf>
    <xf numFmtId="0" fontId="0" fillId="0" borderId="0" xfId="0" applyAlignment="1" applyProtection="1">
      <alignment horizontal="center"/>
      <protection locked="0"/>
    </xf>
    <xf numFmtId="0" fontId="0" fillId="0" borderId="0" xfId="0" applyAlignment="1" applyProtection="1">
      <alignment/>
      <protection locked="0"/>
    </xf>
    <xf numFmtId="0" fontId="64" fillId="0" borderId="0" xfId="0" applyFont="1" applyAlignment="1" applyProtection="1">
      <alignment horizontal="center" vertical="center"/>
      <protection locked="0"/>
    </xf>
    <xf numFmtId="177" fontId="1" fillId="20" borderId="13" xfId="0" applyNumberFormat="1" applyFont="1" applyFill="1" applyBorder="1" applyAlignment="1" applyProtection="1">
      <alignment vertical="center"/>
      <protection hidden="1" locked="0"/>
    </xf>
    <xf numFmtId="177" fontId="36" fillId="20" borderId="13" xfId="0" applyNumberFormat="1" applyFont="1" applyFill="1" applyBorder="1" applyAlignment="1" applyProtection="1">
      <alignment vertical="center"/>
      <protection locked="0"/>
    </xf>
    <xf numFmtId="166" fontId="1" fillId="20" borderId="13" xfId="0" applyNumberFormat="1" applyFont="1" applyFill="1" applyBorder="1" applyAlignment="1" applyProtection="1">
      <alignment vertical="center"/>
      <protection locked="0"/>
    </xf>
    <xf numFmtId="166" fontId="1" fillId="20" borderId="0" xfId="0" applyNumberFormat="1" applyFont="1" applyFill="1" applyBorder="1" applyAlignment="1" applyProtection="1">
      <alignment vertical="center"/>
      <protection locked="0"/>
    </xf>
    <xf numFmtId="180" fontId="1" fillId="20" borderId="13" xfId="0" applyNumberFormat="1" applyFont="1" applyFill="1" applyBorder="1" applyAlignment="1" applyProtection="1">
      <alignment vertical="center"/>
      <protection hidden="1" locked="0"/>
    </xf>
    <xf numFmtId="167" fontId="0" fillId="0" borderId="0" xfId="0" applyNumberFormat="1" applyFont="1" applyAlignment="1" applyProtection="1">
      <alignment/>
      <protection locked="0"/>
    </xf>
    <xf numFmtId="9" fontId="0" fillId="20" borderId="13" xfId="69" applyFill="1" applyBorder="1" applyAlignment="1" applyProtection="1">
      <alignment vertical="center"/>
      <protection locked="0"/>
    </xf>
    <xf numFmtId="180" fontId="36" fillId="20" borderId="13" xfId="0" applyNumberFormat="1" applyFont="1" applyFill="1" applyBorder="1" applyAlignment="1" applyProtection="1">
      <alignment vertical="center"/>
      <protection locked="0"/>
    </xf>
    <xf numFmtId="166" fontId="0" fillId="20" borderId="13" xfId="69" applyNumberFormat="1" applyFill="1" applyBorder="1" applyAlignment="1" applyProtection="1">
      <alignment vertical="center"/>
      <protection locked="0"/>
    </xf>
    <xf numFmtId="166" fontId="0" fillId="20" borderId="0" xfId="69" applyNumberFormat="1" applyFill="1" applyBorder="1" applyAlignment="1" applyProtection="1">
      <alignment vertical="center"/>
      <protection locked="0"/>
    </xf>
    <xf numFmtId="166" fontId="1" fillId="20" borderId="0" xfId="0" applyNumberFormat="1" applyFont="1" applyFill="1" applyAlignment="1" applyProtection="1">
      <alignment vertical="center"/>
      <protection locked="0"/>
    </xf>
    <xf numFmtId="4" fontId="57" fillId="26" borderId="0" xfId="0" applyNumberFormat="1" applyFont="1" applyFill="1" applyAlignment="1" applyProtection="1">
      <alignment/>
      <protection locked="0"/>
    </xf>
    <xf numFmtId="0" fontId="35" fillId="0" borderId="0" xfId="0" applyFont="1" applyAlignment="1" applyProtection="1">
      <alignment/>
      <protection locked="0"/>
    </xf>
    <xf numFmtId="0" fontId="35" fillId="0" borderId="0" xfId="0" applyFont="1" applyAlignment="1" applyProtection="1">
      <alignment horizontal="center"/>
      <protection locked="0"/>
    </xf>
    <xf numFmtId="3" fontId="33" fillId="19" borderId="20" xfId="0" applyNumberFormat="1" applyFont="1" applyFill="1" applyBorder="1" applyAlignment="1" applyProtection="1">
      <alignment horizontal="left" vertical="center" wrapText="1"/>
      <protection/>
    </xf>
    <xf numFmtId="3" fontId="33" fillId="19" borderId="25" xfId="0" applyNumberFormat="1" applyFont="1" applyFill="1" applyBorder="1" applyAlignment="1" applyProtection="1">
      <alignment horizontal="left" vertical="center" wrapText="1"/>
      <protection/>
    </xf>
    <xf numFmtId="3" fontId="33" fillId="0" borderId="29" xfId="0" applyNumberFormat="1" applyFont="1" applyBorder="1" applyAlignment="1" applyProtection="1">
      <alignment horizontal="left" vertical="center" wrapText="1"/>
      <protection/>
    </xf>
    <xf numFmtId="0" fontId="25" fillId="18" borderId="20" xfId="54" applyNumberFormat="1" applyFill="1" applyBorder="1" applyAlignment="1" applyProtection="1">
      <alignment vertical="center"/>
      <protection/>
    </xf>
    <xf numFmtId="3" fontId="1" fillId="0" borderId="25" xfId="0" applyNumberFormat="1" applyFont="1" applyBorder="1" applyAlignment="1" applyProtection="1">
      <alignment horizontal="left" vertical="center" wrapText="1"/>
      <protection/>
    </xf>
    <xf numFmtId="3" fontId="33" fillId="0" borderId="25" xfId="0" applyNumberFormat="1" applyFont="1" applyBorder="1" applyAlignment="1" applyProtection="1">
      <alignment horizontal="left" vertical="center" wrapText="1"/>
      <protection/>
    </xf>
    <xf numFmtId="3" fontId="33" fillId="0" borderId="25" xfId="0" applyNumberFormat="1" applyFont="1" applyBorder="1" applyAlignment="1" applyProtection="1">
      <alignment horizontal="left" vertical="center" wrapText="1"/>
      <protection hidden="1"/>
    </xf>
    <xf numFmtId="0" fontId="22" fillId="0" borderId="30" xfId="0" applyFont="1" applyBorder="1" applyAlignment="1" applyProtection="1">
      <alignment horizontal="center" vertical="center" wrapText="1"/>
      <protection/>
    </xf>
    <xf numFmtId="0" fontId="22" fillId="0" borderId="31" xfId="0" applyFont="1" applyBorder="1" applyAlignment="1" applyProtection="1">
      <alignment horizontal="center" vertical="center" wrapText="1"/>
      <protection/>
    </xf>
    <xf numFmtId="0" fontId="22" fillId="0" borderId="32" xfId="0" applyFont="1" applyBorder="1" applyAlignment="1" applyProtection="1">
      <alignment horizontal="center" vertical="center" wrapText="1"/>
      <protection/>
    </xf>
    <xf numFmtId="0" fontId="22" fillId="0" borderId="33" xfId="0" applyFont="1" applyBorder="1" applyAlignment="1" applyProtection="1">
      <alignment horizontal="left" vertical="center" wrapText="1"/>
      <protection/>
    </xf>
    <xf numFmtId="0" fontId="22" fillId="0" borderId="34" xfId="0" applyFont="1" applyBorder="1" applyAlignment="1" applyProtection="1">
      <alignment horizontal="left" vertical="center" wrapText="1"/>
      <protection/>
    </xf>
    <xf numFmtId="0" fontId="22" fillId="0" borderId="35" xfId="0" applyFont="1" applyBorder="1" applyAlignment="1" applyProtection="1">
      <alignment horizontal="left" vertical="center" wrapText="1"/>
      <protection/>
    </xf>
    <xf numFmtId="176" fontId="27" fillId="0" borderId="9" xfId="0" applyNumberFormat="1" applyFont="1" applyBorder="1" applyAlignment="1" applyProtection="1">
      <alignment horizontal="right"/>
      <protection/>
    </xf>
    <xf numFmtId="0" fontId="22" fillId="0" borderId="33" xfId="0" applyFont="1" applyBorder="1" applyAlignment="1" applyProtection="1">
      <alignment horizontal="left" vertical="center" wrapText="1"/>
      <protection/>
    </xf>
    <xf numFmtId="0" fontId="0" fillId="0" borderId="33" xfId="0" applyFont="1" applyBorder="1" applyAlignment="1" applyProtection="1">
      <alignment horizontal="left" vertical="center" wrapText="1"/>
      <protection/>
    </xf>
    <xf numFmtId="0" fontId="0" fillId="0" borderId="34" xfId="0" applyFont="1" applyBorder="1" applyAlignment="1" applyProtection="1">
      <alignment horizontal="left" vertical="center" wrapText="1"/>
      <protection/>
    </xf>
    <xf numFmtId="0" fontId="0" fillId="0" borderId="35" xfId="0" applyFont="1" applyBorder="1" applyAlignment="1" applyProtection="1">
      <alignment horizontal="left" vertical="center" wrapText="1"/>
      <protection/>
    </xf>
    <xf numFmtId="167" fontId="0" fillId="0" borderId="0" xfId="0" applyNumberFormat="1" applyFill="1" applyBorder="1" applyAlignment="1" applyProtection="1">
      <alignment horizontal="left" vertical="top" wrapText="1"/>
      <protection/>
    </xf>
    <xf numFmtId="167" fontId="0" fillId="0" borderId="0" xfId="0" applyNumberFormat="1" applyFont="1" applyFill="1" applyBorder="1" applyAlignment="1" applyProtection="1">
      <alignment horizontal="left" vertical="top" wrapText="1"/>
      <protection/>
    </xf>
    <xf numFmtId="3" fontId="1" fillId="19" borderId="20" xfId="0" applyNumberFormat="1" applyFont="1" applyFill="1" applyBorder="1" applyAlignment="1" applyProtection="1">
      <alignment horizontal="left" vertical="center" wrapText="1"/>
      <protection/>
    </xf>
    <xf numFmtId="3" fontId="0" fillId="0" borderId="0" xfId="0" applyNumberFormat="1" applyAlignment="1">
      <alignment horizontal="left" vertical="center"/>
    </xf>
    <xf numFmtId="167" fontId="0" fillId="0" borderId="0" xfId="0" applyNumberFormat="1" applyAlignment="1">
      <alignment horizontal="left" vertical="top" wrapText="1"/>
    </xf>
    <xf numFmtId="0" fontId="34" fillId="0" borderId="0" xfId="0" applyFont="1" applyAlignment="1" applyProtection="1">
      <alignment/>
      <protection locked="0"/>
    </xf>
    <xf numFmtId="0" fontId="54" fillId="0" borderId="0" xfId="0" applyFont="1" applyAlignment="1">
      <alignment/>
    </xf>
    <xf numFmtId="167" fontId="0" fillId="0" borderId="0" xfId="0" applyNumberFormat="1" applyAlignment="1">
      <alignment horizontal="left" vertical="top"/>
    </xf>
    <xf numFmtId="3" fontId="0" fillId="2" borderId="0" xfId="0" applyNumberFormat="1" applyFill="1" applyAlignment="1">
      <alignment horizontal="left" vertical="center"/>
    </xf>
    <xf numFmtId="0" fontId="0" fillId="0" borderId="0" xfId="0" applyAlignment="1">
      <alignment horizontal="left" vertical="center" wrapText="1"/>
    </xf>
  </cellXfs>
  <cellStyles count="78">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20% - Accent1" xfId="21"/>
    <cellStyle name="20% - Accent2" xfId="22"/>
    <cellStyle name="20% - Accent3" xfId="23"/>
    <cellStyle name="20% - Accent4" xfId="24"/>
    <cellStyle name="20% - Accent5" xfId="25"/>
    <cellStyle name="20% - Accent6" xfId="26"/>
    <cellStyle name="40 % – Zvýraznění1" xfId="27"/>
    <cellStyle name="40 % – Zvýraznění2" xfId="28"/>
    <cellStyle name="40 % – Zvýraznění3" xfId="29"/>
    <cellStyle name="40 % – Zvýraznění4" xfId="30"/>
    <cellStyle name="40 % – Zvýraznění5" xfId="31"/>
    <cellStyle name="40 % – Zvýraznění6" xfId="32"/>
    <cellStyle name="40% - Accent1" xfId="33"/>
    <cellStyle name="40% - Accent2" xfId="34"/>
    <cellStyle name="40% - Accent3" xfId="35"/>
    <cellStyle name="40% - Accent4" xfId="36"/>
    <cellStyle name="40% - Accent5" xfId="37"/>
    <cellStyle name="40% - Accent6" xfId="38"/>
    <cellStyle name="60 % – Zvýraznění1" xfId="39"/>
    <cellStyle name="60 % – Zvýraznění2" xfId="40"/>
    <cellStyle name="60 % – Zvýraznění3" xfId="41"/>
    <cellStyle name="60 % – Zvýraznění4" xfId="42"/>
    <cellStyle name="60 % – Zvýraznění5" xfId="43"/>
    <cellStyle name="60 % – Zvýraznění6" xfId="44"/>
    <cellStyle name="60% - Accent1" xfId="45"/>
    <cellStyle name="60% - Accent2" xfId="46"/>
    <cellStyle name="60% - Accent3" xfId="47"/>
    <cellStyle name="60% - Accent4" xfId="48"/>
    <cellStyle name="60% - Accent5" xfId="49"/>
    <cellStyle name="60% - Accent6" xfId="50"/>
    <cellStyle name="Celkem" xfId="51"/>
    <cellStyle name="Comma" xfId="52"/>
    <cellStyle name="Comma [0]" xfId="53"/>
    <cellStyle name="Hyperlink" xfId="54"/>
    <cellStyle name="Chybně" xfId="55"/>
    <cellStyle name="Kontrolní buňka" xfId="56"/>
    <cellStyle name="Currency" xfId="57"/>
    <cellStyle name="Currency [0]" xfId="58"/>
    <cellStyle name="Nadpis 1" xfId="59"/>
    <cellStyle name="Nadpis 2" xfId="60"/>
    <cellStyle name="Nadpis 3" xfId="61"/>
    <cellStyle name="Nadpis 4" xfId="62"/>
    <cellStyle name="Název" xfId="63"/>
    <cellStyle name="Neutrální" xfId="64"/>
    <cellStyle name="Normální 2" xfId="65"/>
    <cellStyle name="normální_BRILSTAR" xfId="66"/>
    <cellStyle name="Followed Hyperlink" xfId="67"/>
    <cellStyle name="Poznámka" xfId="68"/>
    <cellStyle name="Percent" xfId="69"/>
    <cellStyle name="Procenta 2" xfId="70"/>
    <cellStyle name="Propojená buňka" xfId="71"/>
    <cellStyle name="Správně" xfId="72"/>
    <cellStyle name="Špatně" xfId="73"/>
    <cellStyle name="TableStyleLight1" xfId="74"/>
    <cellStyle name="TableStyleLight1 2" xfId="75"/>
    <cellStyle name="TableStyleLight1 3" xfId="76"/>
    <cellStyle name="TableStyleLight1 4" xfId="77"/>
    <cellStyle name="Text upozornění" xfId="78"/>
    <cellStyle name="Title" xfId="79"/>
    <cellStyle name="Total" xfId="80"/>
    <cellStyle name="Vstup" xfId="81"/>
    <cellStyle name="Výpočet" xfId="82"/>
    <cellStyle name="Výstup" xfId="83"/>
    <cellStyle name="Vysvětlující text" xfId="84"/>
    <cellStyle name="Warning Text" xfId="85"/>
    <cellStyle name="Zvýraznění 1" xfId="86"/>
    <cellStyle name="Zvýraznění 2" xfId="87"/>
    <cellStyle name="Zvýraznění 3" xfId="88"/>
    <cellStyle name="Zvýraznění 4" xfId="89"/>
    <cellStyle name="Zvýraznění 5" xfId="90"/>
    <cellStyle name="Zvýraznění 6" xfId="91"/>
  </cellStyles>
  <dxfs count="4">
    <dxf>
      <fill>
        <patternFill patternType="none">
          <fgColor indexed="64"/>
          <bgColor indexed="65"/>
        </patternFill>
      </fill>
      <border>
        <left style="hair">
          <color indexed="8"/>
        </left>
        <right style="hair">
          <color indexed="8"/>
        </right>
        <top style="hair">
          <color indexed="8"/>
        </top>
        <bottom style="hair">
          <color indexed="8"/>
        </bottom>
      </border>
    </dxf>
    <dxf>
      <fill>
        <patternFill patternType="none">
          <fgColor indexed="64"/>
          <bgColor indexed="65"/>
        </patternFill>
      </fill>
      <border>
        <left style="hair">
          <color indexed="8"/>
        </left>
        <right style="hair">
          <color indexed="8"/>
        </right>
        <top style="hair">
          <color indexed="8"/>
        </top>
        <bottom style="hair">
          <color indexed="8"/>
        </bottom>
      </border>
    </dxf>
    <dxf>
      <fill>
        <patternFill patternType="none">
          <fgColor indexed="64"/>
          <bgColor indexed="65"/>
        </patternFill>
      </fill>
      <border>
        <left style="hair">
          <color indexed="8"/>
        </left>
        <right style="hair">
          <color indexed="8"/>
        </right>
        <top style="hair">
          <color indexed="8"/>
        </top>
        <bottom style="hair">
          <color indexed="8"/>
        </bottom>
      </border>
    </dxf>
    <dxf>
      <fill>
        <patternFill patternType="none">
          <fgColor indexed="64"/>
          <bgColor indexed="65"/>
        </patternFill>
      </fill>
      <border>
        <left style="hair">
          <color rgb="FF000000"/>
        </left>
        <right style="hair">
          <color rgb="FF000000"/>
        </right>
        <top style="hair"/>
        <bottom style="hair">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CCCC"/>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siko.cz/lista-ukoncovaci-l-hlinik-10-mm-250-cm-al10250/p/AL10250?gclid=EAIaIQobChMIsYDCpJ7F6QIVie3tCh0zFQanEAAYAyAAEgKzu_D_BwE" TargetMode="External" /><Relationship Id="rId2" Type="http://schemas.openxmlformats.org/officeDocument/2006/relationships/hyperlink" Target="https://www.siko.cz/lista-ukoncovaci-l-kartacovana-nerez-10-mm-250-cm-nrzk10250/p/NRZK10250" TargetMode="External" /><Relationship Id="rId3" Type="http://schemas.openxmlformats.org/officeDocument/2006/relationships/hyperlink" Target="https://www.floorwood.cz/prechodova-lista-sroubovaci-obla-stribrna-e01/" TargetMode="External" /><Relationship Id="rId4" Type="http://schemas.openxmlformats.org/officeDocument/2006/relationships/hyperlink" Target="https://ok-levne.cz/hl138-podomitkovy-sifon-ke-klimatizacnim-jednotkam-dn32-100x100mm.html" TargetMode="External" /><Relationship Id="rId5" Type="http://schemas.openxmlformats.org/officeDocument/2006/relationships/hyperlink" Target="https://www.siko.cz/umyvadlo-jika-lyra-plus-60x49-cm-otvor-pro-baterii-uprostred-h8143830001041/p/1438.3.000.104.1" TargetMode="External" /><Relationship Id="rId6" Type="http://schemas.openxmlformats.org/officeDocument/2006/relationships/hyperlink" Target="https://www.svet-koupelny.cz/keramia-fresh/zoja-keramia-fresh-galerka-s-halogenovym-osvetlenim-60x60x14cm-dub-platin-lev-45027/aqualine/" TargetMode="External" /><Relationship Id="rId7" Type="http://schemas.openxmlformats.org/officeDocument/2006/relationships/hyperlink" Target="https://www.datart.cz/Vestavna-trouba-MORA-VT-433-BW.html?gclid=EAIaIQobChMIpMnpia_H6QIVGofVCh2towCrEAAYASAAEgKGBfD_BwE" TargetMode="External" /><Relationship Id="rId8" Type="http://schemas.openxmlformats.org/officeDocument/2006/relationships/hyperlink" Target="https://www.mall.cz/plynove-varne-desky/concept-pdv7460bc?gclid=EAIaIQobChMI0evMsq_H6QIVgYxRCh0KAAVIEAAYASAAEgLB8fD_BwE" TargetMode="External" /><Relationship Id="rId9" Type="http://schemas.openxmlformats.org/officeDocument/2006/relationships/hyperlink" Target="https://www.keramikasoukup.cz/katalog/maioliche" TargetMode="External" /><Relationship Id="rId10" Type="http://schemas.openxmlformats.org/officeDocument/2006/relationships/hyperlink" Target="https://iparador.cz/drevene-podlahy/2345-parador-trendtime-8-dub-limed-handcrafted-4v-trivrstva-drevena-podlaha-plovouci.html" TargetMode="External" /><Relationship Id="rId11" Type="http://schemas.openxmlformats.org/officeDocument/2006/relationships/hyperlink" Target="https://www.google.com/url?sa=t&amp;rct=j&amp;q=&amp;esrc=s&amp;source=web&amp;cd=&amp;ved=2ahUKEwjK3oKc6-DqAhVMm6QKHTz4AlwQFjACegQIBBAB&amp;url=http%3A%2F%2Falertservis.cz%2Fassets%2Fcenik_bezpecnostni_dvere_2015.pdf&amp;usg=AOvVaw1h0oKErv61qShOgqKb2xiw" TargetMode="External" /><Relationship Id="rId12" Type="http://schemas.openxmlformats.org/officeDocument/2006/relationships/hyperlink" Target="https://www.spalensky.com/e/ostatni-drevene-vyrobky-676/dverni-prahy-971/?page=1&amp;sort=title&amp;parameters=2582" TargetMode="External" /><Relationship Id="rId13" Type="http://schemas.openxmlformats.org/officeDocument/2006/relationships/hyperlink" Target="https://www.next.cz/bezpecnostni-dvere-sd-101" TargetMode="External" /><Relationship Id="rId14" Type="http://schemas.openxmlformats.org/officeDocument/2006/relationships/hyperlink" Target="https://www.vodo-plasttop.cz/podomitkova-zapachova-uzaverka-hl405-sifon-prackovy" TargetMode="External" /><Relationship Id="rId15" Type="http://schemas.openxmlformats.org/officeDocument/2006/relationships/hyperlink" Target="https://www.siko.cz/sprchova-vanicka-ctvrtkruhova-ravak-chrome-90x90-cm-lity-mramor-xa247701010/p/EL90PROCHROM0" TargetMode="External" /><Relationship Id="rId16" Type="http://schemas.openxmlformats.org/officeDocument/2006/relationships/hyperlink" Target="https://www.koupelny-sen.cz/vanickovy-sifon-prumer-otvoru-90-mm-dn50-krytka-lestena-nerez-ewn0850" TargetMode="External" /><Relationship Id="rId17" Type="http://schemas.openxmlformats.org/officeDocument/2006/relationships/hyperlink" Target="https://www.siko.cz/sprchovy-kout-ctvrtkruh-90x90x200-cm-roth-proxima-line-chrom-leskly-539-9000000-00-02/p/539-9000000-00-02" TargetMode="External" /><Relationship Id="rId18" Type="http://schemas.openxmlformats.org/officeDocument/2006/relationships/hyperlink" Target="https://instalcentrum.eu/produkt-5029/korado-koralux-koupelnovy-zebrik-klc-1820500/" TargetMode="External" /><Relationship Id="rId19" Type="http://schemas.openxmlformats.org/officeDocument/2006/relationships/hyperlink" Target="https://kotle.heureka.cz/vaillant-vuw-246-5-5-ecotec-plus/specifikace/#section" TargetMode="External" /><Relationship Id="rId20" Type="http://schemas.openxmlformats.org/officeDocument/2006/relationships/hyperlink" Target="https://www.levnekominy.cz/tloustka-materialu-2x-0-12-mm/flexi-nerez-dn-130-plyn-tl-2x-0-12mm" TargetMode="External" /><Relationship Id="rId2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X666"/>
  <sheetViews>
    <sheetView showGridLines="0" tabSelected="1" zoomScaleSheetLayoutView="100" workbookViewId="0" topLeftCell="A1">
      <selection activeCell="I1" sqref="I1"/>
    </sheetView>
  </sheetViews>
  <sheetFormatPr defaultColWidth="9.00390625" defaultRowHeight="12.75"/>
  <cols>
    <col min="1" max="1" width="4.375" style="3" customWidth="1"/>
    <col min="2" max="2" width="17.00390625" style="189" customWidth="1"/>
    <col min="3" max="3" width="15.75390625" style="4" customWidth="1"/>
    <col min="4" max="4" width="53.375" style="8" customWidth="1"/>
    <col min="5" max="5" width="7.625" style="6" customWidth="1"/>
    <col min="6" max="6" width="10.625" style="135" customWidth="1"/>
    <col min="7" max="7" width="12.625" style="7" customWidth="1"/>
    <col min="8" max="8" width="15.375" style="6" customWidth="1"/>
    <col min="9" max="9" width="9.00390625" style="297" bestFit="1" customWidth="1"/>
    <col min="10" max="10" width="14.00390625" style="101" customWidth="1"/>
    <col min="11" max="11" width="15.125" style="242" hidden="1" customWidth="1"/>
    <col min="12" max="13" width="13.25390625" style="6" hidden="1" customWidth="1"/>
    <col min="14" max="14" width="11.00390625" style="6" hidden="1" customWidth="1"/>
    <col min="15" max="16" width="9.125" style="6" hidden="1" customWidth="1"/>
    <col min="17" max="17" width="11.25390625" style="6" hidden="1" customWidth="1"/>
    <col min="18" max="18" width="9.125" style="6" hidden="1" customWidth="1"/>
    <col min="19" max="16384" width="9.125" style="6" customWidth="1"/>
  </cols>
  <sheetData>
    <row r="2" spans="4:17" ht="22.5">
      <c r="D2" s="5"/>
      <c r="F2" s="127" t="s">
        <v>336</v>
      </c>
      <c r="G2" s="127" t="s">
        <v>337</v>
      </c>
      <c r="H2" s="127" t="s">
        <v>338</v>
      </c>
      <c r="I2" s="296" t="s">
        <v>241</v>
      </c>
      <c r="J2" s="100" t="s">
        <v>133</v>
      </c>
      <c r="K2" s="234" t="s">
        <v>128</v>
      </c>
      <c r="L2" s="234" t="s">
        <v>129</v>
      </c>
      <c r="M2" s="234" t="s">
        <v>130</v>
      </c>
      <c r="N2" s="234" t="s">
        <v>130</v>
      </c>
      <c r="Q2" s="234" t="s">
        <v>354</v>
      </c>
    </row>
    <row r="3" spans="4:13" ht="12.75">
      <c r="D3" s="5"/>
      <c r="K3" s="236"/>
      <c r="L3" s="236"/>
      <c r="M3" s="51"/>
    </row>
    <row r="4" spans="11:13" ht="12.75">
      <c r="K4" s="236"/>
      <c r="L4" s="236"/>
      <c r="M4" s="51"/>
    </row>
    <row r="5" spans="4:13" ht="44.25" customHeight="1">
      <c r="D5" s="333" t="s">
        <v>570</v>
      </c>
      <c r="E5" s="334"/>
      <c r="F5" s="334"/>
      <c r="G5" s="334"/>
      <c r="H5" s="335"/>
      <c r="K5" s="236"/>
      <c r="L5" s="236"/>
      <c r="M5" s="51"/>
    </row>
    <row r="6" spans="4:13" ht="37.5" customHeight="1">
      <c r="D6" s="336" t="s">
        <v>118</v>
      </c>
      <c r="E6" s="337"/>
      <c r="F6" s="337"/>
      <c r="G6" s="337"/>
      <c r="H6" s="338"/>
      <c r="K6" s="6" t="s">
        <v>1051</v>
      </c>
      <c r="L6" s="236"/>
      <c r="M6" s="51"/>
    </row>
    <row r="7" spans="4:13" ht="18">
      <c r="D7" s="340" t="s">
        <v>1053</v>
      </c>
      <c r="E7" s="337"/>
      <c r="F7" s="337"/>
      <c r="G7" s="337"/>
      <c r="H7" s="338"/>
      <c r="K7" s="6" t="s">
        <v>1052</v>
      </c>
      <c r="L7" s="236"/>
      <c r="M7" s="51"/>
    </row>
    <row r="8" spans="4:13" ht="18">
      <c r="D8" s="340" t="s">
        <v>1054</v>
      </c>
      <c r="E8" s="337"/>
      <c r="F8" s="337"/>
      <c r="G8" s="337"/>
      <c r="H8" s="338"/>
      <c r="K8" s="6"/>
      <c r="L8" s="236"/>
      <c r="M8" s="51"/>
    </row>
    <row r="9" spans="4:13" ht="12.75">
      <c r="D9" s="341" t="s">
        <v>1055</v>
      </c>
      <c r="E9" s="342"/>
      <c r="F9" s="342"/>
      <c r="G9" s="342"/>
      <c r="H9" s="343"/>
      <c r="K9" s="6"/>
      <c r="L9" s="236"/>
      <c r="M9" s="51"/>
    </row>
    <row r="10" spans="4:13" ht="23.25">
      <c r="D10" s="9" t="s">
        <v>339</v>
      </c>
      <c r="E10" s="10"/>
      <c r="F10" s="136"/>
      <c r="G10" s="11"/>
      <c r="H10" s="12"/>
      <c r="K10" s="236"/>
      <c r="L10" s="236"/>
      <c r="M10" s="51"/>
    </row>
    <row r="11" spans="11:13" ht="12.75">
      <c r="K11" s="236"/>
      <c r="L11" s="236"/>
      <c r="M11" s="51"/>
    </row>
    <row r="12" spans="11:13" ht="12.75">
      <c r="K12" s="237"/>
      <c r="L12" s="237"/>
      <c r="M12" s="51"/>
    </row>
    <row r="13" spans="1:14" s="237" customFormat="1" ht="16.5">
      <c r="A13" s="13"/>
      <c r="B13" s="190"/>
      <c r="C13" s="14">
        <v>1</v>
      </c>
      <c r="D13" s="15" t="str">
        <f>Kapitola_1</f>
        <v>Přípravné a bourací práce</v>
      </c>
      <c r="E13" s="16"/>
      <c r="F13" s="137"/>
      <c r="G13" s="17"/>
      <c r="H13" s="17">
        <f>+Cena_1</f>
        <v>0</v>
      </c>
      <c r="I13" s="298"/>
      <c r="J13" s="102"/>
      <c r="K13" s="238">
        <f>SUMIF(I$134:I$179,"O",H$134:H$179)</f>
        <v>0</v>
      </c>
      <c r="L13" s="238">
        <f>SUMIF(I$134:I$179,"i",H$134:H$179)</f>
        <v>0</v>
      </c>
      <c r="M13" s="239">
        <f>SUM(K13:L13)</f>
        <v>0</v>
      </c>
      <c r="N13" s="240">
        <f>+H13-M13</f>
        <v>0</v>
      </c>
    </row>
    <row r="14" spans="1:14" s="237" customFormat="1" ht="16.5">
      <c r="A14" s="13"/>
      <c r="B14" s="190"/>
      <c r="C14" s="14">
        <v>2</v>
      </c>
      <c r="D14" s="15" t="str">
        <f>Kapitola_2</f>
        <v>Stavební úpravy bytové jednotky</v>
      </c>
      <c r="E14" s="16"/>
      <c r="F14" s="137"/>
      <c r="G14" s="17"/>
      <c r="H14" s="17">
        <f>SUM(G15:G21)</f>
        <v>0</v>
      </c>
      <c r="I14" s="298"/>
      <c r="J14" s="102"/>
      <c r="N14" s="240"/>
    </row>
    <row r="15" spans="1:14" s="237" customFormat="1" ht="16.5">
      <c r="A15" s="13"/>
      <c r="B15" s="190"/>
      <c r="C15" s="18" t="s">
        <v>8</v>
      </c>
      <c r="D15" s="15" t="str">
        <f>Kapitola_2a</f>
        <v>Stěny a příčky</v>
      </c>
      <c r="E15" s="16"/>
      <c r="F15" s="137"/>
      <c r="G15" s="17">
        <f>+Cena_2a</f>
        <v>0</v>
      </c>
      <c r="H15" s="17"/>
      <c r="I15" s="298"/>
      <c r="J15" s="102"/>
      <c r="K15" s="238">
        <f>SUMIF(I$184:I$211,"O",H$184:H$211)</f>
        <v>0</v>
      </c>
      <c r="L15" s="238">
        <f>SUMIF(I$184:I$211,"i",H$184:H$211)</f>
        <v>0</v>
      </c>
      <c r="M15" s="239">
        <f aca="true" t="shared" si="0" ref="M15:M21">SUM(K15:L15)</f>
        <v>0</v>
      </c>
      <c r="N15" s="240">
        <f aca="true" t="shared" si="1" ref="N15:N21">+G15-M15</f>
        <v>0</v>
      </c>
    </row>
    <row r="16" spans="1:14" s="237" customFormat="1" ht="16.5">
      <c r="A16" s="13"/>
      <c r="B16" s="190"/>
      <c r="C16" s="18" t="s">
        <v>9</v>
      </c>
      <c r="D16" s="15" t="str">
        <f>Kapitola_2b</f>
        <v>Stropy a stropní konstrukce a podhledy</v>
      </c>
      <c r="E16" s="16"/>
      <c r="F16" s="137"/>
      <c r="G16" s="17">
        <f>+Cena_2b</f>
        <v>0</v>
      </c>
      <c r="H16" s="17"/>
      <c r="I16" s="298"/>
      <c r="J16" s="102"/>
      <c r="K16" s="238">
        <f>SUMIF(I$216:I$230,"O",H$216:H$230)</f>
        <v>0</v>
      </c>
      <c r="L16" s="238">
        <f>SUMIF(I$216:I$230,"i",H$216:H$230)</f>
        <v>0</v>
      </c>
      <c r="M16" s="239">
        <f t="shared" si="0"/>
        <v>0</v>
      </c>
      <c r="N16" s="240">
        <f t="shared" si="1"/>
        <v>0</v>
      </c>
    </row>
    <row r="17" spans="1:14" s="237" customFormat="1" ht="16.5">
      <c r="A17" s="13"/>
      <c r="B17" s="190"/>
      <c r="C17" s="18" t="s">
        <v>10</v>
      </c>
      <c r="D17" s="15" t="str">
        <f>Kapitola_2c</f>
        <v>Úpravy povrchů vnitřní (stěny, stropy)</v>
      </c>
      <c r="E17" s="16"/>
      <c r="F17" s="137"/>
      <c r="G17" s="17">
        <f>+Cena_2c</f>
        <v>0</v>
      </c>
      <c r="H17" s="17"/>
      <c r="I17" s="298"/>
      <c r="J17" s="102"/>
      <c r="K17" s="238">
        <f>SUMIF(I$235:I$339,"O",H$235:H$339)</f>
        <v>0</v>
      </c>
      <c r="L17" s="238">
        <f>SUMIF(I$235:I$339,"i",H$235:H$339)</f>
        <v>0</v>
      </c>
      <c r="M17" s="239">
        <f t="shared" si="0"/>
        <v>0</v>
      </c>
      <c r="N17" s="240">
        <f t="shared" si="1"/>
        <v>0</v>
      </c>
    </row>
    <row r="18" spans="1:14" s="237" customFormat="1" ht="16.5">
      <c r="A18" s="13"/>
      <c r="B18" s="190"/>
      <c r="C18" s="20" t="s">
        <v>11</v>
      </c>
      <c r="D18" s="15" t="str">
        <f>Kapitola_2j</f>
        <v>Konstrukce truhlářské</v>
      </c>
      <c r="E18" s="16"/>
      <c r="F18" s="137"/>
      <c r="G18" s="17">
        <f>+Cena_2j</f>
        <v>0</v>
      </c>
      <c r="H18" s="17"/>
      <c r="I18" s="298"/>
      <c r="J18" s="102"/>
      <c r="K18" s="238">
        <f>SUMIF(I$344:I$388,"O",H$344:H$388)</f>
        <v>0</v>
      </c>
      <c r="L18" s="238">
        <f>SUMIF(I$344:I$388,"i",H$344:H$388)</f>
        <v>0</v>
      </c>
      <c r="M18" s="239">
        <f t="shared" si="0"/>
        <v>0</v>
      </c>
      <c r="N18" s="240">
        <f t="shared" si="1"/>
        <v>0</v>
      </c>
    </row>
    <row r="19" spans="1:14" s="237" customFormat="1" ht="16.5">
      <c r="A19" s="13"/>
      <c r="B19" s="190"/>
      <c r="C19" s="20" t="s">
        <v>12</v>
      </c>
      <c r="D19" s="15" t="str">
        <f>Kapitola_2k</f>
        <v>Konstrukce zámečnické</v>
      </c>
      <c r="E19" s="16"/>
      <c r="F19" s="137"/>
      <c r="G19" s="17">
        <f>+Cena_2k</f>
        <v>0</v>
      </c>
      <c r="H19" s="17"/>
      <c r="I19" s="298"/>
      <c r="J19" s="102"/>
      <c r="K19" s="238">
        <f>SUMIF(I$393:I$399,"O",H$393:H$399)</f>
        <v>0</v>
      </c>
      <c r="L19" s="238">
        <f>SUMIF(I$393:I$399,"i",H$393:H$399)</f>
        <v>0</v>
      </c>
      <c r="M19" s="239">
        <f t="shared" si="0"/>
        <v>0</v>
      </c>
      <c r="N19" s="240">
        <f t="shared" si="1"/>
        <v>0</v>
      </c>
    </row>
    <row r="20" spans="1:14" s="237" customFormat="1" ht="16.5">
      <c r="A20" s="13"/>
      <c r="B20" s="190"/>
      <c r="C20" s="20" t="s">
        <v>13</v>
      </c>
      <c r="D20" s="15" t="str">
        <f>Kapitola_2l</f>
        <v>Podlahy z dlaždic</v>
      </c>
      <c r="E20" s="16"/>
      <c r="F20" s="137"/>
      <c r="G20" s="17">
        <f>+Cena_2l</f>
        <v>0</v>
      </c>
      <c r="H20" s="17"/>
      <c r="I20" s="298"/>
      <c r="J20" s="102"/>
      <c r="K20" s="238">
        <f>SUMIF(I$404:I$421,"O",H$404:H$421)</f>
        <v>0</v>
      </c>
      <c r="L20" s="238">
        <f>SUMIF(I$404:I$421,"i",H$404:H$421)</f>
        <v>0</v>
      </c>
      <c r="M20" s="239">
        <f t="shared" si="0"/>
        <v>0</v>
      </c>
      <c r="N20" s="240">
        <f t="shared" si="1"/>
        <v>0</v>
      </c>
    </row>
    <row r="21" spans="1:14" s="237" customFormat="1" ht="16.5">
      <c r="A21" s="13"/>
      <c r="B21" s="190"/>
      <c r="C21" s="20" t="s">
        <v>14</v>
      </c>
      <c r="D21" s="15" t="str">
        <f>Kapitola_2m</f>
        <v>Podlahy dřevěné a povlakové</v>
      </c>
      <c r="E21" s="16"/>
      <c r="F21" s="137"/>
      <c r="G21" s="17">
        <f>+Cena_2m</f>
        <v>0</v>
      </c>
      <c r="H21" s="17"/>
      <c r="I21" s="298"/>
      <c r="J21" s="102"/>
      <c r="K21" s="238">
        <f>SUMIF(I$426:I$441,"O",H$426:H$441)</f>
        <v>0</v>
      </c>
      <c r="L21" s="238">
        <f>SUMIF(I$426:I$441,"i",H$426:H$441)</f>
        <v>0</v>
      </c>
      <c r="M21" s="239">
        <f t="shared" si="0"/>
        <v>0</v>
      </c>
      <c r="N21" s="240">
        <f t="shared" si="1"/>
        <v>0</v>
      </c>
    </row>
    <row r="22" spans="1:14" s="237" customFormat="1" ht="16.5">
      <c r="A22" s="13"/>
      <c r="B22" s="190"/>
      <c r="C22" s="14">
        <v>3</v>
      </c>
      <c r="D22" s="121" t="s">
        <v>260</v>
      </c>
      <c r="E22" s="16"/>
      <c r="F22" s="137"/>
      <c r="G22" s="17"/>
      <c r="H22" s="17">
        <f>SUM(G23:G29)</f>
        <v>0</v>
      </c>
      <c r="I22" s="298"/>
      <c r="J22" s="102"/>
      <c r="K22" s="238"/>
      <c r="L22" s="238"/>
      <c r="M22" s="239"/>
      <c r="N22" s="240"/>
    </row>
    <row r="23" spans="1:14" s="237" customFormat="1" ht="16.5">
      <c r="A23" s="13"/>
      <c r="B23" s="190"/>
      <c r="C23" s="18" t="s">
        <v>249</v>
      </c>
      <c r="D23" s="15" t="str">
        <f>+D444</f>
        <v>Zdravotechnika - demontáže</v>
      </c>
      <c r="E23" s="16"/>
      <c r="F23" s="137"/>
      <c r="G23" s="17">
        <f>+H458</f>
        <v>0</v>
      </c>
      <c r="H23" s="17"/>
      <c r="I23" s="298"/>
      <c r="J23" s="102"/>
      <c r="K23" s="238">
        <f>SUMIF(I$445:I$457,"O",H$445:H$457)</f>
        <v>0</v>
      </c>
      <c r="L23" s="238">
        <f>SUMIF(I$445:I$457,"i",H$445:H$457)</f>
        <v>0</v>
      </c>
      <c r="M23" s="239">
        <f aca="true" t="shared" si="2" ref="M23:M32">SUM(K23:L23)</f>
        <v>0</v>
      </c>
      <c r="N23" s="240">
        <f aca="true" t="shared" si="3" ref="N23:N29">+G23-M23</f>
        <v>0</v>
      </c>
    </row>
    <row r="24" spans="1:14" s="237" customFormat="1" ht="16.5">
      <c r="A24" s="13"/>
      <c r="B24" s="190"/>
      <c r="C24" s="18" t="s">
        <v>254</v>
      </c>
      <c r="D24" s="15" t="str">
        <f>Kapitola_2d</f>
        <v>Zdravotechnika - vnitřní kanalizace</v>
      </c>
      <c r="E24" s="16"/>
      <c r="F24" s="137"/>
      <c r="G24" s="17">
        <f>+Cena_2d</f>
        <v>0</v>
      </c>
      <c r="H24" s="17"/>
      <c r="I24" s="298"/>
      <c r="J24" s="102"/>
      <c r="K24" s="238">
        <f>SUMIF(I$462:I$476,"O",H$462:H$476)</f>
        <v>0</v>
      </c>
      <c r="L24" s="238">
        <f>SUMIF(I$462:I$476,"i",H$462:H$476)</f>
        <v>0</v>
      </c>
      <c r="M24" s="239">
        <f t="shared" si="2"/>
        <v>0</v>
      </c>
      <c r="N24" s="240">
        <f t="shared" si="3"/>
        <v>0</v>
      </c>
    </row>
    <row r="25" spans="1:14" s="237" customFormat="1" ht="16.5">
      <c r="A25" s="13"/>
      <c r="B25" s="190"/>
      <c r="C25" s="18" t="s">
        <v>255</v>
      </c>
      <c r="D25" s="15" t="str">
        <f>Kapitola_2e</f>
        <v>Zdravotechnika - vnitřní vodovod</v>
      </c>
      <c r="E25" s="16"/>
      <c r="F25" s="137"/>
      <c r="G25" s="17">
        <f>+Cena_2e</f>
        <v>0</v>
      </c>
      <c r="H25" s="17"/>
      <c r="I25" s="298"/>
      <c r="J25" s="102"/>
      <c r="K25" s="238">
        <f>SUMIF(I$481:I$494,"O",H$481:H$494)</f>
        <v>0</v>
      </c>
      <c r="L25" s="238">
        <f>SUMIF(I$481:I$494,"i",H$481:H$494)</f>
        <v>0</v>
      </c>
      <c r="M25" s="239">
        <f t="shared" si="2"/>
        <v>0</v>
      </c>
      <c r="N25" s="240">
        <f t="shared" si="3"/>
        <v>0</v>
      </c>
    </row>
    <row r="26" spans="1:14" s="237" customFormat="1" ht="16.5">
      <c r="A26" s="13"/>
      <c r="B26" s="190"/>
      <c r="C26" s="18" t="s">
        <v>256</v>
      </c>
      <c r="D26" s="15" t="str">
        <f>Kapitola_2f</f>
        <v>Zdravotechnika - zařizovací předměty, armatury </v>
      </c>
      <c r="E26" s="16"/>
      <c r="F26" s="137"/>
      <c r="G26" s="17">
        <f>+Cena_2f</f>
        <v>0</v>
      </c>
      <c r="H26" s="17"/>
      <c r="I26" s="298"/>
      <c r="J26" s="102"/>
      <c r="K26" s="238">
        <f>SUMIF(I$500:I$529,"O",H$500:H$529)</f>
        <v>0</v>
      </c>
      <c r="L26" s="238">
        <f>SUMIF(I$500:I$529,"i",H$500:H$529)</f>
        <v>0</v>
      </c>
      <c r="M26" s="239">
        <f t="shared" si="2"/>
        <v>0</v>
      </c>
      <c r="N26" s="240">
        <f t="shared" si="3"/>
        <v>0</v>
      </c>
    </row>
    <row r="27" spans="1:14" s="237" customFormat="1" ht="16.5">
      <c r="A27" s="13"/>
      <c r="B27" s="190"/>
      <c r="C27" s="18" t="s">
        <v>257</v>
      </c>
      <c r="D27" s="15" t="str">
        <f>Kapitola_2i</f>
        <v>Vzduchotechnika</v>
      </c>
      <c r="E27" s="16"/>
      <c r="F27" s="137"/>
      <c r="G27" s="17">
        <f>+Cena_2i</f>
        <v>0</v>
      </c>
      <c r="H27" s="17"/>
      <c r="I27" s="298"/>
      <c r="J27" s="102"/>
      <c r="K27" s="238">
        <f>SUMIF(I$534:I$562,"O",H$534:H$562)</f>
        <v>0</v>
      </c>
      <c r="L27" s="238">
        <f>SUMIF(I$534:I$564,"i",H$534:H$564)</f>
        <v>0</v>
      </c>
      <c r="M27" s="239">
        <f t="shared" si="2"/>
        <v>0</v>
      </c>
      <c r="N27" s="240">
        <f t="shared" si="3"/>
        <v>0</v>
      </c>
    </row>
    <row r="28" spans="1:14" s="237" customFormat="1" ht="16.5">
      <c r="A28" s="13"/>
      <c r="B28" s="190"/>
      <c r="C28" s="19" t="s">
        <v>258</v>
      </c>
      <c r="D28" s="15" t="str">
        <f>+D567</f>
        <v>Topení</v>
      </c>
      <c r="E28" s="16"/>
      <c r="F28" s="137"/>
      <c r="G28" s="17">
        <f>+H601</f>
        <v>0</v>
      </c>
      <c r="H28" s="17"/>
      <c r="I28" s="298"/>
      <c r="J28" s="102"/>
      <c r="K28" s="238">
        <f>SUMIF(I$569:I$600,"O",H$569:H$600)</f>
        <v>0</v>
      </c>
      <c r="L28" s="238">
        <f>SUMIF(I$569:I$600,"i",H$569:H$600)</f>
        <v>0</v>
      </c>
      <c r="M28" s="239">
        <f t="shared" si="2"/>
        <v>0</v>
      </c>
      <c r="N28" s="240">
        <f t="shared" si="3"/>
        <v>0</v>
      </c>
    </row>
    <row r="29" spans="1:14" s="237" customFormat="1" ht="16.5">
      <c r="A29" s="13"/>
      <c r="B29" s="190"/>
      <c r="C29" s="20" t="s">
        <v>259</v>
      </c>
      <c r="D29" s="15" t="str">
        <f>+D603</f>
        <v>Plyn</v>
      </c>
      <c r="E29" s="16"/>
      <c r="F29" s="137"/>
      <c r="G29" s="17">
        <f>+H648</f>
        <v>0</v>
      </c>
      <c r="H29" s="17"/>
      <c r="I29" s="299"/>
      <c r="J29" s="115"/>
      <c r="K29" s="238">
        <f>SUMIF(I$605:I$647,"O",H$605:H$647)</f>
        <v>0</v>
      </c>
      <c r="L29" s="238">
        <f>SUMIF(I$605:I$647,"i",H$605:H$647)</f>
        <v>0</v>
      </c>
      <c r="M29" s="239">
        <f t="shared" si="2"/>
        <v>0</v>
      </c>
      <c r="N29" s="240">
        <f t="shared" si="3"/>
        <v>0</v>
      </c>
    </row>
    <row r="30" spans="1:14" s="237" customFormat="1" ht="16.5">
      <c r="A30" s="13"/>
      <c r="B30" s="190"/>
      <c r="C30" s="14">
        <v>4</v>
      </c>
      <c r="D30" s="15" t="str">
        <f>Kapitola_2g</f>
        <v>Elektroinstalace - silnoproud </v>
      </c>
      <c r="E30" s="16"/>
      <c r="F30" s="137"/>
      <c r="G30" s="17"/>
      <c r="H30" s="17">
        <f>+Cena_2g</f>
        <v>0</v>
      </c>
      <c r="I30" s="298"/>
      <c r="J30" s="102"/>
      <c r="K30" s="238">
        <f>SUMIF(I$652:I$654,"O",H$652:H$654)</f>
        <v>0</v>
      </c>
      <c r="L30" s="238">
        <f>SUMIF(I$652:I$653,"i",H$652:H$653)</f>
        <v>0</v>
      </c>
      <c r="M30" s="239">
        <f t="shared" si="2"/>
        <v>0</v>
      </c>
      <c r="N30" s="240">
        <f>+H30-M30</f>
        <v>0</v>
      </c>
    </row>
    <row r="31" spans="1:14" s="237" customFormat="1" ht="16.5">
      <c r="A31" s="13"/>
      <c r="B31" s="190"/>
      <c r="C31" s="14">
        <v>5</v>
      </c>
      <c r="D31" s="15" t="str">
        <f>Kapitola_2h</f>
        <v>Elektroinstalace - slaboproud</v>
      </c>
      <c r="E31" s="16"/>
      <c r="F31" s="137"/>
      <c r="G31" s="17"/>
      <c r="H31" s="17">
        <f>+Cena_2h</f>
        <v>0</v>
      </c>
      <c r="I31" s="298"/>
      <c r="J31" s="102"/>
      <c r="K31" s="238">
        <f>SUMIF(I$659:I$660,"O",H$659:H$660)</f>
        <v>0</v>
      </c>
      <c r="L31" s="238">
        <f>SUMIF(I$659:I$660,"i",H$659:H$660)</f>
        <v>0</v>
      </c>
      <c r="M31" s="239">
        <f t="shared" si="2"/>
        <v>0</v>
      </c>
      <c r="N31" s="240">
        <f>+H31-M31</f>
        <v>0</v>
      </c>
    </row>
    <row r="32" spans="1:14" s="237" customFormat="1" ht="16.5">
      <c r="A32" s="13"/>
      <c r="B32" s="124"/>
      <c r="C32" s="14">
        <v>6</v>
      </c>
      <c r="D32" s="15" t="str">
        <f>Dokoncovaci_prace</f>
        <v>Dokončovací práce</v>
      </c>
      <c r="E32" s="16"/>
      <c r="F32" s="137"/>
      <c r="G32" s="17"/>
      <c r="H32" s="17">
        <f>Cena_dokoncovaci_prace</f>
        <v>0</v>
      </c>
      <c r="I32" s="298"/>
      <c r="J32" s="102"/>
      <c r="K32" s="238">
        <f>SUMIF(I$664:I$664,"O",H$664:H$664)</f>
        <v>0</v>
      </c>
      <c r="L32" s="238">
        <f>SUMIF(I$664:I$664,"i",H$664:H$664)</f>
        <v>0</v>
      </c>
      <c r="M32" s="239">
        <f t="shared" si="2"/>
        <v>0</v>
      </c>
      <c r="N32" s="240">
        <f>+H32-M32</f>
        <v>0</v>
      </c>
    </row>
    <row r="33" spans="4:13" ht="12.75">
      <c r="D33" s="21"/>
      <c r="E33" s="3"/>
      <c r="F33" s="138"/>
      <c r="G33" s="23"/>
      <c r="H33" s="23"/>
      <c r="K33" s="236"/>
      <c r="L33" s="236"/>
      <c r="M33" s="236"/>
    </row>
    <row r="34" spans="4:13" ht="15" customHeight="1">
      <c r="D34" s="24" t="s">
        <v>340</v>
      </c>
      <c r="E34" s="25"/>
      <c r="F34" s="139"/>
      <c r="G34" s="339">
        <f>SUM(H13:H32)</f>
        <v>0</v>
      </c>
      <c r="H34" s="339"/>
      <c r="K34" s="241">
        <f>SUM(K13:K33)</f>
        <v>0</v>
      </c>
      <c r="L34" s="241">
        <f>SUM(L13:L33)</f>
        <v>0</v>
      </c>
      <c r="M34" s="241">
        <f>SUM(K34:L34)</f>
        <v>0</v>
      </c>
    </row>
    <row r="35" spans="4:8" ht="12.75">
      <c r="D35" s="26"/>
      <c r="E35" s="25"/>
      <c r="F35" s="140"/>
      <c r="G35" s="27"/>
      <c r="H35" s="28"/>
    </row>
    <row r="36" spans="4:8" ht="16.5">
      <c r="D36" s="15" t="s">
        <v>504</v>
      </c>
      <c r="E36" s="25"/>
      <c r="F36" s="140"/>
      <c r="G36" s="29"/>
      <c r="H36" s="30">
        <f>+H130</f>
        <v>0</v>
      </c>
    </row>
    <row r="37" spans="4:8" ht="13.5" thickBot="1">
      <c r="D37" s="32"/>
      <c r="E37" s="33"/>
      <c r="F37" s="141"/>
      <c r="G37" s="34"/>
      <c r="H37" s="23"/>
    </row>
    <row r="38" spans="4:8" ht="15.75" thickBot="1">
      <c r="D38" s="35" t="s">
        <v>101</v>
      </c>
      <c r="E38" s="36"/>
      <c r="F38" s="142"/>
      <c r="G38" s="37"/>
      <c r="H38" s="38">
        <f>+G34+H36</f>
        <v>0</v>
      </c>
    </row>
    <row r="39" spans="4:9" ht="12.75">
      <c r="D39" s="39"/>
      <c r="E39" s="40"/>
      <c r="F39" s="143"/>
      <c r="G39" s="41"/>
      <c r="H39" s="40"/>
      <c r="I39" s="300"/>
    </row>
    <row r="40" spans="4:9" ht="12.75">
      <c r="D40" s="26" t="s">
        <v>341</v>
      </c>
      <c r="E40" s="25"/>
      <c r="F40" s="140"/>
      <c r="G40" s="2">
        <v>0.15</v>
      </c>
      <c r="H40" s="31">
        <f>ROUND((G34+H36)*G40,0)</f>
        <v>0</v>
      </c>
      <c r="I40" s="300"/>
    </row>
    <row r="41" spans="4:8" ht="12.75">
      <c r="D41" s="26" t="s">
        <v>341</v>
      </c>
      <c r="E41" s="25"/>
      <c r="F41" s="140"/>
      <c r="G41" s="2">
        <v>0.21</v>
      </c>
      <c r="H41" s="31"/>
    </row>
    <row r="42" spans="4:8" ht="13.5" thickBot="1">
      <c r="D42" s="42"/>
      <c r="E42" s="43"/>
      <c r="F42" s="144"/>
      <c r="G42" s="44"/>
      <c r="H42" s="43"/>
    </row>
    <row r="43" spans="4:8" ht="16.5" thickBot="1">
      <c r="D43" s="45" t="s">
        <v>342</v>
      </c>
      <c r="E43" s="43"/>
      <c r="F43" s="144"/>
      <c r="G43" s="144"/>
      <c r="H43" s="229">
        <f>G34+H36+H40+H41</f>
        <v>0</v>
      </c>
    </row>
    <row r="46" spans="4:8" ht="15">
      <c r="D46" s="46" t="s">
        <v>505</v>
      </c>
      <c r="E46" s="47"/>
      <c r="F46" s="145"/>
      <c r="G46" s="47"/>
      <c r="H46" s="47"/>
    </row>
    <row r="47" spans="4:9" ht="12.75">
      <c r="D47" s="48" t="s">
        <v>98</v>
      </c>
      <c r="E47" s="49"/>
      <c r="F47" s="145"/>
      <c r="G47" s="47"/>
      <c r="H47" s="50">
        <f>+K34</f>
        <v>0</v>
      </c>
      <c r="I47" s="301" t="e">
        <f>+H47/G34</f>
        <v>#DIV/0!</v>
      </c>
    </row>
    <row r="48" spans="4:9" ht="12.75">
      <c r="D48" s="48" t="s">
        <v>99</v>
      </c>
      <c r="E48" s="49"/>
      <c r="F48" s="145"/>
      <c r="G48" s="47"/>
      <c r="H48" s="50">
        <f>+L34</f>
        <v>0</v>
      </c>
      <c r="I48" s="301" t="e">
        <f>+H48/G34</f>
        <v>#DIV/0!</v>
      </c>
    </row>
    <row r="49" spans="4:8" ht="12.75">
      <c r="D49" s="47"/>
      <c r="E49" s="47"/>
      <c r="F49" s="145"/>
      <c r="G49" s="47"/>
      <c r="H49" s="51"/>
    </row>
    <row r="50" spans="4:8" ht="15">
      <c r="D50" s="46" t="s">
        <v>507</v>
      </c>
      <c r="E50" s="47"/>
      <c r="F50" s="145"/>
      <c r="G50" s="47"/>
      <c r="H50" s="51"/>
    </row>
    <row r="51" spans="4:8" ht="12.75">
      <c r="D51" s="48" t="s">
        <v>98</v>
      </c>
      <c r="E51" s="49"/>
      <c r="F51" s="145"/>
      <c r="G51" s="47"/>
      <c r="H51" s="52" t="e">
        <f>+I47*H36</f>
        <v>#DIV/0!</v>
      </c>
    </row>
    <row r="52" spans="4:8" ht="12.75">
      <c r="D52" s="48" t="s">
        <v>99</v>
      </c>
      <c r="E52" s="49"/>
      <c r="F52" s="145"/>
      <c r="G52" s="47"/>
      <c r="H52" s="52" t="e">
        <f>+I48*H36</f>
        <v>#DIV/0!</v>
      </c>
    </row>
    <row r="53" spans="4:8" ht="12.75">
      <c r="D53" s="47"/>
      <c r="E53" s="47"/>
      <c r="F53" s="145"/>
      <c r="G53" s="47"/>
      <c r="H53" s="51"/>
    </row>
    <row r="54" spans="4:8" ht="15">
      <c r="D54" s="46" t="s">
        <v>506</v>
      </c>
      <c r="E54" s="47"/>
      <c r="F54" s="145"/>
      <c r="G54" s="47"/>
      <c r="H54" s="51"/>
    </row>
    <row r="55" spans="4:9" ht="12.75">
      <c r="D55" s="48" t="s">
        <v>98</v>
      </c>
      <c r="E55" s="49"/>
      <c r="F55" s="145"/>
      <c r="G55" s="47"/>
      <c r="H55" s="50" t="e">
        <f>+H47+H51</f>
        <v>#DIV/0!</v>
      </c>
      <c r="I55" s="301" t="e">
        <f>+H55/H38</f>
        <v>#DIV/0!</v>
      </c>
    </row>
    <row r="56" spans="4:9" ht="12.75">
      <c r="D56" s="48" t="s">
        <v>99</v>
      </c>
      <c r="E56" s="49"/>
      <c r="F56" s="145"/>
      <c r="G56" s="47"/>
      <c r="H56" s="50" t="e">
        <f>+H48+H52</f>
        <v>#DIV/0!</v>
      </c>
      <c r="I56" s="301" t="e">
        <f>+H56/H38</f>
        <v>#DIV/0!</v>
      </c>
    </row>
    <row r="58" spans="4:8" ht="18">
      <c r="D58" s="53" t="s">
        <v>17</v>
      </c>
      <c r="E58" s="3"/>
      <c r="F58" s="138"/>
      <c r="G58" s="22"/>
      <c r="H58" s="3"/>
    </row>
    <row r="59" ht="7.5" customHeight="1"/>
    <row r="60" ht="12.75">
      <c r="D60" s="54" t="s">
        <v>343</v>
      </c>
    </row>
    <row r="61" spans="4:8" ht="12.75">
      <c r="D61" s="222" t="s">
        <v>344</v>
      </c>
      <c r="E61" s="55"/>
      <c r="F61" s="55"/>
      <c r="G61" s="55"/>
      <c r="H61" s="55"/>
    </row>
    <row r="62" spans="4:8" ht="12.75">
      <c r="D62" s="223" t="s">
        <v>1056</v>
      </c>
      <c r="E62" s="224"/>
      <c r="F62" s="224"/>
      <c r="G62" s="224"/>
      <c r="H62" s="224"/>
    </row>
    <row r="63" spans="4:8" ht="12.75">
      <c r="D63" s="223" t="s">
        <v>1057</v>
      </c>
      <c r="E63" s="224"/>
      <c r="F63" s="224"/>
      <c r="G63" s="224"/>
      <c r="H63" s="224"/>
    </row>
    <row r="64" spans="4:8" ht="12.75">
      <c r="D64" s="223" t="s">
        <v>1058</v>
      </c>
      <c r="E64" s="224"/>
      <c r="F64" s="224"/>
      <c r="G64" s="224"/>
      <c r="H64" s="224"/>
    </row>
    <row r="65" spans="4:8" ht="12.75">
      <c r="D65" s="224" t="s">
        <v>345</v>
      </c>
      <c r="E65" s="224"/>
      <c r="F65" s="224"/>
      <c r="G65" s="224"/>
      <c r="H65" s="224"/>
    </row>
    <row r="66" spans="4:8" ht="12.75">
      <c r="D66" s="223" t="s">
        <v>1059</v>
      </c>
      <c r="E66" s="224"/>
      <c r="F66" s="224"/>
      <c r="G66" s="224"/>
      <c r="H66" s="224"/>
    </row>
    <row r="67" spans="4:8" ht="12.75">
      <c r="D67" s="223" t="s">
        <v>1060</v>
      </c>
      <c r="E67" s="224"/>
      <c r="F67" s="224"/>
      <c r="G67" s="224"/>
      <c r="H67" s="224"/>
    </row>
    <row r="68" spans="4:8" ht="12.75">
      <c r="D68" s="223" t="s">
        <v>1061</v>
      </c>
      <c r="E68" s="224"/>
      <c r="F68" s="224"/>
      <c r="G68" s="224"/>
      <c r="H68" s="224"/>
    </row>
    <row r="69" spans="4:8" ht="12.75">
      <c r="D69" s="223" t="s">
        <v>1062</v>
      </c>
      <c r="E69" s="224"/>
      <c r="F69" s="224"/>
      <c r="G69" s="224"/>
      <c r="H69" s="224"/>
    </row>
    <row r="70" spans="4:8" ht="12.75">
      <c r="D70" s="215" t="s">
        <v>1063</v>
      </c>
      <c r="E70" s="55"/>
      <c r="F70" s="55"/>
      <c r="G70" s="55"/>
      <c r="H70" s="55"/>
    </row>
    <row r="71" spans="4:8" ht="12.75">
      <c r="D71" s="224" t="s">
        <v>346</v>
      </c>
      <c r="E71" s="224"/>
      <c r="F71" s="224"/>
      <c r="G71" s="224"/>
      <c r="H71" s="224"/>
    </row>
    <row r="72" spans="4:8" ht="12.75">
      <c r="D72" s="344" t="s">
        <v>20</v>
      </c>
      <c r="E72" s="345"/>
      <c r="F72" s="345"/>
      <c r="G72" s="345"/>
      <c r="H72" s="345"/>
    </row>
    <row r="73" spans="4:8" ht="12.75">
      <c r="D73" s="222" t="s">
        <v>21</v>
      </c>
      <c r="E73" s="55"/>
      <c r="F73" s="55"/>
      <c r="G73" s="55"/>
      <c r="H73" s="55"/>
    </row>
    <row r="74" ht="12.75">
      <c r="D74" s="8" t="s">
        <v>1064</v>
      </c>
    </row>
    <row r="75" spans="4:8" ht="12.75">
      <c r="D75" s="225" t="s">
        <v>1065</v>
      </c>
      <c r="E75" s="217"/>
      <c r="F75" s="217"/>
      <c r="G75" s="217"/>
      <c r="H75" s="217"/>
    </row>
    <row r="76" spans="4:8" ht="12.75">
      <c r="D76" s="216" t="s">
        <v>1066</v>
      </c>
      <c r="E76" s="217"/>
      <c r="F76" s="217"/>
      <c r="G76" s="217"/>
      <c r="H76" s="217"/>
    </row>
    <row r="77" spans="4:8" ht="12.75">
      <c r="D77" s="56"/>
      <c r="E77" s="57"/>
      <c r="F77" s="146"/>
      <c r="G77" s="58"/>
      <c r="H77" s="57"/>
    </row>
    <row r="78" spans="4:8" ht="12.75">
      <c r="D78" s="224" t="s">
        <v>1067</v>
      </c>
      <c r="E78" s="224"/>
      <c r="F78" s="224"/>
      <c r="G78" s="224"/>
      <c r="H78" s="224"/>
    </row>
    <row r="79" spans="4:8" ht="12.75">
      <c r="D79" s="224" t="s">
        <v>1068</v>
      </c>
      <c r="E79" s="224"/>
      <c r="F79" s="224"/>
      <c r="G79" s="224"/>
      <c r="H79" s="224"/>
    </row>
    <row r="80" spans="4:8" ht="12.75">
      <c r="D80" s="224" t="s">
        <v>1069</v>
      </c>
      <c r="E80" s="224"/>
      <c r="F80" s="224"/>
      <c r="G80" s="224"/>
      <c r="H80" s="224"/>
    </row>
    <row r="81" spans="4:8" ht="12.75">
      <c r="D81" s="55"/>
      <c r="E81" s="55"/>
      <c r="F81" s="147"/>
      <c r="G81" s="55"/>
      <c r="H81" s="55"/>
    </row>
    <row r="82" spans="4:8" ht="12.75">
      <c r="D82" s="224" t="s">
        <v>1070</v>
      </c>
      <c r="E82" s="224"/>
      <c r="F82" s="224"/>
      <c r="G82" s="224"/>
      <c r="H82" s="224"/>
    </row>
    <row r="83" spans="4:8" ht="12.75">
      <c r="D83" s="226" t="s">
        <v>1071</v>
      </c>
      <c r="E83" s="55"/>
      <c r="F83" s="55"/>
      <c r="G83" s="55"/>
      <c r="H83" s="55"/>
    </row>
    <row r="84" spans="4:8" ht="12.75">
      <c r="D84" s="214" t="s">
        <v>1072</v>
      </c>
      <c r="E84" s="55"/>
      <c r="F84" s="147"/>
      <c r="G84" s="55"/>
      <c r="H84" s="55"/>
    </row>
    <row r="85" spans="4:8" ht="12.75">
      <c r="D85" s="214" t="s">
        <v>1073</v>
      </c>
      <c r="E85" s="55"/>
      <c r="F85" s="147"/>
      <c r="G85" s="55"/>
      <c r="H85" s="55"/>
    </row>
    <row r="86" spans="4:8" ht="12.75">
      <c r="D86" s="223" t="s">
        <v>18</v>
      </c>
      <c r="E86" s="223"/>
      <c r="F86" s="223"/>
      <c r="G86" s="223"/>
      <c r="H86" s="223"/>
    </row>
    <row r="87" spans="4:8" ht="12.75">
      <c r="D87" s="227" t="s">
        <v>1074</v>
      </c>
      <c r="E87" s="227"/>
      <c r="F87" s="227"/>
      <c r="G87" s="227"/>
      <c r="H87" s="227"/>
    </row>
    <row r="88" spans="4:8" ht="12.75">
      <c r="D88" s="227" t="s">
        <v>1075</v>
      </c>
      <c r="E88" s="227"/>
      <c r="F88" s="227"/>
      <c r="G88" s="227"/>
      <c r="H88" s="227"/>
    </row>
    <row r="89" spans="4:8" ht="12.75">
      <c r="D89" s="227" t="s">
        <v>1076</v>
      </c>
      <c r="E89" s="227"/>
      <c r="F89" s="227"/>
      <c r="G89" s="227"/>
      <c r="H89" s="227"/>
    </row>
    <row r="90" spans="4:8" ht="12.75">
      <c r="D90" s="227" t="s">
        <v>1077</v>
      </c>
      <c r="E90" s="227"/>
      <c r="F90" s="227"/>
      <c r="G90" s="227"/>
      <c r="H90" s="227"/>
    </row>
    <row r="91" spans="4:8" ht="12.75">
      <c r="D91" s="227" t="s">
        <v>1078</v>
      </c>
      <c r="E91" s="227"/>
      <c r="F91" s="227"/>
      <c r="G91" s="227"/>
      <c r="H91" s="227"/>
    </row>
    <row r="92" spans="4:8" ht="12.75">
      <c r="D92" s="227" t="s">
        <v>1079</v>
      </c>
      <c r="E92" s="227"/>
      <c r="F92" s="227"/>
      <c r="G92" s="227"/>
      <c r="H92" s="227"/>
    </row>
    <row r="93" spans="4:8" ht="13.5" customHeight="1">
      <c r="D93" s="227" t="s">
        <v>1080</v>
      </c>
      <c r="E93" s="227"/>
      <c r="F93" s="227"/>
      <c r="G93" s="227"/>
      <c r="H93" s="227"/>
    </row>
    <row r="94" spans="4:8" ht="12.75">
      <c r="D94" s="215"/>
      <c r="E94" s="215"/>
      <c r="F94" s="215"/>
      <c r="G94" s="215"/>
      <c r="H94" s="215"/>
    </row>
    <row r="95" spans="4:8" ht="12.75">
      <c r="D95" s="228" t="s">
        <v>5</v>
      </c>
      <c r="E95" s="228"/>
      <c r="F95" s="228"/>
      <c r="G95" s="228"/>
      <c r="H95" s="228"/>
    </row>
    <row r="96" spans="4:8" ht="12.75">
      <c r="D96" s="228" t="s">
        <v>4</v>
      </c>
      <c r="E96" s="228"/>
      <c r="F96" s="228"/>
      <c r="G96" s="228"/>
      <c r="H96" s="228"/>
    </row>
    <row r="97" spans="4:8" ht="12.75">
      <c r="D97" s="215"/>
      <c r="E97" s="215"/>
      <c r="F97" s="215"/>
      <c r="G97" s="215"/>
      <c r="H97" s="215"/>
    </row>
    <row r="98" spans="4:8" ht="12.75">
      <c r="D98" s="215"/>
      <c r="E98" s="215"/>
      <c r="F98" s="215"/>
      <c r="G98" s="215"/>
      <c r="H98" s="215"/>
    </row>
    <row r="99" spans="4:8" ht="12.75">
      <c r="D99" s="215"/>
      <c r="E99" s="215"/>
      <c r="F99" s="215"/>
      <c r="G99" s="215"/>
      <c r="H99" s="215"/>
    </row>
    <row r="100" spans="4:8" ht="12.75">
      <c r="D100" s="215"/>
      <c r="E100" s="215"/>
      <c r="F100" s="215"/>
      <c r="G100" s="215"/>
      <c r="H100" s="215"/>
    </row>
    <row r="101" spans="4:8" ht="12.75">
      <c r="D101" s="215"/>
      <c r="E101" s="215"/>
      <c r="F101" s="215"/>
      <c r="G101" s="215"/>
      <c r="H101" s="215"/>
    </row>
    <row r="102" spans="4:8" ht="12.75">
      <c r="D102" s="215"/>
      <c r="E102" s="215"/>
      <c r="F102" s="215"/>
      <c r="G102" s="215"/>
      <c r="H102" s="215"/>
    </row>
    <row r="103" spans="4:8" ht="12.75">
      <c r="D103" s="215"/>
      <c r="E103" s="215"/>
      <c r="F103" s="215"/>
      <c r="G103" s="215"/>
      <c r="H103" s="215"/>
    </row>
    <row r="104" spans="1:11" ht="22.5" customHeight="1">
      <c r="A104" s="59"/>
      <c r="B104" s="243"/>
      <c r="C104" s="208"/>
      <c r="D104" s="244" t="s">
        <v>476</v>
      </c>
      <c r="E104" s="245"/>
      <c r="F104" s="246"/>
      <c r="G104" s="247"/>
      <c r="H104" s="248"/>
      <c r="I104" s="108"/>
      <c r="J104" s="108"/>
      <c r="K104" s="6"/>
    </row>
    <row r="105" spans="1:11" ht="14.25" customHeight="1">
      <c r="A105" s="59"/>
      <c r="B105" s="243"/>
      <c r="C105" s="47"/>
      <c r="D105" s="47"/>
      <c r="E105" s="47"/>
      <c r="F105" s="47"/>
      <c r="G105" s="47"/>
      <c r="H105" s="47"/>
      <c r="I105" s="108"/>
      <c r="J105" s="108"/>
      <c r="K105" s="6"/>
    </row>
    <row r="106" spans="1:11" ht="14.25" customHeight="1">
      <c r="A106" s="59"/>
      <c r="B106" s="243"/>
      <c r="C106" s="249"/>
      <c r="D106" s="63" t="s">
        <v>476</v>
      </c>
      <c r="E106" s="250" t="s">
        <v>477</v>
      </c>
      <c r="F106" s="251" t="s">
        <v>478</v>
      </c>
      <c r="G106" s="252" t="s">
        <v>479</v>
      </c>
      <c r="H106" s="252" t="s">
        <v>480</v>
      </c>
      <c r="I106" s="108"/>
      <c r="J106" s="108"/>
      <c r="K106" s="6"/>
    </row>
    <row r="107" spans="1:11" ht="14.25" customHeight="1">
      <c r="A107" s="59"/>
      <c r="B107" s="243"/>
      <c r="C107" s="249" t="s">
        <v>481</v>
      </c>
      <c r="D107" s="184" t="s">
        <v>482</v>
      </c>
      <c r="E107" s="253"/>
      <c r="F107" s="254"/>
      <c r="G107" s="255"/>
      <c r="H107" s="255"/>
      <c r="I107" s="108"/>
      <c r="J107" s="108"/>
      <c r="K107" s="6"/>
    </row>
    <row r="108" spans="1:11" ht="23.25" customHeight="1">
      <c r="A108" s="59"/>
      <c r="B108" s="256">
        <f>B107+1</f>
        <v>1</v>
      </c>
      <c r="C108" s="133"/>
      <c r="D108" s="69" t="s">
        <v>77</v>
      </c>
      <c r="E108" s="72" t="s">
        <v>349</v>
      </c>
      <c r="F108" s="257">
        <v>1</v>
      </c>
      <c r="G108" s="185"/>
      <c r="H108" s="73">
        <f>F108*G108</f>
        <v>0</v>
      </c>
      <c r="I108" s="108"/>
      <c r="J108" s="108"/>
      <c r="K108" s="6"/>
    </row>
    <row r="109" spans="1:11" ht="14.25" customHeight="1">
      <c r="A109" s="59"/>
      <c r="B109" s="256"/>
      <c r="C109" s="249" t="s">
        <v>483</v>
      </c>
      <c r="D109" s="184" t="s">
        <v>484</v>
      </c>
      <c r="E109" s="253"/>
      <c r="F109" s="254"/>
      <c r="G109" s="255"/>
      <c r="H109" s="255"/>
      <c r="I109" s="108"/>
      <c r="J109" s="108"/>
      <c r="K109" s="6"/>
    </row>
    <row r="110" spans="1:11" ht="14.25" customHeight="1">
      <c r="A110" s="59"/>
      <c r="B110" s="256">
        <f>B108+1</f>
        <v>2</v>
      </c>
      <c r="C110" s="133"/>
      <c r="D110" s="69" t="s">
        <v>485</v>
      </c>
      <c r="E110" s="72" t="s">
        <v>349</v>
      </c>
      <c r="F110" s="257">
        <v>1</v>
      </c>
      <c r="G110" s="185"/>
      <c r="H110" s="73">
        <f>F110*G110</f>
        <v>0</v>
      </c>
      <c r="I110" s="108"/>
      <c r="J110" s="108"/>
      <c r="K110" s="6"/>
    </row>
    <row r="111" spans="1:11" ht="151.5" customHeight="1">
      <c r="A111" s="59"/>
      <c r="B111" s="243"/>
      <c r="C111" s="208"/>
      <c r="D111" s="330" t="s">
        <v>1050</v>
      </c>
      <c r="E111" s="330"/>
      <c r="F111" s="330"/>
      <c r="G111" s="330"/>
      <c r="H111" s="330"/>
      <c r="I111" s="108"/>
      <c r="J111" s="108"/>
      <c r="K111" s="6"/>
    </row>
    <row r="112" spans="1:11" ht="14.25" customHeight="1">
      <c r="A112" s="59"/>
      <c r="B112" s="243"/>
      <c r="C112" s="208"/>
      <c r="D112" s="259"/>
      <c r="E112" s="260"/>
      <c r="F112" s="261"/>
      <c r="G112" s="262"/>
      <c r="H112" s="263"/>
      <c r="I112" s="108"/>
      <c r="J112" s="108"/>
      <c r="K112" s="6"/>
    </row>
    <row r="113" spans="1:11" ht="14.25" customHeight="1">
      <c r="A113" s="59"/>
      <c r="B113" s="243"/>
      <c r="C113" s="249" t="s">
        <v>486</v>
      </c>
      <c r="D113" s="184" t="s">
        <v>487</v>
      </c>
      <c r="E113" s="253"/>
      <c r="F113" s="254"/>
      <c r="G113" s="255"/>
      <c r="H113" s="255"/>
      <c r="I113" s="108"/>
      <c r="J113" s="108"/>
      <c r="K113" s="6"/>
    </row>
    <row r="114" spans="1:11" ht="38.25">
      <c r="A114" s="59"/>
      <c r="B114" s="256">
        <f>B110+1</f>
        <v>3</v>
      </c>
      <c r="C114" s="133"/>
      <c r="D114" s="69" t="s">
        <v>488</v>
      </c>
      <c r="E114" s="72" t="s">
        <v>349</v>
      </c>
      <c r="F114" s="257">
        <v>1</v>
      </c>
      <c r="G114" s="185"/>
      <c r="H114" s="73">
        <f>F114*G114</f>
        <v>0</v>
      </c>
      <c r="I114" s="108"/>
      <c r="J114" s="108"/>
      <c r="K114" s="6"/>
    </row>
    <row r="115" spans="1:11" ht="172.5" customHeight="1">
      <c r="A115" s="59"/>
      <c r="B115" s="243"/>
      <c r="C115" s="208"/>
      <c r="D115" s="331" t="s">
        <v>875</v>
      </c>
      <c r="E115" s="331"/>
      <c r="F115" s="331"/>
      <c r="G115" s="331"/>
      <c r="H115" s="331"/>
      <c r="I115" s="108"/>
      <c r="J115" s="108"/>
      <c r="K115" s="6"/>
    </row>
    <row r="116" spans="1:11" ht="14.25" customHeight="1">
      <c r="A116" s="59"/>
      <c r="B116" s="243"/>
      <c r="C116" s="208"/>
      <c r="D116" s="264"/>
      <c r="E116" s="260"/>
      <c r="F116" s="261"/>
      <c r="G116" s="262"/>
      <c r="H116" s="263"/>
      <c r="I116" s="108"/>
      <c r="J116" s="108"/>
      <c r="K116" s="6"/>
    </row>
    <row r="117" spans="1:11" ht="14.25" customHeight="1">
      <c r="A117" s="59"/>
      <c r="B117" s="243"/>
      <c r="C117" s="249" t="s">
        <v>489</v>
      </c>
      <c r="D117" s="184" t="s">
        <v>490</v>
      </c>
      <c r="E117" s="253"/>
      <c r="F117" s="254"/>
      <c r="G117" s="255"/>
      <c r="H117" s="255"/>
      <c r="I117" s="108"/>
      <c r="J117" s="108"/>
      <c r="K117" s="6"/>
    </row>
    <row r="118" spans="1:11" ht="51" hidden="1">
      <c r="A118" s="59"/>
      <c r="B118" s="256"/>
      <c r="C118" s="133"/>
      <c r="D118" s="69" t="s">
        <v>491</v>
      </c>
      <c r="E118" s="72" t="s">
        <v>349</v>
      </c>
      <c r="F118" s="257">
        <v>1</v>
      </c>
      <c r="G118" s="258"/>
      <c r="H118" s="73">
        <f>F118*G118</f>
        <v>0</v>
      </c>
      <c r="I118" s="108"/>
      <c r="J118" s="108"/>
      <c r="K118" s="6"/>
    </row>
    <row r="119" spans="1:11" ht="76.5">
      <c r="A119" s="59"/>
      <c r="B119" s="256">
        <f>B114+1</f>
        <v>4</v>
      </c>
      <c r="C119" s="133"/>
      <c r="D119" s="69" t="s">
        <v>503</v>
      </c>
      <c r="E119" s="72" t="s">
        <v>349</v>
      </c>
      <c r="F119" s="257">
        <v>1</v>
      </c>
      <c r="G119" s="185"/>
      <c r="H119" s="73">
        <f>F119*G119</f>
        <v>0</v>
      </c>
      <c r="I119" s="108"/>
      <c r="J119" s="108"/>
      <c r="K119" s="6"/>
    </row>
    <row r="120" spans="1:8" ht="25.5" hidden="1">
      <c r="A120" s="59"/>
      <c r="B120" s="256"/>
      <c r="C120" s="133"/>
      <c r="D120" s="69" t="s">
        <v>492</v>
      </c>
      <c r="E120" s="72" t="s">
        <v>349</v>
      </c>
      <c r="F120" s="257">
        <v>1</v>
      </c>
      <c r="G120" s="258"/>
      <c r="H120" s="73">
        <f>F120*G120</f>
        <v>0</v>
      </c>
    </row>
    <row r="121" spans="1:8" ht="14.25" customHeight="1">
      <c r="A121" s="59"/>
      <c r="B121" s="243"/>
      <c r="C121" s="249" t="s">
        <v>493</v>
      </c>
      <c r="D121" s="184" t="s">
        <v>494</v>
      </c>
      <c r="E121" s="253"/>
      <c r="F121" s="254"/>
      <c r="G121" s="255"/>
      <c r="H121" s="255"/>
    </row>
    <row r="122" spans="1:8" ht="76.5">
      <c r="A122" s="59"/>
      <c r="B122" s="256">
        <f>+B119+1</f>
        <v>5</v>
      </c>
      <c r="C122" s="133"/>
      <c r="D122" s="69" t="s">
        <v>502</v>
      </c>
      <c r="E122" s="72" t="s">
        <v>349</v>
      </c>
      <c r="F122" s="257">
        <v>1</v>
      </c>
      <c r="G122" s="185"/>
      <c r="H122" s="73">
        <f>F122*G122</f>
        <v>0</v>
      </c>
    </row>
    <row r="123" spans="1:8" ht="14.25" customHeight="1">
      <c r="A123" s="59"/>
      <c r="B123" s="256"/>
      <c r="C123" s="249" t="s">
        <v>495</v>
      </c>
      <c r="D123" s="184" t="s">
        <v>496</v>
      </c>
      <c r="E123" s="253"/>
      <c r="F123" s="254"/>
      <c r="G123" s="255"/>
      <c r="H123" s="255"/>
    </row>
    <row r="124" spans="1:8" ht="153">
      <c r="A124" s="59"/>
      <c r="B124" s="256">
        <f>+B122+1</f>
        <v>6</v>
      </c>
      <c r="C124" s="133"/>
      <c r="D124" s="69" t="s">
        <v>876</v>
      </c>
      <c r="E124" s="72" t="s">
        <v>349</v>
      </c>
      <c r="F124" s="257">
        <v>1</v>
      </c>
      <c r="G124" s="185"/>
      <c r="H124" s="73">
        <f>F124*G124</f>
        <v>0</v>
      </c>
    </row>
    <row r="125" spans="1:8" ht="14.25" customHeight="1">
      <c r="A125" s="59"/>
      <c r="B125" s="256">
        <f>+B124+1</f>
        <v>7</v>
      </c>
      <c r="C125" s="249" t="s">
        <v>497</v>
      </c>
      <c r="D125" s="184" t="s">
        <v>498</v>
      </c>
      <c r="E125" s="253"/>
      <c r="F125" s="254"/>
      <c r="G125" s="255"/>
      <c r="H125" s="255"/>
    </row>
    <row r="126" spans="1:8" ht="25.5">
      <c r="A126" s="59"/>
      <c r="B126" s="256"/>
      <c r="C126" s="133"/>
      <c r="D126" s="69" t="s">
        <v>499</v>
      </c>
      <c r="E126" s="72" t="s">
        <v>349</v>
      </c>
      <c r="F126" s="257">
        <v>1</v>
      </c>
      <c r="G126" s="185"/>
      <c r="H126" s="73">
        <f>F126*G126</f>
        <v>0</v>
      </c>
    </row>
    <row r="127" spans="1:8" ht="110.25" customHeight="1">
      <c r="A127" s="59"/>
      <c r="B127" s="256"/>
      <c r="C127" s="133"/>
      <c r="D127" s="332" t="s">
        <v>500</v>
      </c>
      <c r="E127" s="332"/>
      <c r="F127" s="332"/>
      <c r="G127" s="332"/>
      <c r="H127" s="332"/>
    </row>
    <row r="128" spans="1:8" ht="14.25" customHeight="1">
      <c r="A128" s="59"/>
      <c r="B128" s="256">
        <f>B125+1</f>
        <v>8</v>
      </c>
      <c r="C128" s="133"/>
      <c r="D128" s="69" t="s">
        <v>501</v>
      </c>
      <c r="E128" s="72" t="s">
        <v>349</v>
      </c>
      <c r="F128" s="257">
        <v>1</v>
      </c>
      <c r="G128" s="185"/>
      <c r="H128" s="73">
        <f>F128*G128</f>
        <v>0</v>
      </c>
    </row>
    <row r="129" spans="1:8" ht="78" customHeight="1" thickBot="1">
      <c r="A129" s="59"/>
      <c r="B129" s="243"/>
      <c r="C129" s="208"/>
      <c r="D129" s="328" t="s">
        <v>874</v>
      </c>
      <c r="E129" s="328"/>
      <c r="F129" s="328"/>
      <c r="G129" s="328"/>
      <c r="H129" s="328"/>
    </row>
    <row r="130" spans="1:8" ht="14.25" customHeight="1" thickBot="1">
      <c r="A130" s="59"/>
      <c r="B130" s="243"/>
      <c r="C130" s="208"/>
      <c r="D130" s="83" t="s">
        <v>351</v>
      </c>
      <c r="E130" s="84"/>
      <c r="F130" s="265"/>
      <c r="G130" s="132"/>
      <c r="H130" s="266">
        <f>ROUNDUP(SUBTOTAL(9,H108:H129),0)</f>
        <v>0</v>
      </c>
    </row>
    <row r="131" spans="1:8" ht="14.25" customHeight="1">
      <c r="A131" s="59"/>
      <c r="B131" s="243"/>
      <c r="C131" s="208"/>
      <c r="D131" s="267"/>
      <c r="E131" s="78"/>
      <c r="F131" s="268"/>
      <c r="G131" s="269"/>
      <c r="H131" s="270"/>
    </row>
    <row r="132" spans="1:10" ht="24.75" customHeight="1">
      <c r="A132" s="59"/>
      <c r="B132" s="191" t="s">
        <v>287</v>
      </c>
      <c r="C132" s="60"/>
      <c r="D132" s="21"/>
      <c r="E132" s="3"/>
      <c r="F132" s="6"/>
      <c r="G132" s="6"/>
      <c r="I132" s="108"/>
      <c r="J132" s="108"/>
    </row>
    <row r="133" spans="1:11" s="272" customFormat="1" ht="16.5">
      <c r="A133" s="61"/>
      <c r="B133" s="192"/>
      <c r="C133" s="62">
        <v>1</v>
      </c>
      <c r="D133" s="329" t="s">
        <v>103</v>
      </c>
      <c r="E133" s="329"/>
      <c r="F133" s="329"/>
      <c r="G133" s="329"/>
      <c r="H133" s="329"/>
      <c r="I133" s="302"/>
      <c r="J133" s="103"/>
      <c r="K133" s="271"/>
    </row>
    <row r="134" spans="1:18" ht="12.75">
      <c r="A134" s="64">
        <f aca="true" t="shared" si="4" ref="A134:A154">A133+1</f>
        <v>1</v>
      </c>
      <c r="B134" s="193" t="s">
        <v>275</v>
      </c>
      <c r="C134" s="65"/>
      <c r="D134" s="66" t="s">
        <v>39</v>
      </c>
      <c r="E134" s="67" t="s">
        <v>352</v>
      </c>
      <c r="F134" s="148">
        <v>8</v>
      </c>
      <c r="G134" s="203"/>
      <c r="H134" s="68">
        <f aca="true" t="shared" si="5" ref="H134:H146">F134*G134</f>
        <v>0</v>
      </c>
      <c r="I134" s="297" t="s">
        <v>97</v>
      </c>
      <c r="N134" s="242"/>
      <c r="O134" s="6">
        <v>0.014</v>
      </c>
      <c r="P134" s="135">
        <f>+F134</f>
        <v>8</v>
      </c>
      <c r="Q134" s="135">
        <f>+O134*P134</f>
        <v>0.112</v>
      </c>
      <c r="R134" s="47" t="s">
        <v>158</v>
      </c>
    </row>
    <row r="135" spans="1:18" ht="12.75">
      <c r="A135" s="64">
        <f>A134+1</f>
        <v>2</v>
      </c>
      <c r="B135" s="188" t="s">
        <v>571</v>
      </c>
      <c r="C135" s="65"/>
      <c r="D135" s="66" t="s">
        <v>572</v>
      </c>
      <c r="E135" s="67" t="s">
        <v>352</v>
      </c>
      <c r="F135" s="148">
        <v>8</v>
      </c>
      <c r="G135" s="203"/>
      <c r="H135" s="68">
        <f t="shared" si="5"/>
        <v>0</v>
      </c>
      <c r="I135" s="297" t="s">
        <v>97</v>
      </c>
      <c r="N135" s="242"/>
      <c r="P135" s="135"/>
      <c r="Q135" s="135">
        <f>0.077*F135</f>
        <v>0.616</v>
      </c>
      <c r="R135" s="47"/>
    </row>
    <row r="136" spans="1:18" ht="12.75">
      <c r="A136" s="64">
        <f>A135+1</f>
        <v>3</v>
      </c>
      <c r="B136" s="199" t="s">
        <v>573</v>
      </c>
      <c r="C136" s="133"/>
      <c r="D136" s="69" t="s">
        <v>574</v>
      </c>
      <c r="E136" s="72" t="s">
        <v>350</v>
      </c>
      <c r="F136" s="152">
        <f>2*1.5*1.5</f>
        <v>4.5</v>
      </c>
      <c r="G136" s="203"/>
      <c r="H136" s="73">
        <f t="shared" si="5"/>
        <v>0</v>
      </c>
      <c r="I136" s="297" t="s">
        <v>97</v>
      </c>
      <c r="N136" s="242"/>
      <c r="P136" s="135"/>
      <c r="Q136" s="135">
        <f>0.06*0.06*(2*1.5+2*1.5)*0.6*2</f>
        <v>0.025920000000000002</v>
      </c>
      <c r="R136" s="47" t="s">
        <v>158</v>
      </c>
    </row>
    <row r="137" spans="1:18" ht="12.75">
      <c r="A137" s="64">
        <f t="shared" si="4"/>
        <v>4</v>
      </c>
      <c r="B137" s="199" t="s">
        <v>576</v>
      </c>
      <c r="C137" s="133"/>
      <c r="D137" s="69" t="s">
        <v>575</v>
      </c>
      <c r="E137" s="72" t="s">
        <v>352</v>
      </c>
      <c r="F137" s="152">
        <v>2</v>
      </c>
      <c r="G137" s="203"/>
      <c r="H137" s="73">
        <f t="shared" si="5"/>
        <v>0</v>
      </c>
      <c r="I137" s="297" t="s">
        <v>97</v>
      </c>
      <c r="N137" s="242"/>
      <c r="P137" s="135"/>
      <c r="Q137" s="135"/>
      <c r="R137" s="47"/>
    </row>
    <row r="138" spans="1:18" ht="12.75">
      <c r="A138" s="64">
        <f t="shared" si="4"/>
        <v>5</v>
      </c>
      <c r="B138" s="232" t="s">
        <v>145</v>
      </c>
      <c r="C138" s="122"/>
      <c r="D138" s="66" t="s">
        <v>1106</v>
      </c>
      <c r="E138" s="67" t="s">
        <v>350</v>
      </c>
      <c r="F138" s="148">
        <f>F235</f>
        <v>243.3272</v>
      </c>
      <c r="G138" s="203"/>
      <c r="H138" s="68">
        <f t="shared" si="5"/>
        <v>0</v>
      </c>
      <c r="I138" s="300" t="s">
        <v>97</v>
      </c>
      <c r="N138" s="242"/>
      <c r="Q138" s="135">
        <f>0.004*F138</f>
        <v>0.9733088000000001</v>
      </c>
      <c r="R138" s="47"/>
    </row>
    <row r="139" spans="1:18" ht="13.5" customHeight="1">
      <c r="A139" s="71">
        <f t="shared" si="4"/>
        <v>6</v>
      </c>
      <c r="B139" s="193" t="s">
        <v>210</v>
      </c>
      <c r="C139" s="65"/>
      <c r="D139" s="66" t="s">
        <v>141</v>
      </c>
      <c r="E139" s="67" t="s">
        <v>350</v>
      </c>
      <c r="F139" s="148">
        <f>5.5*1.5+8.9*2</f>
        <v>26.05</v>
      </c>
      <c r="G139" s="203"/>
      <c r="H139" s="68">
        <f t="shared" si="5"/>
        <v>0</v>
      </c>
      <c r="I139" s="300" t="s">
        <v>97</v>
      </c>
      <c r="N139" s="242"/>
      <c r="Q139" s="135">
        <f>0.068*F139</f>
        <v>1.7714</v>
      </c>
      <c r="R139" s="47"/>
    </row>
    <row r="140" spans="1:18" ht="13.5" customHeight="1">
      <c r="A140" s="71">
        <f t="shared" si="4"/>
        <v>7</v>
      </c>
      <c r="B140" s="193" t="s">
        <v>577</v>
      </c>
      <c r="C140" s="65"/>
      <c r="D140" s="66" t="s">
        <v>397</v>
      </c>
      <c r="E140" s="67" t="s">
        <v>350</v>
      </c>
      <c r="F140" s="148">
        <f>+(0.5+6.6+0.5)*1+1.95*1.5</f>
        <v>10.524999999999999</v>
      </c>
      <c r="G140" s="203"/>
      <c r="H140" s="68">
        <f t="shared" si="5"/>
        <v>0</v>
      </c>
      <c r="I140" s="300" t="s">
        <v>97</v>
      </c>
      <c r="N140" s="242"/>
      <c r="Q140" s="135">
        <f>0.0135*F140</f>
        <v>0.14208749999999998</v>
      </c>
      <c r="R140" s="47" t="s">
        <v>158</v>
      </c>
    </row>
    <row r="141" spans="1:18" ht="13.5" customHeight="1">
      <c r="A141" s="71">
        <f t="shared" si="4"/>
        <v>8</v>
      </c>
      <c r="B141" s="193" t="s">
        <v>862</v>
      </c>
      <c r="C141" s="65"/>
      <c r="D141" s="66" t="s">
        <v>846</v>
      </c>
      <c r="E141" s="67" t="s">
        <v>352</v>
      </c>
      <c r="F141" s="148">
        <v>4</v>
      </c>
      <c r="G141" s="203"/>
      <c r="H141" s="68">
        <f t="shared" si="5"/>
        <v>0</v>
      </c>
      <c r="I141" s="300" t="s">
        <v>97</v>
      </c>
      <c r="N141" s="242"/>
      <c r="Q141" s="135"/>
      <c r="R141" s="47"/>
    </row>
    <row r="142" spans="1:18" ht="13.5" customHeight="1">
      <c r="A142" s="71">
        <f t="shared" si="4"/>
        <v>9</v>
      </c>
      <c r="B142" s="193" t="s">
        <v>852</v>
      </c>
      <c r="C142" s="65"/>
      <c r="D142" s="66" t="s">
        <v>849</v>
      </c>
      <c r="E142" s="67" t="s">
        <v>352</v>
      </c>
      <c r="F142" s="148">
        <v>2</v>
      </c>
      <c r="G142" s="203"/>
      <c r="H142" s="68">
        <f t="shared" si="5"/>
        <v>0</v>
      </c>
      <c r="I142" s="300" t="s">
        <v>97</v>
      </c>
      <c r="N142" s="242"/>
      <c r="Q142" s="135"/>
      <c r="R142" s="47"/>
    </row>
    <row r="143" spans="1:18" ht="13.5" customHeight="1">
      <c r="A143" s="71">
        <f t="shared" si="4"/>
        <v>10</v>
      </c>
      <c r="B143" s="193" t="s">
        <v>851</v>
      </c>
      <c r="C143" s="65"/>
      <c r="D143" s="66" t="s">
        <v>848</v>
      </c>
      <c r="E143" s="67" t="s">
        <v>349</v>
      </c>
      <c r="F143" s="148">
        <v>1</v>
      </c>
      <c r="G143" s="203"/>
      <c r="H143" s="68">
        <f t="shared" si="5"/>
        <v>0</v>
      </c>
      <c r="I143" s="300" t="s">
        <v>97</v>
      </c>
      <c r="N143" s="242"/>
      <c r="Q143" s="135"/>
      <c r="R143" s="47"/>
    </row>
    <row r="144" spans="1:18" ht="12.75">
      <c r="A144" s="71">
        <f t="shared" si="4"/>
        <v>11</v>
      </c>
      <c r="B144" s="193" t="s">
        <v>1082</v>
      </c>
      <c r="C144" s="65"/>
      <c r="D144" s="66" t="s">
        <v>909</v>
      </c>
      <c r="E144" s="67" t="s">
        <v>352</v>
      </c>
      <c r="F144" s="148">
        <v>1</v>
      </c>
      <c r="G144" s="203"/>
      <c r="H144" s="68">
        <f t="shared" si="5"/>
        <v>0</v>
      </c>
      <c r="I144" s="300" t="s">
        <v>97</v>
      </c>
      <c r="N144" s="242"/>
      <c r="O144" s="242"/>
      <c r="P144" s="242"/>
      <c r="Q144" s="273"/>
      <c r="R144" s="47"/>
    </row>
    <row r="145" spans="1:18" ht="12.75">
      <c r="A145" s="71">
        <f t="shared" si="4"/>
        <v>12</v>
      </c>
      <c r="B145" s="193" t="s">
        <v>578</v>
      </c>
      <c r="C145" s="122"/>
      <c r="D145" s="66" t="s">
        <v>375</v>
      </c>
      <c r="E145" s="67" t="s">
        <v>136</v>
      </c>
      <c r="F145" s="148">
        <f>1.1*0.825*0.49</f>
        <v>0.444675</v>
      </c>
      <c r="G145" s="203"/>
      <c r="H145" s="68">
        <f t="shared" si="5"/>
        <v>0</v>
      </c>
      <c r="I145" s="300" t="s">
        <v>97</v>
      </c>
      <c r="N145" s="242"/>
      <c r="O145" s="6">
        <v>2.1</v>
      </c>
      <c r="Q145" s="135">
        <f>+O145*F145</f>
        <v>0.9338175</v>
      </c>
      <c r="R145" s="47"/>
    </row>
    <row r="146" spans="1:18" ht="12.75">
      <c r="A146" s="71">
        <f t="shared" si="4"/>
        <v>13</v>
      </c>
      <c r="B146" s="193" t="s">
        <v>857</v>
      </c>
      <c r="C146" s="65"/>
      <c r="D146" s="66" t="s">
        <v>858</v>
      </c>
      <c r="E146" s="67" t="s">
        <v>350</v>
      </c>
      <c r="F146" s="148">
        <f>1.28*1+0.6*0.3</f>
        <v>1.46</v>
      </c>
      <c r="G146" s="203"/>
      <c r="H146" s="68">
        <f t="shared" si="5"/>
        <v>0</v>
      </c>
      <c r="I146" s="300" t="s">
        <v>97</v>
      </c>
      <c r="N146" s="242"/>
      <c r="Q146" s="135"/>
      <c r="R146" s="47"/>
    </row>
    <row r="147" spans="1:18" ht="13.5" customHeight="1">
      <c r="A147" s="71">
        <f t="shared" si="4"/>
        <v>14</v>
      </c>
      <c r="B147" s="193" t="s">
        <v>788</v>
      </c>
      <c r="C147" s="65"/>
      <c r="D147" s="66" t="s">
        <v>789</v>
      </c>
      <c r="E147" s="67" t="s">
        <v>350</v>
      </c>
      <c r="F147" s="148">
        <f>2.92*2.3</f>
        <v>6.715999999999999</v>
      </c>
      <c r="G147" s="203"/>
      <c r="H147" s="68">
        <f>F147*G147</f>
        <v>0</v>
      </c>
      <c r="I147" s="300" t="s">
        <v>97</v>
      </c>
      <c r="N147" s="242"/>
      <c r="Q147" s="135">
        <f>0.0135*F147</f>
        <v>0.09066599999999998</v>
      </c>
      <c r="R147" s="47" t="s">
        <v>158</v>
      </c>
    </row>
    <row r="148" spans="1:18" ht="25.5">
      <c r="A148" s="71">
        <f t="shared" si="4"/>
        <v>15</v>
      </c>
      <c r="B148" s="211" t="s">
        <v>1007</v>
      </c>
      <c r="C148" s="65"/>
      <c r="D148" s="66" t="s">
        <v>1008</v>
      </c>
      <c r="E148" s="67" t="s">
        <v>353</v>
      </c>
      <c r="F148" s="148">
        <f>0.81+0.19+0.19+2*0.76+0.81+0.76*2+0.3</f>
        <v>5.34</v>
      </c>
      <c r="G148" s="203"/>
      <c r="H148" s="68">
        <f>F148*G148</f>
        <v>0</v>
      </c>
      <c r="I148" s="300" t="s">
        <v>97</v>
      </c>
      <c r="N148" s="242"/>
      <c r="O148" s="6">
        <v>2.1</v>
      </c>
      <c r="P148" s="273"/>
      <c r="Q148" s="135">
        <f>+P148*O148</f>
        <v>0</v>
      </c>
      <c r="R148" s="47"/>
    </row>
    <row r="149" spans="1:18" ht="25.5">
      <c r="A149" s="71">
        <f t="shared" si="4"/>
        <v>16</v>
      </c>
      <c r="B149" s="213" t="s">
        <v>950</v>
      </c>
      <c r="C149" s="212"/>
      <c r="D149" s="207" t="s">
        <v>1006</v>
      </c>
      <c r="E149" s="202" t="s">
        <v>353</v>
      </c>
      <c r="F149" s="162">
        <f>0.19+0.19+2*0.76+2*0.19+2*0.3</f>
        <v>2.88</v>
      </c>
      <c r="G149" s="312"/>
      <c r="H149" s="204">
        <f>F149*G149</f>
        <v>0</v>
      </c>
      <c r="I149" s="300" t="s">
        <v>97</v>
      </c>
      <c r="N149" s="242"/>
      <c r="P149" s="273"/>
      <c r="Q149" s="135"/>
      <c r="R149" s="47"/>
    </row>
    <row r="150" spans="1:18" ht="25.5">
      <c r="A150" s="71">
        <f t="shared" si="4"/>
        <v>17</v>
      </c>
      <c r="B150" s="194" t="s">
        <v>790</v>
      </c>
      <c r="C150" s="65"/>
      <c r="D150" s="66" t="s">
        <v>791</v>
      </c>
      <c r="E150" s="67" t="s">
        <v>353</v>
      </c>
      <c r="F150" s="148">
        <f>2*0.81+2*0.3</f>
        <v>2.22</v>
      </c>
      <c r="G150" s="203"/>
      <c r="H150" s="68">
        <f>F150*G150</f>
        <v>0</v>
      </c>
      <c r="I150" s="300" t="s">
        <v>97</v>
      </c>
      <c r="N150" s="242"/>
      <c r="P150" s="273"/>
      <c r="Q150" s="135"/>
      <c r="R150" s="47"/>
    </row>
    <row r="151" spans="1:18" ht="12.75">
      <c r="A151" s="71">
        <f t="shared" si="4"/>
        <v>18</v>
      </c>
      <c r="B151" s="195" t="s">
        <v>580</v>
      </c>
      <c r="C151" s="65"/>
      <c r="D151" s="66" t="s">
        <v>579</v>
      </c>
      <c r="E151" s="67" t="s">
        <v>350</v>
      </c>
      <c r="F151" s="148">
        <v>10.9</v>
      </c>
      <c r="G151" s="203"/>
      <c r="H151" s="68">
        <f aca="true" t="shared" si="6" ref="H151:H158">F151*G151</f>
        <v>0</v>
      </c>
      <c r="I151" s="300" t="s">
        <v>97</v>
      </c>
      <c r="N151" s="242"/>
      <c r="O151" s="242"/>
      <c r="Q151" s="135">
        <f>0.045*F151</f>
        <v>0.4905</v>
      </c>
      <c r="R151" s="47"/>
    </row>
    <row r="152" spans="1:18" ht="25.5">
      <c r="A152" s="71">
        <f t="shared" si="4"/>
        <v>19</v>
      </c>
      <c r="B152" s="233" t="s">
        <v>1107</v>
      </c>
      <c r="C152" s="65"/>
      <c r="D152" s="66" t="s">
        <v>1108</v>
      </c>
      <c r="E152" s="67" t="s">
        <v>350</v>
      </c>
      <c r="F152" s="148">
        <f>5.1+12+1.8</f>
        <v>18.900000000000002</v>
      </c>
      <c r="G152" s="203"/>
      <c r="H152" s="68">
        <f>F152*G152</f>
        <v>0</v>
      </c>
      <c r="I152" s="300" t="s">
        <v>97</v>
      </c>
      <c r="N152" s="242"/>
      <c r="O152" s="242"/>
      <c r="Q152" s="135"/>
      <c r="R152" s="47"/>
    </row>
    <row r="153" spans="1:18" ht="25.5">
      <c r="A153" s="71">
        <f t="shared" si="4"/>
        <v>20</v>
      </c>
      <c r="B153" s="195" t="s">
        <v>1110</v>
      </c>
      <c r="C153" s="65"/>
      <c r="D153" s="66" t="s">
        <v>1109</v>
      </c>
      <c r="E153" s="67" t="s">
        <v>136</v>
      </c>
      <c r="F153" s="148">
        <f>(F151+F152)*0.06</f>
        <v>1.7880000000000003</v>
      </c>
      <c r="G153" s="203"/>
      <c r="H153" s="68">
        <f t="shared" si="6"/>
        <v>0</v>
      </c>
      <c r="I153" s="300" t="s">
        <v>97</v>
      </c>
      <c r="N153" s="242"/>
      <c r="O153" s="242"/>
      <c r="Q153" s="135">
        <f>+F153*0.417</f>
        <v>0.745596</v>
      </c>
      <c r="R153" s="47"/>
    </row>
    <row r="154" spans="1:18" ht="25.5">
      <c r="A154" s="71">
        <f t="shared" si="4"/>
        <v>21</v>
      </c>
      <c r="B154" s="193" t="s">
        <v>261</v>
      </c>
      <c r="C154" s="65"/>
      <c r="D154" s="66" t="s">
        <v>364</v>
      </c>
      <c r="E154" s="67" t="s">
        <v>350</v>
      </c>
      <c r="F154" s="148">
        <f>19.5+10.9+15+8.8</f>
        <v>54.2</v>
      </c>
      <c r="G154" s="203"/>
      <c r="H154" s="68">
        <f t="shared" si="6"/>
        <v>0</v>
      </c>
      <c r="I154" s="300" t="s">
        <v>97</v>
      </c>
      <c r="N154" s="242"/>
      <c r="O154" s="242"/>
      <c r="P154" s="242"/>
      <c r="Q154" s="135">
        <f>0.001*F154</f>
        <v>0.054200000000000005</v>
      </c>
      <c r="R154" s="47"/>
    </row>
    <row r="155" spans="1:18" ht="12.75">
      <c r="A155" s="64">
        <f>A154+1</f>
        <v>22</v>
      </c>
      <c r="B155" s="193" t="s">
        <v>583</v>
      </c>
      <c r="C155" s="65"/>
      <c r="D155" s="66" t="s">
        <v>584</v>
      </c>
      <c r="E155" s="67" t="s">
        <v>350</v>
      </c>
      <c r="F155" s="148">
        <v>19.5</v>
      </c>
      <c r="G155" s="203"/>
      <c r="H155" s="68">
        <f t="shared" si="6"/>
        <v>0</v>
      </c>
      <c r="I155" s="300" t="s">
        <v>97</v>
      </c>
      <c r="N155" s="242"/>
      <c r="O155" s="242"/>
      <c r="P155" s="242"/>
      <c r="Q155" s="135">
        <f>+F155*0.035</f>
        <v>0.6825000000000001</v>
      </c>
      <c r="R155" s="47" t="s">
        <v>158</v>
      </c>
    </row>
    <row r="156" spans="1:18" ht="12.75">
      <c r="A156" s="64">
        <f>A155+1</f>
        <v>23</v>
      </c>
      <c r="B156" s="193" t="s">
        <v>786</v>
      </c>
      <c r="C156" s="65"/>
      <c r="D156" s="66" t="s">
        <v>785</v>
      </c>
      <c r="E156" s="67" t="s">
        <v>350</v>
      </c>
      <c r="F156" s="148">
        <f>19.5+28+26.3</f>
        <v>73.8</v>
      </c>
      <c r="G156" s="203"/>
      <c r="H156" s="68">
        <f t="shared" si="6"/>
        <v>0</v>
      </c>
      <c r="I156" s="300" t="s">
        <v>97</v>
      </c>
      <c r="N156" s="242"/>
      <c r="O156" s="242"/>
      <c r="P156" s="242"/>
      <c r="Q156" s="135"/>
      <c r="R156" s="47"/>
    </row>
    <row r="157" spans="1:18" ht="12.75">
      <c r="A157" s="64">
        <f>A156+1</f>
        <v>24</v>
      </c>
      <c r="B157" s="193" t="s">
        <v>581</v>
      </c>
      <c r="C157" s="65"/>
      <c r="D157" s="66" t="s">
        <v>582</v>
      </c>
      <c r="E157" s="67" t="s">
        <v>350</v>
      </c>
      <c r="F157" s="148">
        <f>+F156</f>
        <v>73.8</v>
      </c>
      <c r="G157" s="203"/>
      <c r="H157" s="68">
        <f t="shared" si="6"/>
        <v>0</v>
      </c>
      <c r="I157" s="300" t="s">
        <v>97</v>
      </c>
      <c r="N157" s="242"/>
      <c r="O157" s="242"/>
      <c r="P157" s="242"/>
      <c r="Q157" s="273">
        <f>+F157*0.0204</f>
        <v>1.50552</v>
      </c>
      <c r="R157" s="47" t="s">
        <v>158</v>
      </c>
    </row>
    <row r="158" spans="1:18" ht="25.5">
      <c r="A158" s="64">
        <f>A157+1</f>
        <v>25</v>
      </c>
      <c r="B158" s="193" t="s">
        <v>146</v>
      </c>
      <c r="C158" s="65"/>
      <c r="D158" s="69" t="s">
        <v>376</v>
      </c>
      <c r="E158" s="67" t="s">
        <v>350</v>
      </c>
      <c r="F158" s="148">
        <f>+E159+E160+E161</f>
        <v>101.80000000000001</v>
      </c>
      <c r="G158" s="203"/>
      <c r="H158" s="68">
        <f t="shared" si="6"/>
        <v>0</v>
      </c>
      <c r="I158" s="300" t="s">
        <v>97</v>
      </c>
      <c r="N158" s="242"/>
      <c r="O158" s="242"/>
      <c r="P158" s="273"/>
      <c r="Q158" s="273">
        <f>0.167*F158</f>
        <v>17.000600000000002</v>
      </c>
      <c r="R158" s="47"/>
    </row>
    <row r="159" spans="1:18" ht="12.75">
      <c r="A159" s="64"/>
      <c r="B159" s="188"/>
      <c r="C159" s="65"/>
      <c r="D159" s="70" t="s">
        <v>586</v>
      </c>
      <c r="E159" s="105">
        <f>19.5+28+26.3</f>
        <v>73.8</v>
      </c>
      <c r="F159" s="148"/>
      <c r="G159" s="203"/>
      <c r="H159" s="68"/>
      <c r="I159" s="300"/>
      <c r="N159" s="242"/>
      <c r="O159" s="242"/>
      <c r="P159" s="242"/>
      <c r="Q159" s="273"/>
      <c r="R159" s="47"/>
    </row>
    <row r="160" spans="1:18" ht="12.75">
      <c r="A160" s="64"/>
      <c r="B160" s="188"/>
      <c r="C160" s="65"/>
      <c r="D160" s="70" t="s">
        <v>587</v>
      </c>
      <c r="E160" s="105">
        <f>12+5.1</f>
        <v>17.1</v>
      </c>
      <c r="F160" s="148"/>
      <c r="G160" s="203"/>
      <c r="H160" s="68"/>
      <c r="I160" s="300"/>
      <c r="N160" s="242"/>
      <c r="O160" s="242"/>
      <c r="P160" s="242"/>
      <c r="Q160" s="273"/>
      <c r="R160" s="47"/>
    </row>
    <row r="161" spans="4:8" ht="12.75">
      <c r="D161" s="70" t="s">
        <v>585</v>
      </c>
      <c r="E161" s="105">
        <v>10.9</v>
      </c>
      <c r="F161" s="148"/>
      <c r="G161" s="203"/>
      <c r="H161" s="68"/>
    </row>
    <row r="162" spans="1:18" ht="12.75">
      <c r="A162" s="64">
        <f>A158+1</f>
        <v>26</v>
      </c>
      <c r="B162" s="193" t="s">
        <v>589</v>
      </c>
      <c r="C162" s="65"/>
      <c r="D162" s="69" t="s">
        <v>590</v>
      </c>
      <c r="E162" s="67" t="s">
        <v>350</v>
      </c>
      <c r="F162" s="148">
        <f>12+5.1</f>
        <v>17.1</v>
      </c>
      <c r="G162" s="203"/>
      <c r="H162" s="68">
        <f aca="true" t="shared" si="7" ref="H162:H170">F162*G162</f>
        <v>0</v>
      </c>
      <c r="I162" s="300" t="s">
        <v>97</v>
      </c>
      <c r="N162" s="242"/>
      <c r="O162" s="242"/>
      <c r="P162" s="273"/>
      <c r="Q162" s="273">
        <f>0.01216*F162</f>
        <v>0.20793600000000004</v>
      </c>
      <c r="R162" s="47"/>
    </row>
    <row r="163" spans="1:18" ht="12.75">
      <c r="A163" s="64">
        <f>A162+1</f>
        <v>27</v>
      </c>
      <c r="B163" s="193" t="s">
        <v>588</v>
      </c>
      <c r="C163" s="65"/>
      <c r="D163" s="69" t="s">
        <v>835</v>
      </c>
      <c r="E163" s="67" t="s">
        <v>350</v>
      </c>
      <c r="F163" s="148">
        <f>26.3+28+19.5+10.8+1.8</f>
        <v>86.39999999999999</v>
      </c>
      <c r="G163" s="203"/>
      <c r="H163" s="68">
        <f t="shared" si="7"/>
        <v>0</v>
      </c>
      <c r="I163" s="300" t="s">
        <v>97</v>
      </c>
      <c r="N163" s="242"/>
      <c r="O163" s="242"/>
      <c r="P163" s="273"/>
      <c r="Q163" s="273">
        <f>0.02*F163</f>
        <v>1.7279999999999998</v>
      </c>
      <c r="R163" s="47" t="s">
        <v>158</v>
      </c>
    </row>
    <row r="164" spans="1:18" ht="12.75">
      <c r="A164" s="64">
        <f aca="true" t="shared" si="8" ref="A164:A178">A163+1</f>
        <v>28</v>
      </c>
      <c r="B164" s="193" t="s">
        <v>591</v>
      </c>
      <c r="C164" s="65"/>
      <c r="D164" s="69" t="s">
        <v>592</v>
      </c>
      <c r="E164" s="67" t="s">
        <v>136</v>
      </c>
      <c r="F164" s="148">
        <f>0.06*0.15*(4.8+4.5+3.8+1.9)*5*2</f>
        <v>1.35</v>
      </c>
      <c r="G164" s="203"/>
      <c r="H164" s="68">
        <f t="shared" si="7"/>
        <v>0</v>
      </c>
      <c r="I164" s="300" t="s">
        <v>97</v>
      </c>
      <c r="N164" s="242"/>
      <c r="O164" s="242"/>
      <c r="P164" s="273"/>
      <c r="Q164" s="273">
        <f>0.6*F164</f>
        <v>0.81</v>
      </c>
      <c r="R164" s="47" t="s">
        <v>158</v>
      </c>
    </row>
    <row r="165" spans="1:18" ht="38.25">
      <c r="A165" s="64">
        <f t="shared" si="8"/>
        <v>29</v>
      </c>
      <c r="B165" s="193" t="s">
        <v>566</v>
      </c>
      <c r="C165" s="65"/>
      <c r="D165" s="66" t="s">
        <v>593</v>
      </c>
      <c r="E165" s="67" t="s">
        <v>350</v>
      </c>
      <c r="F165" s="148">
        <f>+F167</f>
        <v>8.040000000000001</v>
      </c>
      <c r="G165" s="203"/>
      <c r="H165" s="68">
        <f t="shared" si="7"/>
        <v>0</v>
      </c>
      <c r="I165" s="303" t="s">
        <v>97</v>
      </c>
      <c r="K165" s="6"/>
      <c r="O165" s="242"/>
      <c r="R165" s="135"/>
    </row>
    <row r="166" spans="1:18" ht="12.75">
      <c r="A166" s="64">
        <f t="shared" si="8"/>
        <v>30</v>
      </c>
      <c r="B166" s="193" t="s">
        <v>567</v>
      </c>
      <c r="C166" s="65"/>
      <c r="D166" s="66" t="s">
        <v>1081</v>
      </c>
      <c r="E166" s="67" t="s">
        <v>349</v>
      </c>
      <c r="F166" s="148">
        <v>1</v>
      </c>
      <c r="G166" s="203"/>
      <c r="H166" s="68">
        <f t="shared" si="7"/>
        <v>0</v>
      </c>
      <c r="I166" s="303" t="s">
        <v>97</v>
      </c>
      <c r="K166" s="6"/>
      <c r="O166" s="242"/>
      <c r="R166" s="135"/>
    </row>
    <row r="167" spans="1:18" ht="25.5">
      <c r="A167" s="64">
        <f t="shared" si="8"/>
        <v>31</v>
      </c>
      <c r="B167" s="193" t="s">
        <v>949</v>
      </c>
      <c r="C167" s="65"/>
      <c r="D167" s="207" t="s">
        <v>951</v>
      </c>
      <c r="E167" s="67" t="s">
        <v>350</v>
      </c>
      <c r="F167" s="148">
        <f>(4.8+4.5+3.8+3.5+3.5)*0.4</f>
        <v>8.040000000000001</v>
      </c>
      <c r="G167" s="203"/>
      <c r="H167" s="68">
        <f t="shared" si="7"/>
        <v>0</v>
      </c>
      <c r="I167" s="303" t="s">
        <v>97</v>
      </c>
      <c r="K167" s="6"/>
      <c r="O167" s="242"/>
      <c r="R167" s="135"/>
    </row>
    <row r="168" spans="1:18" ht="12.75">
      <c r="A168" s="64">
        <f t="shared" si="8"/>
        <v>32</v>
      </c>
      <c r="B168" s="193" t="s">
        <v>1111</v>
      </c>
      <c r="C168" s="65"/>
      <c r="D168" s="66" t="s">
        <v>1112</v>
      </c>
      <c r="E168" s="67" t="s">
        <v>136</v>
      </c>
      <c r="F168" s="148">
        <f>F165*0.05</f>
        <v>0.4020000000000001</v>
      </c>
      <c r="G168" s="203"/>
      <c r="H168" s="68">
        <f t="shared" si="7"/>
        <v>0</v>
      </c>
      <c r="I168" s="303" t="s">
        <v>97</v>
      </c>
      <c r="K168" s="6"/>
      <c r="O168" s="242"/>
      <c r="R168" s="135"/>
    </row>
    <row r="169" spans="1:18" ht="12.75">
      <c r="A169" s="64">
        <f t="shared" si="8"/>
        <v>33</v>
      </c>
      <c r="B169" s="193" t="s">
        <v>861</v>
      </c>
      <c r="C169" s="65"/>
      <c r="D169" s="66" t="s">
        <v>847</v>
      </c>
      <c r="E169" s="67" t="s">
        <v>352</v>
      </c>
      <c r="F169" s="148">
        <v>1</v>
      </c>
      <c r="G169" s="203"/>
      <c r="H169" s="68">
        <f t="shared" si="7"/>
        <v>0</v>
      </c>
      <c r="I169" s="303" t="s">
        <v>97</v>
      </c>
      <c r="K169" s="6"/>
      <c r="O169" s="242"/>
      <c r="R169" s="135"/>
    </row>
    <row r="170" spans="1:18" ht="12.75">
      <c r="A170" s="64">
        <f t="shared" si="8"/>
        <v>34</v>
      </c>
      <c r="B170" s="193" t="s">
        <v>596</v>
      </c>
      <c r="C170" s="65"/>
      <c r="D170" s="66" t="s">
        <v>594</v>
      </c>
      <c r="E170" s="67" t="s">
        <v>352</v>
      </c>
      <c r="F170" s="148">
        <v>3</v>
      </c>
      <c r="G170" s="203"/>
      <c r="H170" s="68">
        <f t="shared" si="7"/>
        <v>0</v>
      </c>
      <c r="I170" s="303" t="s">
        <v>97</v>
      </c>
      <c r="K170" s="6"/>
      <c r="O170" s="242"/>
      <c r="Q170" s="6">
        <f>0.12*3</f>
        <v>0.36</v>
      </c>
      <c r="R170" s="135"/>
    </row>
    <row r="171" spans="1:17" ht="12.75">
      <c r="A171" s="64">
        <f t="shared" si="8"/>
        <v>35</v>
      </c>
      <c r="B171" s="188" t="s">
        <v>274</v>
      </c>
      <c r="C171" s="65"/>
      <c r="D171" s="66" t="s">
        <v>90</v>
      </c>
      <c r="E171" s="67" t="s">
        <v>350</v>
      </c>
      <c r="F171" s="148">
        <f>+(1.38+1.365+1.39+1.37)*2.16+(4.62+4.65)*3.5</f>
        <v>44.3358</v>
      </c>
      <c r="G171" s="203"/>
      <c r="H171" s="68">
        <f aca="true" t="shared" si="9" ref="H171:H179">F171*G171</f>
        <v>0</v>
      </c>
      <c r="I171" s="300" t="s">
        <v>97</v>
      </c>
      <c r="N171" s="242"/>
      <c r="Q171" s="135"/>
    </row>
    <row r="172" spans="1:18" ht="12.75">
      <c r="A172" s="64">
        <f t="shared" si="8"/>
        <v>36</v>
      </c>
      <c r="B172" s="188" t="s">
        <v>468</v>
      </c>
      <c r="C172" s="65"/>
      <c r="D172" s="66" t="s">
        <v>469</v>
      </c>
      <c r="E172" s="67" t="s">
        <v>354</v>
      </c>
      <c r="F172" s="148">
        <f>+Q172</f>
        <v>28.250051799999998</v>
      </c>
      <c r="G172" s="203"/>
      <c r="H172" s="68">
        <f t="shared" si="9"/>
        <v>0</v>
      </c>
      <c r="I172" s="300" t="s">
        <v>97</v>
      </c>
      <c r="N172" s="242"/>
      <c r="Q172" s="274">
        <f>SUM(Q134:Q171)</f>
        <v>28.250051799999998</v>
      </c>
      <c r="R172" s="237">
        <f>SUMIF(R$134:R$170,"d",Q$134:Q$170)</f>
        <v>5.096693500000001</v>
      </c>
    </row>
    <row r="173" spans="1:18" ht="12.75">
      <c r="A173" s="64">
        <f t="shared" si="8"/>
        <v>37</v>
      </c>
      <c r="B173" s="188" t="s">
        <v>147</v>
      </c>
      <c r="C173" s="65"/>
      <c r="D173" s="66" t="s">
        <v>253</v>
      </c>
      <c r="E173" s="67" t="s">
        <v>354</v>
      </c>
      <c r="F173" s="148">
        <f>+F172</f>
        <v>28.250051799999998</v>
      </c>
      <c r="G173" s="185"/>
      <c r="H173" s="68">
        <f t="shared" si="9"/>
        <v>0</v>
      </c>
      <c r="I173" s="300" t="s">
        <v>97</v>
      </c>
      <c r="N173" s="242"/>
      <c r="Q173" s="274"/>
      <c r="R173" s="237"/>
    </row>
    <row r="174" spans="1:18" ht="12.75">
      <c r="A174" s="64">
        <f t="shared" si="8"/>
        <v>38</v>
      </c>
      <c r="B174" s="188" t="s">
        <v>148</v>
      </c>
      <c r="C174" s="65"/>
      <c r="D174" s="66" t="s">
        <v>149</v>
      </c>
      <c r="E174" s="67" t="s">
        <v>354</v>
      </c>
      <c r="F174" s="148">
        <f>F172</f>
        <v>28.250051799999998</v>
      </c>
      <c r="G174" s="185"/>
      <c r="H174" s="68">
        <f t="shared" si="9"/>
        <v>0</v>
      </c>
      <c r="I174" s="300" t="s">
        <v>97</v>
      </c>
      <c r="N174" s="242"/>
      <c r="Q174" s="274"/>
      <c r="R174" s="237"/>
    </row>
    <row r="175" spans="1:18" ht="12.75">
      <c r="A175" s="64">
        <f t="shared" si="8"/>
        <v>39</v>
      </c>
      <c r="B175" s="188" t="s">
        <v>150</v>
      </c>
      <c r="C175" s="65"/>
      <c r="D175" s="66" t="s">
        <v>151</v>
      </c>
      <c r="E175" s="67" t="s">
        <v>354</v>
      </c>
      <c r="F175" s="148">
        <f>F172</f>
        <v>28.250051799999998</v>
      </c>
      <c r="G175" s="203"/>
      <c r="H175" s="68">
        <f t="shared" si="9"/>
        <v>0</v>
      </c>
      <c r="I175" s="300" t="s">
        <v>97</v>
      </c>
      <c r="N175" s="242"/>
      <c r="Q175" s="274"/>
      <c r="R175" s="237"/>
    </row>
    <row r="176" spans="1:18" ht="12.75">
      <c r="A176" s="64">
        <f t="shared" si="8"/>
        <v>40</v>
      </c>
      <c r="B176" s="188" t="s">
        <v>152</v>
      </c>
      <c r="C176" s="65"/>
      <c r="D176" s="66" t="s">
        <v>153</v>
      </c>
      <c r="E176" s="67" t="s">
        <v>354</v>
      </c>
      <c r="F176" s="148">
        <f>F172</f>
        <v>28.250051799999998</v>
      </c>
      <c r="G176" s="203"/>
      <c r="H176" s="68">
        <f t="shared" si="9"/>
        <v>0</v>
      </c>
      <c r="I176" s="300" t="s">
        <v>97</v>
      </c>
      <c r="N176" s="242"/>
      <c r="Q176" s="274"/>
      <c r="R176" s="237"/>
    </row>
    <row r="177" spans="1:18" ht="12.75">
      <c r="A177" s="64">
        <f t="shared" si="8"/>
        <v>41</v>
      </c>
      <c r="B177" s="188" t="s">
        <v>154</v>
      </c>
      <c r="C177" s="65"/>
      <c r="D177" s="66" t="s">
        <v>155</v>
      </c>
      <c r="E177" s="67" t="s">
        <v>354</v>
      </c>
      <c r="F177" s="148">
        <f>Q172-R172</f>
        <v>23.153358299999997</v>
      </c>
      <c r="G177" s="203"/>
      <c r="H177" s="68">
        <f t="shared" si="9"/>
        <v>0</v>
      </c>
      <c r="I177" s="300" t="s">
        <v>97</v>
      </c>
      <c r="N177" s="242"/>
      <c r="Q177" s="274"/>
      <c r="R177" s="237"/>
    </row>
    <row r="178" spans="1:18" ht="12.75">
      <c r="A178" s="64">
        <f t="shared" si="8"/>
        <v>42</v>
      </c>
      <c r="B178" s="188" t="s">
        <v>157</v>
      </c>
      <c r="C178" s="65"/>
      <c r="D178" s="66" t="s">
        <v>156</v>
      </c>
      <c r="E178" s="67" t="s">
        <v>354</v>
      </c>
      <c r="F178" s="148">
        <f>R172</f>
        <v>5.096693500000001</v>
      </c>
      <c r="G178" s="203"/>
      <c r="H178" s="68">
        <f t="shared" si="9"/>
        <v>0</v>
      </c>
      <c r="I178" s="300" t="s">
        <v>97</v>
      </c>
      <c r="N178" s="242"/>
      <c r="Q178" s="274"/>
      <c r="R178" s="237"/>
    </row>
    <row r="179" spans="1:9" ht="13.5" thickBot="1">
      <c r="A179" s="64">
        <f>A178+1</f>
        <v>43</v>
      </c>
      <c r="B179" s="188" t="s">
        <v>473</v>
      </c>
      <c r="C179" s="65"/>
      <c r="D179" s="66" t="s">
        <v>474</v>
      </c>
      <c r="E179" s="67" t="s">
        <v>354</v>
      </c>
      <c r="F179" s="148">
        <f>+Q172</f>
        <v>28.250051799999998</v>
      </c>
      <c r="G179" s="203"/>
      <c r="H179" s="68">
        <f t="shared" si="9"/>
        <v>0</v>
      </c>
      <c r="I179" s="300" t="s">
        <v>97</v>
      </c>
    </row>
    <row r="180" spans="1:9" ht="13.5" thickBot="1">
      <c r="A180" s="64"/>
      <c r="B180" s="188"/>
      <c r="C180" s="65"/>
      <c r="D180" s="74" t="s">
        <v>351</v>
      </c>
      <c r="E180" s="75"/>
      <c r="F180" s="150"/>
      <c r="G180" s="128"/>
      <c r="H180" s="76">
        <f>SUBTOTAL(9,H134:H179)</f>
        <v>0</v>
      </c>
      <c r="I180" s="300"/>
    </row>
    <row r="181" spans="1:9" ht="12.75">
      <c r="A181" s="64"/>
      <c r="B181" s="188"/>
      <c r="C181" s="65"/>
      <c r="D181" s="77"/>
      <c r="E181" s="78"/>
      <c r="F181" s="138"/>
      <c r="G181" s="22"/>
      <c r="H181" s="79"/>
      <c r="I181" s="300"/>
    </row>
    <row r="182" spans="1:9" ht="16.5">
      <c r="A182" s="64"/>
      <c r="B182" s="188"/>
      <c r="C182" s="62" t="s">
        <v>0</v>
      </c>
      <c r="D182" s="63" t="s">
        <v>91</v>
      </c>
      <c r="E182" s="63"/>
      <c r="F182" s="151"/>
      <c r="G182" s="63"/>
      <c r="H182" s="63"/>
      <c r="I182" s="300"/>
    </row>
    <row r="183" spans="1:9" ht="16.5">
      <c r="A183" s="64"/>
      <c r="B183" s="188"/>
      <c r="C183" s="80" t="s">
        <v>8</v>
      </c>
      <c r="D183" s="63" t="s">
        <v>22</v>
      </c>
      <c r="E183" s="63"/>
      <c r="F183" s="151"/>
      <c r="G183" s="63"/>
      <c r="H183" s="63"/>
      <c r="I183" s="300"/>
    </row>
    <row r="184" spans="1:11" ht="38.25">
      <c r="A184" s="64">
        <f>+A179+1</f>
        <v>44</v>
      </c>
      <c r="B184" s="193" t="s">
        <v>917</v>
      </c>
      <c r="C184" s="65"/>
      <c r="D184" s="69" t="s">
        <v>597</v>
      </c>
      <c r="E184" s="72" t="s">
        <v>350</v>
      </c>
      <c r="F184" s="152">
        <f>+E185</f>
        <v>2.125</v>
      </c>
      <c r="G184" s="203"/>
      <c r="H184" s="73">
        <f>F184*G184</f>
        <v>0</v>
      </c>
      <c r="I184" s="300" t="s">
        <v>100</v>
      </c>
      <c r="J184" s="104"/>
      <c r="K184" s="6"/>
    </row>
    <row r="185" spans="1:9" ht="12.75">
      <c r="A185" s="64"/>
      <c r="B185" s="188"/>
      <c r="C185" s="65"/>
      <c r="D185" s="70" t="s">
        <v>974</v>
      </c>
      <c r="E185" s="105">
        <f>2.5*0.85</f>
        <v>2.125</v>
      </c>
      <c r="F185" s="148"/>
      <c r="G185" s="203"/>
      <c r="H185" s="68"/>
      <c r="I185" s="300"/>
    </row>
    <row r="186" spans="1:11" ht="51">
      <c r="A186" s="64">
        <f>A184+1</f>
        <v>45</v>
      </c>
      <c r="B186" s="193" t="s">
        <v>918</v>
      </c>
      <c r="C186" s="65"/>
      <c r="D186" s="69" t="s">
        <v>377</v>
      </c>
      <c r="E186" s="72" t="s">
        <v>350</v>
      </c>
      <c r="F186" s="152">
        <f>+E187+E188+E189</f>
        <v>29.011499999999998</v>
      </c>
      <c r="G186" s="203"/>
      <c r="H186" s="73">
        <f>F186*G186</f>
        <v>0</v>
      </c>
      <c r="I186" s="300" t="s">
        <v>100</v>
      </c>
      <c r="J186" s="104"/>
      <c r="K186" s="6"/>
    </row>
    <row r="187" spans="1:11" ht="12.75">
      <c r="A187" s="64"/>
      <c r="B187" s="188"/>
      <c r="C187" s="65"/>
      <c r="D187" s="70" t="s">
        <v>599</v>
      </c>
      <c r="E187" s="105">
        <f>1.55*2.55+1.21*1.2+1.41*3.1-0.8*2.05</f>
        <v>8.135499999999999</v>
      </c>
      <c r="F187" s="152"/>
      <c r="G187" s="203"/>
      <c r="H187" s="73"/>
      <c r="I187" s="300"/>
      <c r="J187" s="104"/>
      <c r="K187" s="6"/>
    </row>
    <row r="188" spans="1:11" ht="12.75">
      <c r="A188" s="64"/>
      <c r="B188" s="188"/>
      <c r="C188" s="65"/>
      <c r="D188" s="70" t="s">
        <v>600</v>
      </c>
      <c r="E188" s="105">
        <f>2.5*3.1-0.8*2.05+1.55*2.5*2+0.9*2.5+0.88*1.2</f>
        <v>17.166</v>
      </c>
      <c r="F188" s="152"/>
      <c r="G188" s="203"/>
      <c r="H188" s="73"/>
      <c r="I188" s="300"/>
      <c r="J188" s="104"/>
      <c r="K188" s="6"/>
    </row>
    <row r="189" spans="1:11" ht="12.75">
      <c r="A189" s="64"/>
      <c r="B189" s="188"/>
      <c r="C189" s="65"/>
      <c r="D189" s="70" t="s">
        <v>601</v>
      </c>
      <c r="E189" s="105">
        <f>0.9*2.5+1*3.1-0.8*2.05</f>
        <v>3.71</v>
      </c>
      <c r="F189" s="152"/>
      <c r="G189" s="203"/>
      <c r="H189" s="73"/>
      <c r="I189" s="300"/>
      <c r="J189" s="104"/>
      <c r="K189" s="6"/>
    </row>
    <row r="190" spans="1:11" ht="25.5">
      <c r="A190" s="64">
        <f>A186+1</f>
        <v>46</v>
      </c>
      <c r="B190" s="188" t="s">
        <v>1091</v>
      </c>
      <c r="C190" s="65"/>
      <c r="D190" s="69" t="s">
        <v>1092</v>
      </c>
      <c r="E190" s="105"/>
      <c r="F190" s="152">
        <f>0.77*2.45</f>
        <v>1.8865000000000003</v>
      </c>
      <c r="G190" s="203"/>
      <c r="H190" s="73">
        <f>F190*G190</f>
        <v>0</v>
      </c>
      <c r="I190" s="300" t="s">
        <v>100</v>
      </c>
      <c r="J190" s="104"/>
      <c r="K190" s="6"/>
    </row>
    <row r="191" spans="1:11" ht="25.5">
      <c r="A191" s="64">
        <f>A190+1</f>
        <v>47</v>
      </c>
      <c r="B191" s="193" t="s">
        <v>602</v>
      </c>
      <c r="C191" s="122"/>
      <c r="D191" s="69" t="s">
        <v>604</v>
      </c>
      <c r="E191" s="72" t="s">
        <v>136</v>
      </c>
      <c r="F191" s="148">
        <f>SUM(E192:E197)</f>
        <v>3.2741350000000002</v>
      </c>
      <c r="G191" s="203"/>
      <c r="H191" s="73">
        <f>F191*G191</f>
        <v>0</v>
      </c>
      <c r="I191" s="300" t="s">
        <v>97</v>
      </c>
      <c r="J191" s="104"/>
      <c r="K191" s="6"/>
    </row>
    <row r="192" spans="1:11" ht="12.75">
      <c r="A192" s="64"/>
      <c r="B192" s="193"/>
      <c r="C192" s="122"/>
      <c r="D192" s="81" t="s">
        <v>1086</v>
      </c>
      <c r="E192" s="105">
        <f>0.4*2.31*0.75</f>
        <v>0.6930000000000001</v>
      </c>
      <c r="F192" s="148"/>
      <c r="G192" s="203"/>
      <c r="H192" s="73"/>
      <c r="I192" s="300"/>
      <c r="J192" s="104"/>
      <c r="K192" s="6"/>
    </row>
    <row r="193" spans="1:11" ht="12.75">
      <c r="A193" s="64"/>
      <c r="B193" s="193"/>
      <c r="C193" s="122"/>
      <c r="D193" s="81" t="s">
        <v>1085</v>
      </c>
      <c r="E193" s="105">
        <f>(0.2*2+1+2)*0.15</f>
        <v>0.51</v>
      </c>
      <c r="F193" s="148"/>
      <c r="G193" s="203"/>
      <c r="H193" s="73"/>
      <c r="I193" s="300"/>
      <c r="J193" s="104"/>
      <c r="K193" s="6"/>
    </row>
    <row r="194" spans="1:11" ht="12.75">
      <c r="A194" s="64"/>
      <c r="B194" s="193"/>
      <c r="C194" s="122"/>
      <c r="D194" s="81" t="s">
        <v>1084</v>
      </c>
      <c r="E194" s="105">
        <f>1.28*(0.83+1)*0.45</f>
        <v>1.0540800000000001</v>
      </c>
      <c r="F194" s="148"/>
      <c r="G194" s="203"/>
      <c r="H194" s="73"/>
      <c r="I194" s="300"/>
      <c r="J194" s="104"/>
      <c r="K194" s="6"/>
    </row>
    <row r="195" spans="1:11" ht="12.75">
      <c r="A195" s="64"/>
      <c r="B195" s="193"/>
      <c r="C195" s="122"/>
      <c r="D195" s="81" t="s">
        <v>1083</v>
      </c>
      <c r="E195" s="105">
        <f>(0.6*2.4+0.25*2.05+0.22*2.31)*0.15</f>
        <v>0.369105</v>
      </c>
      <c r="F195" s="148"/>
      <c r="G195" s="203"/>
      <c r="H195" s="73"/>
      <c r="I195" s="300"/>
      <c r="J195" s="104"/>
      <c r="K195" s="6"/>
    </row>
    <row r="196" spans="1:11" ht="12.75">
      <c r="A196" s="64"/>
      <c r="B196" s="188"/>
      <c r="C196" s="65"/>
      <c r="D196" s="81" t="s">
        <v>603</v>
      </c>
      <c r="E196" s="105">
        <f>0.77*2.45*0.3</f>
        <v>0.5659500000000001</v>
      </c>
      <c r="F196" s="148"/>
      <c r="G196" s="203"/>
      <c r="H196" s="68"/>
      <c r="I196" s="300"/>
      <c r="J196" s="104"/>
      <c r="K196" s="275"/>
    </row>
    <row r="197" spans="1:11" ht="12.75">
      <c r="A197" s="64"/>
      <c r="B197" s="188"/>
      <c r="C197" s="65"/>
      <c r="D197" s="81" t="s">
        <v>1087</v>
      </c>
      <c r="E197" s="105">
        <f>(1.26*2.05-0.94*2.05)*0.125</f>
        <v>0.08199999999999999</v>
      </c>
      <c r="F197" s="148"/>
      <c r="G197" s="203"/>
      <c r="H197" s="68"/>
      <c r="I197" s="300"/>
      <c r="J197" s="104"/>
      <c r="K197" s="275"/>
    </row>
    <row r="198" spans="1:11" ht="12.75">
      <c r="A198" s="71">
        <f>A191+1</f>
        <v>48</v>
      </c>
      <c r="B198" s="186" t="s">
        <v>912</v>
      </c>
      <c r="C198" s="65"/>
      <c r="D198" s="69" t="s">
        <v>913</v>
      </c>
      <c r="E198" s="67" t="s">
        <v>352</v>
      </c>
      <c r="F198" s="152">
        <v>2</v>
      </c>
      <c r="G198" s="203"/>
      <c r="H198" s="73">
        <f aca="true" t="shared" si="10" ref="H198:H205">F198*G198</f>
        <v>0</v>
      </c>
      <c r="I198" s="303" t="s">
        <v>100</v>
      </c>
      <c r="J198" s="104"/>
      <c r="K198" s="275"/>
    </row>
    <row r="199" spans="1:11" ht="38.25">
      <c r="A199" s="71">
        <f>A198+1</f>
        <v>49</v>
      </c>
      <c r="B199" s="186" t="s">
        <v>952</v>
      </c>
      <c r="C199" s="65"/>
      <c r="D199" s="69" t="s">
        <v>598</v>
      </c>
      <c r="E199" s="67" t="s">
        <v>350</v>
      </c>
      <c r="F199" s="152">
        <f>2*(1.6+0.7)*0.6</f>
        <v>2.76</v>
      </c>
      <c r="G199" s="203"/>
      <c r="H199" s="73">
        <f t="shared" si="10"/>
        <v>0</v>
      </c>
      <c r="I199" s="303" t="s">
        <v>100</v>
      </c>
      <c r="J199" s="104"/>
      <c r="K199" s="275"/>
    </row>
    <row r="200" spans="1:11" ht="38.25">
      <c r="A200" s="71">
        <f>A199+1</f>
        <v>50</v>
      </c>
      <c r="B200" s="186" t="s">
        <v>159</v>
      </c>
      <c r="C200" s="65"/>
      <c r="D200" s="69" t="s">
        <v>943</v>
      </c>
      <c r="E200" s="67" t="s">
        <v>350</v>
      </c>
      <c r="F200" s="152">
        <f>0.9*0.9</f>
        <v>0.81</v>
      </c>
      <c r="G200" s="203"/>
      <c r="H200" s="73">
        <f>F200*G200</f>
        <v>0</v>
      </c>
      <c r="I200" s="303" t="s">
        <v>100</v>
      </c>
      <c r="J200" s="104"/>
      <c r="K200" s="275"/>
    </row>
    <row r="201" spans="1:18" ht="25.5">
      <c r="A201" s="71">
        <f>A200+1</f>
        <v>51</v>
      </c>
      <c r="B201" s="186" t="s">
        <v>863</v>
      </c>
      <c r="C201" s="65"/>
      <c r="D201" s="69" t="s">
        <v>864</v>
      </c>
      <c r="E201" s="67" t="s">
        <v>349</v>
      </c>
      <c r="F201" s="148">
        <v>1</v>
      </c>
      <c r="G201" s="203"/>
      <c r="H201" s="73">
        <f t="shared" si="10"/>
        <v>0</v>
      </c>
      <c r="I201" s="303" t="s">
        <v>97</v>
      </c>
      <c r="K201" s="6"/>
      <c r="O201" s="242"/>
      <c r="R201" s="135"/>
    </row>
    <row r="202" spans="1:18" ht="12.75">
      <c r="A202" s="71">
        <f>A201+1</f>
        <v>52</v>
      </c>
      <c r="B202" s="186" t="s">
        <v>162</v>
      </c>
      <c r="C202" s="65"/>
      <c r="D202" s="69" t="s">
        <v>161</v>
      </c>
      <c r="E202" s="67" t="s">
        <v>353</v>
      </c>
      <c r="F202" s="148">
        <f>4.91+0.4+0.77+0.22+0.1+0.2+1+0.2</f>
        <v>7.8</v>
      </c>
      <c r="G202" s="203"/>
      <c r="H202" s="73">
        <f t="shared" si="10"/>
        <v>0</v>
      </c>
      <c r="I202" s="303" t="s">
        <v>100</v>
      </c>
      <c r="K202" s="6"/>
      <c r="O202" s="242"/>
      <c r="R202" s="135"/>
    </row>
    <row r="203" spans="1:11" ht="63.75">
      <c r="A203" s="71">
        <f>A202+1</f>
        <v>53</v>
      </c>
      <c r="B203" s="193" t="s">
        <v>378</v>
      </c>
      <c r="C203" s="65" t="s">
        <v>195</v>
      </c>
      <c r="D203" s="69" t="s">
        <v>1089</v>
      </c>
      <c r="E203" s="72" t="s">
        <v>350</v>
      </c>
      <c r="F203" s="152">
        <f>5.67*2.85+4.91*2.75</f>
        <v>29.662000000000003</v>
      </c>
      <c r="G203" s="203"/>
      <c r="H203" s="68">
        <f t="shared" si="10"/>
        <v>0</v>
      </c>
      <c r="I203" s="300" t="s">
        <v>100</v>
      </c>
      <c r="K203" s="6"/>
    </row>
    <row r="204" spans="1:10" s="47" customFormat="1" ht="25.5">
      <c r="A204" s="71">
        <f aca="true" t="shared" si="11" ref="A204:A210">A203+1</f>
        <v>54</v>
      </c>
      <c r="B204" s="199" t="s">
        <v>379</v>
      </c>
      <c r="C204" s="95"/>
      <c r="D204" s="69" t="s">
        <v>380</v>
      </c>
      <c r="E204" s="72" t="s">
        <v>350</v>
      </c>
      <c r="F204" s="152">
        <f>+F203</f>
        <v>29.662000000000003</v>
      </c>
      <c r="G204" s="203"/>
      <c r="H204" s="73">
        <f t="shared" si="10"/>
        <v>0</v>
      </c>
      <c r="I204" s="297" t="s">
        <v>100</v>
      </c>
      <c r="J204" s="101"/>
    </row>
    <row r="205" spans="1:10" s="47" customFormat="1" ht="63.75">
      <c r="A205" s="71">
        <f t="shared" si="11"/>
        <v>55</v>
      </c>
      <c r="B205" s="199" t="s">
        <v>787</v>
      </c>
      <c r="C205" s="95" t="s">
        <v>360</v>
      </c>
      <c r="D205" s="69" t="s">
        <v>1105</v>
      </c>
      <c r="E205" s="72" t="s">
        <v>350</v>
      </c>
      <c r="F205" s="152">
        <f>2.7*3.34</f>
        <v>9.018</v>
      </c>
      <c r="G205" s="203"/>
      <c r="H205" s="73">
        <f t="shared" si="10"/>
        <v>0</v>
      </c>
      <c r="I205" s="297" t="s">
        <v>100</v>
      </c>
      <c r="J205" s="101"/>
    </row>
    <row r="206" spans="1:11" ht="12.75">
      <c r="A206" s="71">
        <f t="shared" si="11"/>
        <v>56</v>
      </c>
      <c r="B206" s="188" t="s">
        <v>288</v>
      </c>
      <c r="C206" s="122"/>
      <c r="D206" s="66" t="s">
        <v>35</v>
      </c>
      <c r="E206" s="67" t="s">
        <v>350</v>
      </c>
      <c r="F206" s="149">
        <f>+F203+F205</f>
        <v>38.68000000000001</v>
      </c>
      <c r="G206" s="203"/>
      <c r="H206" s="68">
        <f aca="true" t="shared" si="12" ref="H206:H211">F206*G206</f>
        <v>0</v>
      </c>
      <c r="I206" s="300" t="s">
        <v>100</v>
      </c>
      <c r="K206" s="6"/>
    </row>
    <row r="207" spans="1:11" ht="12.75">
      <c r="A207" s="71">
        <f t="shared" si="11"/>
        <v>57</v>
      </c>
      <c r="B207" s="188" t="s">
        <v>160</v>
      </c>
      <c r="C207" s="65"/>
      <c r="D207" s="66" t="s">
        <v>1088</v>
      </c>
      <c r="E207" s="67" t="s">
        <v>353</v>
      </c>
      <c r="F207" s="149">
        <f>2.62</f>
        <v>2.62</v>
      </c>
      <c r="G207" s="185"/>
      <c r="H207" s="68">
        <f t="shared" si="12"/>
        <v>0</v>
      </c>
      <c r="I207" s="300" t="s">
        <v>100</v>
      </c>
      <c r="K207" s="6"/>
    </row>
    <row r="208" spans="1:9" ht="12.75">
      <c r="A208" s="64">
        <f t="shared" si="11"/>
        <v>58</v>
      </c>
      <c r="B208" s="187" t="s">
        <v>269</v>
      </c>
      <c r="C208" s="65" t="s">
        <v>362</v>
      </c>
      <c r="D208" s="66" t="s">
        <v>328</v>
      </c>
      <c r="E208" s="67" t="s">
        <v>352</v>
      </c>
      <c r="F208" s="148">
        <f>+F209+F210</f>
        <v>5</v>
      </c>
      <c r="G208" s="203"/>
      <c r="H208" s="68">
        <f t="shared" si="12"/>
        <v>0</v>
      </c>
      <c r="I208" s="300" t="s">
        <v>100</v>
      </c>
    </row>
    <row r="209" spans="1:15" s="47" customFormat="1" ht="38.25">
      <c r="A209" s="64">
        <f t="shared" si="11"/>
        <v>59</v>
      </c>
      <c r="B209" s="276" t="s">
        <v>508</v>
      </c>
      <c r="C209" s="277" t="s">
        <v>361</v>
      </c>
      <c r="D209" s="92" t="s">
        <v>605</v>
      </c>
      <c r="E209" s="93" t="s">
        <v>352</v>
      </c>
      <c r="F209" s="155">
        <v>3</v>
      </c>
      <c r="G209" s="313"/>
      <c r="H209" s="94">
        <f t="shared" si="12"/>
        <v>0</v>
      </c>
      <c r="I209" s="297" t="s">
        <v>100</v>
      </c>
      <c r="J209" s="101"/>
      <c r="K209" s="278"/>
      <c r="O209" s="6"/>
    </row>
    <row r="210" spans="1:9" ht="12.75">
      <c r="A210" s="64">
        <f t="shared" si="11"/>
        <v>60</v>
      </c>
      <c r="B210" s="193" t="s">
        <v>509</v>
      </c>
      <c r="C210" s="86" t="s">
        <v>329</v>
      </c>
      <c r="D210" s="87" t="s">
        <v>188</v>
      </c>
      <c r="E210" s="88" t="s">
        <v>352</v>
      </c>
      <c r="F210" s="153">
        <v>2</v>
      </c>
      <c r="G210" s="313"/>
      <c r="H210" s="89">
        <f t="shared" si="12"/>
        <v>0</v>
      </c>
      <c r="I210" s="300" t="s">
        <v>100</v>
      </c>
    </row>
    <row r="211" spans="1:9" ht="13.5" thickBot="1">
      <c r="A211" s="6">
        <f>A210+1</f>
        <v>61</v>
      </c>
      <c r="B211" s="193" t="s">
        <v>903</v>
      </c>
      <c r="C211" s="65"/>
      <c r="D211" s="82" t="s">
        <v>19</v>
      </c>
      <c r="E211" s="67" t="s">
        <v>358</v>
      </c>
      <c r="F211" s="148">
        <f>+H184+H186+H191+H199+H201+H202+H203+H205+H209+H210+H198+H200</f>
        <v>0</v>
      </c>
      <c r="G211" s="314"/>
      <c r="H211" s="68">
        <f t="shared" si="12"/>
        <v>0</v>
      </c>
      <c r="I211" s="300" t="s">
        <v>100</v>
      </c>
    </row>
    <row r="212" spans="1:9" ht="13.5" thickBot="1">
      <c r="A212" s="64"/>
      <c r="B212" s="188"/>
      <c r="C212" s="65"/>
      <c r="D212" s="83" t="s">
        <v>351</v>
      </c>
      <c r="E212" s="84"/>
      <c r="F212" s="154"/>
      <c r="G212" s="85"/>
      <c r="H212" s="76">
        <f>SUBTOTAL(9,H184:H211)</f>
        <v>0</v>
      </c>
      <c r="I212" s="300"/>
    </row>
    <row r="213" spans="1:9" ht="12.75">
      <c r="A213" s="64"/>
      <c r="B213" s="188"/>
      <c r="C213" s="65"/>
      <c r="D213" s="77"/>
      <c r="E213" s="78"/>
      <c r="F213" s="138"/>
      <c r="G213" s="22"/>
      <c r="H213" s="79"/>
      <c r="I213" s="300"/>
    </row>
    <row r="214" spans="1:9" ht="16.5">
      <c r="A214" s="64"/>
      <c r="B214" s="188"/>
      <c r="C214" s="62" t="s">
        <v>9</v>
      </c>
      <c r="D214" s="112" t="s">
        <v>142</v>
      </c>
      <c r="E214" s="63"/>
      <c r="F214" s="151"/>
      <c r="G214" s="63"/>
      <c r="H214" s="63"/>
      <c r="I214" s="300"/>
    </row>
    <row r="215" spans="1:11" ht="90.75" customHeight="1">
      <c r="A215" s="64"/>
      <c r="B215" s="188"/>
      <c r="C215" s="62"/>
      <c r="D215" s="326" t="s">
        <v>32</v>
      </c>
      <c r="E215" s="326"/>
      <c r="F215" s="326"/>
      <c r="G215" s="110"/>
      <c r="H215" s="110"/>
      <c r="I215" s="300"/>
      <c r="K215" s="279"/>
    </row>
    <row r="216" spans="1:11" ht="51">
      <c r="A216" s="64">
        <f>A211+1</f>
        <v>62</v>
      </c>
      <c r="B216" s="193" t="s">
        <v>609</v>
      </c>
      <c r="C216" s="65" t="s">
        <v>189</v>
      </c>
      <c r="D216" s="69" t="s">
        <v>606</v>
      </c>
      <c r="E216" s="67" t="s">
        <v>350</v>
      </c>
      <c r="F216" s="148">
        <f>2+4+1.7</f>
        <v>7.7</v>
      </c>
      <c r="G216" s="203"/>
      <c r="H216" s="68">
        <f>F216*G216</f>
        <v>0</v>
      </c>
      <c r="I216" s="300" t="s">
        <v>100</v>
      </c>
      <c r="K216" s="6"/>
    </row>
    <row r="217" spans="1:11" ht="12.75">
      <c r="A217" s="64"/>
      <c r="B217" s="188"/>
      <c r="C217" s="123"/>
      <c r="D217" s="81" t="s">
        <v>611</v>
      </c>
      <c r="E217" s="72"/>
      <c r="F217" s="152"/>
      <c r="G217" s="203"/>
      <c r="H217" s="73"/>
      <c r="K217" s="6"/>
    </row>
    <row r="218" spans="1:11" ht="38.25">
      <c r="A218" s="64">
        <f>A216+1</f>
        <v>63</v>
      </c>
      <c r="B218" s="193" t="s">
        <v>608</v>
      </c>
      <c r="C218" s="122" t="s">
        <v>172</v>
      </c>
      <c r="D218" s="69" t="s">
        <v>607</v>
      </c>
      <c r="E218" s="67" t="s">
        <v>350</v>
      </c>
      <c r="F218" s="148">
        <f>27.9+25.9+9.5+16.9+9.8</f>
        <v>89.99999999999999</v>
      </c>
      <c r="G218" s="203"/>
      <c r="H218" s="68">
        <f aca="true" t="shared" si="13" ref="H218:H230">F218*G218</f>
        <v>0</v>
      </c>
      <c r="I218" s="300" t="s">
        <v>100</v>
      </c>
      <c r="K218" s="6"/>
    </row>
    <row r="219" spans="1:11" ht="12.75">
      <c r="A219" s="64"/>
      <c r="B219" s="188"/>
      <c r="C219" s="122"/>
      <c r="D219" s="81" t="s">
        <v>610</v>
      </c>
      <c r="E219" s="67"/>
      <c r="F219" s="148"/>
      <c r="G219" s="203"/>
      <c r="H219" s="68"/>
      <c r="I219" s="300"/>
      <c r="K219" s="6"/>
    </row>
    <row r="220" spans="1:11" ht="25.5">
      <c r="A220" s="64">
        <f>A218+1</f>
        <v>64</v>
      </c>
      <c r="B220" s="188" t="s">
        <v>169</v>
      </c>
      <c r="C220" s="65" t="s">
        <v>190</v>
      </c>
      <c r="D220" s="69" t="s">
        <v>196</v>
      </c>
      <c r="E220" s="67" t="s">
        <v>350</v>
      </c>
      <c r="F220" s="148">
        <f>+F216+F218</f>
        <v>97.69999999999999</v>
      </c>
      <c r="G220" s="203"/>
      <c r="H220" s="68">
        <f t="shared" si="13"/>
        <v>0</v>
      </c>
      <c r="I220" s="300" t="s">
        <v>100</v>
      </c>
      <c r="K220" s="6"/>
    </row>
    <row r="221" spans="1:18" ht="16.5">
      <c r="A221" s="64">
        <f aca="true" t="shared" si="14" ref="A221:A228">A220+1</f>
        <v>65</v>
      </c>
      <c r="B221" s="193" t="s">
        <v>510</v>
      </c>
      <c r="C221" s="86" t="s">
        <v>244</v>
      </c>
      <c r="D221" s="87" t="s">
        <v>1090</v>
      </c>
      <c r="E221" s="88" t="s">
        <v>350</v>
      </c>
      <c r="F221" s="153">
        <f>F220*1.1</f>
        <v>107.47</v>
      </c>
      <c r="G221" s="313"/>
      <c r="H221" s="89">
        <f t="shared" si="13"/>
        <v>0</v>
      </c>
      <c r="I221" s="303" t="s">
        <v>100</v>
      </c>
      <c r="J221" s="304"/>
      <c r="K221" s="278"/>
      <c r="O221" s="242"/>
      <c r="R221" s="135"/>
    </row>
    <row r="222" spans="1:18" ht="14.25" customHeight="1">
      <c r="A222" s="64">
        <f t="shared" si="14"/>
        <v>66</v>
      </c>
      <c r="B222" s="193" t="s">
        <v>164</v>
      </c>
      <c r="C222" s="65" t="s">
        <v>191</v>
      </c>
      <c r="D222" s="66" t="s">
        <v>245</v>
      </c>
      <c r="E222" s="67" t="s">
        <v>350</v>
      </c>
      <c r="F222" s="148">
        <f>+F216</f>
        <v>7.7</v>
      </c>
      <c r="G222" s="203"/>
      <c r="H222" s="68">
        <f>F222*G222</f>
        <v>0</v>
      </c>
      <c r="I222" s="303" t="s">
        <v>100</v>
      </c>
      <c r="J222" s="305"/>
      <c r="K222" s="6"/>
      <c r="R222" s="135"/>
    </row>
    <row r="223" spans="1:18" ht="25.5">
      <c r="A223" s="64">
        <f t="shared" si="14"/>
        <v>67</v>
      </c>
      <c r="B223" s="193" t="s">
        <v>167</v>
      </c>
      <c r="C223" s="65" t="s">
        <v>192</v>
      </c>
      <c r="D223" s="66" t="s">
        <v>168</v>
      </c>
      <c r="E223" s="67" t="s">
        <v>353</v>
      </c>
      <c r="F223" s="148">
        <f>5.72+8.3+5.68</f>
        <v>19.7</v>
      </c>
      <c r="G223" s="203"/>
      <c r="H223" s="68">
        <f>F223*G223</f>
        <v>0</v>
      </c>
      <c r="I223" s="303" t="s">
        <v>100</v>
      </c>
      <c r="J223" s="305"/>
      <c r="K223" s="6"/>
      <c r="R223" s="135"/>
    </row>
    <row r="224" spans="1:18" ht="25.5">
      <c r="A224" s="64">
        <f t="shared" si="14"/>
        <v>68</v>
      </c>
      <c r="B224" s="188" t="s">
        <v>165</v>
      </c>
      <c r="C224" s="65" t="s">
        <v>304</v>
      </c>
      <c r="D224" s="66" t="s">
        <v>166</v>
      </c>
      <c r="E224" s="67" t="s">
        <v>352</v>
      </c>
      <c r="F224" s="148">
        <v>3</v>
      </c>
      <c r="G224" s="203"/>
      <c r="H224" s="68">
        <f>F224*G224</f>
        <v>0</v>
      </c>
      <c r="I224" s="303" t="s">
        <v>100</v>
      </c>
      <c r="J224" s="305"/>
      <c r="K224" s="6"/>
      <c r="R224" s="135"/>
    </row>
    <row r="225" spans="1:18" ht="25.5">
      <c r="A225" s="64">
        <f t="shared" si="14"/>
        <v>69</v>
      </c>
      <c r="B225" s="188">
        <v>67352326</v>
      </c>
      <c r="C225" s="86" t="s">
        <v>94</v>
      </c>
      <c r="D225" s="87" t="s">
        <v>163</v>
      </c>
      <c r="E225" s="88" t="s">
        <v>350</v>
      </c>
      <c r="F225" s="153">
        <f>+F222*1.1</f>
        <v>8.47</v>
      </c>
      <c r="G225" s="313"/>
      <c r="H225" s="89">
        <f t="shared" si="13"/>
        <v>0</v>
      </c>
      <c r="I225" s="303" t="s">
        <v>100</v>
      </c>
      <c r="K225" s="6"/>
      <c r="O225" s="242"/>
      <c r="R225" s="135"/>
    </row>
    <row r="226" spans="1:9" ht="12.75">
      <c r="A226" s="64">
        <f t="shared" si="14"/>
        <v>70</v>
      </c>
      <c r="B226" s="188" t="s">
        <v>289</v>
      </c>
      <c r="C226" s="86"/>
      <c r="D226" s="66" t="s">
        <v>326</v>
      </c>
      <c r="E226" s="67" t="s">
        <v>350</v>
      </c>
      <c r="F226" s="149">
        <f>+F216</f>
        <v>7.7</v>
      </c>
      <c r="G226" s="185"/>
      <c r="H226" s="68">
        <f t="shared" si="13"/>
        <v>0</v>
      </c>
      <c r="I226" s="300" t="s">
        <v>100</v>
      </c>
    </row>
    <row r="227" spans="1:9" ht="12.75">
      <c r="A227" s="64">
        <f t="shared" si="14"/>
        <v>71</v>
      </c>
      <c r="B227" s="187" t="s">
        <v>511</v>
      </c>
      <c r="C227" s="65" t="s">
        <v>137</v>
      </c>
      <c r="D227" s="66" t="s">
        <v>171</v>
      </c>
      <c r="E227" s="67" t="s">
        <v>352</v>
      </c>
      <c r="F227" s="148">
        <f>+F228</f>
        <v>3</v>
      </c>
      <c r="G227" s="203"/>
      <c r="H227" s="68">
        <f>F227*G227</f>
        <v>0</v>
      </c>
      <c r="I227" s="300" t="s">
        <v>100</v>
      </c>
    </row>
    <row r="228" spans="1:11" ht="25.5">
      <c r="A228" s="64">
        <f t="shared" si="14"/>
        <v>72</v>
      </c>
      <c r="B228" s="276" t="s">
        <v>512</v>
      </c>
      <c r="C228" s="86" t="s">
        <v>137</v>
      </c>
      <c r="D228" s="87" t="s">
        <v>170</v>
      </c>
      <c r="E228" s="88" t="s">
        <v>352</v>
      </c>
      <c r="F228" s="153">
        <v>3</v>
      </c>
      <c r="G228" s="313"/>
      <c r="H228" s="89">
        <f t="shared" si="13"/>
        <v>0</v>
      </c>
      <c r="I228" s="300" t="s">
        <v>100</v>
      </c>
      <c r="K228" s="278"/>
    </row>
    <row r="229" spans="1:11" ht="12.75">
      <c r="A229" s="64">
        <f>A228+1</f>
        <v>73</v>
      </c>
      <c r="B229" s="188" t="s">
        <v>288</v>
      </c>
      <c r="C229" s="65" t="s">
        <v>190</v>
      </c>
      <c r="D229" s="66" t="s">
        <v>35</v>
      </c>
      <c r="E229" s="67" t="s">
        <v>350</v>
      </c>
      <c r="F229" s="148">
        <f>F218+F216</f>
        <v>97.69999999999999</v>
      </c>
      <c r="G229" s="203"/>
      <c r="H229" s="68">
        <f t="shared" si="13"/>
        <v>0</v>
      </c>
      <c r="I229" s="306" t="s">
        <v>100</v>
      </c>
      <c r="K229" s="279"/>
    </row>
    <row r="230" spans="1:9" ht="13.5" thickBot="1">
      <c r="A230" s="64">
        <f>A229+1</f>
        <v>74</v>
      </c>
      <c r="B230" s="193" t="s">
        <v>475</v>
      </c>
      <c r="C230" s="65"/>
      <c r="D230" s="66" t="s">
        <v>16</v>
      </c>
      <c r="E230" s="90" t="s">
        <v>358</v>
      </c>
      <c r="F230" s="148">
        <f>+H216+H218+H221+H225+H228</f>
        <v>0</v>
      </c>
      <c r="G230" s="315"/>
      <c r="H230" s="91">
        <f t="shared" si="13"/>
        <v>0</v>
      </c>
      <c r="I230" s="300" t="s">
        <v>100</v>
      </c>
    </row>
    <row r="231" spans="1:9" ht="13.5" thickBot="1">
      <c r="A231" s="64"/>
      <c r="B231" s="188"/>
      <c r="C231" s="65"/>
      <c r="D231" s="83" t="s">
        <v>351</v>
      </c>
      <c r="E231" s="84"/>
      <c r="F231" s="154"/>
      <c r="G231" s="85"/>
      <c r="H231" s="76">
        <f>SUBTOTAL(9,H216:H230)</f>
        <v>0</v>
      </c>
      <c r="I231" s="300"/>
    </row>
    <row r="232" spans="1:9" ht="12.75">
      <c r="A232" s="64"/>
      <c r="B232" s="188"/>
      <c r="C232" s="65"/>
      <c r="D232" s="77"/>
      <c r="E232" s="78"/>
      <c r="F232" s="138"/>
      <c r="G232" s="22"/>
      <c r="H232" s="79"/>
      <c r="I232" s="300"/>
    </row>
    <row r="233" spans="1:9" ht="16.5">
      <c r="A233" s="64"/>
      <c r="B233" s="188"/>
      <c r="C233" s="80" t="s">
        <v>10</v>
      </c>
      <c r="D233" s="63" t="s">
        <v>105</v>
      </c>
      <c r="E233" s="63"/>
      <c r="F233" s="151"/>
      <c r="G233" s="63"/>
      <c r="H233" s="63"/>
      <c r="I233" s="300"/>
    </row>
    <row r="234" spans="1:11" ht="42" customHeight="1">
      <c r="A234" s="64"/>
      <c r="B234" s="188"/>
      <c r="C234" s="65"/>
      <c r="D234" s="346" t="s">
        <v>23</v>
      </c>
      <c r="E234" s="346"/>
      <c r="F234" s="346"/>
      <c r="G234" s="109"/>
      <c r="H234" s="109"/>
      <c r="I234" s="306"/>
      <c r="J234" s="307"/>
      <c r="K234" s="279"/>
    </row>
    <row r="235" spans="1:9" ht="25.5">
      <c r="A235" s="64">
        <f>A230+1</f>
        <v>75</v>
      </c>
      <c r="B235" s="193" t="s">
        <v>290</v>
      </c>
      <c r="C235" s="65"/>
      <c r="D235" s="66" t="s">
        <v>612</v>
      </c>
      <c r="E235" s="67" t="s">
        <v>350</v>
      </c>
      <c r="F235" s="148">
        <f>SUM(E236:E244)</f>
        <v>243.3272</v>
      </c>
      <c r="G235" s="203"/>
      <c r="H235" s="68">
        <f>F235*G235</f>
        <v>0</v>
      </c>
      <c r="I235" s="300" t="s">
        <v>97</v>
      </c>
    </row>
    <row r="236" spans="1:9" ht="12.75">
      <c r="A236" s="64"/>
      <c r="B236" s="188"/>
      <c r="C236" s="65"/>
      <c r="D236" s="114" t="s">
        <v>621</v>
      </c>
      <c r="E236" s="105">
        <f>+12.13*3.34-0.9*2.02-1*2.02-1.5*1.5*2-0.7*2.05-10.53</f>
        <v>20.211200000000005</v>
      </c>
      <c r="F236" s="148" t="s">
        <v>613</v>
      </c>
      <c r="G236" s="203"/>
      <c r="H236" s="68"/>
      <c r="I236" s="300"/>
    </row>
    <row r="237" spans="1:9" ht="12.75">
      <c r="A237" s="64"/>
      <c r="B237" s="188"/>
      <c r="C237" s="65"/>
      <c r="D237" s="114" t="s">
        <v>622</v>
      </c>
      <c r="E237" s="105">
        <f>19.16*2.6-1.5*1.5-2*0.9*2.05</f>
        <v>43.876000000000005</v>
      </c>
      <c r="F237" s="148"/>
      <c r="G237" s="203"/>
      <c r="H237" s="68"/>
      <c r="I237" s="300"/>
    </row>
    <row r="238" spans="1:9" ht="12.75">
      <c r="A238" s="64"/>
      <c r="B238" s="188"/>
      <c r="C238" s="65"/>
      <c r="D238" s="114" t="s">
        <v>615</v>
      </c>
      <c r="E238" s="105">
        <f>22.19*2.9-0.9*2.05-1*2.05-1.38*2.16-1.365*2.16</f>
        <v>54.5268</v>
      </c>
      <c r="F238" s="148"/>
      <c r="G238" s="203"/>
      <c r="H238" s="68"/>
      <c r="I238" s="300"/>
    </row>
    <row r="239" spans="1:9" ht="25.5">
      <c r="A239" s="64"/>
      <c r="B239" s="188"/>
      <c r="C239" s="65"/>
      <c r="D239" s="114" t="s">
        <v>619</v>
      </c>
      <c r="E239" s="105">
        <f>21.6*2.9-0.9*2.05-1*2.05-1.39*2.16-1.37*2.16-5.67*2.9</f>
        <v>36.3404</v>
      </c>
      <c r="F239" s="148"/>
      <c r="G239" s="203"/>
      <c r="H239" s="68"/>
      <c r="I239" s="300"/>
    </row>
    <row r="240" spans="1:9" ht="12.75">
      <c r="A240" s="64"/>
      <c r="B240" s="188"/>
      <c r="C240" s="65"/>
      <c r="D240" s="114" t="s">
        <v>616</v>
      </c>
      <c r="E240" s="105">
        <f>9.82*0.8</f>
        <v>7.856000000000001</v>
      </c>
      <c r="F240" s="148"/>
      <c r="G240" s="203"/>
      <c r="H240" s="68"/>
      <c r="I240" s="300"/>
    </row>
    <row r="241" spans="1:9" ht="12.75">
      <c r="A241" s="64"/>
      <c r="B241" s="188"/>
      <c r="C241" s="65"/>
      <c r="D241" s="114" t="s">
        <v>617</v>
      </c>
      <c r="E241" s="105">
        <f>14.34*2.8-2*0.9*2.05-1.5*1.5</f>
        <v>34.211999999999996</v>
      </c>
      <c r="F241" s="148"/>
      <c r="G241" s="203"/>
      <c r="H241" s="68"/>
      <c r="I241" s="300"/>
    </row>
    <row r="242" spans="1:9" ht="12.75">
      <c r="A242" s="64"/>
      <c r="B242" s="188"/>
      <c r="C242" s="65"/>
      <c r="D242" s="114" t="s">
        <v>620</v>
      </c>
      <c r="E242" s="105">
        <f>16.16*2.8-2*0.9*2.05-1*2.05-4.91*2.8</f>
        <v>25.760000000000005</v>
      </c>
      <c r="F242" s="148"/>
      <c r="G242" s="203"/>
      <c r="H242" s="68"/>
      <c r="I242" s="300"/>
    </row>
    <row r="243" spans="1:9" ht="12.75">
      <c r="A243" s="64"/>
      <c r="B243" s="188"/>
      <c r="C243" s="65"/>
      <c r="D243" s="114" t="s">
        <v>618</v>
      </c>
      <c r="E243" s="105">
        <f>5.72*1.84</f>
        <v>10.5248</v>
      </c>
      <c r="F243" s="148"/>
      <c r="G243" s="203"/>
      <c r="H243" s="68"/>
      <c r="I243" s="300"/>
    </row>
    <row r="244" spans="1:9" ht="12.75">
      <c r="A244" s="64"/>
      <c r="B244" s="188"/>
      <c r="C244" s="65"/>
      <c r="D244" s="114" t="s">
        <v>614</v>
      </c>
      <c r="E244" s="105">
        <f>3*3.34</f>
        <v>10.02</v>
      </c>
      <c r="F244" s="148"/>
      <c r="G244" s="203"/>
      <c r="H244" s="68"/>
      <c r="I244" s="300"/>
    </row>
    <row r="245" spans="1:11" ht="12.75">
      <c r="A245" s="64">
        <f>A235+1</f>
        <v>76</v>
      </c>
      <c r="B245" s="193" t="s">
        <v>629</v>
      </c>
      <c r="C245" s="122" t="s">
        <v>108</v>
      </c>
      <c r="D245" s="66" t="s">
        <v>630</v>
      </c>
      <c r="E245" s="67" t="s">
        <v>350</v>
      </c>
      <c r="F245" s="148">
        <f>+F235</f>
        <v>243.3272</v>
      </c>
      <c r="G245" s="203"/>
      <c r="H245" s="68">
        <f>F245*G245</f>
        <v>0</v>
      </c>
      <c r="I245" s="306" t="s">
        <v>97</v>
      </c>
      <c r="K245" s="280"/>
    </row>
    <row r="246" spans="1:11" ht="25.5">
      <c r="A246" s="64">
        <f>A245+1</f>
        <v>77</v>
      </c>
      <c r="B246" s="193" t="s">
        <v>1000</v>
      </c>
      <c r="C246" s="122"/>
      <c r="D246" s="66" t="s">
        <v>1097</v>
      </c>
      <c r="E246" s="67" t="s">
        <v>350</v>
      </c>
      <c r="F246" s="148">
        <f>F247</f>
        <v>7.9559999999999995</v>
      </c>
      <c r="G246" s="203"/>
      <c r="H246" s="68">
        <f>F246*G246</f>
        <v>0</v>
      </c>
      <c r="I246" s="306" t="s">
        <v>97</v>
      </c>
      <c r="K246" s="280"/>
    </row>
    <row r="247" spans="1:11" ht="25.5">
      <c r="A247" s="64">
        <f>A246+1</f>
        <v>78</v>
      </c>
      <c r="B247" s="188" t="s">
        <v>173</v>
      </c>
      <c r="C247" s="122" t="s">
        <v>108</v>
      </c>
      <c r="D247" s="66" t="s">
        <v>1098</v>
      </c>
      <c r="E247" s="67" t="s">
        <v>350</v>
      </c>
      <c r="F247" s="148">
        <f>1.21*1.4+0.88*1.3+0.72*1.9+1.5*2.5</f>
        <v>7.9559999999999995</v>
      </c>
      <c r="G247" s="203"/>
      <c r="H247" s="68">
        <f>F247*G247</f>
        <v>0</v>
      </c>
      <c r="I247" s="306" t="s">
        <v>97</v>
      </c>
      <c r="K247" s="280"/>
    </row>
    <row r="248" spans="1:11" ht="12.75">
      <c r="A248" s="64">
        <f>A247+1</f>
        <v>79</v>
      </c>
      <c r="B248" s="193" t="s">
        <v>1001</v>
      </c>
      <c r="C248" s="122"/>
      <c r="D248" s="66" t="s">
        <v>174</v>
      </c>
      <c r="E248" s="67" t="s">
        <v>350</v>
      </c>
      <c r="F248" s="148">
        <f>F249</f>
        <v>293.3762</v>
      </c>
      <c r="G248" s="203"/>
      <c r="H248" s="68">
        <f>F248*G248</f>
        <v>0</v>
      </c>
      <c r="I248" s="306" t="s">
        <v>97</v>
      </c>
      <c r="K248" s="280"/>
    </row>
    <row r="249" spans="1:11" ht="25.5">
      <c r="A249" s="64">
        <f>A248+1</f>
        <v>80</v>
      </c>
      <c r="B249" s="188" t="s">
        <v>301</v>
      </c>
      <c r="C249" s="65" t="s">
        <v>109</v>
      </c>
      <c r="D249" s="69" t="s">
        <v>1029</v>
      </c>
      <c r="E249" s="72" t="s">
        <v>350</v>
      </c>
      <c r="F249" s="148">
        <f>SUM(E250:E260)</f>
        <v>293.3762</v>
      </c>
      <c r="G249" s="203"/>
      <c r="H249" s="73">
        <f>F249*G249</f>
        <v>0</v>
      </c>
      <c r="I249" s="306" t="s">
        <v>97</v>
      </c>
      <c r="K249" s="279"/>
    </row>
    <row r="250" spans="1:11" ht="12.75">
      <c r="A250" s="64"/>
      <c r="B250" s="188"/>
      <c r="C250" s="65"/>
      <c r="D250" s="114" t="s">
        <v>623</v>
      </c>
      <c r="E250" s="105">
        <f>12.13*3.34-2*0.9*2.02-0.8*2.05-1.28*1.47*2</f>
        <v>31.474999999999998</v>
      </c>
      <c r="F250" s="148"/>
      <c r="G250" s="203"/>
      <c r="H250" s="73"/>
      <c r="I250" s="306"/>
      <c r="K250" s="279"/>
    </row>
    <row r="251" spans="1:11" ht="25.5">
      <c r="A251" s="64"/>
      <c r="B251" s="188"/>
      <c r="C251" s="65"/>
      <c r="D251" s="114" t="s">
        <v>1031</v>
      </c>
      <c r="E251" s="105">
        <f>13.83*2.6-3*0.9*2.05-3*0.8*2.05+2*0.56*2.31+2*0.51*2.1</f>
        <v>30.2322</v>
      </c>
      <c r="F251" s="148"/>
      <c r="G251" s="203"/>
      <c r="H251" s="73"/>
      <c r="I251" s="306"/>
      <c r="K251" s="279"/>
    </row>
    <row r="252" spans="1:11" ht="25.5">
      <c r="A252" s="64"/>
      <c r="B252" s="188"/>
      <c r="C252" s="65"/>
      <c r="D252" s="114" t="s">
        <v>1032</v>
      </c>
      <c r="E252" s="105">
        <f>20.93*2.9-2*0.9*2.05-1.38*2.16-1.365*2.16+2*0.32*2.16*2</f>
        <v>53.8426</v>
      </c>
      <c r="F252" s="148"/>
      <c r="G252" s="203"/>
      <c r="H252" s="73"/>
      <c r="I252" s="306"/>
      <c r="K252" s="279"/>
    </row>
    <row r="253" spans="1:11" ht="25.5">
      <c r="A253" s="64"/>
      <c r="B253" s="188"/>
      <c r="C253" s="65"/>
      <c r="D253" s="114" t="s">
        <v>1033</v>
      </c>
      <c r="E253" s="105">
        <f>20.18*2.9-0.9*2.05-1.39*2.16-1.37*2.16-5.67*2.9+2*0.32*2.16*2</f>
        <v>37.0372</v>
      </c>
      <c r="F253" s="148"/>
      <c r="G253" s="203"/>
      <c r="H253" s="73"/>
      <c r="I253" s="306"/>
      <c r="K253" s="279"/>
    </row>
    <row r="254" spans="1:11" ht="25.5">
      <c r="A254" s="64"/>
      <c r="B254" s="188"/>
      <c r="C254" s="65"/>
      <c r="D254" s="114" t="s">
        <v>1034</v>
      </c>
      <c r="E254" s="105">
        <f>14.16*2.8-0.9*2.05-4.91*2.8-1.28*1.47+2*0.41*1.5+2*0.53*2.1</f>
        <v>25.6294</v>
      </c>
      <c r="F254" s="148"/>
      <c r="G254" s="203"/>
      <c r="H254" s="73"/>
      <c r="I254" s="306"/>
      <c r="K254" s="279"/>
    </row>
    <row r="255" spans="1:11" ht="25.5">
      <c r="A255" s="64"/>
      <c r="B255" s="188"/>
      <c r="C255" s="65"/>
      <c r="D255" s="114" t="s">
        <v>1035</v>
      </c>
      <c r="E255" s="105">
        <f>17.35*2.8-0.9*2.05*2-1.28*1.47+0.41*2*1.5+2*0.15*1.21</f>
        <v>44.6014</v>
      </c>
      <c r="F255" s="148"/>
      <c r="G255" s="203"/>
      <c r="H255" s="73"/>
      <c r="I255" s="306"/>
      <c r="K255" s="279"/>
    </row>
    <row r="256" spans="1:11" ht="12.75">
      <c r="A256" s="64"/>
      <c r="B256" s="188"/>
      <c r="C256" s="65"/>
      <c r="D256" s="114" t="s">
        <v>624</v>
      </c>
      <c r="E256" s="105">
        <f>5.52*2.6-0.8*2.05+0.1*1.21</f>
        <v>12.832999999999998</v>
      </c>
      <c r="F256" s="148"/>
      <c r="G256" s="203"/>
      <c r="H256" s="73"/>
      <c r="I256" s="306"/>
      <c r="K256" s="279"/>
    </row>
    <row r="257" spans="1:11" ht="12.75">
      <c r="A257" s="64"/>
      <c r="B257" s="188"/>
      <c r="C257" s="65"/>
      <c r="D257" s="114" t="s">
        <v>625</v>
      </c>
      <c r="E257" s="105">
        <f>8.1*2.5-0.8*2.05+0.1*1.6</f>
        <v>18.77</v>
      </c>
      <c r="F257" s="148"/>
      <c r="G257" s="203"/>
      <c r="H257" s="73"/>
      <c r="I257" s="306"/>
      <c r="K257" s="279"/>
    </row>
    <row r="258" spans="1:11" ht="12.75">
      <c r="A258" s="64"/>
      <c r="B258" s="188"/>
      <c r="C258" s="65"/>
      <c r="D258" s="114" t="s">
        <v>626</v>
      </c>
      <c r="E258" s="105">
        <f>5.68*2.5-0.8*2.05</f>
        <v>12.559999999999999</v>
      </c>
      <c r="F258" s="148"/>
      <c r="G258" s="203"/>
      <c r="H258" s="73"/>
      <c r="I258" s="306"/>
      <c r="K258" s="279"/>
    </row>
    <row r="259" spans="1:11" ht="12.75">
      <c r="A259" s="64"/>
      <c r="B259" s="188"/>
      <c r="C259" s="65"/>
      <c r="D259" s="114" t="s">
        <v>637</v>
      </c>
      <c r="E259" s="105">
        <f>4.98*3.34-0.4*0.4-0.8*2.05+1.5+0.23*0.4*3</f>
        <v>16.6092</v>
      </c>
      <c r="F259" s="148"/>
      <c r="G259" s="203"/>
      <c r="H259" s="73"/>
      <c r="I259" s="306"/>
      <c r="K259" s="279"/>
    </row>
    <row r="260" spans="1:11" ht="12.75">
      <c r="A260" s="64"/>
      <c r="B260" s="188"/>
      <c r="C260" s="65"/>
      <c r="D260" s="114" t="s">
        <v>628</v>
      </c>
      <c r="E260" s="105">
        <f>2.93*3.34</f>
        <v>9.786200000000001</v>
      </c>
      <c r="F260" s="148"/>
      <c r="G260" s="203"/>
      <c r="H260" s="73"/>
      <c r="I260" s="306"/>
      <c r="K260" s="279"/>
    </row>
    <row r="261" spans="1:11" ht="25.5">
      <c r="A261" s="64">
        <f>A249+1</f>
        <v>81</v>
      </c>
      <c r="B261" s="188" t="s">
        <v>1028</v>
      </c>
      <c r="C261" s="65"/>
      <c r="D261" s="69" t="s">
        <v>1030</v>
      </c>
      <c r="E261" s="72" t="s">
        <v>350</v>
      </c>
      <c r="F261" s="148">
        <f>1.26*0.14+0.56*1.1+0.51*1.02+0.32*1.38+0.32*1.37+0.32*1.38+0.32*1.37+0.53*1+0.41*1.28+0.15*1.545+0.41*1.28</f>
        <v>4.88395</v>
      </c>
      <c r="G261" s="203"/>
      <c r="H261" s="73">
        <f>F261*G261</f>
        <v>0</v>
      </c>
      <c r="I261" s="306" t="s">
        <v>97</v>
      </c>
      <c r="K261" s="279"/>
    </row>
    <row r="262" spans="1:11" ht="25.5">
      <c r="A262" s="64"/>
      <c r="B262" s="188"/>
      <c r="C262" s="65"/>
      <c r="D262" s="114" t="s">
        <v>1036</v>
      </c>
      <c r="E262" s="72"/>
      <c r="F262" s="148"/>
      <c r="G262" s="203"/>
      <c r="H262" s="73"/>
      <c r="I262" s="306"/>
      <c r="K262" s="279"/>
    </row>
    <row r="263" spans="1:11" ht="12.75">
      <c r="A263" s="64">
        <f>A261+1</f>
        <v>82</v>
      </c>
      <c r="B263" s="188" t="s">
        <v>919</v>
      </c>
      <c r="C263" s="65"/>
      <c r="D263" s="66" t="s">
        <v>920</v>
      </c>
      <c r="E263" s="67" t="s">
        <v>353</v>
      </c>
      <c r="F263" s="148">
        <f>2*(1.28+2*1.47)*2+3*0.4</f>
        <v>18.08</v>
      </c>
      <c r="G263" s="203"/>
      <c r="H263" s="68">
        <f>F263*G263</f>
        <v>0</v>
      </c>
      <c r="I263" s="300" t="s">
        <v>97</v>
      </c>
      <c r="K263" s="279"/>
    </row>
    <row r="264" spans="1:11" ht="38.25">
      <c r="A264" s="64">
        <f>A263+1</f>
        <v>83</v>
      </c>
      <c r="B264" s="188" t="s">
        <v>295</v>
      </c>
      <c r="C264" s="65" t="s">
        <v>109</v>
      </c>
      <c r="D264" s="66" t="s">
        <v>179</v>
      </c>
      <c r="E264" s="67" t="s">
        <v>350</v>
      </c>
      <c r="F264" s="148">
        <f>SUM(E265:E275)</f>
        <v>242.38240000000002</v>
      </c>
      <c r="G264" s="203"/>
      <c r="H264" s="68">
        <f>F264*G264</f>
        <v>0</v>
      </c>
      <c r="I264" s="300" t="s">
        <v>97</v>
      </c>
      <c r="J264" s="231"/>
      <c r="K264" s="279" t="s">
        <v>1094</v>
      </c>
    </row>
    <row r="265" spans="1:11" ht="12.75">
      <c r="A265" s="64"/>
      <c r="B265" s="188"/>
      <c r="C265" s="65"/>
      <c r="D265" s="114" t="s">
        <v>623</v>
      </c>
      <c r="E265" s="105">
        <f>12.13*3.34-2*0.9*2.02-0.8*2.05-1.28*1.47*2</f>
        <v>31.474999999999998</v>
      </c>
      <c r="F265" s="148"/>
      <c r="G265" s="203"/>
      <c r="H265" s="68"/>
      <c r="I265" s="306"/>
      <c r="K265" s="279"/>
    </row>
    <row r="266" spans="1:11" ht="12.75">
      <c r="A266" s="64"/>
      <c r="B266" s="188"/>
      <c r="C266" s="65"/>
      <c r="D266" s="114" t="s">
        <v>651</v>
      </c>
      <c r="E266" s="105">
        <f>13.83*2.6-3*0.9*2.05-3*0.8*2.05</f>
        <v>25.503</v>
      </c>
      <c r="F266" s="148"/>
      <c r="G266" s="203"/>
      <c r="H266" s="68"/>
      <c r="I266" s="306"/>
      <c r="K266" s="279"/>
    </row>
    <row r="267" spans="1:11" ht="12.75">
      <c r="A267" s="64"/>
      <c r="B267" s="188"/>
      <c r="C267" s="65"/>
      <c r="D267" s="114" t="s">
        <v>671</v>
      </c>
      <c r="E267" s="105">
        <f>20.93*2.9-2*0.9*2.05-1.38*2.16-1.365*2.16-0.6*4.3</f>
        <v>48.4978</v>
      </c>
      <c r="F267" s="148"/>
      <c r="G267" s="203"/>
      <c r="H267" s="68"/>
      <c r="I267" s="306"/>
      <c r="K267" s="279"/>
    </row>
    <row r="268" spans="1:11" ht="12.75">
      <c r="A268" s="64"/>
      <c r="B268" s="188"/>
      <c r="C268" s="65"/>
      <c r="D268" s="114" t="s">
        <v>649</v>
      </c>
      <c r="E268" s="105">
        <f>20.18*2.9-0.9*2.05-1.39*2.16-1.37*2.16-5.67*2.9</f>
        <v>34.2724</v>
      </c>
      <c r="F268" s="148"/>
      <c r="G268" s="203"/>
      <c r="H268" s="68"/>
      <c r="I268" s="306"/>
      <c r="K268" s="279"/>
    </row>
    <row r="269" spans="1:11" ht="12.75">
      <c r="A269" s="64"/>
      <c r="B269" s="188"/>
      <c r="C269" s="65"/>
      <c r="D269" s="114" t="s">
        <v>654</v>
      </c>
      <c r="E269" s="105">
        <f>14.16*2.8-0.9*2.05-4.91*2.8-1.28*1.47</f>
        <v>22.1734</v>
      </c>
      <c r="F269" s="148"/>
      <c r="G269" s="203"/>
      <c r="H269" s="68"/>
      <c r="I269" s="306"/>
      <c r="K269" s="279"/>
    </row>
    <row r="270" spans="1:11" ht="12.75">
      <c r="A270" s="64"/>
      <c r="B270" s="188"/>
      <c r="C270" s="65"/>
      <c r="D270" s="114" t="s">
        <v>635</v>
      </c>
      <c r="E270" s="105">
        <f>17.35*2.8-0.9*2.05*2-1.28*1.47</f>
        <v>43.0084</v>
      </c>
      <c r="F270" s="148"/>
      <c r="G270" s="203"/>
      <c r="H270" s="68"/>
      <c r="I270" s="306"/>
      <c r="K270" s="279"/>
    </row>
    <row r="271" spans="1:11" ht="12.75">
      <c r="A271" s="64"/>
      <c r="B271" s="188"/>
      <c r="C271" s="65"/>
      <c r="D271" s="114" t="s">
        <v>636</v>
      </c>
      <c r="E271" s="105">
        <f>5.52*2.6-0.8*2.05+0.1*1.21</f>
        <v>12.832999999999998</v>
      </c>
      <c r="F271" s="148"/>
      <c r="G271" s="203"/>
      <c r="H271" s="68"/>
      <c r="I271" s="306"/>
      <c r="K271" s="279"/>
    </row>
    <row r="272" spans="1:11" ht="12.75">
      <c r="A272" s="64"/>
      <c r="B272" s="188"/>
      <c r="C272" s="65"/>
      <c r="D272" s="114" t="s">
        <v>645</v>
      </c>
      <c r="E272" s="105">
        <v>0</v>
      </c>
      <c r="F272" s="148"/>
      <c r="G272" s="203"/>
      <c r="H272" s="68"/>
      <c r="I272" s="306"/>
      <c r="K272" s="279"/>
    </row>
    <row r="273" spans="1:11" ht="12.75" customHeight="1">
      <c r="A273" s="64"/>
      <c r="B273" s="188"/>
      <c r="C273" s="65"/>
      <c r="D273" s="114" t="s">
        <v>646</v>
      </c>
      <c r="E273" s="105">
        <v>0</v>
      </c>
      <c r="F273" s="148"/>
      <c r="G273" s="203"/>
      <c r="H273" s="68"/>
      <c r="I273" s="306"/>
      <c r="K273" s="279"/>
    </row>
    <row r="274" spans="1:11" ht="12.75">
      <c r="A274" s="64"/>
      <c r="B274" s="188"/>
      <c r="C274" s="65"/>
      <c r="D274" s="114" t="s">
        <v>627</v>
      </c>
      <c r="E274" s="105">
        <f>4.98*3.34-0.4*0.4-0.8*2.05</f>
        <v>14.833200000000001</v>
      </c>
      <c r="F274" s="148"/>
      <c r="G274" s="203"/>
      <c r="H274" s="68"/>
      <c r="I274" s="306"/>
      <c r="K274" s="279"/>
    </row>
    <row r="275" spans="1:11" ht="12.75">
      <c r="A275" s="64"/>
      <c r="B275" s="188"/>
      <c r="C275" s="65"/>
      <c r="D275" s="114" t="s">
        <v>628</v>
      </c>
      <c r="E275" s="105">
        <f>2.93*3.34</f>
        <v>9.786200000000001</v>
      </c>
      <c r="F275" s="148"/>
      <c r="G275" s="203"/>
      <c r="H275" s="68"/>
      <c r="I275" s="306"/>
      <c r="K275" s="279"/>
    </row>
    <row r="276" spans="1:11" ht="38.25">
      <c r="A276" s="64">
        <f>A264+1</f>
        <v>84</v>
      </c>
      <c r="B276" s="188" t="s">
        <v>295</v>
      </c>
      <c r="C276" s="65" t="s">
        <v>109</v>
      </c>
      <c r="D276" s="66" t="s">
        <v>1093</v>
      </c>
      <c r="E276" s="67" t="s">
        <v>350</v>
      </c>
      <c r="F276" s="148">
        <f>SUM(E277:E283)</f>
        <v>6.475950000000001</v>
      </c>
      <c r="G276" s="203"/>
      <c r="H276" s="68">
        <f>F276*G276</f>
        <v>0</v>
      </c>
      <c r="I276" s="300" t="s">
        <v>97</v>
      </c>
      <c r="J276" s="231"/>
      <c r="K276" s="279"/>
    </row>
    <row r="277" spans="1:11" ht="12.75">
      <c r="A277" s="64"/>
      <c r="B277" s="188"/>
      <c r="C277" s="65"/>
      <c r="D277" s="114" t="s">
        <v>631</v>
      </c>
      <c r="E277" s="105">
        <f>1.26*0.14</f>
        <v>0.17640000000000003</v>
      </c>
      <c r="F277" s="148"/>
      <c r="G277" s="203"/>
      <c r="H277" s="68"/>
      <c r="I277" s="306"/>
      <c r="K277" s="279"/>
    </row>
    <row r="278" spans="1:11" ht="12.75">
      <c r="A278" s="64"/>
      <c r="B278" s="188"/>
      <c r="C278" s="65"/>
      <c r="D278" s="114" t="s">
        <v>632</v>
      </c>
      <c r="E278" s="105">
        <f>0.56*1.1+0.51*1.02</f>
        <v>1.1362</v>
      </c>
      <c r="F278" s="148"/>
      <c r="G278" s="203"/>
      <c r="H278" s="68"/>
      <c r="I278" s="306"/>
      <c r="K278" s="279"/>
    </row>
    <row r="279" spans="1:11" ht="12.75">
      <c r="A279" s="64"/>
      <c r="B279" s="188"/>
      <c r="C279" s="65"/>
      <c r="D279" s="114" t="s">
        <v>633</v>
      </c>
      <c r="E279" s="105">
        <f>+0.32*1.38+0.32*1.37</f>
        <v>0.8800000000000001</v>
      </c>
      <c r="F279" s="148"/>
      <c r="G279" s="203"/>
      <c r="H279" s="68"/>
      <c r="I279" s="306"/>
      <c r="K279" s="279"/>
    </row>
    <row r="280" spans="1:11" ht="12.75">
      <c r="A280" s="64"/>
      <c r="B280" s="188"/>
      <c r="C280" s="65"/>
      <c r="D280" s="114" t="s">
        <v>634</v>
      </c>
      <c r="E280" s="105">
        <f>+0.32*1.38+0.32*1.37</f>
        <v>0.8800000000000001</v>
      </c>
      <c r="F280" s="148"/>
      <c r="G280" s="203"/>
      <c r="H280" s="68"/>
      <c r="I280" s="306"/>
      <c r="K280" s="279"/>
    </row>
    <row r="281" spans="1:11" ht="12.75">
      <c r="A281" s="64"/>
      <c r="B281" s="188"/>
      <c r="C281" s="65"/>
      <c r="D281" s="114" t="s">
        <v>658</v>
      </c>
      <c r="E281" s="105">
        <f>0.41*1.28+0.53*1</f>
        <v>1.0548</v>
      </c>
      <c r="F281" s="148"/>
      <c r="G281" s="203"/>
      <c r="H281" s="68"/>
      <c r="I281" s="306"/>
      <c r="K281" s="279"/>
    </row>
    <row r="282" spans="1:11" ht="12.75">
      <c r="A282" s="64"/>
      <c r="B282" s="188"/>
      <c r="C282" s="65"/>
      <c r="D282" s="114" t="s">
        <v>656</v>
      </c>
      <c r="E282" s="105">
        <f>0.41*1.28+0.15*1.545</f>
        <v>0.75655</v>
      </c>
      <c r="F282" s="148"/>
      <c r="G282" s="203"/>
      <c r="H282" s="68"/>
      <c r="I282" s="306"/>
      <c r="K282" s="279"/>
    </row>
    <row r="283" spans="1:11" ht="12.75">
      <c r="A283" s="64"/>
      <c r="B283" s="188"/>
      <c r="C283" s="65"/>
      <c r="D283" s="114" t="s">
        <v>659</v>
      </c>
      <c r="E283" s="105">
        <f>1.5+0.23*0.4</f>
        <v>1.592</v>
      </c>
      <c r="F283" s="148"/>
      <c r="G283" s="203"/>
      <c r="H283" s="68"/>
      <c r="I283" s="306"/>
      <c r="K283" s="279"/>
    </row>
    <row r="284" spans="1:11" ht="12.75">
      <c r="A284" s="64">
        <f>A276+1</f>
        <v>85</v>
      </c>
      <c r="B284" s="188" t="s">
        <v>181</v>
      </c>
      <c r="C284" s="65" t="s">
        <v>304</v>
      </c>
      <c r="D284" s="66" t="s">
        <v>180</v>
      </c>
      <c r="E284" s="67" t="s">
        <v>353</v>
      </c>
      <c r="F284" s="148">
        <f>SUM(E285:E295)</f>
        <v>52.949999999999996</v>
      </c>
      <c r="G284" s="203"/>
      <c r="H284" s="68">
        <f>F284*G284</f>
        <v>0</v>
      </c>
      <c r="I284" s="300" t="s">
        <v>97</v>
      </c>
      <c r="K284" s="279"/>
    </row>
    <row r="285" spans="1:11" ht="12.75">
      <c r="A285" s="64"/>
      <c r="B285" s="188"/>
      <c r="C285" s="65"/>
      <c r="D285" s="114" t="s">
        <v>638</v>
      </c>
      <c r="E285" s="105">
        <f>2*2.05</f>
        <v>4.1</v>
      </c>
      <c r="F285" s="148"/>
      <c r="G285" s="203"/>
      <c r="H285" s="68"/>
      <c r="I285" s="306"/>
      <c r="K285" s="279"/>
    </row>
    <row r="286" spans="1:11" ht="12.75">
      <c r="A286" s="64"/>
      <c r="B286" s="188"/>
      <c r="C286" s="65"/>
      <c r="D286" s="114" t="s">
        <v>639</v>
      </c>
      <c r="E286" s="105">
        <f>+2*2.31+2*2.1</f>
        <v>8.82</v>
      </c>
      <c r="F286" s="148"/>
      <c r="G286" s="203"/>
      <c r="H286" s="68"/>
      <c r="I286" s="306"/>
      <c r="K286" s="279"/>
    </row>
    <row r="287" spans="1:11" ht="12.75">
      <c r="A287" s="64"/>
      <c r="B287" s="188"/>
      <c r="C287" s="65"/>
      <c r="D287" s="114" t="s">
        <v>640</v>
      </c>
      <c r="E287" s="105">
        <f>4*2.8</f>
        <v>11.2</v>
      </c>
      <c r="F287" s="148"/>
      <c r="G287" s="203"/>
      <c r="H287" s="68"/>
      <c r="I287" s="306"/>
      <c r="K287" s="279"/>
    </row>
    <row r="288" spans="1:11" ht="12.75">
      <c r="A288" s="64"/>
      <c r="B288" s="188"/>
      <c r="C288" s="65"/>
      <c r="D288" s="114" t="s">
        <v>641</v>
      </c>
      <c r="E288" s="105">
        <f>4*2.8</f>
        <v>11.2</v>
      </c>
      <c r="F288" s="148"/>
      <c r="G288" s="203"/>
      <c r="H288" s="68"/>
      <c r="I288" s="306"/>
      <c r="K288" s="279"/>
    </row>
    <row r="289" spans="1:11" ht="12.75">
      <c r="A289" s="64"/>
      <c r="B289" s="188"/>
      <c r="C289" s="65"/>
      <c r="D289" s="114" t="s">
        <v>642</v>
      </c>
      <c r="E289" s="105">
        <f>2.1+2.3</f>
        <v>4.4</v>
      </c>
      <c r="F289" s="148"/>
      <c r="G289" s="203"/>
      <c r="H289" s="68"/>
      <c r="I289" s="306"/>
      <c r="K289" s="279"/>
    </row>
    <row r="290" spans="1:11" ht="12.75">
      <c r="A290" s="64"/>
      <c r="B290" s="188"/>
      <c r="C290" s="65"/>
      <c r="D290" s="114" t="s">
        <v>643</v>
      </c>
      <c r="E290" s="105">
        <f>2*2.3+2*1.21</f>
        <v>7.02</v>
      </c>
      <c r="F290" s="148"/>
      <c r="G290" s="203"/>
      <c r="H290" s="68"/>
      <c r="I290" s="306"/>
      <c r="K290" s="279"/>
    </row>
    <row r="291" spans="1:11" ht="12.75">
      <c r="A291" s="64"/>
      <c r="B291" s="188"/>
      <c r="C291" s="65"/>
      <c r="D291" s="114" t="s">
        <v>644</v>
      </c>
      <c r="E291" s="105">
        <v>1.21</v>
      </c>
      <c r="F291" s="148"/>
      <c r="G291" s="203"/>
      <c r="H291" s="68"/>
      <c r="I291" s="306"/>
      <c r="K291" s="279"/>
    </row>
    <row r="292" spans="1:11" ht="12.75">
      <c r="A292" s="64"/>
      <c r="B292" s="188"/>
      <c r="C292" s="65"/>
      <c r="D292" s="114" t="s">
        <v>645</v>
      </c>
      <c r="E292" s="105">
        <v>0</v>
      </c>
      <c r="F292" s="148"/>
      <c r="G292" s="203"/>
      <c r="H292" s="68"/>
      <c r="I292" s="306"/>
      <c r="K292" s="279"/>
    </row>
    <row r="293" spans="1:11" ht="12.75">
      <c r="A293" s="64"/>
      <c r="B293" s="188"/>
      <c r="C293" s="65"/>
      <c r="D293" s="114" t="s">
        <v>646</v>
      </c>
      <c r="E293" s="105">
        <v>0</v>
      </c>
      <c r="F293" s="148"/>
      <c r="G293" s="203"/>
      <c r="H293" s="68"/>
      <c r="I293" s="306"/>
      <c r="K293" s="279"/>
    </row>
    <row r="294" spans="1:11" ht="12.75">
      <c r="A294" s="64"/>
      <c r="B294" s="188"/>
      <c r="C294" s="65"/>
      <c r="D294" s="114" t="s">
        <v>647</v>
      </c>
      <c r="E294" s="105">
        <f>2*2.1+2*0.4</f>
        <v>5</v>
      </c>
      <c r="F294" s="148"/>
      <c r="G294" s="203"/>
      <c r="H294" s="68"/>
      <c r="I294" s="306"/>
      <c r="K294" s="279"/>
    </row>
    <row r="295" spans="1:11" ht="12.75">
      <c r="A295" s="64"/>
      <c r="B295" s="188"/>
      <c r="C295" s="65"/>
      <c r="D295" s="114" t="s">
        <v>648</v>
      </c>
      <c r="E295" s="105">
        <v>0</v>
      </c>
      <c r="F295" s="148"/>
      <c r="G295" s="203"/>
      <c r="H295" s="68"/>
      <c r="I295" s="306"/>
      <c r="K295" s="279"/>
    </row>
    <row r="296" spans="1:11" ht="25.5">
      <c r="A296" s="64">
        <f>A284+1</f>
        <v>86</v>
      </c>
      <c r="B296" s="188" t="s">
        <v>178</v>
      </c>
      <c r="C296" s="65" t="s">
        <v>304</v>
      </c>
      <c r="D296" s="66" t="s">
        <v>177</v>
      </c>
      <c r="E296" s="67" t="s">
        <v>350</v>
      </c>
      <c r="F296" s="148">
        <f>SUM(E297:E302)</f>
        <v>15.4918</v>
      </c>
      <c r="G296" s="203"/>
      <c r="H296" s="68">
        <f>F296*G296</f>
        <v>0</v>
      </c>
      <c r="I296" s="300" t="s">
        <v>97</v>
      </c>
      <c r="K296" s="279"/>
    </row>
    <row r="297" spans="1:11" ht="12.75">
      <c r="A297" s="64"/>
      <c r="B297" s="188"/>
      <c r="C297" s="65"/>
      <c r="D297" s="114" t="s">
        <v>650</v>
      </c>
      <c r="E297" s="105">
        <f>2*0.56*2.31+2*0.51*2.1</f>
        <v>4.7292000000000005</v>
      </c>
      <c r="F297" s="148"/>
      <c r="G297" s="203"/>
      <c r="H297" s="68"/>
      <c r="I297" s="306"/>
      <c r="K297" s="279"/>
    </row>
    <row r="298" spans="1:11" ht="12.75">
      <c r="A298" s="64"/>
      <c r="B298" s="188"/>
      <c r="C298" s="65"/>
      <c r="D298" s="114" t="s">
        <v>652</v>
      </c>
      <c r="E298" s="105">
        <f>+2*0.32*2.16*2</f>
        <v>2.7648</v>
      </c>
      <c r="F298" s="148"/>
      <c r="G298" s="203"/>
      <c r="H298" s="68"/>
      <c r="I298" s="306"/>
      <c r="K298" s="279"/>
    </row>
    <row r="299" spans="1:11" ht="12.75">
      <c r="A299" s="64"/>
      <c r="B299" s="188"/>
      <c r="C299" s="65"/>
      <c r="D299" s="114" t="s">
        <v>653</v>
      </c>
      <c r="E299" s="105">
        <f>2*0.32*2.16*2</f>
        <v>2.7648</v>
      </c>
      <c r="F299" s="148"/>
      <c r="G299" s="203"/>
      <c r="H299" s="68"/>
      <c r="I299" s="306"/>
      <c r="K299" s="279"/>
    </row>
    <row r="300" spans="1:11" ht="12.75">
      <c r="A300" s="64"/>
      <c r="B300" s="188"/>
      <c r="C300" s="65"/>
      <c r="D300" s="114" t="s">
        <v>655</v>
      </c>
      <c r="E300" s="105">
        <f>2*0.53*2.1+2*0.41*1.5</f>
        <v>3.4560000000000004</v>
      </c>
      <c r="F300" s="148"/>
      <c r="G300" s="203"/>
      <c r="H300" s="68"/>
      <c r="I300" s="306"/>
      <c r="K300" s="279"/>
    </row>
    <row r="301" spans="1:11" ht="12.75">
      <c r="A301" s="64"/>
      <c r="B301" s="188"/>
      <c r="C301" s="65"/>
      <c r="D301" s="114" t="s">
        <v>657</v>
      </c>
      <c r="E301" s="105">
        <f>0.15*1.21*2+2*0.41*1.5</f>
        <v>1.593</v>
      </c>
      <c r="F301" s="148"/>
      <c r="G301" s="203"/>
      <c r="H301" s="68"/>
      <c r="I301" s="306"/>
      <c r="K301" s="279"/>
    </row>
    <row r="302" spans="1:11" ht="12.75">
      <c r="A302" s="64"/>
      <c r="B302" s="188"/>
      <c r="C302" s="65"/>
      <c r="D302" s="114" t="s">
        <v>660</v>
      </c>
      <c r="E302" s="105">
        <f>2*0.23*0.4</f>
        <v>0.18400000000000002</v>
      </c>
      <c r="F302" s="148"/>
      <c r="G302" s="203"/>
      <c r="H302" s="68"/>
      <c r="I302" s="306"/>
      <c r="K302" s="279"/>
    </row>
    <row r="303" spans="1:11" ht="25.5">
      <c r="A303" s="64">
        <f>A296+1</f>
        <v>87</v>
      </c>
      <c r="B303" s="193" t="s">
        <v>176</v>
      </c>
      <c r="C303" s="65" t="s">
        <v>304</v>
      </c>
      <c r="D303" s="66" t="s">
        <v>175</v>
      </c>
      <c r="E303" s="67" t="s">
        <v>353</v>
      </c>
      <c r="F303" s="148">
        <f>SUM(E304:E314)</f>
        <v>131.44</v>
      </c>
      <c r="G303" s="203"/>
      <c r="H303" s="68">
        <f>F303*G303</f>
        <v>0</v>
      </c>
      <c r="I303" s="300" t="s">
        <v>97</v>
      </c>
      <c r="K303" s="279"/>
    </row>
    <row r="304" spans="1:11" ht="12.75">
      <c r="A304" s="64"/>
      <c r="B304" s="188"/>
      <c r="C304" s="65"/>
      <c r="D304" s="114" t="s">
        <v>661</v>
      </c>
      <c r="E304" s="105">
        <f>2.34+2*(1.28+2*1.47)+2*(0.9+2*2.05)+0.8+2.05</f>
        <v>23.630000000000003</v>
      </c>
      <c r="F304" s="148"/>
      <c r="G304" s="203"/>
      <c r="H304" s="68"/>
      <c r="I304" s="306"/>
      <c r="K304" s="279"/>
    </row>
    <row r="305" spans="1:11" ht="12.75">
      <c r="A305" s="64"/>
      <c r="B305" s="188"/>
      <c r="C305" s="65"/>
      <c r="D305" s="114" t="s">
        <v>662</v>
      </c>
      <c r="E305" s="105">
        <f>3*(0.8+2.05*2)+3*(0.9+2*2.05)</f>
        <v>29.7</v>
      </c>
      <c r="F305" s="148"/>
      <c r="G305" s="203"/>
      <c r="H305" s="68"/>
      <c r="I305" s="306"/>
      <c r="K305" s="279"/>
    </row>
    <row r="306" spans="1:11" ht="12.75">
      <c r="A306" s="64"/>
      <c r="B306" s="188"/>
      <c r="C306" s="65"/>
      <c r="D306" s="114" t="s">
        <v>663</v>
      </c>
      <c r="E306" s="105">
        <f>2*(0.9+2*2.05)+2*(1.38+2*2.16)</f>
        <v>21.4</v>
      </c>
      <c r="F306" s="148"/>
      <c r="G306" s="203"/>
      <c r="H306" s="68"/>
      <c r="I306" s="306"/>
      <c r="K306" s="279"/>
    </row>
    <row r="307" spans="1:11" ht="12.75">
      <c r="A307" s="64"/>
      <c r="B307" s="188"/>
      <c r="C307" s="65"/>
      <c r="D307" s="114" t="s">
        <v>664</v>
      </c>
      <c r="E307" s="105">
        <f>0.9+2*2.05+2*(1.38+2*2.16)</f>
        <v>16.4</v>
      </c>
      <c r="F307" s="148"/>
      <c r="G307" s="203"/>
      <c r="H307" s="68"/>
      <c r="I307" s="306"/>
      <c r="K307" s="279"/>
    </row>
    <row r="308" spans="1:11" ht="12.75">
      <c r="A308" s="64"/>
      <c r="B308" s="188"/>
      <c r="C308" s="65"/>
      <c r="D308" s="114" t="s">
        <v>665</v>
      </c>
      <c r="E308" s="105">
        <f>0.9*2.05*2+1.28+2*1.47</f>
        <v>7.91</v>
      </c>
      <c r="F308" s="148"/>
      <c r="G308" s="203"/>
      <c r="H308" s="68"/>
      <c r="I308" s="306"/>
      <c r="K308" s="279"/>
    </row>
    <row r="309" spans="1:11" ht="12.75">
      <c r="A309" s="64"/>
      <c r="B309" s="188"/>
      <c r="C309" s="65"/>
      <c r="D309" s="114" t="s">
        <v>666</v>
      </c>
      <c r="E309" s="105">
        <f>2*(0.9*2.05*2)+1.28+2*1.47</f>
        <v>11.6</v>
      </c>
      <c r="F309" s="148"/>
      <c r="G309" s="203"/>
      <c r="H309" s="68"/>
      <c r="I309" s="306"/>
      <c r="K309" s="279"/>
    </row>
    <row r="310" spans="1:11" ht="12.75">
      <c r="A310" s="64"/>
      <c r="B310" s="188"/>
      <c r="C310" s="65"/>
      <c r="D310" s="114" t="s">
        <v>667</v>
      </c>
      <c r="E310" s="105">
        <f>0.8+2*2.05</f>
        <v>4.8999999999999995</v>
      </c>
      <c r="F310" s="148"/>
      <c r="G310" s="203"/>
      <c r="H310" s="68"/>
      <c r="I310" s="306"/>
      <c r="K310" s="279"/>
    </row>
    <row r="311" spans="1:11" ht="12.75">
      <c r="A311" s="64"/>
      <c r="B311" s="188"/>
      <c r="C311" s="65"/>
      <c r="D311" s="114" t="s">
        <v>668</v>
      </c>
      <c r="E311" s="105">
        <f>+0.8+2*2.05</f>
        <v>4.8999999999999995</v>
      </c>
      <c r="F311" s="148"/>
      <c r="G311" s="203"/>
      <c r="H311" s="68"/>
      <c r="I311" s="306"/>
      <c r="K311" s="279"/>
    </row>
    <row r="312" spans="1:11" ht="12.75">
      <c r="A312" s="64"/>
      <c r="B312" s="188"/>
      <c r="C312" s="65"/>
      <c r="D312" s="114" t="s">
        <v>669</v>
      </c>
      <c r="E312" s="105">
        <f>0.8+2*2.05</f>
        <v>4.8999999999999995</v>
      </c>
      <c r="F312" s="148"/>
      <c r="G312" s="203"/>
      <c r="H312" s="68"/>
      <c r="I312" s="306"/>
      <c r="K312" s="279"/>
    </row>
    <row r="313" spans="1:11" ht="12.75">
      <c r="A313" s="64"/>
      <c r="B313" s="188"/>
      <c r="C313" s="65"/>
      <c r="D313" s="114" t="s">
        <v>670</v>
      </c>
      <c r="E313" s="105">
        <f>0.8+2*2.05+3*0.4</f>
        <v>6.1</v>
      </c>
      <c r="F313" s="148"/>
      <c r="G313" s="203"/>
      <c r="H313" s="68"/>
      <c r="I313" s="306"/>
      <c r="K313" s="279"/>
    </row>
    <row r="314" spans="1:11" ht="12.75">
      <c r="A314" s="64"/>
      <c r="B314" s="188"/>
      <c r="C314" s="65"/>
      <c r="D314" s="114" t="s">
        <v>648</v>
      </c>
      <c r="E314" s="105">
        <v>0</v>
      </c>
      <c r="F314" s="148"/>
      <c r="G314" s="203"/>
      <c r="H314" s="68"/>
      <c r="I314" s="306"/>
      <c r="K314" s="279"/>
    </row>
    <row r="315" spans="1:9" ht="25.5">
      <c r="A315" s="64">
        <f>A303+1</f>
        <v>88</v>
      </c>
      <c r="B315" s="193" t="s">
        <v>1002</v>
      </c>
      <c r="C315" s="95" t="s">
        <v>132</v>
      </c>
      <c r="D315" s="66" t="s">
        <v>294</v>
      </c>
      <c r="E315" s="67" t="s">
        <v>350</v>
      </c>
      <c r="F315" s="148">
        <f>+F316+F317</f>
        <v>30.172</v>
      </c>
      <c r="G315" s="203"/>
      <c r="H315" s="68">
        <f>F315*G315</f>
        <v>0</v>
      </c>
      <c r="I315" s="300" t="s">
        <v>97</v>
      </c>
    </row>
    <row r="316" spans="1:9" ht="25.5">
      <c r="A316" s="64">
        <f>A315+1</f>
        <v>89</v>
      </c>
      <c r="B316" s="193" t="s">
        <v>296</v>
      </c>
      <c r="C316" s="65" t="s">
        <v>110</v>
      </c>
      <c r="D316" s="66" t="s">
        <v>672</v>
      </c>
      <c r="E316" s="67" t="s">
        <v>350</v>
      </c>
      <c r="F316" s="148">
        <f>0.6*(3.4)+0.1</f>
        <v>2.14</v>
      </c>
      <c r="G316" s="203"/>
      <c r="H316" s="68">
        <f>F316*G316</f>
        <v>0</v>
      </c>
      <c r="I316" s="300" t="s">
        <v>97</v>
      </c>
    </row>
    <row r="317" spans="1:9" ht="25.5">
      <c r="A317" s="64">
        <f>A316+1</f>
        <v>90</v>
      </c>
      <c r="B317" s="193" t="s">
        <v>686</v>
      </c>
      <c r="C317" s="65" t="s">
        <v>110</v>
      </c>
      <c r="D317" s="66" t="s">
        <v>675</v>
      </c>
      <c r="E317" s="67" t="s">
        <v>350</v>
      </c>
      <c r="F317" s="148">
        <f>+E318+E319</f>
        <v>28.032</v>
      </c>
      <c r="G317" s="203"/>
      <c r="H317" s="68">
        <f>F317*G317</f>
        <v>0</v>
      </c>
      <c r="I317" s="300" t="s">
        <v>97</v>
      </c>
    </row>
    <row r="318" spans="1:9" ht="12.75">
      <c r="A318" s="64"/>
      <c r="B318" s="188"/>
      <c r="C318" s="65"/>
      <c r="D318" s="114" t="s">
        <v>679</v>
      </c>
      <c r="E318" s="105">
        <f>2.4*8.3+1.6*0.1-0.8*2.05</f>
        <v>18.44</v>
      </c>
      <c r="F318" s="148"/>
      <c r="G318" s="203"/>
      <c r="H318" s="68"/>
      <c r="I318" s="300"/>
    </row>
    <row r="319" spans="1:9" ht="12.75">
      <c r="A319" s="64"/>
      <c r="B319" s="188"/>
      <c r="C319" s="65"/>
      <c r="D319" s="114" t="s">
        <v>680</v>
      </c>
      <c r="E319" s="105">
        <f>2.4*4.68-0.8*2.05</f>
        <v>9.591999999999999</v>
      </c>
      <c r="F319" s="148"/>
      <c r="G319" s="203"/>
      <c r="H319" s="68"/>
      <c r="I319" s="300"/>
    </row>
    <row r="320" spans="1:9" ht="12.75">
      <c r="A320" s="64">
        <f>A317+1</f>
        <v>91</v>
      </c>
      <c r="B320" s="188" t="s">
        <v>182</v>
      </c>
      <c r="C320" s="65"/>
      <c r="D320" s="66" t="s">
        <v>144</v>
      </c>
      <c r="E320" s="67" t="s">
        <v>350</v>
      </c>
      <c r="F320" s="149">
        <f>+F316+E319</f>
        <v>11.732</v>
      </c>
      <c r="G320" s="185"/>
      <c r="H320" s="68">
        <f aca="true" t="shared" si="15" ref="H320:H334">F320*G320</f>
        <v>0</v>
      </c>
      <c r="I320" s="300" t="s">
        <v>97</v>
      </c>
    </row>
    <row r="321" spans="1:11" ht="38.25">
      <c r="A321" s="64">
        <f aca="true" t="shared" si="16" ref="A321:A328">A320+1</f>
        <v>92</v>
      </c>
      <c r="B321" s="193" t="s">
        <v>513</v>
      </c>
      <c r="C321" s="86" t="s">
        <v>111</v>
      </c>
      <c r="D321" s="87" t="s">
        <v>681</v>
      </c>
      <c r="E321" s="88" t="s">
        <v>350</v>
      </c>
      <c r="F321" s="155">
        <f>(1.65*2.4+0.9*2.4)*1.1</f>
        <v>6.731999999999999</v>
      </c>
      <c r="G321" s="313"/>
      <c r="H321" s="89">
        <f t="shared" si="15"/>
        <v>0</v>
      </c>
      <c r="I321" s="300" t="s">
        <v>97</v>
      </c>
      <c r="K321" s="278" t="s">
        <v>678</v>
      </c>
    </row>
    <row r="322" spans="1:11" ht="25.5">
      <c r="A322" s="64">
        <f t="shared" si="16"/>
        <v>93</v>
      </c>
      <c r="B322" s="193" t="s">
        <v>514</v>
      </c>
      <c r="C322" s="86" t="s">
        <v>112</v>
      </c>
      <c r="D322" s="87" t="s">
        <v>676</v>
      </c>
      <c r="E322" s="88" t="s">
        <v>350</v>
      </c>
      <c r="F322" s="155">
        <f>+F317*1.1-F321</f>
        <v>24.103200000000005</v>
      </c>
      <c r="G322" s="313"/>
      <c r="H322" s="89">
        <f t="shared" si="15"/>
        <v>0</v>
      </c>
      <c r="I322" s="300" t="s">
        <v>97</v>
      </c>
      <c r="K322" s="278" t="s">
        <v>677</v>
      </c>
    </row>
    <row r="323" spans="1:11" ht="25.5">
      <c r="A323" s="64">
        <f t="shared" si="16"/>
        <v>94</v>
      </c>
      <c r="B323" s="193" t="s">
        <v>515</v>
      </c>
      <c r="C323" s="86" t="s">
        <v>193</v>
      </c>
      <c r="D323" s="87" t="s">
        <v>673</v>
      </c>
      <c r="E323" s="88" t="s">
        <v>350</v>
      </c>
      <c r="F323" s="155">
        <f>+(F316)*1.1</f>
        <v>2.3540000000000005</v>
      </c>
      <c r="G323" s="313"/>
      <c r="H323" s="89">
        <f>F323*G323</f>
        <v>0</v>
      </c>
      <c r="I323" s="300" t="s">
        <v>97</v>
      </c>
      <c r="K323" s="278" t="s">
        <v>674</v>
      </c>
    </row>
    <row r="324" spans="1:10" s="205" customFormat="1" ht="12.75">
      <c r="A324" s="64">
        <f t="shared" si="16"/>
        <v>95</v>
      </c>
      <c r="B324" s="198" t="s">
        <v>900</v>
      </c>
      <c r="C324" s="206"/>
      <c r="D324" s="207" t="s">
        <v>901</v>
      </c>
      <c r="E324" s="202" t="s">
        <v>352</v>
      </c>
      <c r="F324" s="162">
        <v>1</v>
      </c>
      <c r="G324" s="316"/>
      <c r="H324" s="204">
        <f>F324*G324</f>
        <v>0</v>
      </c>
      <c r="I324" s="297" t="s">
        <v>97</v>
      </c>
      <c r="J324" s="308"/>
    </row>
    <row r="325" spans="1:9" ht="12.75">
      <c r="A325" s="64">
        <f t="shared" si="16"/>
        <v>96</v>
      </c>
      <c r="B325" s="188" t="s">
        <v>297</v>
      </c>
      <c r="C325" s="65" t="s">
        <v>110</v>
      </c>
      <c r="D325" s="66" t="s">
        <v>298</v>
      </c>
      <c r="E325" s="67" t="s">
        <v>353</v>
      </c>
      <c r="F325" s="148">
        <f>2*0.6+0.2+1.2+0.6+0.88+0.1+2*2.4</f>
        <v>8.98</v>
      </c>
      <c r="G325" s="185"/>
      <c r="H325" s="68">
        <f t="shared" si="15"/>
        <v>0</v>
      </c>
      <c r="I325" s="300" t="s">
        <v>97</v>
      </c>
    </row>
    <row r="326" spans="1:11" ht="25.5">
      <c r="A326" s="64">
        <f t="shared" si="16"/>
        <v>97</v>
      </c>
      <c r="B326" s="193" t="s">
        <v>516</v>
      </c>
      <c r="C326" s="86" t="s">
        <v>113</v>
      </c>
      <c r="D326" s="87" t="s">
        <v>682</v>
      </c>
      <c r="E326" s="88" t="s">
        <v>353</v>
      </c>
      <c r="F326" s="155">
        <f>2*0.6+0.2</f>
        <v>1.4</v>
      </c>
      <c r="G326" s="313"/>
      <c r="H326" s="89">
        <f t="shared" si="15"/>
        <v>0</v>
      </c>
      <c r="I326" s="300" t="s">
        <v>97</v>
      </c>
      <c r="K326" s="278" t="s">
        <v>184</v>
      </c>
    </row>
    <row r="327" spans="1:11" ht="25.5">
      <c r="A327" s="64">
        <f t="shared" si="16"/>
        <v>98</v>
      </c>
      <c r="B327" s="193" t="s">
        <v>517</v>
      </c>
      <c r="C327" s="86" t="s">
        <v>113</v>
      </c>
      <c r="D327" s="87" t="s">
        <v>683</v>
      </c>
      <c r="E327" s="88" t="s">
        <v>353</v>
      </c>
      <c r="F327" s="155">
        <f>1.2+0.6+0.88+0.1+2*2.4</f>
        <v>7.58</v>
      </c>
      <c r="G327" s="313"/>
      <c r="H327" s="89">
        <f t="shared" si="15"/>
        <v>0</v>
      </c>
      <c r="I327" s="300" t="s">
        <v>97</v>
      </c>
      <c r="K327" s="278" t="s">
        <v>183</v>
      </c>
    </row>
    <row r="328" spans="1:9" ht="12.75">
      <c r="A328" s="64">
        <f t="shared" si="16"/>
        <v>99</v>
      </c>
      <c r="B328" s="188" t="s">
        <v>299</v>
      </c>
      <c r="C328" s="65" t="s">
        <v>110</v>
      </c>
      <c r="D328" s="66" t="s">
        <v>518</v>
      </c>
      <c r="E328" s="67" t="s">
        <v>350</v>
      </c>
      <c r="F328" s="148">
        <f>1.8*2.1+1.65*2+0.15*(6.7-0.8+5.68-0.8)</f>
        <v>8.697</v>
      </c>
      <c r="G328" s="203"/>
      <c r="H328" s="68">
        <f t="shared" si="15"/>
        <v>0</v>
      </c>
      <c r="I328" s="300" t="s">
        <v>97</v>
      </c>
    </row>
    <row r="329" spans="1:11" ht="16.5">
      <c r="A329" s="64">
        <f aca="true" t="shared" si="17" ref="A329:A339">A328+1</f>
        <v>100</v>
      </c>
      <c r="B329" s="193" t="s">
        <v>520</v>
      </c>
      <c r="C329" s="86" t="s">
        <v>113</v>
      </c>
      <c r="D329" s="87" t="s">
        <v>31</v>
      </c>
      <c r="E329" s="88" t="s">
        <v>3</v>
      </c>
      <c r="F329" s="153">
        <f>+F328*1.5*2</f>
        <v>26.090999999999998</v>
      </c>
      <c r="G329" s="313"/>
      <c r="H329" s="89">
        <f t="shared" si="15"/>
        <v>0</v>
      </c>
      <c r="I329" s="300" t="s">
        <v>97</v>
      </c>
      <c r="K329" s="278" t="s">
        <v>519</v>
      </c>
    </row>
    <row r="330" spans="1:9" ht="12.75">
      <c r="A330" s="64">
        <f t="shared" si="17"/>
        <v>101</v>
      </c>
      <c r="B330" s="188" t="s">
        <v>300</v>
      </c>
      <c r="C330" s="86"/>
      <c r="D330" s="66" t="s">
        <v>242</v>
      </c>
      <c r="E330" s="67" t="s">
        <v>353</v>
      </c>
      <c r="F330" s="148">
        <f>F331</f>
        <v>6</v>
      </c>
      <c r="G330" s="203"/>
      <c r="H330" s="68">
        <f t="shared" si="15"/>
        <v>0</v>
      </c>
      <c r="I330" s="300" t="s">
        <v>97</v>
      </c>
    </row>
    <row r="331" spans="1:9" ht="25.5">
      <c r="A331" s="64">
        <f t="shared" si="17"/>
        <v>102</v>
      </c>
      <c r="B331" s="188">
        <v>28355360</v>
      </c>
      <c r="C331" s="86" t="s">
        <v>113</v>
      </c>
      <c r="D331" s="87" t="s">
        <v>106</v>
      </c>
      <c r="E331" s="88" t="s">
        <v>353</v>
      </c>
      <c r="F331" s="153">
        <f>2+2+2</f>
        <v>6</v>
      </c>
      <c r="G331" s="313"/>
      <c r="H331" s="89">
        <f t="shared" si="15"/>
        <v>0</v>
      </c>
      <c r="I331" s="300" t="s">
        <v>97</v>
      </c>
    </row>
    <row r="332" spans="1:9" ht="12.75">
      <c r="A332" s="64">
        <f t="shared" si="17"/>
        <v>103</v>
      </c>
      <c r="B332" s="193" t="s">
        <v>859</v>
      </c>
      <c r="C332" s="86"/>
      <c r="D332" s="66" t="s">
        <v>860</v>
      </c>
      <c r="E332" s="67" t="s">
        <v>350</v>
      </c>
      <c r="F332" s="149">
        <v>23.9</v>
      </c>
      <c r="G332" s="185"/>
      <c r="H332" s="68">
        <f t="shared" si="15"/>
        <v>0</v>
      </c>
      <c r="I332" s="300" t="s">
        <v>97</v>
      </c>
    </row>
    <row r="333" spans="1:9" ht="12.75">
      <c r="A333" s="64">
        <f t="shared" si="17"/>
        <v>104</v>
      </c>
      <c r="B333" s="193" t="s">
        <v>1003</v>
      </c>
      <c r="C333" s="86"/>
      <c r="D333" s="66" t="s">
        <v>327</v>
      </c>
      <c r="E333" s="67" t="s">
        <v>350</v>
      </c>
      <c r="F333" s="149">
        <f>+F334</f>
        <v>400.73015000000004</v>
      </c>
      <c r="G333" s="185"/>
      <c r="H333" s="68">
        <f t="shared" si="15"/>
        <v>0</v>
      </c>
      <c r="I333" s="300" t="s">
        <v>97</v>
      </c>
    </row>
    <row r="334" spans="1:9" ht="12.75">
      <c r="A334" s="64">
        <f t="shared" si="17"/>
        <v>105</v>
      </c>
      <c r="B334" s="188" t="s">
        <v>303</v>
      </c>
      <c r="C334" s="86"/>
      <c r="D334" s="66" t="s">
        <v>302</v>
      </c>
      <c r="E334" s="67" t="s">
        <v>350</v>
      </c>
      <c r="F334" s="148">
        <f>+E335+E336+E337</f>
        <v>400.73015000000004</v>
      </c>
      <c r="G334" s="203"/>
      <c r="H334" s="68">
        <f t="shared" si="15"/>
        <v>0</v>
      </c>
      <c r="I334" s="300" t="s">
        <v>97</v>
      </c>
    </row>
    <row r="335" spans="1:11" ht="12.75">
      <c r="A335" s="64"/>
      <c r="B335" s="188"/>
      <c r="C335" s="65"/>
      <c r="D335" s="70" t="s">
        <v>1113</v>
      </c>
      <c r="E335" s="105">
        <f>+F264+F296</f>
        <v>257.87420000000003</v>
      </c>
      <c r="F335" s="149"/>
      <c r="G335" s="203"/>
      <c r="H335" s="68"/>
      <c r="I335" s="300"/>
      <c r="K335" s="279"/>
    </row>
    <row r="336" spans="1:11" ht="12.75">
      <c r="A336" s="64"/>
      <c r="B336" s="188"/>
      <c r="C336" s="65"/>
      <c r="D336" s="70" t="s">
        <v>325</v>
      </c>
      <c r="E336" s="105">
        <f>F216+F218+F203+F205</f>
        <v>136.38</v>
      </c>
      <c r="F336" s="149"/>
      <c r="G336" s="203"/>
      <c r="H336" s="68"/>
      <c r="I336" s="300"/>
      <c r="K336" s="279"/>
    </row>
    <row r="337" spans="1:11" ht="12.75">
      <c r="A337" s="64"/>
      <c r="B337" s="188"/>
      <c r="C337" s="65"/>
      <c r="D337" s="70" t="s">
        <v>194</v>
      </c>
      <c r="E337" s="105">
        <f>+F276</f>
        <v>6.475950000000001</v>
      </c>
      <c r="F337" s="149"/>
      <c r="G337" s="203"/>
      <c r="H337" s="68"/>
      <c r="I337" s="300"/>
      <c r="K337" s="279"/>
    </row>
    <row r="338" spans="1:11" ht="12.75">
      <c r="A338" s="64">
        <f>A334+1</f>
        <v>106</v>
      </c>
      <c r="B338" s="193" t="s">
        <v>521</v>
      </c>
      <c r="C338" s="65"/>
      <c r="D338" s="66" t="s">
        <v>104</v>
      </c>
      <c r="E338" s="67" t="s">
        <v>349</v>
      </c>
      <c r="F338" s="148">
        <v>1</v>
      </c>
      <c r="G338" s="203"/>
      <c r="H338" s="68">
        <f>F338*G338</f>
        <v>0</v>
      </c>
      <c r="I338" s="300" t="s">
        <v>97</v>
      </c>
      <c r="K338" s="279"/>
    </row>
    <row r="339" spans="1:9" ht="13.5" thickBot="1">
      <c r="A339" s="64">
        <f t="shared" si="17"/>
        <v>107</v>
      </c>
      <c r="B339" s="193" t="s">
        <v>475</v>
      </c>
      <c r="C339" s="65"/>
      <c r="D339" s="82" t="s">
        <v>19</v>
      </c>
      <c r="E339" s="67" t="s">
        <v>358</v>
      </c>
      <c r="F339" s="148">
        <f>+H246+H247+H248+H249+H264+H276+H284+H296+H303+H315+H321+H322+H323+H326+H327+H329+H331+H333+H334+H338+H263</f>
        <v>0</v>
      </c>
      <c r="G339" s="314"/>
      <c r="H339" s="68">
        <f>F339*G339</f>
        <v>0</v>
      </c>
      <c r="I339" s="300" t="s">
        <v>97</v>
      </c>
    </row>
    <row r="340" spans="1:9" ht="13.5" thickBot="1">
      <c r="A340" s="64"/>
      <c r="B340" s="196"/>
      <c r="C340" s="65"/>
      <c r="D340" s="83" t="s">
        <v>351</v>
      </c>
      <c r="E340" s="84"/>
      <c r="F340" s="154"/>
      <c r="G340" s="85"/>
      <c r="H340" s="76">
        <f>SUBTOTAL(9,H235:H339)</f>
        <v>0</v>
      </c>
      <c r="I340" s="300"/>
    </row>
    <row r="341" spans="1:9" ht="12.75">
      <c r="A341" s="64"/>
      <c r="B341" s="188"/>
      <c r="C341" s="65"/>
      <c r="D341" s="77"/>
      <c r="E341" s="78"/>
      <c r="F341" s="138"/>
      <c r="G341" s="22"/>
      <c r="H341" s="79"/>
      <c r="I341" s="300"/>
    </row>
    <row r="342" spans="1:9" ht="16.5">
      <c r="A342" s="64"/>
      <c r="B342" s="188"/>
      <c r="C342" s="80" t="s">
        <v>11</v>
      </c>
      <c r="D342" s="63" t="s">
        <v>28</v>
      </c>
      <c r="E342" s="63"/>
      <c r="F342" s="151"/>
      <c r="G342" s="63"/>
      <c r="H342" s="63"/>
      <c r="I342" s="300"/>
    </row>
    <row r="343" spans="1:9" ht="87.75" customHeight="1">
      <c r="A343" s="64"/>
      <c r="B343" s="188"/>
      <c r="C343" s="62"/>
      <c r="D343" s="326" t="s">
        <v>38</v>
      </c>
      <c r="E343" s="326"/>
      <c r="F343" s="326"/>
      <c r="G343" s="109"/>
      <c r="H343" s="109"/>
      <c r="I343" s="300"/>
    </row>
    <row r="344" spans="1:9" ht="12.75">
      <c r="A344" s="64">
        <f>A339+1</f>
        <v>108</v>
      </c>
      <c r="B344" s="188" t="s">
        <v>187</v>
      </c>
      <c r="C344" s="65" t="s">
        <v>783</v>
      </c>
      <c r="D344" s="66" t="s">
        <v>186</v>
      </c>
      <c r="E344" s="67" t="s">
        <v>352</v>
      </c>
      <c r="F344" s="148">
        <f>+F356+F357+F358+F359+F360+F361</f>
        <v>9</v>
      </c>
      <c r="G344" s="203"/>
      <c r="H344" s="68">
        <f>F344*G344</f>
        <v>0</v>
      </c>
      <c r="I344" s="300" t="s">
        <v>97</v>
      </c>
    </row>
    <row r="345" spans="1:9" ht="12.75" hidden="1">
      <c r="A345" s="64"/>
      <c r="B345" s="188"/>
      <c r="C345" s="209"/>
      <c r="D345" s="281" t="s">
        <v>944</v>
      </c>
      <c r="E345" s="282"/>
      <c r="F345" s="283">
        <v>3810</v>
      </c>
      <c r="G345" s="203"/>
      <c r="H345" s="68"/>
      <c r="I345" s="300"/>
    </row>
    <row r="346" spans="1:9" ht="12.75" hidden="1">
      <c r="A346" s="64"/>
      <c r="B346" s="188"/>
      <c r="C346" s="209"/>
      <c r="D346" s="281" t="s">
        <v>945</v>
      </c>
      <c r="E346" s="282"/>
      <c r="F346" s="283">
        <v>5140</v>
      </c>
      <c r="G346" s="203"/>
      <c r="H346" s="68"/>
      <c r="I346" s="300"/>
    </row>
    <row r="347" spans="1:9" ht="12.75" hidden="1">
      <c r="A347" s="64"/>
      <c r="B347" s="188"/>
      <c r="C347" s="209"/>
      <c r="D347" s="281" t="s">
        <v>947</v>
      </c>
      <c r="E347" s="282"/>
      <c r="F347" s="284">
        <v>3010</v>
      </c>
      <c r="G347" s="203"/>
      <c r="H347" s="68"/>
      <c r="I347" s="300"/>
    </row>
    <row r="348" spans="1:9" ht="12.75" hidden="1">
      <c r="A348" s="64"/>
      <c r="B348" s="188"/>
      <c r="C348" s="209"/>
      <c r="D348" s="281" t="s">
        <v>946</v>
      </c>
      <c r="E348" s="282"/>
      <c r="F348" s="284">
        <v>550</v>
      </c>
      <c r="G348" s="203"/>
      <c r="H348" s="68"/>
      <c r="I348" s="300"/>
    </row>
    <row r="349" spans="3:11" ht="16.5" hidden="1">
      <c r="C349" s="285"/>
      <c r="D349" s="92" t="s">
        <v>715</v>
      </c>
      <c r="E349" s="93"/>
      <c r="F349" s="145"/>
      <c r="G349" s="313"/>
      <c r="H349" s="94"/>
      <c r="K349" s="278"/>
    </row>
    <row r="350" spans="1:11" ht="16.5" hidden="1">
      <c r="A350" s="64"/>
      <c r="B350" s="193"/>
      <c r="C350" s="210"/>
      <c r="D350" s="281" t="s">
        <v>687</v>
      </c>
      <c r="E350" s="282"/>
      <c r="F350" s="286">
        <v>500</v>
      </c>
      <c r="G350" s="317"/>
      <c r="H350" s="94"/>
      <c r="K350" s="287"/>
    </row>
    <row r="351" spans="1:11" ht="16.5" hidden="1">
      <c r="A351" s="64"/>
      <c r="B351" s="193"/>
      <c r="C351" s="210"/>
      <c r="D351" s="281" t="s">
        <v>688</v>
      </c>
      <c r="E351" s="282"/>
      <c r="F351" s="286">
        <v>790</v>
      </c>
      <c r="G351" s="317"/>
      <c r="H351" s="94"/>
      <c r="K351" s="287"/>
    </row>
    <row r="352" spans="1:11" ht="16.5" hidden="1">
      <c r="A352" s="64"/>
      <c r="B352" s="193"/>
      <c r="C352" s="210"/>
      <c r="D352" s="281" t="s">
        <v>714</v>
      </c>
      <c r="E352" s="282"/>
      <c r="F352" s="286">
        <v>800</v>
      </c>
      <c r="G352" s="317"/>
      <c r="H352" s="94"/>
      <c r="K352" s="287"/>
    </row>
    <row r="353" spans="1:11" ht="16.5" hidden="1">
      <c r="A353" s="64"/>
      <c r="B353" s="193"/>
      <c r="C353" s="210"/>
      <c r="D353" s="281" t="s">
        <v>689</v>
      </c>
      <c r="E353" s="282"/>
      <c r="F353" s="286">
        <v>200</v>
      </c>
      <c r="G353" s="317"/>
      <c r="H353" s="94"/>
      <c r="K353" s="278"/>
    </row>
    <row r="354" spans="1:11" ht="16.5" hidden="1">
      <c r="A354" s="64"/>
      <c r="B354" s="193"/>
      <c r="C354" s="210"/>
      <c r="D354" s="281" t="s">
        <v>712</v>
      </c>
      <c r="E354" s="282"/>
      <c r="F354" s="286">
        <v>500</v>
      </c>
      <c r="G354" s="317"/>
      <c r="H354" s="94"/>
      <c r="K354" s="278"/>
    </row>
    <row r="355" spans="1:11" ht="16.5" hidden="1">
      <c r="A355" s="64"/>
      <c r="B355" s="193"/>
      <c r="C355" s="210"/>
      <c r="D355" s="281" t="s">
        <v>713</v>
      </c>
      <c r="E355" s="282"/>
      <c r="F355" s="286">
        <v>1500</v>
      </c>
      <c r="G355" s="317"/>
      <c r="H355" s="94"/>
      <c r="K355" s="278"/>
    </row>
    <row r="356" spans="1:11" ht="25.5">
      <c r="A356" s="64">
        <f>A344+1</f>
        <v>109</v>
      </c>
      <c r="B356" s="193" t="s">
        <v>716</v>
      </c>
      <c r="C356" s="107" t="s">
        <v>381</v>
      </c>
      <c r="D356" s="92" t="s">
        <v>697</v>
      </c>
      <c r="E356" s="93" t="s">
        <v>352</v>
      </c>
      <c r="F356" s="155">
        <v>2</v>
      </c>
      <c r="G356" s="313"/>
      <c r="H356" s="94">
        <f aca="true" t="shared" si="18" ref="H356:H364">F356*G356</f>
        <v>0</v>
      </c>
      <c r="I356" s="297" t="s">
        <v>97</v>
      </c>
      <c r="K356" s="278" t="s">
        <v>718</v>
      </c>
    </row>
    <row r="357" spans="1:11" ht="25.5">
      <c r="A357" s="64">
        <f>A356+1</f>
        <v>110</v>
      </c>
      <c r="B357" s="193" t="s">
        <v>717</v>
      </c>
      <c r="C357" s="277" t="s">
        <v>690</v>
      </c>
      <c r="D357" s="92" t="s">
        <v>698</v>
      </c>
      <c r="E357" s="93" t="s">
        <v>352</v>
      </c>
      <c r="F357" s="155">
        <v>3</v>
      </c>
      <c r="G357" s="313"/>
      <c r="H357" s="94">
        <f t="shared" si="18"/>
        <v>0</v>
      </c>
      <c r="I357" s="297" t="s">
        <v>97</v>
      </c>
      <c r="K357" s="278"/>
    </row>
    <row r="358" spans="1:11" ht="25.5">
      <c r="A358" s="64">
        <f aca="true" t="shared" si="19" ref="A358:A383">A357+1</f>
        <v>111</v>
      </c>
      <c r="B358" s="193" t="s">
        <v>717</v>
      </c>
      <c r="C358" s="277" t="s">
        <v>691</v>
      </c>
      <c r="D358" s="92" t="s">
        <v>699</v>
      </c>
      <c r="E358" s="93" t="s">
        <v>352</v>
      </c>
      <c r="F358" s="155">
        <v>1</v>
      </c>
      <c r="G358" s="313"/>
      <c r="H358" s="94">
        <f>F358*G358</f>
        <v>0</v>
      </c>
      <c r="I358" s="297" t="s">
        <v>97</v>
      </c>
      <c r="K358" s="278"/>
    </row>
    <row r="359" spans="1:11" ht="25.5">
      <c r="A359" s="64">
        <f t="shared" si="19"/>
        <v>112</v>
      </c>
      <c r="B359" s="193" t="s">
        <v>716</v>
      </c>
      <c r="C359" s="277" t="s">
        <v>692</v>
      </c>
      <c r="D359" s="92" t="s">
        <v>696</v>
      </c>
      <c r="E359" s="93" t="s">
        <v>352</v>
      </c>
      <c r="F359" s="155">
        <v>1</v>
      </c>
      <c r="G359" s="313"/>
      <c r="H359" s="94">
        <f>F359*G359</f>
        <v>0</v>
      </c>
      <c r="I359" s="297" t="s">
        <v>97</v>
      </c>
      <c r="K359" s="278"/>
    </row>
    <row r="360" spans="1:11" ht="25.5">
      <c r="A360" s="64">
        <f t="shared" si="19"/>
        <v>113</v>
      </c>
      <c r="B360" s="193" t="s">
        <v>716</v>
      </c>
      <c r="C360" s="277" t="s">
        <v>693</v>
      </c>
      <c r="D360" s="92" t="s">
        <v>711</v>
      </c>
      <c r="E360" s="93" t="s">
        <v>352</v>
      </c>
      <c r="F360" s="155">
        <v>1</v>
      </c>
      <c r="G360" s="313"/>
      <c r="H360" s="94">
        <f t="shared" si="18"/>
        <v>0</v>
      </c>
      <c r="I360" s="297" t="s">
        <v>97</v>
      </c>
      <c r="K360" s="278"/>
    </row>
    <row r="361" spans="1:11" ht="25.5">
      <c r="A361" s="64">
        <f t="shared" si="19"/>
        <v>114</v>
      </c>
      <c r="B361" s="193" t="s">
        <v>717</v>
      </c>
      <c r="C361" s="107" t="s">
        <v>694</v>
      </c>
      <c r="D361" s="92" t="s">
        <v>700</v>
      </c>
      <c r="E361" s="93" t="s">
        <v>352</v>
      </c>
      <c r="F361" s="155">
        <v>1</v>
      </c>
      <c r="G361" s="313"/>
      <c r="H361" s="94">
        <f t="shared" si="18"/>
        <v>0</v>
      </c>
      <c r="I361" s="297" t="s">
        <v>97</v>
      </c>
      <c r="K361" s="278"/>
    </row>
    <row r="362" spans="1:9" ht="25.5">
      <c r="A362" s="64">
        <f t="shared" si="19"/>
        <v>115</v>
      </c>
      <c r="B362" s="193" t="s">
        <v>707</v>
      </c>
      <c r="C362" s="65" t="s">
        <v>784</v>
      </c>
      <c r="D362" s="66" t="s">
        <v>708</v>
      </c>
      <c r="E362" s="67" t="s">
        <v>352</v>
      </c>
      <c r="F362" s="148">
        <v>1</v>
      </c>
      <c r="G362" s="203"/>
      <c r="H362" s="68">
        <f>F362*G362</f>
        <v>0</v>
      </c>
      <c r="I362" s="300" t="s">
        <v>97</v>
      </c>
    </row>
    <row r="363" spans="1:11" ht="25.5">
      <c r="A363" s="64">
        <f t="shared" si="19"/>
        <v>116</v>
      </c>
      <c r="B363" s="193" t="s">
        <v>703</v>
      </c>
      <c r="C363" s="277" t="s">
        <v>695</v>
      </c>
      <c r="D363" s="92" t="s">
        <v>975</v>
      </c>
      <c r="E363" s="93" t="s">
        <v>352</v>
      </c>
      <c r="F363" s="155">
        <v>1</v>
      </c>
      <c r="G363" s="313"/>
      <c r="H363" s="94">
        <f t="shared" si="18"/>
        <v>0</v>
      </c>
      <c r="I363" s="297" t="s">
        <v>97</v>
      </c>
      <c r="K363" s="278" t="s">
        <v>704</v>
      </c>
    </row>
    <row r="364" spans="1:11" ht="16.5">
      <c r="A364" s="64">
        <f t="shared" si="19"/>
        <v>117</v>
      </c>
      <c r="B364" s="193" t="s">
        <v>710</v>
      </c>
      <c r="C364" s="277" t="s">
        <v>695</v>
      </c>
      <c r="D364" s="92" t="s">
        <v>705</v>
      </c>
      <c r="E364" s="93" t="s">
        <v>352</v>
      </c>
      <c r="F364" s="155">
        <v>1</v>
      </c>
      <c r="G364" s="313"/>
      <c r="H364" s="94">
        <f t="shared" si="18"/>
        <v>0</v>
      </c>
      <c r="I364" s="297" t="s">
        <v>97</v>
      </c>
      <c r="K364" s="278"/>
    </row>
    <row r="365" spans="1:11" ht="25.5">
      <c r="A365" s="64">
        <f t="shared" si="19"/>
        <v>118</v>
      </c>
      <c r="B365" s="193" t="s">
        <v>701</v>
      </c>
      <c r="C365" s="277" t="s">
        <v>695</v>
      </c>
      <c r="D365" s="92" t="s">
        <v>709</v>
      </c>
      <c r="E365" s="93" t="s">
        <v>352</v>
      </c>
      <c r="F365" s="155">
        <v>1</v>
      </c>
      <c r="G365" s="313"/>
      <c r="H365" s="94">
        <f aca="true" t="shared" si="20" ref="H365:H388">F365*G365</f>
        <v>0</v>
      </c>
      <c r="I365" s="297" t="s">
        <v>97</v>
      </c>
      <c r="K365" s="278" t="s">
        <v>702</v>
      </c>
    </row>
    <row r="366" spans="1:11" ht="25.5">
      <c r="A366" s="64">
        <f t="shared" si="19"/>
        <v>119</v>
      </c>
      <c r="B366" s="193" t="s">
        <v>522</v>
      </c>
      <c r="C366" s="65" t="s">
        <v>318</v>
      </c>
      <c r="D366" s="66" t="s">
        <v>706</v>
      </c>
      <c r="E366" s="67" t="s">
        <v>352</v>
      </c>
      <c r="F366" s="148">
        <v>1</v>
      </c>
      <c r="G366" s="203"/>
      <c r="H366" s="68">
        <f t="shared" si="20"/>
        <v>0</v>
      </c>
      <c r="I366" s="300" t="s">
        <v>97</v>
      </c>
      <c r="K366" s="278" t="s">
        <v>439</v>
      </c>
    </row>
    <row r="367" spans="1:11" ht="38.25">
      <c r="A367" s="64">
        <f t="shared" si="19"/>
        <v>120</v>
      </c>
      <c r="B367" s="193" t="s">
        <v>976</v>
      </c>
      <c r="C367" s="65" t="s">
        <v>980</v>
      </c>
      <c r="D367" s="66" t="s">
        <v>1099</v>
      </c>
      <c r="E367" s="67" t="s">
        <v>353</v>
      </c>
      <c r="F367" s="148">
        <f>1.55+0.4</f>
        <v>1.9500000000000002</v>
      </c>
      <c r="G367" s="203"/>
      <c r="H367" s="68">
        <f t="shared" si="20"/>
        <v>0</v>
      </c>
      <c r="I367" s="300" t="s">
        <v>97</v>
      </c>
      <c r="K367" s="278"/>
    </row>
    <row r="368" spans="1:11" ht="16.5">
      <c r="A368" s="64">
        <f t="shared" si="19"/>
        <v>121</v>
      </c>
      <c r="B368" s="193" t="s">
        <v>977</v>
      </c>
      <c r="C368" s="65" t="s">
        <v>980</v>
      </c>
      <c r="D368" s="66" t="s">
        <v>978</v>
      </c>
      <c r="E368" s="67" t="s">
        <v>353</v>
      </c>
      <c r="F368" s="148">
        <f>F367</f>
        <v>1.9500000000000002</v>
      </c>
      <c r="G368" s="203"/>
      <c r="H368" s="68">
        <f t="shared" si="20"/>
        <v>0</v>
      </c>
      <c r="I368" s="300" t="s">
        <v>97</v>
      </c>
      <c r="K368" s="278"/>
    </row>
    <row r="369" spans="1:11" ht="25.5">
      <c r="A369" s="64">
        <f t="shared" si="19"/>
        <v>122</v>
      </c>
      <c r="B369" s="193" t="s">
        <v>838</v>
      </c>
      <c r="C369" s="65" t="s">
        <v>823</v>
      </c>
      <c r="D369" s="66" t="s">
        <v>844</v>
      </c>
      <c r="E369" s="67" t="s">
        <v>350</v>
      </c>
      <c r="F369" s="148">
        <f>4*1.38*2.16+3.34*9.22</f>
        <v>42.718</v>
      </c>
      <c r="G369" s="203"/>
      <c r="H369" s="68">
        <f t="shared" si="20"/>
        <v>0</v>
      </c>
      <c r="I369" s="300" t="s">
        <v>97</v>
      </c>
      <c r="K369" s="242" t="s">
        <v>440</v>
      </c>
    </row>
    <row r="370" spans="1:9" ht="25.5">
      <c r="A370" s="64">
        <f t="shared" si="19"/>
        <v>123</v>
      </c>
      <c r="B370" s="193" t="s">
        <v>850</v>
      </c>
      <c r="C370" s="65" t="s">
        <v>1115</v>
      </c>
      <c r="D370" s="66" t="s">
        <v>1114</v>
      </c>
      <c r="E370" s="67" t="s">
        <v>353</v>
      </c>
      <c r="F370" s="148">
        <f>1.39*2</f>
        <v>2.78</v>
      </c>
      <c r="G370" s="203"/>
      <c r="H370" s="68">
        <f t="shared" si="20"/>
        <v>0</v>
      </c>
      <c r="I370" s="300" t="s">
        <v>97</v>
      </c>
    </row>
    <row r="371" spans="1:9" ht="12.75">
      <c r="A371" s="64">
        <f t="shared" si="19"/>
        <v>124</v>
      </c>
      <c r="B371" s="193" t="s">
        <v>840</v>
      </c>
      <c r="C371" s="65"/>
      <c r="D371" s="66" t="s">
        <v>845</v>
      </c>
      <c r="E371" s="67" t="s">
        <v>352</v>
      </c>
      <c r="F371" s="148">
        <f>+F372</f>
        <v>11</v>
      </c>
      <c r="G371" s="203"/>
      <c r="H371" s="68">
        <f t="shared" si="20"/>
        <v>0</v>
      </c>
      <c r="I371" s="300" t="s">
        <v>97</v>
      </c>
    </row>
    <row r="372" spans="1:11" ht="16.5">
      <c r="A372" s="64">
        <f t="shared" si="19"/>
        <v>125</v>
      </c>
      <c r="B372" s="193" t="s">
        <v>839</v>
      </c>
      <c r="C372" s="277"/>
      <c r="D372" s="92" t="s">
        <v>841</v>
      </c>
      <c r="E372" s="93" t="s">
        <v>352</v>
      </c>
      <c r="F372" s="155">
        <v>11</v>
      </c>
      <c r="G372" s="313"/>
      <c r="H372" s="94">
        <f t="shared" si="20"/>
        <v>0</v>
      </c>
      <c r="I372" s="297" t="s">
        <v>97</v>
      </c>
      <c r="K372" s="278"/>
    </row>
    <row r="373" spans="1:9" ht="12.75">
      <c r="A373" s="64">
        <f t="shared" si="19"/>
        <v>126</v>
      </c>
      <c r="B373" s="193" t="s">
        <v>854</v>
      </c>
      <c r="C373" s="65"/>
      <c r="D373" s="66" t="s">
        <v>855</v>
      </c>
      <c r="E373" s="67" t="s">
        <v>352</v>
      </c>
      <c r="F373" s="148">
        <v>8</v>
      </c>
      <c r="G373" s="203"/>
      <c r="H373" s="68">
        <f t="shared" si="20"/>
        <v>0</v>
      </c>
      <c r="I373" s="300" t="s">
        <v>97</v>
      </c>
    </row>
    <row r="374" spans="1:11" ht="25.5">
      <c r="A374" s="64">
        <f t="shared" si="19"/>
        <v>127</v>
      </c>
      <c r="B374" s="193" t="s">
        <v>853</v>
      </c>
      <c r="C374" s="107" t="s">
        <v>823</v>
      </c>
      <c r="D374" s="92" t="s">
        <v>856</v>
      </c>
      <c r="E374" s="93" t="s">
        <v>350</v>
      </c>
      <c r="F374" s="155">
        <f>1.39*2.16*4</f>
        <v>12.0096</v>
      </c>
      <c r="G374" s="313"/>
      <c r="H374" s="94">
        <f t="shared" si="20"/>
        <v>0</v>
      </c>
      <c r="I374" s="297" t="s">
        <v>97</v>
      </c>
      <c r="K374" s="278"/>
    </row>
    <row r="375" spans="1:9" ht="12.75">
      <c r="A375" s="64">
        <f t="shared" si="19"/>
        <v>128</v>
      </c>
      <c r="B375" s="193" t="s">
        <v>842</v>
      </c>
      <c r="C375" s="65"/>
      <c r="D375" s="66" t="s">
        <v>843</v>
      </c>
      <c r="E375" s="67" t="s">
        <v>352</v>
      </c>
      <c r="F375" s="148">
        <f>+F372</f>
        <v>11</v>
      </c>
      <c r="G375" s="203"/>
      <c r="H375" s="68">
        <f t="shared" si="20"/>
        <v>0</v>
      </c>
      <c r="I375" s="300" t="s">
        <v>97</v>
      </c>
    </row>
    <row r="376" spans="1:9" ht="12.75">
      <c r="A376" s="64">
        <f t="shared" si="19"/>
        <v>129</v>
      </c>
      <c r="B376" s="193" t="s">
        <v>828</v>
      </c>
      <c r="C376" s="65" t="s">
        <v>824</v>
      </c>
      <c r="D376" s="66" t="s">
        <v>829</v>
      </c>
      <c r="E376" s="67" t="s">
        <v>352</v>
      </c>
      <c r="F376" s="148">
        <v>2</v>
      </c>
      <c r="G376" s="203"/>
      <c r="H376" s="68">
        <f t="shared" si="20"/>
        <v>0</v>
      </c>
      <c r="I376" s="300" t="s">
        <v>97</v>
      </c>
    </row>
    <row r="377" spans="1:9" ht="12.75">
      <c r="A377" s="64">
        <f t="shared" si="19"/>
        <v>130</v>
      </c>
      <c r="B377" s="193" t="s">
        <v>831</v>
      </c>
      <c r="C377" s="65" t="s">
        <v>822</v>
      </c>
      <c r="D377" s="66" t="s">
        <v>832</v>
      </c>
      <c r="E377" s="67" t="s">
        <v>352</v>
      </c>
      <c r="F377" s="148">
        <v>1</v>
      </c>
      <c r="G377" s="203"/>
      <c r="H377" s="68">
        <f t="shared" si="20"/>
        <v>0</v>
      </c>
      <c r="I377" s="300" t="s">
        <v>97</v>
      </c>
    </row>
    <row r="378" spans="1:11" ht="25.5">
      <c r="A378" s="64">
        <f t="shared" si="19"/>
        <v>131</v>
      </c>
      <c r="B378" s="193" t="s">
        <v>827</v>
      </c>
      <c r="C378" s="107" t="s">
        <v>824</v>
      </c>
      <c r="D378" s="92" t="s">
        <v>830</v>
      </c>
      <c r="E378" s="93" t="s">
        <v>352</v>
      </c>
      <c r="F378" s="155">
        <v>2</v>
      </c>
      <c r="G378" s="313"/>
      <c r="H378" s="94">
        <f t="shared" si="20"/>
        <v>0</v>
      </c>
      <c r="I378" s="297" t="s">
        <v>97</v>
      </c>
      <c r="K378" s="278"/>
    </row>
    <row r="379" spans="1:11" ht="25.5">
      <c r="A379" s="64">
        <f t="shared" si="19"/>
        <v>132</v>
      </c>
      <c r="B379" s="193" t="s">
        <v>826</v>
      </c>
      <c r="C379" s="107" t="s">
        <v>822</v>
      </c>
      <c r="D379" s="92" t="s">
        <v>1100</v>
      </c>
      <c r="E379" s="93" t="s">
        <v>352</v>
      </c>
      <c r="F379" s="155">
        <v>1</v>
      </c>
      <c r="G379" s="313"/>
      <c r="H379" s="94">
        <f t="shared" si="20"/>
        <v>0</v>
      </c>
      <c r="I379" s="297" t="s">
        <v>97</v>
      </c>
      <c r="K379" s="278" t="s">
        <v>825</v>
      </c>
    </row>
    <row r="380" spans="1:11" ht="25.5">
      <c r="A380" s="64">
        <f t="shared" si="19"/>
        <v>133</v>
      </c>
      <c r="B380" s="193" t="s">
        <v>834</v>
      </c>
      <c r="C380" s="65"/>
      <c r="D380" s="66" t="s">
        <v>836</v>
      </c>
      <c r="E380" s="67" t="s">
        <v>353</v>
      </c>
      <c r="F380" s="148">
        <f>2*(1.28+2*1.47)+3*0.4</f>
        <v>9.64</v>
      </c>
      <c r="G380" s="203"/>
      <c r="H380" s="68">
        <f t="shared" si="20"/>
        <v>0</v>
      </c>
      <c r="I380" s="300" t="s">
        <v>97</v>
      </c>
      <c r="K380" s="278"/>
    </row>
    <row r="381" spans="1:11" ht="25.5">
      <c r="A381" s="64">
        <f t="shared" si="19"/>
        <v>134</v>
      </c>
      <c r="B381" s="193" t="s">
        <v>833</v>
      </c>
      <c r="C381" s="65"/>
      <c r="D381" s="66" t="s">
        <v>837</v>
      </c>
      <c r="E381" s="67" t="s">
        <v>353</v>
      </c>
      <c r="F381" s="148">
        <f>1.47*2+0.4</f>
        <v>3.34</v>
      </c>
      <c r="G381" s="203"/>
      <c r="H381" s="68">
        <f t="shared" si="20"/>
        <v>0</v>
      </c>
      <c r="I381" s="300" t="s">
        <v>97</v>
      </c>
      <c r="K381" s="278"/>
    </row>
    <row r="382" spans="1:9" ht="25.5">
      <c r="A382" s="64">
        <f t="shared" si="19"/>
        <v>135</v>
      </c>
      <c r="B382" s="193" t="s">
        <v>442</v>
      </c>
      <c r="C382" s="65" t="s">
        <v>2</v>
      </c>
      <c r="D382" s="66" t="s">
        <v>200</v>
      </c>
      <c r="E382" s="67" t="s">
        <v>358</v>
      </c>
      <c r="F382" s="148">
        <f>G383</f>
        <v>0</v>
      </c>
      <c r="G382" s="318"/>
      <c r="H382" s="68">
        <f t="shared" si="20"/>
        <v>0</v>
      </c>
      <c r="I382" s="300" t="s">
        <v>100</v>
      </c>
    </row>
    <row r="383" spans="1:11" ht="25.5">
      <c r="A383" s="64">
        <f t="shared" si="19"/>
        <v>136</v>
      </c>
      <c r="B383" s="193" t="s">
        <v>523</v>
      </c>
      <c r="C383" s="86" t="s">
        <v>1</v>
      </c>
      <c r="D383" s="87" t="s">
        <v>143</v>
      </c>
      <c r="E383" s="88" t="s">
        <v>349</v>
      </c>
      <c r="F383" s="156">
        <v>1</v>
      </c>
      <c r="G383" s="313"/>
      <c r="H383" s="89">
        <f t="shared" si="20"/>
        <v>0</v>
      </c>
      <c r="I383" s="300" t="s">
        <v>100</v>
      </c>
      <c r="K383" s="6"/>
    </row>
    <row r="384" spans="1:18" ht="25.5">
      <c r="A384" s="64">
        <f>A383+1</f>
        <v>137</v>
      </c>
      <c r="B384" s="193" t="s">
        <v>525</v>
      </c>
      <c r="C384" s="65" t="s">
        <v>304</v>
      </c>
      <c r="D384" s="69" t="s">
        <v>722</v>
      </c>
      <c r="E384" s="67" t="s">
        <v>352</v>
      </c>
      <c r="F384" s="148">
        <v>1</v>
      </c>
      <c r="G384" s="203"/>
      <c r="H384" s="68">
        <f t="shared" si="20"/>
        <v>0</v>
      </c>
      <c r="I384" s="303" t="s">
        <v>100</v>
      </c>
      <c r="K384" s="278" t="s">
        <v>383</v>
      </c>
      <c r="O384" s="242"/>
      <c r="R384" s="135"/>
    </row>
    <row r="385" spans="1:18" ht="25.5">
      <c r="A385" s="64">
        <f>A384+1</f>
        <v>138</v>
      </c>
      <c r="B385" s="193" t="s">
        <v>527</v>
      </c>
      <c r="C385" s="65" t="s">
        <v>304</v>
      </c>
      <c r="D385" s="69" t="s">
        <v>721</v>
      </c>
      <c r="E385" s="67" t="s">
        <v>352</v>
      </c>
      <c r="F385" s="148">
        <v>1</v>
      </c>
      <c r="G385" s="203"/>
      <c r="H385" s="68">
        <f t="shared" si="20"/>
        <v>0</v>
      </c>
      <c r="I385" s="303" t="s">
        <v>100</v>
      </c>
      <c r="K385" s="278" t="s">
        <v>185</v>
      </c>
      <c r="O385" s="242"/>
      <c r="R385" s="135"/>
    </row>
    <row r="386" spans="1:18" ht="25.5">
      <c r="A386" s="64">
        <f>A385+1</f>
        <v>139</v>
      </c>
      <c r="B386" s="193" t="s">
        <v>526</v>
      </c>
      <c r="C386" s="65" t="s">
        <v>304</v>
      </c>
      <c r="D386" s="69" t="s">
        <v>720</v>
      </c>
      <c r="E386" s="67" t="s">
        <v>352</v>
      </c>
      <c r="F386" s="148">
        <v>1</v>
      </c>
      <c r="G386" s="203"/>
      <c r="H386" s="68">
        <f t="shared" si="20"/>
        <v>0</v>
      </c>
      <c r="I386" s="303" t="s">
        <v>100</v>
      </c>
      <c r="K386" s="278" t="s">
        <v>719</v>
      </c>
      <c r="O386" s="242"/>
      <c r="R386" s="135"/>
    </row>
    <row r="387" spans="1:11" ht="25.5">
      <c r="A387" s="64">
        <f>A386+1</f>
        <v>140</v>
      </c>
      <c r="B387" s="193" t="s">
        <v>524</v>
      </c>
      <c r="C387" s="65" t="s">
        <v>304</v>
      </c>
      <c r="D387" s="69" t="s">
        <v>382</v>
      </c>
      <c r="E387" s="67" t="s">
        <v>352</v>
      </c>
      <c r="F387" s="148">
        <v>1</v>
      </c>
      <c r="G387" s="203"/>
      <c r="H387" s="68">
        <f t="shared" si="20"/>
        <v>0</v>
      </c>
      <c r="I387" s="300" t="s">
        <v>100</v>
      </c>
      <c r="K387" s="278" t="s">
        <v>384</v>
      </c>
    </row>
    <row r="388" spans="1:11" ht="13.5" thickBot="1">
      <c r="A388" s="64">
        <f>A387+1</f>
        <v>141</v>
      </c>
      <c r="B388" s="193" t="s">
        <v>475</v>
      </c>
      <c r="C388" s="65"/>
      <c r="D388" s="66" t="s">
        <v>16</v>
      </c>
      <c r="E388" s="90" t="s">
        <v>358</v>
      </c>
      <c r="F388" s="148">
        <f>+H356+H357+H358+H359+H360+H361+H363+H364+H365+H366+H372+H374+H378+H379+H380+H381+H383+H384+H385+H386+H387</f>
        <v>0</v>
      </c>
      <c r="G388" s="315"/>
      <c r="H388" s="91">
        <f t="shared" si="20"/>
        <v>0</v>
      </c>
      <c r="I388" s="300" t="s">
        <v>100</v>
      </c>
      <c r="K388" s="47"/>
    </row>
    <row r="389" spans="1:8" ht="13.5" thickBot="1">
      <c r="A389" s="64"/>
      <c r="B389" s="188"/>
      <c r="C389" s="65"/>
      <c r="D389" s="83" t="s">
        <v>351</v>
      </c>
      <c r="E389" s="84"/>
      <c r="F389" s="154"/>
      <c r="G389" s="85"/>
      <c r="H389" s="76">
        <f>SUM(H344:H388)</f>
        <v>0</v>
      </c>
    </row>
    <row r="390" spans="1:11" ht="12.75">
      <c r="A390" s="64"/>
      <c r="B390" s="188"/>
      <c r="C390" s="65"/>
      <c r="D390" s="77"/>
      <c r="E390" s="78"/>
      <c r="F390" s="138"/>
      <c r="G390" s="22"/>
      <c r="H390" s="79"/>
      <c r="I390" s="300"/>
      <c r="K390" s="242" t="s">
        <v>114</v>
      </c>
    </row>
    <row r="391" spans="1:9" ht="16.5">
      <c r="A391" s="64"/>
      <c r="B391" s="188"/>
      <c r="C391" s="80" t="s">
        <v>12</v>
      </c>
      <c r="D391" s="63" t="s">
        <v>15</v>
      </c>
      <c r="E391" s="63"/>
      <c r="F391" s="151"/>
      <c r="G391" s="63"/>
      <c r="H391" s="63"/>
      <c r="I391" s="300"/>
    </row>
    <row r="392" spans="1:9" ht="90" customHeight="1">
      <c r="A392" s="64"/>
      <c r="B392" s="188"/>
      <c r="C392" s="62"/>
      <c r="D392" s="326" t="s">
        <v>38</v>
      </c>
      <c r="E392" s="326"/>
      <c r="F392" s="326"/>
      <c r="G392" s="109"/>
      <c r="H392" s="109"/>
      <c r="I392" s="300"/>
    </row>
    <row r="393" spans="1:9" ht="12.75">
      <c r="A393" s="64">
        <f>A388+1</f>
        <v>142</v>
      </c>
      <c r="B393" s="193" t="s">
        <v>915</v>
      </c>
      <c r="C393" s="122" t="s">
        <v>2</v>
      </c>
      <c r="D393" s="66" t="s">
        <v>916</v>
      </c>
      <c r="E393" s="67" t="s">
        <v>3</v>
      </c>
      <c r="F393" s="149">
        <f>+F394</f>
        <v>44.5356</v>
      </c>
      <c r="G393" s="185"/>
      <c r="H393" s="68">
        <f aca="true" t="shared" si="21" ref="H393:H399">F393*G393</f>
        <v>0</v>
      </c>
      <c r="I393" s="300" t="s">
        <v>97</v>
      </c>
    </row>
    <row r="394" spans="1:11" ht="16.5">
      <c r="A394" s="64">
        <f>A393+1</f>
        <v>143</v>
      </c>
      <c r="B394" s="193">
        <v>13383315</v>
      </c>
      <c r="C394" s="86" t="s">
        <v>1</v>
      </c>
      <c r="D394" s="87" t="s">
        <v>914</v>
      </c>
      <c r="E394" s="88" t="s">
        <v>3</v>
      </c>
      <c r="F394" s="156">
        <f>8.01*(1.1+1.68)*2</f>
        <v>44.5356</v>
      </c>
      <c r="G394" s="319"/>
      <c r="H394" s="89">
        <f t="shared" si="21"/>
        <v>0</v>
      </c>
      <c r="I394" s="300" t="s">
        <v>97</v>
      </c>
      <c r="K394" s="278" t="s">
        <v>723</v>
      </c>
    </row>
    <row r="395" spans="1:9" ht="12.75">
      <c r="A395" s="64">
        <f>A394+1</f>
        <v>144</v>
      </c>
      <c r="B395" s="199" t="s">
        <v>948</v>
      </c>
      <c r="C395" s="122" t="s">
        <v>2</v>
      </c>
      <c r="D395" s="66" t="s">
        <v>724</v>
      </c>
      <c r="E395" s="67" t="s">
        <v>353</v>
      </c>
      <c r="F395" s="149">
        <f>F396+F398</f>
        <v>15.16</v>
      </c>
      <c r="G395" s="185"/>
      <c r="H395" s="68">
        <f t="shared" si="21"/>
        <v>0</v>
      </c>
      <c r="I395" s="300" t="s">
        <v>97</v>
      </c>
    </row>
    <row r="396" spans="1:11" ht="16.5">
      <c r="A396" s="64">
        <f>A395+1</f>
        <v>145</v>
      </c>
      <c r="B396" s="193" t="s">
        <v>907</v>
      </c>
      <c r="C396" s="86" t="s">
        <v>1</v>
      </c>
      <c r="D396" s="87" t="s">
        <v>725</v>
      </c>
      <c r="E396" s="88" t="s">
        <v>353</v>
      </c>
      <c r="F396" s="156">
        <f>(1.1+1.68)*2</f>
        <v>5.5600000000000005</v>
      </c>
      <c r="G396" s="319"/>
      <c r="H396" s="89">
        <f t="shared" si="21"/>
        <v>0</v>
      </c>
      <c r="I396" s="300" t="s">
        <v>97</v>
      </c>
      <c r="K396" s="278"/>
    </row>
    <row r="397" spans="1:9" ht="12.75">
      <c r="A397" s="64">
        <f>A395+1</f>
        <v>145</v>
      </c>
      <c r="B397" s="193" t="s">
        <v>905</v>
      </c>
      <c r="C397" s="122"/>
      <c r="D397" s="66" t="s">
        <v>906</v>
      </c>
      <c r="E397" s="67" t="s">
        <v>350</v>
      </c>
      <c r="F397" s="149">
        <f>5*1.92*0.1</f>
        <v>0.96</v>
      </c>
      <c r="G397" s="185"/>
      <c r="H397" s="68">
        <f t="shared" si="21"/>
        <v>0</v>
      </c>
      <c r="I397" s="300" t="s">
        <v>97</v>
      </c>
    </row>
    <row r="398" spans="1:11" ht="16.5">
      <c r="A398" s="64">
        <f>A396+1</f>
        <v>146</v>
      </c>
      <c r="B398" s="193" t="s">
        <v>908</v>
      </c>
      <c r="C398" s="86" t="s">
        <v>1</v>
      </c>
      <c r="D398" s="87" t="s">
        <v>904</v>
      </c>
      <c r="E398" s="88" t="s">
        <v>353</v>
      </c>
      <c r="F398" s="156">
        <f>5*1.92</f>
        <v>9.6</v>
      </c>
      <c r="G398" s="319"/>
      <c r="H398" s="89">
        <f t="shared" si="21"/>
        <v>0</v>
      </c>
      <c r="I398" s="300" t="s">
        <v>97</v>
      </c>
      <c r="K398" s="278"/>
    </row>
    <row r="399" spans="1:9" ht="13.5" thickBot="1">
      <c r="A399" s="64">
        <f>A396+1</f>
        <v>146</v>
      </c>
      <c r="B399" s="193" t="s">
        <v>475</v>
      </c>
      <c r="C399" s="65"/>
      <c r="D399" s="66" t="s">
        <v>16</v>
      </c>
      <c r="E399" s="90" t="s">
        <v>358</v>
      </c>
      <c r="F399" s="148">
        <f>+H394+H396</f>
        <v>0</v>
      </c>
      <c r="G399" s="315"/>
      <c r="H399" s="91">
        <f t="shared" si="21"/>
        <v>0</v>
      </c>
      <c r="I399" s="300" t="s">
        <v>97</v>
      </c>
    </row>
    <row r="400" spans="1:8" ht="13.5" thickBot="1">
      <c r="A400" s="64"/>
      <c r="B400" s="188"/>
      <c r="C400" s="65"/>
      <c r="D400" s="83" t="s">
        <v>351</v>
      </c>
      <c r="E400" s="84"/>
      <c r="F400" s="154"/>
      <c r="G400" s="85"/>
      <c r="H400" s="76">
        <f>SUBTOTAL(9,H393:H399)</f>
        <v>0</v>
      </c>
    </row>
    <row r="401" spans="1:9" ht="12.75">
      <c r="A401" s="64"/>
      <c r="B401" s="188"/>
      <c r="C401" s="65"/>
      <c r="D401" s="77"/>
      <c r="E401" s="78"/>
      <c r="F401" s="138"/>
      <c r="G401" s="22"/>
      <c r="H401" s="79"/>
      <c r="I401" s="300"/>
    </row>
    <row r="402" spans="1:9" ht="16.5">
      <c r="A402" s="64"/>
      <c r="B402" s="188"/>
      <c r="C402" s="80" t="s">
        <v>13</v>
      </c>
      <c r="D402" s="63" t="s">
        <v>29</v>
      </c>
      <c r="E402" s="63"/>
      <c r="F402" s="151"/>
      <c r="G402" s="63"/>
      <c r="H402" s="63"/>
      <c r="I402" s="300"/>
    </row>
    <row r="403" spans="1:9" ht="72.75" customHeight="1">
      <c r="A403" s="64"/>
      <c r="B403" s="188"/>
      <c r="C403" s="62"/>
      <c r="D403" s="326" t="s">
        <v>33</v>
      </c>
      <c r="E403" s="326"/>
      <c r="F403" s="326"/>
      <c r="G403" s="109"/>
      <c r="H403" s="109"/>
      <c r="I403" s="300"/>
    </row>
    <row r="404" spans="1:9" ht="12.75">
      <c r="A404" s="71">
        <f>A399+1</f>
        <v>147</v>
      </c>
      <c r="B404" s="199" t="s">
        <v>365</v>
      </c>
      <c r="C404" s="122" t="s">
        <v>740</v>
      </c>
      <c r="D404" s="66" t="s">
        <v>198</v>
      </c>
      <c r="E404" s="67" t="s">
        <v>350</v>
      </c>
      <c r="F404" s="148">
        <f>1.5+(11.1+27.9+26.3+10+17.3+1.8+3.8+1.7)*2</f>
        <v>201.29999999999998</v>
      </c>
      <c r="G404" s="203"/>
      <c r="H404" s="68">
        <f>F404*G404</f>
        <v>0</v>
      </c>
      <c r="I404" s="303" t="s">
        <v>97</v>
      </c>
    </row>
    <row r="405" spans="1:11" ht="16.5">
      <c r="A405" s="71">
        <f>A404+1</f>
        <v>148</v>
      </c>
      <c r="B405" s="199">
        <v>28375705</v>
      </c>
      <c r="C405" s="122" t="s">
        <v>740</v>
      </c>
      <c r="D405" s="87" t="s">
        <v>728</v>
      </c>
      <c r="E405" s="88" t="s">
        <v>136</v>
      </c>
      <c r="F405" s="155">
        <f>(1.5)*1.1*0.02</f>
        <v>0.033</v>
      </c>
      <c r="G405" s="313"/>
      <c r="H405" s="89">
        <f aca="true" t="shared" si="22" ref="H405:H415">F405*G405</f>
        <v>0</v>
      </c>
      <c r="I405" s="300" t="s">
        <v>97</v>
      </c>
      <c r="J405" s="125"/>
      <c r="K405" s="278" t="s">
        <v>197</v>
      </c>
    </row>
    <row r="406" spans="1:11" ht="16.5">
      <c r="A406" s="64">
        <f aca="true" t="shared" si="23" ref="A406:A412">A405+1</f>
        <v>149</v>
      </c>
      <c r="B406" s="199">
        <v>28375705</v>
      </c>
      <c r="C406" s="122" t="s">
        <v>740</v>
      </c>
      <c r="D406" s="87" t="s">
        <v>729</v>
      </c>
      <c r="E406" s="88" t="s">
        <v>136</v>
      </c>
      <c r="F406" s="155">
        <f>(11.1+27.9+26.3+10+17.3+1.8+3.8+1.7)*1.1*0.05*2</f>
        <v>10.989</v>
      </c>
      <c r="G406" s="313"/>
      <c r="H406" s="89">
        <f>F406*G406</f>
        <v>0</v>
      </c>
      <c r="I406" s="300" t="s">
        <v>97</v>
      </c>
      <c r="J406" s="125"/>
      <c r="K406" s="278"/>
    </row>
    <row r="407" spans="1:9" ht="25.5">
      <c r="A407" s="64">
        <f t="shared" si="23"/>
        <v>150</v>
      </c>
      <c r="B407" s="199" t="s">
        <v>366</v>
      </c>
      <c r="C407" s="122" t="s">
        <v>740</v>
      </c>
      <c r="D407" s="66" t="s">
        <v>199</v>
      </c>
      <c r="E407" s="67" t="s">
        <v>350</v>
      </c>
      <c r="F407" s="148">
        <f>1.5+11.1+27.9+26.3+10+17.3+1.8+3.8+1.7</f>
        <v>101.39999999999999</v>
      </c>
      <c r="G407" s="203"/>
      <c r="H407" s="68">
        <f t="shared" si="22"/>
        <v>0</v>
      </c>
      <c r="I407" s="303" t="s">
        <v>97</v>
      </c>
    </row>
    <row r="408" spans="1:10" ht="25.5">
      <c r="A408" s="64">
        <f>A407+1</f>
        <v>151</v>
      </c>
      <c r="B408" s="186" t="s">
        <v>953</v>
      </c>
      <c r="C408" s="122" t="s">
        <v>740</v>
      </c>
      <c r="D408" s="69" t="s">
        <v>1096</v>
      </c>
      <c r="E408" s="67" t="s">
        <v>350</v>
      </c>
      <c r="F408" s="148">
        <f>+F407</f>
        <v>101.39999999999999</v>
      </c>
      <c r="G408" s="203"/>
      <c r="H408" s="68">
        <f t="shared" si="22"/>
        <v>0</v>
      </c>
      <c r="I408" s="303" t="s">
        <v>97</v>
      </c>
      <c r="J408" s="125"/>
    </row>
    <row r="409" spans="1:9" ht="12.75">
      <c r="A409" s="64">
        <f>A408+1</f>
        <v>152</v>
      </c>
      <c r="B409" s="199" t="s">
        <v>368</v>
      </c>
      <c r="C409" s="122" t="s">
        <v>740</v>
      </c>
      <c r="D409" s="69" t="s">
        <v>367</v>
      </c>
      <c r="E409" s="67" t="s">
        <v>350</v>
      </c>
      <c r="F409" s="149">
        <f>+F408</f>
        <v>101.39999999999999</v>
      </c>
      <c r="G409" s="316"/>
      <c r="H409" s="68">
        <f t="shared" si="22"/>
        <v>0</v>
      </c>
      <c r="I409" s="300" t="s">
        <v>97</v>
      </c>
    </row>
    <row r="410" spans="1:9" ht="12.75">
      <c r="A410" s="64">
        <f>A409+1</f>
        <v>153</v>
      </c>
      <c r="B410" s="199" t="s">
        <v>247</v>
      </c>
      <c r="C410" s="122" t="s">
        <v>740</v>
      </c>
      <c r="D410" s="66" t="s">
        <v>246</v>
      </c>
      <c r="E410" s="67" t="s">
        <v>350</v>
      </c>
      <c r="F410" s="149">
        <f>+F409</f>
        <v>101.39999999999999</v>
      </c>
      <c r="G410" s="316"/>
      <c r="H410" s="68">
        <f t="shared" si="22"/>
        <v>0</v>
      </c>
      <c r="I410" s="300" t="s">
        <v>97</v>
      </c>
    </row>
    <row r="411" spans="1:9" ht="12.75">
      <c r="A411" s="64">
        <f t="shared" si="23"/>
        <v>154</v>
      </c>
      <c r="B411" s="186" t="s">
        <v>1004</v>
      </c>
      <c r="C411" s="122" t="s">
        <v>740</v>
      </c>
      <c r="D411" s="69" t="s">
        <v>369</v>
      </c>
      <c r="E411" s="72" t="s">
        <v>350</v>
      </c>
      <c r="F411" s="148">
        <f>+F410</f>
        <v>101.39999999999999</v>
      </c>
      <c r="G411" s="203"/>
      <c r="H411" s="68">
        <f t="shared" si="22"/>
        <v>0</v>
      </c>
      <c r="I411" s="300" t="s">
        <v>97</v>
      </c>
    </row>
    <row r="412" spans="1:9" ht="25.5">
      <c r="A412" s="64">
        <f t="shared" si="23"/>
        <v>155</v>
      </c>
      <c r="B412" s="188" t="s">
        <v>319</v>
      </c>
      <c r="C412" s="65" t="s">
        <v>726</v>
      </c>
      <c r="D412" s="66" t="s">
        <v>248</v>
      </c>
      <c r="E412" s="67" t="s">
        <v>350</v>
      </c>
      <c r="F412" s="148">
        <f>3.8+1.7</f>
        <v>5.5</v>
      </c>
      <c r="G412" s="203"/>
      <c r="H412" s="68">
        <f t="shared" si="22"/>
        <v>0</v>
      </c>
      <c r="I412" s="300" t="s">
        <v>97</v>
      </c>
    </row>
    <row r="413" spans="1:9" ht="27">
      <c r="A413" s="64">
        <f aca="true" t="shared" si="24" ref="A413:A421">A412+1</f>
        <v>156</v>
      </c>
      <c r="B413" s="193" t="s">
        <v>520</v>
      </c>
      <c r="C413" s="86" t="s">
        <v>727</v>
      </c>
      <c r="D413" s="87" t="s">
        <v>272</v>
      </c>
      <c r="E413" s="88" t="s">
        <v>3</v>
      </c>
      <c r="F413" s="153">
        <f>1.5*F412</f>
        <v>8.25</v>
      </c>
      <c r="G413" s="313"/>
      <c r="H413" s="89">
        <f t="shared" si="22"/>
        <v>0</v>
      </c>
      <c r="I413" s="300" t="s">
        <v>97</v>
      </c>
    </row>
    <row r="414" spans="1:18" ht="12.75">
      <c r="A414" s="64">
        <f t="shared" si="24"/>
        <v>157</v>
      </c>
      <c r="B414" s="188" t="s">
        <v>300</v>
      </c>
      <c r="C414" s="65" t="s">
        <v>726</v>
      </c>
      <c r="D414" s="66" t="s">
        <v>242</v>
      </c>
      <c r="E414" s="67" t="s">
        <v>353</v>
      </c>
      <c r="F414" s="148">
        <f>F415</f>
        <v>12.379999999999999</v>
      </c>
      <c r="G414" s="203"/>
      <c r="H414" s="68">
        <f t="shared" si="22"/>
        <v>0</v>
      </c>
      <c r="I414" s="303" t="s">
        <v>97</v>
      </c>
      <c r="K414" s="6"/>
      <c r="O414" s="242"/>
      <c r="R414" s="135"/>
    </row>
    <row r="415" spans="1:9" ht="25.5">
      <c r="A415" s="64">
        <f t="shared" si="24"/>
        <v>158</v>
      </c>
      <c r="B415" s="188">
        <v>28355360</v>
      </c>
      <c r="C415" s="86" t="s">
        <v>727</v>
      </c>
      <c r="D415" s="87" t="s">
        <v>107</v>
      </c>
      <c r="E415" s="88" t="s">
        <v>353</v>
      </c>
      <c r="F415" s="155">
        <f>8.3-0.8+5.68-0.8</f>
        <v>12.379999999999999</v>
      </c>
      <c r="G415" s="313"/>
      <c r="H415" s="89">
        <f t="shared" si="22"/>
        <v>0</v>
      </c>
      <c r="I415" s="300" t="s">
        <v>97</v>
      </c>
    </row>
    <row r="416" spans="1:9" ht="25.5">
      <c r="A416" s="64">
        <f t="shared" si="24"/>
        <v>159</v>
      </c>
      <c r="B416" s="193" t="s">
        <v>320</v>
      </c>
      <c r="C416" s="65" t="s">
        <v>102</v>
      </c>
      <c r="D416" s="66" t="s">
        <v>730</v>
      </c>
      <c r="E416" s="67" t="s">
        <v>350</v>
      </c>
      <c r="F416" s="148">
        <f>11.1+1.8+3.8+1.7+1.5</f>
        <v>19.9</v>
      </c>
      <c r="G416" s="203"/>
      <c r="H416" s="68">
        <f aca="true" t="shared" si="25" ref="H416:H421">F416*G416</f>
        <v>0</v>
      </c>
      <c r="I416" s="300" t="s">
        <v>97</v>
      </c>
    </row>
    <row r="417" spans="1:11" ht="25.5">
      <c r="A417" s="64">
        <f t="shared" si="24"/>
        <v>160</v>
      </c>
      <c r="B417" s="193" t="s">
        <v>528</v>
      </c>
      <c r="C417" s="86" t="s">
        <v>387</v>
      </c>
      <c r="D417" s="87" t="s">
        <v>685</v>
      </c>
      <c r="E417" s="88" t="s">
        <v>350</v>
      </c>
      <c r="F417" s="155">
        <f>1.1*F416</f>
        <v>21.89</v>
      </c>
      <c r="G417" s="313"/>
      <c r="H417" s="89">
        <f t="shared" si="25"/>
        <v>0</v>
      </c>
      <c r="I417" s="300" t="s">
        <v>97</v>
      </c>
      <c r="J417" s="125"/>
      <c r="K417" s="278" t="s">
        <v>684</v>
      </c>
    </row>
    <row r="418" spans="1:11" ht="25.5">
      <c r="A418" s="64">
        <f t="shared" si="24"/>
        <v>161</v>
      </c>
      <c r="B418" s="188" t="s">
        <v>321</v>
      </c>
      <c r="C418" s="65" t="s">
        <v>37</v>
      </c>
      <c r="D418" s="69" t="s">
        <v>264</v>
      </c>
      <c r="E418" s="67" t="s">
        <v>353</v>
      </c>
      <c r="F418" s="152">
        <f>13.83-3*0.8-3*0.9+5.52-0.8+4.98-0.8</f>
        <v>17.63</v>
      </c>
      <c r="G418" s="203"/>
      <c r="H418" s="68">
        <f t="shared" si="25"/>
        <v>0</v>
      </c>
      <c r="I418" s="300" t="s">
        <v>97</v>
      </c>
      <c r="K418" s="288"/>
    </row>
    <row r="419" spans="1:9" ht="25.5">
      <c r="A419" s="64">
        <f t="shared" si="24"/>
        <v>162</v>
      </c>
      <c r="B419" s="193" t="s">
        <v>529</v>
      </c>
      <c r="C419" s="86" t="s">
        <v>36</v>
      </c>
      <c r="D419" s="87" t="s">
        <v>265</v>
      </c>
      <c r="E419" s="88" t="s">
        <v>353</v>
      </c>
      <c r="F419" s="153">
        <f>1.1*F418</f>
        <v>19.393</v>
      </c>
      <c r="G419" s="313"/>
      <c r="H419" s="89">
        <f t="shared" si="25"/>
        <v>0</v>
      </c>
      <c r="I419" s="300" t="s">
        <v>97</v>
      </c>
    </row>
    <row r="420" spans="1:9" ht="25.5">
      <c r="A420" s="64">
        <f t="shared" si="24"/>
        <v>163</v>
      </c>
      <c r="B420" s="193" t="s">
        <v>530</v>
      </c>
      <c r="C420" s="65" t="s">
        <v>7</v>
      </c>
      <c r="D420" s="66" t="s">
        <v>243</v>
      </c>
      <c r="E420" s="67" t="s">
        <v>349</v>
      </c>
      <c r="F420" s="148">
        <v>1</v>
      </c>
      <c r="G420" s="203"/>
      <c r="H420" s="68">
        <f t="shared" si="25"/>
        <v>0</v>
      </c>
      <c r="I420" s="300" t="s">
        <v>97</v>
      </c>
    </row>
    <row r="421" spans="1:9" ht="13.5" thickBot="1">
      <c r="A421" s="64">
        <f t="shared" si="24"/>
        <v>164</v>
      </c>
      <c r="B421" s="193" t="s">
        <v>475</v>
      </c>
      <c r="C421" s="65"/>
      <c r="D421" s="66" t="s">
        <v>16</v>
      </c>
      <c r="E421" s="90" t="s">
        <v>358</v>
      </c>
      <c r="F421" s="148">
        <f>+H405+H406+H407+H411+H413+H415+H417+H419+H420</f>
        <v>0</v>
      </c>
      <c r="G421" s="315"/>
      <c r="H421" s="91">
        <f t="shared" si="25"/>
        <v>0</v>
      </c>
      <c r="I421" s="300" t="s">
        <v>97</v>
      </c>
    </row>
    <row r="422" spans="1:8" ht="13.5" thickBot="1">
      <c r="A422" s="64"/>
      <c r="B422" s="188"/>
      <c r="C422" s="65"/>
      <c r="D422" s="83" t="s">
        <v>351</v>
      </c>
      <c r="E422" s="84"/>
      <c r="F422" s="154"/>
      <c r="G422" s="85"/>
      <c r="H422" s="76">
        <f>SUBTOTAL(9,H404:H421)</f>
        <v>0</v>
      </c>
    </row>
    <row r="423" spans="1:9" ht="12.75">
      <c r="A423" s="64"/>
      <c r="B423" s="188"/>
      <c r="C423" s="65"/>
      <c r="D423" s="77"/>
      <c r="E423" s="78"/>
      <c r="F423" s="138"/>
      <c r="G423" s="22"/>
      <c r="H423" s="79"/>
      <c r="I423" s="300"/>
    </row>
    <row r="424" spans="1:9" ht="16.5">
      <c r="A424" s="64"/>
      <c r="B424" s="188"/>
      <c r="C424" s="80" t="s">
        <v>14</v>
      </c>
      <c r="D424" s="63" t="s">
        <v>131</v>
      </c>
      <c r="E424" s="63"/>
      <c r="F424" s="151"/>
      <c r="G424" s="63"/>
      <c r="H424" s="63"/>
      <c r="I424" s="300"/>
    </row>
    <row r="425" spans="1:9" ht="77.25" customHeight="1">
      <c r="A425" s="64"/>
      <c r="B425" s="188"/>
      <c r="C425" s="62"/>
      <c r="D425" s="327" t="s">
        <v>30</v>
      </c>
      <c r="E425" s="327"/>
      <c r="F425" s="327"/>
      <c r="G425" s="111"/>
      <c r="H425" s="111"/>
      <c r="I425" s="300"/>
    </row>
    <row r="426" spans="1:10" s="47" customFormat="1" ht="25.5">
      <c r="A426" s="71">
        <f>A421+1</f>
        <v>165</v>
      </c>
      <c r="B426" s="289" t="s">
        <v>385</v>
      </c>
      <c r="C426" s="133"/>
      <c r="D426" s="69" t="s">
        <v>731</v>
      </c>
      <c r="E426" s="72" t="s">
        <v>350</v>
      </c>
      <c r="F426" s="162">
        <f>0.7*F427</f>
        <v>16.66</v>
      </c>
      <c r="G426" s="316"/>
      <c r="H426" s="73">
        <f>F426*G426</f>
        <v>0</v>
      </c>
      <c r="I426" s="297" t="s">
        <v>97</v>
      </c>
      <c r="J426" s="101"/>
    </row>
    <row r="427" spans="1:10" s="47" customFormat="1" ht="12.75">
      <c r="A427" s="71">
        <f>A426+1</f>
        <v>166</v>
      </c>
      <c r="B427" s="289" t="s">
        <v>732</v>
      </c>
      <c r="C427" s="133"/>
      <c r="D427" s="69" t="s">
        <v>733</v>
      </c>
      <c r="E427" s="72" t="s">
        <v>350</v>
      </c>
      <c r="F427" s="162">
        <v>23.8</v>
      </c>
      <c r="G427" s="316"/>
      <c r="H427" s="73">
        <f>F427*G427</f>
        <v>0</v>
      </c>
      <c r="I427" s="297" t="s">
        <v>97</v>
      </c>
      <c r="J427" s="101"/>
    </row>
    <row r="428" spans="1:10" s="47" customFormat="1" ht="12.75">
      <c r="A428" s="71">
        <f aca="true" t="shared" si="26" ref="A428:A435">A427+1</f>
        <v>167</v>
      </c>
      <c r="B428" s="186" t="s">
        <v>1005</v>
      </c>
      <c r="C428" s="133" t="s">
        <v>1103</v>
      </c>
      <c r="D428" s="69" t="s">
        <v>392</v>
      </c>
      <c r="E428" s="72" t="s">
        <v>350</v>
      </c>
      <c r="F428" s="162">
        <v>23.8</v>
      </c>
      <c r="G428" s="203"/>
      <c r="H428" s="73">
        <f>F428*G428</f>
        <v>0</v>
      </c>
      <c r="I428" s="297" t="s">
        <v>97</v>
      </c>
      <c r="J428" s="101"/>
    </row>
    <row r="429" spans="1:10" s="47" customFormat="1" ht="25.5">
      <c r="A429" s="71">
        <f t="shared" si="26"/>
        <v>168</v>
      </c>
      <c r="B429" s="199" t="s">
        <v>393</v>
      </c>
      <c r="C429" s="133" t="s">
        <v>1103</v>
      </c>
      <c r="D429" s="69" t="s">
        <v>386</v>
      </c>
      <c r="E429" s="69" t="s">
        <v>350</v>
      </c>
      <c r="F429" s="152">
        <f>+F427</f>
        <v>23.8</v>
      </c>
      <c r="G429" s="203"/>
      <c r="H429" s="73">
        <f aca="true" t="shared" si="27" ref="H429:H441">F429*G429</f>
        <v>0</v>
      </c>
      <c r="I429" s="303" t="s">
        <v>97</v>
      </c>
      <c r="J429" s="101"/>
    </row>
    <row r="430" spans="1:10" s="47" customFormat="1" ht="12.75">
      <c r="A430" s="71">
        <f t="shared" si="26"/>
        <v>169</v>
      </c>
      <c r="B430" s="289" t="s">
        <v>738</v>
      </c>
      <c r="C430" s="133" t="s">
        <v>1103</v>
      </c>
      <c r="D430" s="69" t="s">
        <v>734</v>
      </c>
      <c r="E430" s="69" t="s">
        <v>350</v>
      </c>
      <c r="F430" s="152">
        <f>+F429</f>
        <v>23.8</v>
      </c>
      <c r="G430" s="203"/>
      <c r="H430" s="73">
        <f t="shared" si="27"/>
        <v>0</v>
      </c>
      <c r="I430" s="303" t="s">
        <v>97</v>
      </c>
      <c r="J430" s="101"/>
    </row>
    <row r="431" spans="1:10" s="47" customFormat="1" ht="25.5">
      <c r="A431" s="71">
        <f t="shared" si="26"/>
        <v>170</v>
      </c>
      <c r="B431" s="289"/>
      <c r="C431" s="133" t="s">
        <v>1103</v>
      </c>
      <c r="D431" s="92" t="s">
        <v>735</v>
      </c>
      <c r="E431" s="93" t="s">
        <v>350</v>
      </c>
      <c r="F431" s="155">
        <f>F430*1.1</f>
        <v>26.180000000000003</v>
      </c>
      <c r="G431" s="313"/>
      <c r="H431" s="94">
        <f t="shared" si="27"/>
        <v>0</v>
      </c>
      <c r="I431" s="303" t="s">
        <v>97</v>
      </c>
      <c r="J431" s="101"/>
    </row>
    <row r="432" spans="1:10" s="47" customFormat="1" ht="12.75">
      <c r="A432" s="71">
        <f t="shared" si="26"/>
        <v>171</v>
      </c>
      <c r="B432" s="289" t="s">
        <v>739</v>
      </c>
      <c r="C432" s="133" t="s">
        <v>1104</v>
      </c>
      <c r="D432" s="69" t="s">
        <v>736</v>
      </c>
      <c r="E432" s="72" t="s">
        <v>353</v>
      </c>
      <c r="F432" s="152">
        <f>21.26-3*0.9-0.8+11.78-0.9</f>
        <v>28.64</v>
      </c>
      <c r="G432" s="203"/>
      <c r="H432" s="73">
        <f t="shared" si="27"/>
        <v>0</v>
      </c>
      <c r="I432" s="297" t="s">
        <v>97</v>
      </c>
      <c r="J432" s="101"/>
    </row>
    <row r="433" spans="1:10" s="47" customFormat="1" ht="12.75">
      <c r="A433" s="71">
        <f t="shared" si="26"/>
        <v>172</v>
      </c>
      <c r="B433" s="289"/>
      <c r="C433" s="133" t="s">
        <v>1104</v>
      </c>
      <c r="D433" s="92" t="s">
        <v>737</v>
      </c>
      <c r="E433" s="93" t="s">
        <v>353</v>
      </c>
      <c r="F433" s="155">
        <f>+F432*1.1</f>
        <v>31.504000000000005</v>
      </c>
      <c r="G433" s="313"/>
      <c r="H433" s="94">
        <f t="shared" si="27"/>
        <v>0</v>
      </c>
      <c r="I433" s="297" t="s">
        <v>97</v>
      </c>
      <c r="J433" s="101"/>
    </row>
    <row r="434" spans="1:10" s="47" customFormat="1" ht="12.75">
      <c r="A434" s="71">
        <f t="shared" si="26"/>
        <v>173</v>
      </c>
      <c r="B434" s="199" t="s">
        <v>531</v>
      </c>
      <c r="C434" s="133" t="s">
        <v>1101</v>
      </c>
      <c r="D434" s="69" t="s">
        <v>394</v>
      </c>
      <c r="E434" s="69" t="s">
        <v>350</v>
      </c>
      <c r="F434" s="152">
        <f>27.9+26.3+10+17.3</f>
        <v>81.5</v>
      </c>
      <c r="G434" s="203"/>
      <c r="H434" s="73">
        <f t="shared" si="27"/>
        <v>0</v>
      </c>
      <c r="I434" s="297" t="s">
        <v>97</v>
      </c>
      <c r="J434" s="101"/>
    </row>
    <row r="435" spans="1:10" s="47" customFormat="1" ht="12.75">
      <c r="A435" s="71">
        <f t="shared" si="26"/>
        <v>174</v>
      </c>
      <c r="B435" s="186" t="s">
        <v>443</v>
      </c>
      <c r="C435" s="133" t="s">
        <v>1101</v>
      </c>
      <c r="D435" s="69" t="s">
        <v>1102</v>
      </c>
      <c r="E435" s="69" t="s">
        <v>350</v>
      </c>
      <c r="F435" s="152">
        <f>+F434</f>
        <v>81.5</v>
      </c>
      <c r="G435" s="203"/>
      <c r="H435" s="73">
        <f t="shared" si="27"/>
        <v>0</v>
      </c>
      <c r="I435" s="297" t="s">
        <v>97</v>
      </c>
      <c r="J435" s="101"/>
    </row>
    <row r="436" spans="1:11" s="47" customFormat="1" ht="25.5">
      <c r="A436" s="71">
        <f aca="true" t="shared" si="28" ref="A436:A441">A435+1</f>
        <v>175</v>
      </c>
      <c r="B436" s="186" t="s">
        <v>532</v>
      </c>
      <c r="C436" s="133" t="s">
        <v>1101</v>
      </c>
      <c r="D436" s="92" t="s">
        <v>395</v>
      </c>
      <c r="E436" s="93" t="s">
        <v>350</v>
      </c>
      <c r="F436" s="155">
        <f>1.1*F434</f>
        <v>89.65</v>
      </c>
      <c r="G436" s="313"/>
      <c r="H436" s="94">
        <f t="shared" si="27"/>
        <v>0</v>
      </c>
      <c r="I436" s="297" t="s">
        <v>97</v>
      </c>
      <c r="J436" s="101"/>
      <c r="K436" s="278" t="s">
        <v>396</v>
      </c>
    </row>
    <row r="437" spans="1:10" s="47" customFormat="1" ht="12.75">
      <c r="A437" s="71">
        <f t="shared" si="28"/>
        <v>176</v>
      </c>
      <c r="B437" s="290" t="s">
        <v>388</v>
      </c>
      <c r="C437" s="133" t="s">
        <v>96</v>
      </c>
      <c r="D437" s="69" t="s">
        <v>389</v>
      </c>
      <c r="E437" s="72" t="s">
        <v>353</v>
      </c>
      <c r="F437" s="160">
        <f>14.16-0.9+17.35-0.9*2+22.19-2*0.9+21.44-0.9</f>
        <v>69.74</v>
      </c>
      <c r="G437" s="185"/>
      <c r="H437" s="73">
        <f t="shared" si="27"/>
        <v>0</v>
      </c>
      <c r="I437" s="309" t="s">
        <v>97</v>
      </c>
      <c r="J437" s="310"/>
    </row>
    <row r="438" spans="1:11" s="47" customFormat="1" ht="16.5">
      <c r="A438" s="71">
        <f t="shared" si="28"/>
        <v>177</v>
      </c>
      <c r="B438" s="276" t="s">
        <v>533</v>
      </c>
      <c r="C438" s="277" t="s">
        <v>95</v>
      </c>
      <c r="D438" s="92" t="s">
        <v>390</v>
      </c>
      <c r="E438" s="93" t="s">
        <v>353</v>
      </c>
      <c r="F438" s="161">
        <f>1.1*F437</f>
        <v>76.714</v>
      </c>
      <c r="G438" s="319"/>
      <c r="H438" s="94">
        <f t="shared" si="27"/>
        <v>0</v>
      </c>
      <c r="I438" s="309" t="s">
        <v>97</v>
      </c>
      <c r="J438" s="310"/>
      <c r="K438" s="278" t="s">
        <v>391</v>
      </c>
    </row>
    <row r="439" spans="1:10" ht="12.75">
      <c r="A439" s="64">
        <f t="shared" si="28"/>
        <v>178</v>
      </c>
      <c r="B439" s="193" t="s">
        <v>201</v>
      </c>
      <c r="C439" s="65" t="s">
        <v>323</v>
      </c>
      <c r="D439" s="66" t="s">
        <v>322</v>
      </c>
      <c r="E439" s="67" t="s">
        <v>353</v>
      </c>
      <c r="F439" s="148">
        <f>0.8*3+0.7</f>
        <v>3.1000000000000005</v>
      </c>
      <c r="G439" s="203"/>
      <c r="H439" s="68">
        <f t="shared" si="27"/>
        <v>0</v>
      </c>
      <c r="I439" s="300" t="s">
        <v>97</v>
      </c>
      <c r="J439" s="108"/>
    </row>
    <row r="440" spans="1:11" ht="16.5">
      <c r="A440" s="64">
        <f t="shared" si="28"/>
        <v>179</v>
      </c>
      <c r="B440" s="193" t="s">
        <v>534</v>
      </c>
      <c r="C440" s="86" t="s">
        <v>324</v>
      </c>
      <c r="D440" s="87" t="s">
        <v>202</v>
      </c>
      <c r="E440" s="88" t="s">
        <v>353</v>
      </c>
      <c r="F440" s="156">
        <f>+F439</f>
        <v>3.1000000000000005</v>
      </c>
      <c r="G440" s="319"/>
      <c r="H440" s="89">
        <f t="shared" si="27"/>
        <v>0</v>
      </c>
      <c r="I440" s="309" t="s">
        <v>97</v>
      </c>
      <c r="J440" s="108"/>
      <c r="K440" s="278" t="s">
        <v>203</v>
      </c>
    </row>
    <row r="441" spans="1:9" ht="13.5" thickBot="1">
      <c r="A441" s="64">
        <f t="shared" si="28"/>
        <v>180</v>
      </c>
      <c r="B441" s="193" t="s">
        <v>475</v>
      </c>
      <c r="C441" s="65"/>
      <c r="D441" s="66" t="s">
        <v>16</v>
      </c>
      <c r="E441" s="90" t="s">
        <v>358</v>
      </c>
      <c r="F441" s="148">
        <f>+H428+H429+H431+H433+H436+H438+H440</f>
        <v>0</v>
      </c>
      <c r="G441" s="315"/>
      <c r="H441" s="91">
        <f t="shared" si="27"/>
        <v>0</v>
      </c>
      <c r="I441" s="300" t="s">
        <v>97</v>
      </c>
    </row>
    <row r="442" spans="3:8" ht="13.5" thickBot="1">
      <c r="C442" s="65"/>
      <c r="D442" s="83" t="s">
        <v>351</v>
      </c>
      <c r="E442" s="84"/>
      <c r="F442" s="154"/>
      <c r="G442" s="85"/>
      <c r="H442" s="76">
        <f>SUM(H426:H441)</f>
        <v>0</v>
      </c>
    </row>
    <row r="443" spans="1:9" ht="12.75">
      <c r="A443" s="64"/>
      <c r="B443" s="188"/>
      <c r="C443" s="65"/>
      <c r="D443" s="77"/>
      <c r="E443" s="78"/>
      <c r="F443" s="138"/>
      <c r="G443" s="22"/>
      <c r="H443" s="79"/>
      <c r="I443" s="300"/>
    </row>
    <row r="444" spans="1:9" ht="16.5">
      <c r="A444" s="64"/>
      <c r="B444" s="188"/>
      <c r="C444" s="80" t="s">
        <v>249</v>
      </c>
      <c r="D444" s="63" t="s">
        <v>250</v>
      </c>
      <c r="E444" s="63"/>
      <c r="F444" s="151"/>
      <c r="G444" s="63"/>
      <c r="H444" s="63"/>
      <c r="I444" s="300"/>
    </row>
    <row r="445" spans="1:18" ht="12.75">
      <c r="A445" s="64">
        <f>A441+1</f>
        <v>181</v>
      </c>
      <c r="B445" s="193" t="s">
        <v>273</v>
      </c>
      <c r="C445" s="65"/>
      <c r="D445" s="66" t="s">
        <v>40</v>
      </c>
      <c r="E445" s="67" t="s">
        <v>352</v>
      </c>
      <c r="F445" s="148">
        <v>3</v>
      </c>
      <c r="G445" s="203"/>
      <c r="H445" s="68">
        <f>F445*G445</f>
        <v>0</v>
      </c>
      <c r="I445" s="300" t="s">
        <v>97</v>
      </c>
      <c r="N445" s="242"/>
      <c r="Q445" s="273">
        <v>0.00156</v>
      </c>
      <c r="R445" s="47"/>
    </row>
    <row r="446" spans="1:18" ht="12.75">
      <c r="A446" s="64">
        <f>A445+1</f>
        <v>182</v>
      </c>
      <c r="B446" s="193" t="s">
        <v>444</v>
      </c>
      <c r="C446" s="65"/>
      <c r="D446" s="66" t="s">
        <v>445</v>
      </c>
      <c r="E446" s="67" t="s">
        <v>349</v>
      </c>
      <c r="F446" s="148">
        <v>1</v>
      </c>
      <c r="G446" s="203"/>
      <c r="H446" s="68">
        <f aca="true" t="shared" si="29" ref="H446:H457">F446*G446</f>
        <v>0</v>
      </c>
      <c r="I446" s="300" t="s">
        <v>97</v>
      </c>
      <c r="N446" s="242"/>
      <c r="Q446" s="273">
        <f>0.002*F446</f>
        <v>0.002</v>
      </c>
      <c r="R446" s="47" t="s">
        <v>354</v>
      </c>
    </row>
    <row r="447" spans="1:18" ht="12.75">
      <c r="A447" s="64">
        <f>A446+1</f>
        <v>183</v>
      </c>
      <c r="B447" s="193" t="s">
        <v>251</v>
      </c>
      <c r="C447" s="65"/>
      <c r="D447" s="66" t="s">
        <v>140</v>
      </c>
      <c r="E447" s="67" t="s">
        <v>349</v>
      </c>
      <c r="F447" s="148">
        <v>1</v>
      </c>
      <c r="G447" s="203"/>
      <c r="H447" s="68">
        <f t="shared" si="29"/>
        <v>0</v>
      </c>
      <c r="I447" s="300" t="s">
        <v>97</v>
      </c>
      <c r="N447" s="242"/>
      <c r="Q447" s="273">
        <v>0.01933</v>
      </c>
      <c r="R447" s="47"/>
    </row>
    <row r="448" spans="1:18" ht="12.75">
      <c r="A448" s="64">
        <f>A447+1</f>
        <v>184</v>
      </c>
      <c r="B448" s="193" t="s">
        <v>399</v>
      </c>
      <c r="C448" s="65"/>
      <c r="D448" s="66" t="s">
        <v>400</v>
      </c>
      <c r="E448" s="67" t="s">
        <v>349</v>
      </c>
      <c r="F448" s="148">
        <v>1</v>
      </c>
      <c r="G448" s="203"/>
      <c r="H448" s="68">
        <f t="shared" si="29"/>
        <v>0</v>
      </c>
      <c r="I448" s="300" t="s">
        <v>97</v>
      </c>
      <c r="N448" s="242"/>
      <c r="Q448" s="273">
        <v>0.0329</v>
      </c>
      <c r="R448" s="47"/>
    </row>
    <row r="449" spans="1:18" ht="12.75">
      <c r="A449" s="64">
        <f aca="true" t="shared" si="30" ref="A449:A457">A448+1</f>
        <v>185</v>
      </c>
      <c r="B449" s="188" t="s">
        <v>252</v>
      </c>
      <c r="C449" s="65"/>
      <c r="D449" s="66" t="s">
        <v>139</v>
      </c>
      <c r="E449" s="67" t="s">
        <v>352</v>
      </c>
      <c r="F449" s="149">
        <v>6</v>
      </c>
      <c r="G449" s="203"/>
      <c r="H449" s="68">
        <f t="shared" si="29"/>
        <v>0</v>
      </c>
      <c r="I449" s="300" t="s">
        <v>97</v>
      </c>
      <c r="N449" s="242"/>
      <c r="Q449" s="273"/>
      <c r="R449" s="47"/>
    </row>
    <row r="450" spans="1:18" ht="12.75">
      <c r="A450" s="64">
        <f t="shared" si="30"/>
        <v>186</v>
      </c>
      <c r="B450" s="193" t="s">
        <v>401</v>
      </c>
      <c r="C450" s="65"/>
      <c r="D450" s="66" t="s">
        <v>398</v>
      </c>
      <c r="E450" s="67" t="s">
        <v>349</v>
      </c>
      <c r="F450" s="149">
        <v>1</v>
      </c>
      <c r="G450" s="203"/>
      <c r="H450" s="68">
        <f t="shared" si="29"/>
        <v>0</v>
      </c>
      <c r="I450" s="300" t="s">
        <v>97</v>
      </c>
      <c r="N450" s="242"/>
      <c r="Q450" s="273">
        <v>0.008</v>
      </c>
      <c r="R450" s="47"/>
    </row>
    <row r="451" spans="1:18" ht="12.75">
      <c r="A451" s="64">
        <f t="shared" si="30"/>
        <v>187</v>
      </c>
      <c r="B451" s="188" t="s">
        <v>468</v>
      </c>
      <c r="C451" s="65"/>
      <c r="D451" s="66" t="s">
        <v>470</v>
      </c>
      <c r="E451" s="67" t="s">
        <v>354</v>
      </c>
      <c r="F451" s="149">
        <f>Q451</f>
        <v>0.06379</v>
      </c>
      <c r="G451" s="203"/>
      <c r="H451" s="68">
        <f>F451*G451</f>
        <v>0</v>
      </c>
      <c r="I451" s="300" t="s">
        <v>97</v>
      </c>
      <c r="N451" s="242"/>
      <c r="Q451" s="273">
        <f>SUM(Q445:Q450)</f>
        <v>0.06379</v>
      </c>
      <c r="R451" s="47"/>
    </row>
    <row r="452" spans="1:18" ht="12.75">
      <c r="A452" s="64">
        <f t="shared" si="30"/>
        <v>188</v>
      </c>
      <c r="B452" s="188" t="s">
        <v>147</v>
      </c>
      <c r="C452" s="65"/>
      <c r="D452" s="66" t="s">
        <v>253</v>
      </c>
      <c r="E452" s="67" t="s">
        <v>354</v>
      </c>
      <c r="F452" s="149">
        <f>F451</f>
        <v>0.06379</v>
      </c>
      <c r="G452" s="203"/>
      <c r="H452" s="68">
        <f t="shared" si="29"/>
        <v>0</v>
      </c>
      <c r="I452" s="300" t="s">
        <v>97</v>
      </c>
      <c r="N452" s="242"/>
      <c r="Q452" s="273"/>
      <c r="R452" s="47"/>
    </row>
    <row r="453" spans="1:18" ht="12.75">
      <c r="A453" s="64">
        <f t="shared" si="30"/>
        <v>189</v>
      </c>
      <c r="B453" s="188" t="s">
        <v>466</v>
      </c>
      <c r="C453" s="65"/>
      <c r="D453" s="66" t="s">
        <v>467</v>
      </c>
      <c r="E453" s="67" t="s">
        <v>354</v>
      </c>
      <c r="F453" s="149">
        <f>+F452*2</f>
        <v>0.12758</v>
      </c>
      <c r="G453" s="203"/>
      <c r="H453" s="68">
        <f t="shared" si="29"/>
        <v>0</v>
      </c>
      <c r="I453" s="300" t="s">
        <v>97</v>
      </c>
      <c r="N453" s="242"/>
      <c r="Q453" s="273"/>
      <c r="R453" s="47"/>
    </row>
    <row r="454" spans="1:18" ht="12.75">
      <c r="A454" s="64">
        <f t="shared" si="30"/>
        <v>190</v>
      </c>
      <c r="B454" s="188" t="s">
        <v>148</v>
      </c>
      <c r="C454" s="65"/>
      <c r="D454" s="66" t="s">
        <v>149</v>
      </c>
      <c r="E454" s="67" t="s">
        <v>354</v>
      </c>
      <c r="F454" s="149">
        <f>+F451</f>
        <v>0.06379</v>
      </c>
      <c r="G454" s="185"/>
      <c r="H454" s="68">
        <f t="shared" si="29"/>
        <v>0</v>
      </c>
      <c r="I454" s="300" t="s">
        <v>97</v>
      </c>
      <c r="N454" s="242"/>
      <c r="Q454" s="273"/>
      <c r="R454" s="47"/>
    </row>
    <row r="455" spans="1:18" ht="12.75">
      <c r="A455" s="64">
        <f t="shared" si="30"/>
        <v>191</v>
      </c>
      <c r="B455" s="188" t="s">
        <v>150</v>
      </c>
      <c r="C455" s="65"/>
      <c r="D455" s="66" t="s">
        <v>151</v>
      </c>
      <c r="E455" s="67" t="s">
        <v>354</v>
      </c>
      <c r="F455" s="149">
        <f>+F451</f>
        <v>0.06379</v>
      </c>
      <c r="G455" s="203"/>
      <c r="H455" s="68">
        <f t="shared" si="29"/>
        <v>0</v>
      </c>
      <c r="I455" s="300" t="s">
        <v>97</v>
      </c>
      <c r="N455" s="242"/>
      <c r="Q455" s="273"/>
      <c r="R455" s="47"/>
    </row>
    <row r="456" spans="1:18" ht="12.75">
      <c r="A456" s="64">
        <f t="shared" si="30"/>
        <v>192</v>
      </c>
      <c r="B456" s="188" t="s">
        <v>473</v>
      </c>
      <c r="C456" s="65"/>
      <c r="D456" s="66" t="s">
        <v>474</v>
      </c>
      <c r="E456" s="67" t="s">
        <v>354</v>
      </c>
      <c r="F456" s="149">
        <f>+F451</f>
        <v>0.06379</v>
      </c>
      <c r="G456" s="203"/>
      <c r="H456" s="68">
        <f t="shared" si="29"/>
        <v>0</v>
      </c>
      <c r="I456" s="300" t="s">
        <v>97</v>
      </c>
      <c r="N456" s="242"/>
      <c r="Q456" s="273"/>
      <c r="R456" s="47"/>
    </row>
    <row r="457" spans="1:18" ht="13.5" thickBot="1">
      <c r="A457" s="64">
        <f t="shared" si="30"/>
        <v>193</v>
      </c>
      <c r="B457" s="193" t="s">
        <v>471</v>
      </c>
      <c r="C457" s="65"/>
      <c r="D457" s="66" t="s">
        <v>472</v>
      </c>
      <c r="E457" s="67" t="s">
        <v>354</v>
      </c>
      <c r="F457" s="149">
        <f>+F451</f>
        <v>0.06379</v>
      </c>
      <c r="G457" s="203"/>
      <c r="H457" s="68">
        <f t="shared" si="29"/>
        <v>0</v>
      </c>
      <c r="I457" s="300" t="s">
        <v>97</v>
      </c>
      <c r="N457" s="242"/>
      <c r="Q457" s="273"/>
      <c r="R457" s="47"/>
    </row>
    <row r="458" spans="1:18" ht="15.75" thickBot="1">
      <c r="A458" s="64"/>
      <c r="B458" s="188"/>
      <c r="C458" s="65"/>
      <c r="D458" s="129" t="s">
        <v>351</v>
      </c>
      <c r="E458" s="130"/>
      <c r="F458" s="157"/>
      <c r="G458" s="131"/>
      <c r="H458" s="76">
        <f>SUM(H445:H457)</f>
        <v>0</v>
      </c>
      <c r="I458" s="300"/>
      <c r="N458" s="242"/>
      <c r="Q458" s="273"/>
      <c r="R458" s="47"/>
    </row>
    <row r="459" spans="1:9" ht="12.75">
      <c r="A459" s="64"/>
      <c r="B459" s="188"/>
      <c r="C459" s="65"/>
      <c r="D459" s="77"/>
      <c r="E459" s="78"/>
      <c r="F459" s="138"/>
      <c r="G459" s="22"/>
      <c r="H459" s="79"/>
      <c r="I459" s="300"/>
    </row>
    <row r="460" spans="1:9" ht="16.5">
      <c r="A460" s="64"/>
      <c r="B460" s="188"/>
      <c r="C460" s="80" t="s">
        <v>254</v>
      </c>
      <c r="D460" s="63" t="s">
        <v>24</v>
      </c>
      <c r="E460" s="63"/>
      <c r="F460" s="151"/>
      <c r="G460" s="63"/>
      <c r="H460" s="63"/>
      <c r="I460" s="300"/>
    </row>
    <row r="461" spans="1:9" ht="79.5" customHeight="1">
      <c r="A461" s="64"/>
      <c r="B461" s="188"/>
      <c r="C461" s="62"/>
      <c r="D461" s="326" t="s">
        <v>330</v>
      </c>
      <c r="E461" s="326"/>
      <c r="F461" s="326"/>
      <c r="G461" s="110"/>
      <c r="H461" s="110"/>
      <c r="I461" s="300"/>
    </row>
    <row r="462" spans="1:9" ht="25.5">
      <c r="A462" s="64">
        <f>A457+1</f>
        <v>194</v>
      </c>
      <c r="B462" s="193" t="s">
        <v>742</v>
      </c>
      <c r="C462" s="65"/>
      <c r="D462" s="82" t="s">
        <v>292</v>
      </c>
      <c r="E462" s="67" t="s">
        <v>353</v>
      </c>
      <c r="F462" s="152">
        <f>0.65+3.65+2*0.6+1.25+0.6+0.96+0.6+2+2</f>
        <v>12.909999999999998</v>
      </c>
      <c r="G462" s="203"/>
      <c r="H462" s="68">
        <f>F462*G462</f>
        <v>0</v>
      </c>
      <c r="I462" s="300" t="s">
        <v>97</v>
      </c>
    </row>
    <row r="463" spans="1:9" ht="25.5">
      <c r="A463" s="64">
        <f>A462+1</f>
        <v>195</v>
      </c>
      <c r="B463" s="197" t="s">
        <v>743</v>
      </c>
      <c r="C463" s="65"/>
      <c r="D463" s="82" t="s">
        <v>293</v>
      </c>
      <c r="E463" s="67" t="s">
        <v>353</v>
      </c>
      <c r="F463" s="152">
        <f>2.46+0.6</f>
        <v>3.06</v>
      </c>
      <c r="G463" s="203"/>
      <c r="H463" s="68">
        <f aca="true" t="shared" si="31" ref="H463:H476">F463*G463</f>
        <v>0</v>
      </c>
      <c r="I463" s="300" t="s">
        <v>97</v>
      </c>
    </row>
    <row r="464" spans="1:9" ht="25.5">
      <c r="A464" s="64">
        <f aca="true" t="shared" si="32" ref="A464:A471">A463+1</f>
        <v>196</v>
      </c>
      <c r="B464" s="291" t="s">
        <v>744</v>
      </c>
      <c r="C464" s="65"/>
      <c r="D464" s="96" t="s">
        <v>291</v>
      </c>
      <c r="E464" s="67" t="s">
        <v>353</v>
      </c>
      <c r="F464" s="148">
        <v>2</v>
      </c>
      <c r="G464" s="203"/>
      <c r="H464" s="68">
        <f>F464*G464</f>
        <v>0</v>
      </c>
      <c r="I464" s="300" t="s">
        <v>97</v>
      </c>
    </row>
    <row r="465" spans="1:9" ht="12.75">
      <c r="A465" s="64">
        <f t="shared" si="32"/>
        <v>197</v>
      </c>
      <c r="B465" s="188" t="s">
        <v>205</v>
      </c>
      <c r="C465" s="86" t="s">
        <v>1</v>
      </c>
      <c r="D465" s="87" t="s">
        <v>204</v>
      </c>
      <c r="E465" s="88" t="s">
        <v>352</v>
      </c>
      <c r="F465" s="155">
        <v>2</v>
      </c>
      <c r="G465" s="313"/>
      <c r="H465" s="89">
        <f>F465*G465</f>
        <v>0</v>
      </c>
      <c r="I465" s="300" t="s">
        <v>97</v>
      </c>
    </row>
    <row r="466" spans="1:9" ht="25.5">
      <c r="A466" s="64">
        <f t="shared" si="32"/>
        <v>198</v>
      </c>
      <c r="B466" s="211" t="s">
        <v>741</v>
      </c>
      <c r="C466" s="86" t="s">
        <v>1</v>
      </c>
      <c r="D466" s="87" t="s">
        <v>865</v>
      </c>
      <c r="E466" s="88" t="s">
        <v>352</v>
      </c>
      <c r="F466" s="155">
        <v>1</v>
      </c>
      <c r="G466" s="313"/>
      <c r="H466" s="89">
        <f t="shared" si="31"/>
        <v>0</v>
      </c>
      <c r="I466" s="300" t="s">
        <v>97</v>
      </c>
    </row>
    <row r="467" spans="1:9" ht="25.5">
      <c r="A467" s="64">
        <f t="shared" si="32"/>
        <v>199</v>
      </c>
      <c r="B467" s="193" t="s">
        <v>280</v>
      </c>
      <c r="C467" s="65"/>
      <c r="D467" s="82" t="s">
        <v>902</v>
      </c>
      <c r="E467" s="67" t="s">
        <v>352</v>
      </c>
      <c r="F467" s="148">
        <v>4</v>
      </c>
      <c r="G467" s="203"/>
      <c r="H467" s="68">
        <f t="shared" si="31"/>
        <v>0</v>
      </c>
      <c r="I467" s="300" t="s">
        <v>97</v>
      </c>
    </row>
    <row r="468" spans="1:9" ht="14.25" customHeight="1">
      <c r="A468" s="64">
        <f t="shared" si="32"/>
        <v>200</v>
      </c>
      <c r="B468" s="193" t="s">
        <v>281</v>
      </c>
      <c r="C468" s="65"/>
      <c r="D468" s="82" t="s">
        <v>282</v>
      </c>
      <c r="E468" s="67" t="s">
        <v>352</v>
      </c>
      <c r="F468" s="148">
        <v>1</v>
      </c>
      <c r="G468" s="203"/>
      <c r="H468" s="68">
        <f t="shared" si="31"/>
        <v>0</v>
      </c>
      <c r="I468" s="300" t="s">
        <v>97</v>
      </c>
    </row>
    <row r="469" spans="1:9" ht="12.75">
      <c r="A469" s="64">
        <f>A467+1</f>
        <v>200</v>
      </c>
      <c r="B469" s="188" t="s">
        <v>283</v>
      </c>
      <c r="C469" s="65"/>
      <c r="D469" s="96" t="s">
        <v>266</v>
      </c>
      <c r="E469" s="67" t="s">
        <v>352</v>
      </c>
      <c r="F469" s="148">
        <v>1</v>
      </c>
      <c r="G469" s="203"/>
      <c r="H469" s="68">
        <f>F469*G469</f>
        <v>0</v>
      </c>
      <c r="I469" s="300" t="s">
        <v>97</v>
      </c>
    </row>
    <row r="470" spans="1:9" ht="12.75">
      <c r="A470" s="64">
        <f>A468+1</f>
        <v>201</v>
      </c>
      <c r="B470" s="193" t="s">
        <v>283</v>
      </c>
      <c r="C470" s="65"/>
      <c r="D470" s="82" t="s">
        <v>402</v>
      </c>
      <c r="E470" s="67" t="s">
        <v>352</v>
      </c>
      <c r="F470" s="148">
        <v>1</v>
      </c>
      <c r="G470" s="203"/>
      <c r="H470" s="68">
        <f t="shared" si="31"/>
        <v>0</v>
      </c>
      <c r="I470" s="300" t="s">
        <v>97</v>
      </c>
    </row>
    <row r="471" spans="1:9" ht="12.75">
      <c r="A471" s="64">
        <f t="shared" si="32"/>
        <v>202</v>
      </c>
      <c r="B471" s="188" t="s">
        <v>263</v>
      </c>
      <c r="C471" s="65"/>
      <c r="D471" s="96" t="s">
        <v>262</v>
      </c>
      <c r="E471" s="67" t="s">
        <v>352</v>
      </c>
      <c r="F471" s="148">
        <v>1</v>
      </c>
      <c r="G471" s="203"/>
      <c r="H471" s="68">
        <f t="shared" si="31"/>
        <v>0</v>
      </c>
      <c r="I471" s="300" t="s">
        <v>97</v>
      </c>
    </row>
    <row r="472" spans="1:11" ht="38.25">
      <c r="A472" s="64">
        <f>A471+1</f>
        <v>203</v>
      </c>
      <c r="B472" s="193" t="s">
        <v>746</v>
      </c>
      <c r="C472" s="65" t="s">
        <v>304</v>
      </c>
      <c r="D472" s="82" t="s">
        <v>747</v>
      </c>
      <c r="E472" s="67" t="s">
        <v>352</v>
      </c>
      <c r="F472" s="148">
        <v>1</v>
      </c>
      <c r="G472" s="203"/>
      <c r="H472" s="68">
        <f t="shared" si="31"/>
        <v>0</v>
      </c>
      <c r="I472" s="300" t="s">
        <v>100</v>
      </c>
      <c r="K472" s="278" t="s">
        <v>206</v>
      </c>
    </row>
    <row r="473" spans="1:11" ht="25.5">
      <c r="A473" s="64">
        <f>A472+1</f>
        <v>204</v>
      </c>
      <c r="B473" s="197" t="s">
        <v>743</v>
      </c>
      <c r="C473" s="65" t="s">
        <v>441</v>
      </c>
      <c r="D473" s="82" t="s">
        <v>821</v>
      </c>
      <c r="E473" s="67" t="s">
        <v>349</v>
      </c>
      <c r="F473" s="148">
        <v>1</v>
      </c>
      <c r="G473" s="203"/>
      <c r="H473" s="68">
        <f t="shared" si="31"/>
        <v>0</v>
      </c>
      <c r="I473" s="300" t="s">
        <v>97</v>
      </c>
      <c r="K473" s="278"/>
    </row>
    <row r="474" spans="1:11" ht="16.5">
      <c r="A474" s="64">
        <f>A473+1</f>
        <v>205</v>
      </c>
      <c r="B474" s="197" t="s">
        <v>911</v>
      </c>
      <c r="C474" s="65" t="s">
        <v>441</v>
      </c>
      <c r="D474" s="82" t="s">
        <v>910</v>
      </c>
      <c r="E474" s="67" t="s">
        <v>349</v>
      </c>
      <c r="F474" s="148">
        <v>1</v>
      </c>
      <c r="G474" s="203"/>
      <c r="H474" s="68">
        <f t="shared" si="31"/>
        <v>0</v>
      </c>
      <c r="I474" s="300" t="s">
        <v>97</v>
      </c>
      <c r="K474" s="278"/>
    </row>
    <row r="475" spans="1:9" ht="12.75">
      <c r="A475" s="64">
        <f>A474+1</f>
        <v>206</v>
      </c>
      <c r="B475" s="193" t="s">
        <v>745</v>
      </c>
      <c r="C475" s="65"/>
      <c r="D475" s="96" t="s">
        <v>34</v>
      </c>
      <c r="E475" s="67" t="s">
        <v>353</v>
      </c>
      <c r="F475" s="148">
        <f>+F462+F463+F464</f>
        <v>17.97</v>
      </c>
      <c r="G475" s="203"/>
      <c r="H475" s="68">
        <f t="shared" si="31"/>
        <v>0</v>
      </c>
      <c r="I475" s="300" t="s">
        <v>97</v>
      </c>
    </row>
    <row r="476" spans="1:9" ht="13.5" thickBot="1">
      <c r="A476" s="64">
        <f>A475+1</f>
        <v>207</v>
      </c>
      <c r="B476" s="193" t="s">
        <v>475</v>
      </c>
      <c r="C476" s="65"/>
      <c r="D476" s="66" t="s">
        <v>16</v>
      </c>
      <c r="E476" s="90" t="s">
        <v>358</v>
      </c>
      <c r="F476" s="148">
        <f>+H462+H463+H464+H465+H466+H472+H473+H474</f>
        <v>0</v>
      </c>
      <c r="G476" s="315"/>
      <c r="H476" s="91">
        <f t="shared" si="31"/>
        <v>0</v>
      </c>
      <c r="I476" s="300" t="s">
        <v>97</v>
      </c>
    </row>
    <row r="477" spans="1:9" ht="13.5" thickBot="1">
      <c r="A477" s="64"/>
      <c r="B477" s="188"/>
      <c r="C477" s="65"/>
      <c r="D477" s="83" t="s">
        <v>351</v>
      </c>
      <c r="E477" s="84"/>
      <c r="F477" s="154"/>
      <c r="G477" s="85"/>
      <c r="H477" s="76">
        <f>SUBTOTAL(9,H462:H476)</f>
        <v>0</v>
      </c>
      <c r="I477" s="300"/>
    </row>
    <row r="478" spans="1:9" ht="12.75">
      <c r="A478" s="64"/>
      <c r="B478" s="188"/>
      <c r="C478" s="65"/>
      <c r="D478" s="77"/>
      <c r="E478" s="78"/>
      <c r="F478" s="138"/>
      <c r="G478" s="22"/>
      <c r="H478" s="79"/>
      <c r="I478" s="300"/>
    </row>
    <row r="479" spans="1:9" ht="16.5">
      <c r="A479" s="64"/>
      <c r="B479" s="188"/>
      <c r="C479" s="80" t="s">
        <v>255</v>
      </c>
      <c r="D479" s="63" t="s">
        <v>25</v>
      </c>
      <c r="E479" s="63"/>
      <c r="F479" s="151"/>
      <c r="G479" s="63"/>
      <c r="H479" s="63"/>
      <c r="I479" s="300"/>
    </row>
    <row r="480" spans="1:9" ht="77.25" customHeight="1">
      <c r="A480" s="64"/>
      <c r="B480" s="188"/>
      <c r="C480" s="62"/>
      <c r="D480" s="326" t="s">
        <v>271</v>
      </c>
      <c r="E480" s="326"/>
      <c r="F480" s="326"/>
      <c r="G480" s="110"/>
      <c r="H480" s="110"/>
      <c r="I480" s="300"/>
    </row>
    <row r="481" spans="1:9" ht="12.75">
      <c r="A481" s="71">
        <f>A476+1</f>
        <v>208</v>
      </c>
      <c r="B481" s="187" t="s">
        <v>305</v>
      </c>
      <c r="C481" s="122"/>
      <c r="D481" s="120" t="s">
        <v>276</v>
      </c>
      <c r="E481" s="67" t="s">
        <v>353</v>
      </c>
      <c r="F481" s="152">
        <f>1.35+2.15+3.5+1.85+1.95+2.45</f>
        <v>13.25</v>
      </c>
      <c r="G481" s="203"/>
      <c r="H481" s="68">
        <f>F481*G481</f>
        <v>0</v>
      </c>
      <c r="I481" s="300" t="s">
        <v>97</v>
      </c>
    </row>
    <row r="482" spans="1:9" ht="12.75">
      <c r="A482" s="71">
        <f aca="true" t="shared" si="33" ref="A482:A487">A481+1</f>
        <v>209</v>
      </c>
      <c r="B482" s="199" t="s">
        <v>370</v>
      </c>
      <c r="C482" s="122"/>
      <c r="D482" s="134" t="s">
        <v>359</v>
      </c>
      <c r="E482" s="67" t="s">
        <v>353</v>
      </c>
      <c r="F482" s="152">
        <f>15.5+2</f>
        <v>17.5</v>
      </c>
      <c r="G482" s="203"/>
      <c r="H482" s="68">
        <f>F482*G482</f>
        <v>0</v>
      </c>
      <c r="I482" s="300" t="s">
        <v>97</v>
      </c>
    </row>
    <row r="483" spans="1:9" ht="12.75">
      <c r="A483" s="71">
        <f t="shared" si="33"/>
        <v>210</v>
      </c>
      <c r="B483" s="186" t="s">
        <v>891</v>
      </c>
      <c r="C483" s="122"/>
      <c r="D483" s="96" t="s">
        <v>93</v>
      </c>
      <c r="E483" s="67" t="s">
        <v>353</v>
      </c>
      <c r="F483" s="152">
        <f>1.35+2.15</f>
        <v>3.5</v>
      </c>
      <c r="G483" s="203"/>
      <c r="H483" s="68">
        <f aca="true" t="shared" si="34" ref="H483:H494">F483*G483</f>
        <v>0</v>
      </c>
      <c r="I483" s="300" t="s">
        <v>97</v>
      </c>
    </row>
    <row r="484" spans="1:9" ht="12.75">
      <c r="A484" s="71">
        <f t="shared" si="33"/>
        <v>211</v>
      </c>
      <c r="B484" s="186" t="s">
        <v>892</v>
      </c>
      <c r="C484" s="122"/>
      <c r="D484" s="82" t="s">
        <v>403</v>
      </c>
      <c r="E484" s="67" t="s">
        <v>353</v>
      </c>
      <c r="F484" s="152">
        <f>+F482</f>
        <v>17.5</v>
      </c>
      <c r="G484" s="203"/>
      <c r="H484" s="68">
        <f>F484*G484</f>
        <v>0</v>
      </c>
      <c r="I484" s="300" t="s">
        <v>97</v>
      </c>
    </row>
    <row r="485" spans="1:9" ht="12.75">
      <c r="A485" s="71">
        <f t="shared" si="33"/>
        <v>212</v>
      </c>
      <c r="B485" s="186" t="s">
        <v>893</v>
      </c>
      <c r="C485" s="122"/>
      <c r="D485" s="96" t="s">
        <v>92</v>
      </c>
      <c r="E485" s="67" t="s">
        <v>353</v>
      </c>
      <c r="F485" s="152">
        <f>+3.5+1.85+1.95+2.45</f>
        <v>9.75</v>
      </c>
      <c r="G485" s="203"/>
      <c r="H485" s="68">
        <f t="shared" si="34"/>
        <v>0</v>
      </c>
      <c r="I485" s="300" t="s">
        <v>97</v>
      </c>
    </row>
    <row r="486" spans="1:10" s="205" customFormat="1" ht="12.75">
      <c r="A486" s="71">
        <f t="shared" si="33"/>
        <v>213</v>
      </c>
      <c r="B486" s="199" t="s">
        <v>898</v>
      </c>
      <c r="C486" s="200"/>
      <c r="D486" s="201" t="s">
        <v>899</v>
      </c>
      <c r="E486" s="202" t="s">
        <v>352</v>
      </c>
      <c r="F486" s="162">
        <f>+F487+F488</f>
        <v>9</v>
      </c>
      <c r="G486" s="203"/>
      <c r="H486" s="204">
        <f t="shared" si="34"/>
        <v>0</v>
      </c>
      <c r="I486" s="297" t="s">
        <v>97</v>
      </c>
      <c r="J486" s="308"/>
    </row>
    <row r="487" spans="1:9" ht="25.5">
      <c r="A487" s="71">
        <f t="shared" si="33"/>
        <v>214</v>
      </c>
      <c r="B487" s="199" t="s">
        <v>897</v>
      </c>
      <c r="C487" s="122"/>
      <c r="D487" s="82" t="s">
        <v>135</v>
      </c>
      <c r="E487" s="67" t="s">
        <v>352</v>
      </c>
      <c r="F487" s="152">
        <v>5</v>
      </c>
      <c r="G487" s="203"/>
      <c r="H487" s="68">
        <f t="shared" si="34"/>
        <v>0</v>
      </c>
      <c r="I487" s="300" t="s">
        <v>97</v>
      </c>
    </row>
    <row r="488" spans="1:9" ht="12.75">
      <c r="A488" s="71">
        <f>A486+1</f>
        <v>214</v>
      </c>
      <c r="B488" s="198" t="s">
        <v>894</v>
      </c>
      <c r="C488" s="122"/>
      <c r="D488" s="82" t="s">
        <v>134</v>
      </c>
      <c r="E488" s="67" t="s">
        <v>352</v>
      </c>
      <c r="F488" s="152">
        <v>4</v>
      </c>
      <c r="G488" s="203"/>
      <c r="H488" s="68">
        <f t="shared" si="34"/>
        <v>0</v>
      </c>
      <c r="I488" s="300" t="s">
        <v>97</v>
      </c>
    </row>
    <row r="489" spans="1:9" ht="12.75">
      <c r="A489" s="71">
        <f aca="true" t="shared" si="35" ref="A489:A494">A488+1</f>
        <v>215</v>
      </c>
      <c r="B489" s="198" t="s">
        <v>895</v>
      </c>
      <c r="C489" s="122"/>
      <c r="D489" s="82" t="s">
        <v>405</v>
      </c>
      <c r="E489" s="67" t="s">
        <v>352</v>
      </c>
      <c r="F489" s="152">
        <v>1</v>
      </c>
      <c r="G489" s="203"/>
      <c r="H489" s="68">
        <f t="shared" si="34"/>
        <v>0</v>
      </c>
      <c r="I489" s="300" t="s">
        <v>97</v>
      </c>
    </row>
    <row r="490" spans="1:9" ht="12.75">
      <c r="A490" s="71">
        <f t="shared" si="35"/>
        <v>216</v>
      </c>
      <c r="B490" s="198" t="s">
        <v>896</v>
      </c>
      <c r="C490" s="122"/>
      <c r="D490" s="82" t="s">
        <v>404</v>
      </c>
      <c r="E490" s="67" t="s">
        <v>352</v>
      </c>
      <c r="F490" s="152">
        <v>1</v>
      </c>
      <c r="G490" s="203"/>
      <c r="H490" s="68">
        <f t="shared" si="34"/>
        <v>0</v>
      </c>
      <c r="I490" s="300" t="s">
        <v>97</v>
      </c>
    </row>
    <row r="491" spans="1:9" ht="12.75">
      <c r="A491" s="71">
        <f t="shared" si="35"/>
        <v>217</v>
      </c>
      <c r="B491" s="187" t="s">
        <v>306</v>
      </c>
      <c r="C491" s="65"/>
      <c r="D491" s="82" t="s">
        <v>277</v>
      </c>
      <c r="E491" s="67" t="s">
        <v>353</v>
      </c>
      <c r="F491" s="148">
        <f>+F481</f>
        <v>13.25</v>
      </c>
      <c r="G491" s="203"/>
      <c r="H491" s="68">
        <f t="shared" si="34"/>
        <v>0</v>
      </c>
      <c r="I491" s="300" t="s">
        <v>97</v>
      </c>
    </row>
    <row r="492" spans="1:9" ht="12.75">
      <c r="A492" s="71">
        <f t="shared" si="35"/>
        <v>218</v>
      </c>
      <c r="B492" s="188" t="s">
        <v>307</v>
      </c>
      <c r="C492" s="65"/>
      <c r="D492" s="82" t="s">
        <v>308</v>
      </c>
      <c r="E492" s="67" t="s">
        <v>353</v>
      </c>
      <c r="F492" s="148">
        <f>+F491</f>
        <v>13.25</v>
      </c>
      <c r="G492" s="203"/>
      <c r="H492" s="68">
        <f t="shared" si="34"/>
        <v>0</v>
      </c>
      <c r="I492" s="300" t="s">
        <v>97</v>
      </c>
    </row>
    <row r="493" spans="1:9" ht="12.75">
      <c r="A493" s="71">
        <f t="shared" si="35"/>
        <v>219</v>
      </c>
      <c r="B493" s="193" t="s">
        <v>446</v>
      </c>
      <c r="C493" s="65"/>
      <c r="D493" s="82" t="s">
        <v>568</v>
      </c>
      <c r="E493" s="67" t="s">
        <v>352</v>
      </c>
      <c r="F493" s="148">
        <v>1</v>
      </c>
      <c r="G493" s="203"/>
      <c r="H493" s="68">
        <f>F493*G493</f>
        <v>0</v>
      </c>
      <c r="I493" s="300" t="s">
        <v>97</v>
      </c>
    </row>
    <row r="494" spans="1:9" ht="13.5" thickBot="1">
      <c r="A494" s="71">
        <f t="shared" si="35"/>
        <v>220</v>
      </c>
      <c r="B494" s="193" t="s">
        <v>475</v>
      </c>
      <c r="C494" s="65"/>
      <c r="D494" s="66" t="s">
        <v>16</v>
      </c>
      <c r="E494" s="90" t="s">
        <v>358</v>
      </c>
      <c r="F494" s="148">
        <f>SUM(H481:H490)</f>
        <v>0</v>
      </c>
      <c r="G494" s="315"/>
      <c r="H494" s="91">
        <f t="shared" si="34"/>
        <v>0</v>
      </c>
      <c r="I494" s="300" t="s">
        <v>97</v>
      </c>
    </row>
    <row r="495" spans="1:9" ht="13.5" thickBot="1">
      <c r="A495" s="64"/>
      <c r="B495" s="188"/>
      <c r="C495" s="65"/>
      <c r="D495" s="83" t="s">
        <v>351</v>
      </c>
      <c r="E495" s="84"/>
      <c r="F495" s="154"/>
      <c r="G495" s="85"/>
      <c r="H495" s="76">
        <f>SUBTOTAL(9,H481:H494)</f>
        <v>0</v>
      </c>
      <c r="I495" s="300"/>
    </row>
    <row r="496" spans="1:9" ht="12.75">
      <c r="A496" s="64"/>
      <c r="B496" s="188"/>
      <c r="C496" s="65"/>
      <c r="D496" s="77"/>
      <c r="E496" s="78"/>
      <c r="F496" s="138"/>
      <c r="G496" s="22"/>
      <c r="H496" s="79"/>
      <c r="I496" s="300"/>
    </row>
    <row r="497" spans="1:9" ht="12.75">
      <c r="A497" s="64"/>
      <c r="B497" s="188"/>
      <c r="C497" s="65"/>
      <c r="D497" s="77"/>
      <c r="E497" s="78"/>
      <c r="F497" s="138"/>
      <c r="G497" s="22"/>
      <c r="H497" s="79"/>
      <c r="I497" s="300"/>
    </row>
    <row r="498" spans="1:9" ht="16.5">
      <c r="A498" s="64"/>
      <c r="B498" s="188"/>
      <c r="C498" s="80" t="s">
        <v>256</v>
      </c>
      <c r="D498" s="63" t="s">
        <v>26</v>
      </c>
      <c r="E498" s="63"/>
      <c r="F498" s="151"/>
      <c r="G498" s="63"/>
      <c r="H498" s="63"/>
      <c r="I498" s="300"/>
    </row>
    <row r="499" spans="1:18" ht="86.25" customHeight="1">
      <c r="A499" s="64"/>
      <c r="B499" s="188"/>
      <c r="C499" s="62"/>
      <c r="D499" s="326" t="s">
        <v>270</v>
      </c>
      <c r="E499" s="326"/>
      <c r="F499" s="326"/>
      <c r="G499" s="110"/>
      <c r="H499" s="110"/>
      <c r="I499" s="300"/>
      <c r="Q499" s="274"/>
      <c r="R499" s="237"/>
    </row>
    <row r="500" spans="1:11" ht="13.5" customHeight="1">
      <c r="A500" s="64">
        <f>A494+1</f>
        <v>221</v>
      </c>
      <c r="B500" s="188" t="s">
        <v>310</v>
      </c>
      <c r="C500" s="65" t="s">
        <v>2</v>
      </c>
      <c r="D500" s="66" t="s">
        <v>309</v>
      </c>
      <c r="E500" s="67" t="s">
        <v>352</v>
      </c>
      <c r="F500" s="148">
        <v>2</v>
      </c>
      <c r="G500" s="203"/>
      <c r="H500" s="68">
        <f>F500*G500</f>
        <v>0</v>
      </c>
      <c r="I500" s="300" t="s">
        <v>97</v>
      </c>
      <c r="K500" s="279"/>
    </row>
    <row r="501" spans="1:11" ht="38.25">
      <c r="A501" s="64">
        <f>A500+1</f>
        <v>222</v>
      </c>
      <c r="B501" s="193" t="s">
        <v>748</v>
      </c>
      <c r="C501" s="86" t="s">
        <v>1</v>
      </c>
      <c r="D501" s="87" t="s">
        <v>207</v>
      </c>
      <c r="E501" s="88" t="s">
        <v>352</v>
      </c>
      <c r="F501" s="155">
        <v>1</v>
      </c>
      <c r="G501" s="313"/>
      <c r="H501" s="89">
        <f aca="true" t="shared" si="36" ref="H501:H529">F501*G501</f>
        <v>0</v>
      </c>
      <c r="I501" s="300" t="s">
        <v>97</v>
      </c>
      <c r="K501" s="278" t="s">
        <v>209</v>
      </c>
    </row>
    <row r="502" spans="1:11" ht="38.25">
      <c r="A502" s="64">
        <f>A501+1</f>
        <v>223</v>
      </c>
      <c r="B502" s="193" t="s">
        <v>749</v>
      </c>
      <c r="C502" s="86" t="s">
        <v>1</v>
      </c>
      <c r="D502" s="87" t="s">
        <v>750</v>
      </c>
      <c r="E502" s="88" t="s">
        <v>352</v>
      </c>
      <c r="F502" s="155">
        <v>1</v>
      </c>
      <c r="G502" s="313"/>
      <c r="H502" s="89">
        <f>F502*G502</f>
        <v>0</v>
      </c>
      <c r="I502" s="300" t="s">
        <v>97</v>
      </c>
      <c r="K502" s="278" t="s">
        <v>751</v>
      </c>
    </row>
    <row r="503" spans="1:9" ht="12.75">
      <c r="A503" s="64">
        <f>A501+1</f>
        <v>223</v>
      </c>
      <c r="B503" s="188" t="s">
        <v>278</v>
      </c>
      <c r="C503" s="65" t="s">
        <v>2</v>
      </c>
      <c r="D503" s="66" t="s">
        <v>240</v>
      </c>
      <c r="E503" s="67" t="s">
        <v>352</v>
      </c>
      <c r="F503" s="148">
        <v>3</v>
      </c>
      <c r="G503" s="203"/>
      <c r="H503" s="68">
        <f t="shared" si="36"/>
        <v>0</v>
      </c>
      <c r="I503" s="300" t="s">
        <v>97</v>
      </c>
    </row>
    <row r="504" spans="1:9" ht="12.75">
      <c r="A504" s="64">
        <f>A503+1</f>
        <v>224</v>
      </c>
      <c r="B504" s="193" t="s">
        <v>535</v>
      </c>
      <c r="C504" s="86" t="s">
        <v>1</v>
      </c>
      <c r="D504" s="87" t="s">
        <v>311</v>
      </c>
      <c r="E504" s="88" t="s">
        <v>352</v>
      </c>
      <c r="F504" s="153">
        <v>2</v>
      </c>
      <c r="G504" s="313"/>
      <c r="H504" s="89">
        <f t="shared" si="36"/>
        <v>0</v>
      </c>
      <c r="I504" s="300" t="s">
        <v>97</v>
      </c>
    </row>
    <row r="505" spans="1:9" ht="12.75">
      <c r="A505" s="64">
        <f aca="true" t="shared" si="37" ref="A505:A529">A504+1</f>
        <v>225</v>
      </c>
      <c r="B505" s="193" t="s">
        <v>538</v>
      </c>
      <c r="C505" s="86" t="s">
        <v>1</v>
      </c>
      <c r="D505" s="87" t="s">
        <v>208</v>
      </c>
      <c r="E505" s="88" t="s">
        <v>352</v>
      </c>
      <c r="F505" s="153">
        <v>1</v>
      </c>
      <c r="G505" s="313"/>
      <c r="H505" s="89">
        <f t="shared" si="36"/>
        <v>0</v>
      </c>
      <c r="I505" s="300" t="s">
        <v>97</v>
      </c>
    </row>
    <row r="506" spans="1:9" ht="12.75">
      <c r="A506" s="64">
        <f t="shared" si="37"/>
        <v>226</v>
      </c>
      <c r="B506" s="188" t="s">
        <v>313</v>
      </c>
      <c r="C506" s="65" t="s">
        <v>2</v>
      </c>
      <c r="D506" s="66" t="s">
        <v>279</v>
      </c>
      <c r="E506" s="67" t="s">
        <v>352</v>
      </c>
      <c r="F506" s="148">
        <v>3</v>
      </c>
      <c r="G506" s="203"/>
      <c r="H506" s="68">
        <f t="shared" si="36"/>
        <v>0</v>
      </c>
      <c r="I506" s="300" t="s">
        <v>97</v>
      </c>
    </row>
    <row r="507" spans="1:9" ht="25.5">
      <c r="A507" s="64">
        <f t="shared" si="37"/>
        <v>227</v>
      </c>
      <c r="B507" s="193" t="s">
        <v>540</v>
      </c>
      <c r="C507" s="86" t="s">
        <v>1</v>
      </c>
      <c r="D507" s="87" t="s">
        <v>312</v>
      </c>
      <c r="E507" s="88" t="s">
        <v>352</v>
      </c>
      <c r="F507" s="155">
        <v>3</v>
      </c>
      <c r="G507" s="313"/>
      <c r="H507" s="89">
        <f t="shared" si="36"/>
        <v>0</v>
      </c>
      <c r="I507" s="300" t="s">
        <v>97</v>
      </c>
    </row>
    <row r="508" spans="1:9" ht="25.5">
      <c r="A508" s="64">
        <f t="shared" si="37"/>
        <v>228</v>
      </c>
      <c r="B508" s="188" t="s">
        <v>314</v>
      </c>
      <c r="C508" s="86"/>
      <c r="D508" s="66" t="s">
        <v>284</v>
      </c>
      <c r="E508" s="67" t="s">
        <v>352</v>
      </c>
      <c r="F508" s="148">
        <v>1</v>
      </c>
      <c r="G508" s="203"/>
      <c r="H508" s="68">
        <f t="shared" si="36"/>
        <v>0</v>
      </c>
      <c r="I508" s="300" t="s">
        <v>97</v>
      </c>
    </row>
    <row r="509" spans="1:11" ht="25.5">
      <c r="A509" s="64">
        <f t="shared" si="37"/>
        <v>229</v>
      </c>
      <c r="B509" s="193" t="s">
        <v>542</v>
      </c>
      <c r="C509" s="86" t="s">
        <v>1</v>
      </c>
      <c r="D509" s="92" t="s">
        <v>752</v>
      </c>
      <c r="E509" s="88" t="s">
        <v>352</v>
      </c>
      <c r="F509" s="155">
        <v>1</v>
      </c>
      <c r="G509" s="313"/>
      <c r="H509" s="89">
        <f t="shared" si="36"/>
        <v>0</v>
      </c>
      <c r="I509" s="300" t="s">
        <v>97</v>
      </c>
      <c r="K509" s="278" t="s">
        <v>753</v>
      </c>
    </row>
    <row r="510" spans="1:11" ht="38.25">
      <c r="A510" s="64">
        <f t="shared" si="37"/>
        <v>230</v>
      </c>
      <c r="B510" s="193" t="s">
        <v>537</v>
      </c>
      <c r="C510" s="86" t="s">
        <v>1</v>
      </c>
      <c r="D510" s="87" t="s">
        <v>315</v>
      </c>
      <c r="E510" s="88" t="s">
        <v>352</v>
      </c>
      <c r="F510" s="153">
        <v>1</v>
      </c>
      <c r="G510" s="313"/>
      <c r="H510" s="89">
        <f t="shared" si="36"/>
        <v>0</v>
      </c>
      <c r="I510" s="300" t="s">
        <v>97</v>
      </c>
      <c r="K510" s="278" t="s">
        <v>754</v>
      </c>
    </row>
    <row r="511" spans="1:11" ht="38.25">
      <c r="A511" s="64">
        <f t="shared" si="37"/>
        <v>231</v>
      </c>
      <c r="B511" s="193" t="s">
        <v>543</v>
      </c>
      <c r="C511" s="86" t="s">
        <v>1</v>
      </c>
      <c r="D511" s="92" t="s">
        <v>755</v>
      </c>
      <c r="E511" s="93" t="s">
        <v>352</v>
      </c>
      <c r="F511" s="155">
        <v>1</v>
      </c>
      <c r="G511" s="313"/>
      <c r="H511" s="94">
        <f>F511*G511</f>
        <v>0</v>
      </c>
      <c r="I511" s="300" t="s">
        <v>97</v>
      </c>
      <c r="K511" s="278" t="s">
        <v>756</v>
      </c>
    </row>
    <row r="512" spans="1:11" ht="25.5">
      <c r="A512" s="64">
        <f t="shared" si="37"/>
        <v>232</v>
      </c>
      <c r="B512" s="199" t="s">
        <v>406</v>
      </c>
      <c r="C512" s="218" t="s">
        <v>2</v>
      </c>
      <c r="D512" s="69" t="s">
        <v>407</v>
      </c>
      <c r="E512" s="72" t="s">
        <v>352</v>
      </c>
      <c r="F512" s="152">
        <v>1</v>
      </c>
      <c r="G512" s="203"/>
      <c r="H512" s="73">
        <f>F512*G512</f>
        <v>0</v>
      </c>
      <c r="I512" s="297" t="s">
        <v>97</v>
      </c>
      <c r="K512" s="278"/>
    </row>
    <row r="513" spans="1:11" ht="25.5">
      <c r="A513" s="64">
        <f t="shared" si="37"/>
        <v>233</v>
      </c>
      <c r="B513" s="186" t="s">
        <v>544</v>
      </c>
      <c r="C513" s="292" t="s">
        <v>1</v>
      </c>
      <c r="D513" s="92" t="s">
        <v>408</v>
      </c>
      <c r="E513" s="93" t="s">
        <v>352</v>
      </c>
      <c r="F513" s="155">
        <v>1</v>
      </c>
      <c r="G513" s="313"/>
      <c r="H513" s="94">
        <f>F513*G513</f>
        <v>0</v>
      </c>
      <c r="I513" s="297" t="s">
        <v>97</v>
      </c>
      <c r="K513" s="278" t="s">
        <v>410</v>
      </c>
    </row>
    <row r="514" spans="1:11" ht="51">
      <c r="A514" s="64">
        <f t="shared" si="37"/>
        <v>234</v>
      </c>
      <c r="B514" s="193" t="s">
        <v>536</v>
      </c>
      <c r="C514" s="292" t="s">
        <v>1</v>
      </c>
      <c r="D514" s="92" t="s">
        <v>409</v>
      </c>
      <c r="E514" s="93" t="s">
        <v>352</v>
      </c>
      <c r="F514" s="155">
        <v>1</v>
      </c>
      <c r="G514" s="313"/>
      <c r="H514" s="94">
        <f>F514*G514</f>
        <v>0</v>
      </c>
      <c r="I514" s="297" t="s">
        <v>97</v>
      </c>
      <c r="K514" s="278"/>
    </row>
    <row r="515" spans="1:9" ht="12.75">
      <c r="A515" s="64">
        <f t="shared" si="37"/>
        <v>235</v>
      </c>
      <c r="B515" s="193" t="s">
        <v>757</v>
      </c>
      <c r="C515" s="65" t="s">
        <v>2</v>
      </c>
      <c r="D515" s="66" t="s">
        <v>758</v>
      </c>
      <c r="E515" s="67" t="s">
        <v>352</v>
      </c>
      <c r="F515" s="148">
        <v>2</v>
      </c>
      <c r="G515" s="203"/>
      <c r="H515" s="68">
        <f t="shared" si="36"/>
        <v>0</v>
      </c>
      <c r="I515" s="303" t="s">
        <v>97</v>
      </c>
    </row>
    <row r="516" spans="1:9" ht="12.75">
      <c r="A516" s="64">
        <f t="shared" si="37"/>
        <v>236</v>
      </c>
      <c r="B516" s="188" t="s">
        <v>286</v>
      </c>
      <c r="C516" s="65" t="s">
        <v>2</v>
      </c>
      <c r="D516" s="66" t="s">
        <v>285</v>
      </c>
      <c r="E516" s="67" t="s">
        <v>352</v>
      </c>
      <c r="F516" s="148">
        <v>2</v>
      </c>
      <c r="G516" s="203"/>
      <c r="H516" s="68">
        <f t="shared" si="36"/>
        <v>0</v>
      </c>
      <c r="I516" s="303" t="s">
        <v>97</v>
      </c>
    </row>
    <row r="517" spans="1:9" ht="25.5">
      <c r="A517" s="64">
        <f t="shared" si="37"/>
        <v>237</v>
      </c>
      <c r="B517" s="193" t="s">
        <v>541</v>
      </c>
      <c r="C517" s="86"/>
      <c r="D517" s="87" t="s">
        <v>334</v>
      </c>
      <c r="E517" s="88" t="s">
        <v>352</v>
      </c>
      <c r="F517" s="155">
        <v>2</v>
      </c>
      <c r="G517" s="313"/>
      <c r="H517" s="89">
        <f t="shared" si="36"/>
        <v>0</v>
      </c>
      <c r="I517" s="300" t="s">
        <v>97</v>
      </c>
    </row>
    <row r="518" spans="1:9" ht="12.75">
      <c r="A518" s="64">
        <f t="shared" si="37"/>
        <v>238</v>
      </c>
      <c r="B518" s="188" t="s">
        <v>316</v>
      </c>
      <c r="C518" s="65" t="s">
        <v>2</v>
      </c>
      <c r="D518" s="66" t="s">
        <v>317</v>
      </c>
      <c r="E518" s="67" t="s">
        <v>352</v>
      </c>
      <c r="F518" s="148">
        <v>1</v>
      </c>
      <c r="G518" s="203"/>
      <c r="H518" s="68">
        <f t="shared" si="36"/>
        <v>0</v>
      </c>
      <c r="I518" s="300" t="s">
        <v>97</v>
      </c>
    </row>
    <row r="519" spans="1:9" ht="25.5">
      <c r="A519" s="64">
        <f t="shared" si="37"/>
        <v>239</v>
      </c>
      <c r="B519" s="193" t="s">
        <v>545</v>
      </c>
      <c r="C519" s="86" t="s">
        <v>1</v>
      </c>
      <c r="D519" s="87" t="s">
        <v>335</v>
      </c>
      <c r="E519" s="88" t="s">
        <v>352</v>
      </c>
      <c r="F519" s="155">
        <v>1</v>
      </c>
      <c r="G519" s="313"/>
      <c r="H519" s="89">
        <f t="shared" si="36"/>
        <v>0</v>
      </c>
      <c r="I519" s="300" t="s">
        <v>97</v>
      </c>
    </row>
    <row r="520" spans="1:11" ht="12.75">
      <c r="A520" s="64">
        <f t="shared" si="37"/>
        <v>240</v>
      </c>
      <c r="B520" s="188" t="s">
        <v>267</v>
      </c>
      <c r="C520" s="65" t="s">
        <v>2</v>
      </c>
      <c r="D520" s="66" t="s">
        <v>268</v>
      </c>
      <c r="E520" s="67" t="s">
        <v>352</v>
      </c>
      <c r="F520" s="148">
        <v>1</v>
      </c>
      <c r="G520" s="203"/>
      <c r="H520" s="68">
        <f t="shared" si="36"/>
        <v>0</v>
      </c>
      <c r="I520" s="300" t="s">
        <v>97</v>
      </c>
      <c r="K520" s="279"/>
    </row>
    <row r="521" spans="1:9" ht="25.5">
      <c r="A521" s="64">
        <f t="shared" si="37"/>
        <v>241</v>
      </c>
      <c r="B521" s="193" t="s">
        <v>539</v>
      </c>
      <c r="C521" s="86" t="s">
        <v>1</v>
      </c>
      <c r="D521" s="87" t="s">
        <v>127</v>
      </c>
      <c r="E521" s="88" t="s">
        <v>352</v>
      </c>
      <c r="F521" s="153">
        <v>1</v>
      </c>
      <c r="G521" s="313"/>
      <c r="H521" s="89">
        <f t="shared" si="36"/>
        <v>0</v>
      </c>
      <c r="I521" s="300" t="s">
        <v>97</v>
      </c>
    </row>
    <row r="522" spans="1:11" ht="16.5">
      <c r="A522" s="64">
        <f t="shared" si="37"/>
        <v>242</v>
      </c>
      <c r="B522" s="193" t="s">
        <v>417</v>
      </c>
      <c r="C522" s="65" t="s">
        <v>2</v>
      </c>
      <c r="D522" s="66" t="s">
        <v>418</v>
      </c>
      <c r="E522" s="67" t="s">
        <v>352</v>
      </c>
      <c r="F522" s="148">
        <v>2</v>
      </c>
      <c r="G522" s="203"/>
      <c r="H522" s="68">
        <f t="shared" si="36"/>
        <v>0</v>
      </c>
      <c r="I522" s="300" t="s">
        <v>97</v>
      </c>
      <c r="K522" s="278" t="s">
        <v>411</v>
      </c>
    </row>
    <row r="523" spans="1:11" ht="25.5">
      <c r="A523" s="64">
        <f t="shared" si="37"/>
        <v>243</v>
      </c>
      <c r="B523" s="193" t="s">
        <v>546</v>
      </c>
      <c r="C523" s="86" t="s">
        <v>1</v>
      </c>
      <c r="D523" s="92" t="s">
        <v>412</v>
      </c>
      <c r="E523" s="88" t="s">
        <v>352</v>
      </c>
      <c r="F523" s="155">
        <v>2</v>
      </c>
      <c r="G523" s="313"/>
      <c r="H523" s="89">
        <f t="shared" si="36"/>
        <v>0</v>
      </c>
      <c r="I523" s="300" t="s">
        <v>97</v>
      </c>
      <c r="K523" s="278" t="s">
        <v>413</v>
      </c>
    </row>
    <row r="524" spans="1:11" ht="25.5">
      <c r="A524" s="64">
        <f t="shared" si="37"/>
        <v>244</v>
      </c>
      <c r="B524" s="193" t="s">
        <v>547</v>
      </c>
      <c r="C524" s="86"/>
      <c r="D524" s="92" t="s">
        <v>414</v>
      </c>
      <c r="E524" s="88" t="s">
        <v>352</v>
      </c>
      <c r="F524" s="155">
        <v>1</v>
      </c>
      <c r="G524" s="313"/>
      <c r="H524" s="89">
        <f>F524*G524</f>
        <v>0</v>
      </c>
      <c r="I524" s="300" t="s">
        <v>97</v>
      </c>
      <c r="K524" s="278" t="s">
        <v>416</v>
      </c>
    </row>
    <row r="525" spans="1:11" ht="16.5">
      <c r="A525" s="64">
        <f t="shared" si="37"/>
        <v>245</v>
      </c>
      <c r="B525" s="193" t="s">
        <v>420</v>
      </c>
      <c r="C525" s="122" t="s">
        <v>2</v>
      </c>
      <c r="D525" s="66" t="s">
        <v>211</v>
      </c>
      <c r="E525" s="67" t="s">
        <v>352</v>
      </c>
      <c r="F525" s="148">
        <v>2</v>
      </c>
      <c r="G525" s="203"/>
      <c r="H525" s="68">
        <f>F525*G525</f>
        <v>0</v>
      </c>
      <c r="I525" s="300" t="s">
        <v>97</v>
      </c>
      <c r="K525" s="278" t="s">
        <v>415</v>
      </c>
    </row>
    <row r="526" spans="1:11" ht="25.5">
      <c r="A526" s="64">
        <f t="shared" si="37"/>
        <v>246</v>
      </c>
      <c r="B526" s="193" t="s">
        <v>548</v>
      </c>
      <c r="C526" s="86" t="s">
        <v>1</v>
      </c>
      <c r="D526" s="87" t="s">
        <v>419</v>
      </c>
      <c r="E526" s="88" t="s">
        <v>352</v>
      </c>
      <c r="F526" s="153">
        <v>1</v>
      </c>
      <c r="G526" s="313"/>
      <c r="H526" s="89">
        <f>F526*G526</f>
        <v>0</v>
      </c>
      <c r="I526" s="300" t="s">
        <v>97</v>
      </c>
      <c r="K526" s="278" t="s">
        <v>422</v>
      </c>
    </row>
    <row r="527" spans="1:11" ht="25.5">
      <c r="A527" s="64">
        <f t="shared" si="37"/>
        <v>247</v>
      </c>
      <c r="B527" s="193" t="s">
        <v>549</v>
      </c>
      <c r="C527" s="86" t="s">
        <v>1</v>
      </c>
      <c r="D527" s="87" t="s">
        <v>41</v>
      </c>
      <c r="E527" s="88" t="s">
        <v>352</v>
      </c>
      <c r="F527" s="153">
        <v>1</v>
      </c>
      <c r="G527" s="313"/>
      <c r="H527" s="89">
        <f t="shared" si="36"/>
        <v>0</v>
      </c>
      <c r="I527" s="300" t="s">
        <v>97</v>
      </c>
      <c r="K527" s="278" t="s">
        <v>421</v>
      </c>
    </row>
    <row r="528" spans="1:9" ht="12.75">
      <c r="A528" s="64">
        <f t="shared" si="37"/>
        <v>248</v>
      </c>
      <c r="B528" s="188" t="s">
        <v>550</v>
      </c>
      <c r="C528" s="122"/>
      <c r="D528" s="66" t="s">
        <v>49</v>
      </c>
      <c r="E528" s="67" t="s">
        <v>352</v>
      </c>
      <c r="F528" s="148">
        <v>7</v>
      </c>
      <c r="G528" s="203"/>
      <c r="H528" s="68">
        <f t="shared" si="36"/>
        <v>0</v>
      </c>
      <c r="I528" s="300" t="s">
        <v>97</v>
      </c>
    </row>
    <row r="529" spans="1:9" ht="12.75" customHeight="1" thickBot="1">
      <c r="A529" s="64">
        <f t="shared" si="37"/>
        <v>249</v>
      </c>
      <c r="B529" s="193" t="s">
        <v>475</v>
      </c>
      <c r="C529" s="65"/>
      <c r="D529" s="66" t="s">
        <v>16</v>
      </c>
      <c r="E529" s="90" t="s">
        <v>358</v>
      </c>
      <c r="F529" s="148">
        <f>+H501+H502+H504+H505+H507+H509+H510+H511+H513+H514+H517+H519+H521+H523+H524+H526+H527+H528</f>
        <v>0</v>
      </c>
      <c r="G529" s="315"/>
      <c r="H529" s="91">
        <f t="shared" si="36"/>
        <v>0</v>
      </c>
      <c r="I529" s="300" t="s">
        <v>97</v>
      </c>
    </row>
    <row r="530" spans="1:9" ht="13.5" thickBot="1">
      <c r="A530" s="64"/>
      <c r="B530" s="188"/>
      <c r="C530" s="65"/>
      <c r="D530" s="83" t="s">
        <v>351</v>
      </c>
      <c r="E530" s="84"/>
      <c r="F530" s="154"/>
      <c r="G530" s="85"/>
      <c r="H530" s="76">
        <f>SUBTOTAL(9,H500:H529)</f>
        <v>0</v>
      </c>
      <c r="I530" s="300"/>
    </row>
    <row r="531" spans="1:9" ht="13.5" thickBot="1">
      <c r="A531" s="64"/>
      <c r="B531" s="188"/>
      <c r="C531" s="65"/>
      <c r="D531" s="77"/>
      <c r="E531" s="78"/>
      <c r="F531" s="138"/>
      <c r="G531" s="22"/>
      <c r="H531" s="79"/>
      <c r="I531" s="300"/>
    </row>
    <row r="532" spans="1:9" ht="16.5">
      <c r="A532" s="64"/>
      <c r="B532" s="188"/>
      <c r="C532" s="80" t="s">
        <v>257</v>
      </c>
      <c r="D532" s="116" t="s">
        <v>27</v>
      </c>
      <c r="E532" s="116"/>
      <c r="F532" s="158"/>
      <c r="G532" s="116"/>
      <c r="H532" s="116"/>
      <c r="I532" s="300"/>
    </row>
    <row r="533" spans="1:9" ht="82.5" customHeight="1">
      <c r="A533" s="64"/>
      <c r="B533" s="188"/>
      <c r="C533" s="62"/>
      <c r="D533" s="326" t="s">
        <v>48</v>
      </c>
      <c r="E533" s="326"/>
      <c r="F533" s="326"/>
      <c r="G533" s="110"/>
      <c r="H533" s="110"/>
      <c r="I533" s="300"/>
    </row>
    <row r="534" spans="1:12" ht="53.25" customHeight="1">
      <c r="A534" s="71">
        <f>A529+1</f>
        <v>250</v>
      </c>
      <c r="B534" s="193" t="s">
        <v>973</v>
      </c>
      <c r="C534" s="65" t="s">
        <v>1040</v>
      </c>
      <c r="D534" s="66" t="s">
        <v>1037</v>
      </c>
      <c r="E534" s="67" t="s">
        <v>352</v>
      </c>
      <c r="F534" s="148">
        <v>1</v>
      </c>
      <c r="G534" s="203"/>
      <c r="H534" s="73">
        <f>F534*G534</f>
        <v>0</v>
      </c>
      <c r="I534" s="300" t="s">
        <v>100</v>
      </c>
      <c r="K534" s="293"/>
      <c r="L534" s="278"/>
    </row>
    <row r="535" spans="1:12" ht="16.5">
      <c r="A535" s="64">
        <f>A534+1</f>
        <v>251</v>
      </c>
      <c r="B535" s="193"/>
      <c r="C535" s="65"/>
      <c r="D535" s="66" t="s">
        <v>1039</v>
      </c>
      <c r="E535" s="67" t="s">
        <v>352</v>
      </c>
      <c r="F535" s="148">
        <v>1</v>
      </c>
      <c r="G535" s="203"/>
      <c r="H535" s="73">
        <f>F535*G535</f>
        <v>0</v>
      </c>
      <c r="I535" s="300" t="s">
        <v>100</v>
      </c>
      <c r="K535" s="293"/>
      <c r="L535" s="278"/>
    </row>
    <row r="536" spans="1:12" ht="16.5">
      <c r="A536" s="64">
        <f>A535+1</f>
        <v>252</v>
      </c>
      <c r="B536" s="193"/>
      <c r="C536" s="65"/>
      <c r="D536" s="66" t="s">
        <v>1038</v>
      </c>
      <c r="E536" s="67" t="s">
        <v>352</v>
      </c>
      <c r="F536" s="148">
        <v>1</v>
      </c>
      <c r="G536" s="203"/>
      <c r="H536" s="73">
        <f>F536*G536</f>
        <v>0</v>
      </c>
      <c r="I536" s="300" t="s">
        <v>100</v>
      </c>
      <c r="K536" s="293"/>
      <c r="L536" s="278"/>
    </row>
    <row r="537" spans="1:11" s="47" customFormat="1" ht="12.75">
      <c r="A537" s="64">
        <f>A536+1</f>
        <v>253</v>
      </c>
      <c r="B537" s="186" t="s">
        <v>979</v>
      </c>
      <c r="C537" s="221" t="s">
        <v>1009</v>
      </c>
      <c r="D537" s="69" t="s">
        <v>954</v>
      </c>
      <c r="E537" s="72" t="s">
        <v>352</v>
      </c>
      <c r="F537" s="152">
        <v>2</v>
      </c>
      <c r="G537" s="203"/>
      <c r="H537" s="73">
        <f aca="true" t="shared" si="38" ref="H537:H553">F537*G537</f>
        <v>0</v>
      </c>
      <c r="I537" s="297" t="s">
        <v>100</v>
      </c>
      <c r="J537" s="101"/>
      <c r="K537" s="293"/>
    </row>
    <row r="538" spans="1:12" s="47" customFormat="1" ht="16.5">
      <c r="A538" s="64">
        <f aca="true" t="shared" si="39" ref="A538:A544">A537+1</f>
        <v>254</v>
      </c>
      <c r="B538" s="186" t="s">
        <v>1019</v>
      </c>
      <c r="C538" s="221" t="s">
        <v>982</v>
      </c>
      <c r="D538" s="69" t="s">
        <v>1041</v>
      </c>
      <c r="E538" s="72" t="s">
        <v>352</v>
      </c>
      <c r="F538" s="152">
        <v>1</v>
      </c>
      <c r="G538" s="203"/>
      <c r="H538" s="73">
        <f t="shared" si="38"/>
        <v>0</v>
      </c>
      <c r="I538" s="297" t="s">
        <v>100</v>
      </c>
      <c r="J538" s="101"/>
      <c r="K538" s="293"/>
      <c r="L538" s="278"/>
    </row>
    <row r="539" spans="1:11" s="47" customFormat="1" ht="12.75">
      <c r="A539" s="64">
        <f t="shared" si="39"/>
        <v>255</v>
      </c>
      <c r="B539" s="186" t="s">
        <v>1021</v>
      </c>
      <c r="C539" s="221" t="s">
        <v>981</v>
      </c>
      <c r="D539" s="69" t="s">
        <v>1042</v>
      </c>
      <c r="E539" s="72" t="s">
        <v>352</v>
      </c>
      <c r="F539" s="152">
        <v>2</v>
      </c>
      <c r="G539" s="203"/>
      <c r="H539" s="73">
        <f t="shared" si="38"/>
        <v>0</v>
      </c>
      <c r="I539" s="297" t="s">
        <v>100</v>
      </c>
      <c r="J539" s="101"/>
      <c r="K539" s="293"/>
    </row>
    <row r="540" spans="1:10" s="47" customFormat="1" ht="12.75">
      <c r="A540" s="64">
        <f t="shared" si="39"/>
        <v>256</v>
      </c>
      <c r="B540" s="186" t="s">
        <v>1022</v>
      </c>
      <c r="C540" s="221" t="s">
        <v>983</v>
      </c>
      <c r="D540" s="69" t="s">
        <v>955</v>
      </c>
      <c r="E540" s="72" t="s">
        <v>352</v>
      </c>
      <c r="F540" s="152">
        <v>2</v>
      </c>
      <c r="G540" s="203"/>
      <c r="H540" s="73">
        <f>F540*G540</f>
        <v>0</v>
      </c>
      <c r="I540" s="297" t="s">
        <v>100</v>
      </c>
      <c r="J540" s="101"/>
    </row>
    <row r="541" spans="1:10" s="47" customFormat="1" ht="12.75">
      <c r="A541" s="64">
        <f t="shared" si="39"/>
        <v>257</v>
      </c>
      <c r="B541" s="186" t="s">
        <v>1020</v>
      </c>
      <c r="C541" s="221" t="s">
        <v>984</v>
      </c>
      <c r="D541" s="69" t="s">
        <v>956</v>
      </c>
      <c r="E541" s="72" t="s">
        <v>352</v>
      </c>
      <c r="F541" s="152">
        <v>1</v>
      </c>
      <c r="G541" s="203"/>
      <c r="H541" s="73">
        <f t="shared" si="38"/>
        <v>0</v>
      </c>
      <c r="I541" s="297" t="s">
        <v>100</v>
      </c>
      <c r="J541" s="101"/>
    </row>
    <row r="542" spans="1:10" s="47" customFormat="1" ht="12.75">
      <c r="A542" s="64">
        <f t="shared" si="39"/>
        <v>258</v>
      </c>
      <c r="B542" s="186" t="s">
        <v>1023</v>
      </c>
      <c r="C542" s="221" t="s">
        <v>985</v>
      </c>
      <c r="D542" s="69" t="s">
        <v>957</v>
      </c>
      <c r="E542" s="72" t="s">
        <v>352</v>
      </c>
      <c r="F542" s="152">
        <v>1</v>
      </c>
      <c r="G542" s="203"/>
      <c r="H542" s="73">
        <f>F542*G542</f>
        <v>0</v>
      </c>
      <c r="I542" s="297" t="s">
        <v>100</v>
      </c>
      <c r="J542" s="101"/>
    </row>
    <row r="543" spans="1:10" s="47" customFormat="1" ht="12.75">
      <c r="A543" s="64">
        <f t="shared" si="39"/>
        <v>259</v>
      </c>
      <c r="B543" s="186" t="s">
        <v>1024</v>
      </c>
      <c r="C543" s="221" t="s">
        <v>986</v>
      </c>
      <c r="D543" s="69" t="s">
        <v>1043</v>
      </c>
      <c r="E543" s="72" t="s">
        <v>352</v>
      </c>
      <c r="F543" s="152">
        <v>1</v>
      </c>
      <c r="G543" s="203"/>
      <c r="H543" s="73">
        <f>F543*G543</f>
        <v>0</v>
      </c>
      <c r="I543" s="297" t="s">
        <v>100</v>
      </c>
      <c r="J543" s="101"/>
    </row>
    <row r="544" spans="1:10" s="47" customFormat="1" ht="12.75">
      <c r="A544" s="64">
        <f t="shared" si="39"/>
        <v>260</v>
      </c>
      <c r="B544" s="186" t="s">
        <v>1025</v>
      </c>
      <c r="C544" s="221" t="s">
        <v>987</v>
      </c>
      <c r="D544" s="69" t="s">
        <v>1044</v>
      </c>
      <c r="E544" s="72" t="s">
        <v>352</v>
      </c>
      <c r="F544" s="152">
        <v>1</v>
      </c>
      <c r="G544" s="203"/>
      <c r="H544" s="73">
        <f t="shared" si="38"/>
        <v>0</v>
      </c>
      <c r="I544" s="297" t="s">
        <v>100</v>
      </c>
      <c r="J544" s="101"/>
    </row>
    <row r="545" spans="1:10" s="47" customFormat="1" ht="25.5">
      <c r="A545" s="64">
        <f>A544+1</f>
        <v>261</v>
      </c>
      <c r="B545" s="186" t="s">
        <v>1010</v>
      </c>
      <c r="C545" s="220" t="s">
        <v>964</v>
      </c>
      <c r="D545" s="69" t="s">
        <v>958</v>
      </c>
      <c r="E545" s="72" t="s">
        <v>353</v>
      </c>
      <c r="F545" s="152">
        <v>3</v>
      </c>
      <c r="G545" s="203"/>
      <c r="H545" s="73">
        <f t="shared" si="38"/>
        <v>0</v>
      </c>
      <c r="I545" s="297" t="s">
        <v>100</v>
      </c>
      <c r="J545" s="101"/>
    </row>
    <row r="546" spans="1:10" s="47" customFormat="1" ht="25.5">
      <c r="A546" s="64">
        <f aca="true" t="shared" si="40" ref="A546:A564">A545+1</f>
        <v>262</v>
      </c>
      <c r="B546" s="186" t="s">
        <v>1011</v>
      </c>
      <c r="C546" s="220" t="s">
        <v>965</v>
      </c>
      <c r="D546" s="69" t="s">
        <v>959</v>
      </c>
      <c r="E546" s="72" t="s">
        <v>353</v>
      </c>
      <c r="F546" s="152">
        <v>13</v>
      </c>
      <c r="G546" s="203"/>
      <c r="H546" s="73">
        <f t="shared" si="38"/>
        <v>0</v>
      </c>
      <c r="I546" s="297" t="s">
        <v>100</v>
      </c>
      <c r="J546" s="101"/>
    </row>
    <row r="547" spans="1:10" s="47" customFormat="1" ht="25.5">
      <c r="A547" s="64">
        <f t="shared" si="40"/>
        <v>263</v>
      </c>
      <c r="B547" s="186" t="s">
        <v>1012</v>
      </c>
      <c r="C547" s="220" t="s">
        <v>966</v>
      </c>
      <c r="D547" s="69" t="s">
        <v>960</v>
      </c>
      <c r="E547" s="72" t="s">
        <v>353</v>
      </c>
      <c r="F547" s="152">
        <v>18</v>
      </c>
      <c r="G547" s="203"/>
      <c r="H547" s="73">
        <f t="shared" si="38"/>
        <v>0</v>
      </c>
      <c r="I547" s="297" t="s">
        <v>100</v>
      </c>
      <c r="J547" s="101"/>
    </row>
    <row r="548" spans="1:10" s="47" customFormat="1" ht="25.5">
      <c r="A548" s="64">
        <f t="shared" si="40"/>
        <v>264</v>
      </c>
      <c r="B548" s="186" t="s">
        <v>1013</v>
      </c>
      <c r="C548" s="220" t="s">
        <v>967</v>
      </c>
      <c r="D548" s="69" t="s">
        <v>961</v>
      </c>
      <c r="E548" s="72" t="s">
        <v>353</v>
      </c>
      <c r="F548" s="152">
        <v>10</v>
      </c>
      <c r="G548" s="203"/>
      <c r="H548" s="73">
        <f t="shared" si="38"/>
        <v>0</v>
      </c>
      <c r="I548" s="297" t="s">
        <v>100</v>
      </c>
      <c r="J548" s="101"/>
    </row>
    <row r="549" spans="1:10" s="47" customFormat="1" ht="25.5">
      <c r="A549" s="64">
        <f t="shared" si="40"/>
        <v>265</v>
      </c>
      <c r="B549" s="186" t="s">
        <v>1014</v>
      </c>
      <c r="C549" s="220" t="s">
        <v>968</v>
      </c>
      <c r="D549" s="69" t="s">
        <v>962</v>
      </c>
      <c r="E549" s="72" t="s">
        <v>353</v>
      </c>
      <c r="F549" s="152">
        <v>1</v>
      </c>
      <c r="G549" s="203"/>
      <c r="H549" s="73">
        <f t="shared" si="38"/>
        <v>0</v>
      </c>
      <c r="I549" s="297" t="s">
        <v>100</v>
      </c>
      <c r="J549" s="101"/>
    </row>
    <row r="550" spans="1:10" s="47" customFormat="1" ht="38.25">
      <c r="A550" s="64">
        <f t="shared" si="40"/>
        <v>266</v>
      </c>
      <c r="B550" s="186" t="s">
        <v>998</v>
      </c>
      <c r="C550" s="65" t="s">
        <v>969</v>
      </c>
      <c r="D550" s="69" t="s">
        <v>994</v>
      </c>
      <c r="E550" s="72" t="s">
        <v>353</v>
      </c>
      <c r="F550" s="152">
        <v>1</v>
      </c>
      <c r="G550" s="203"/>
      <c r="H550" s="73">
        <f t="shared" si="38"/>
        <v>0</v>
      </c>
      <c r="I550" s="297" t="s">
        <v>100</v>
      </c>
      <c r="J550" s="101"/>
    </row>
    <row r="551" spans="1:10" s="47" customFormat="1" ht="38.25">
      <c r="A551" s="64">
        <f t="shared" si="40"/>
        <v>267</v>
      </c>
      <c r="B551" s="186" t="s">
        <v>999</v>
      </c>
      <c r="C551" s="65" t="s">
        <v>970</v>
      </c>
      <c r="D551" s="69" t="s">
        <v>995</v>
      </c>
      <c r="E551" s="72" t="s">
        <v>353</v>
      </c>
      <c r="F551" s="152">
        <v>2</v>
      </c>
      <c r="G551" s="203"/>
      <c r="H551" s="73">
        <f t="shared" si="38"/>
        <v>0</v>
      </c>
      <c r="I551" s="297" t="s">
        <v>100</v>
      </c>
      <c r="J551" s="101"/>
    </row>
    <row r="552" spans="1:10" s="47" customFormat="1" ht="38.25">
      <c r="A552" s="64">
        <f t="shared" si="40"/>
        <v>268</v>
      </c>
      <c r="B552" s="186" t="s">
        <v>996</v>
      </c>
      <c r="C552" s="65" t="s">
        <v>971</v>
      </c>
      <c r="D552" s="69" t="s">
        <v>1026</v>
      </c>
      <c r="E552" s="72" t="s">
        <v>353</v>
      </c>
      <c r="F552" s="152">
        <v>1</v>
      </c>
      <c r="G552" s="203"/>
      <c r="H552" s="73">
        <f t="shared" si="38"/>
        <v>0</v>
      </c>
      <c r="I552" s="297" t="s">
        <v>100</v>
      </c>
      <c r="J552" s="101"/>
    </row>
    <row r="553" spans="1:10" s="47" customFormat="1" ht="38.25">
      <c r="A553" s="64">
        <f t="shared" si="40"/>
        <v>269</v>
      </c>
      <c r="B553" s="186" t="s">
        <v>997</v>
      </c>
      <c r="C553" s="65" t="s">
        <v>972</v>
      </c>
      <c r="D553" s="69" t="s">
        <v>1027</v>
      </c>
      <c r="E553" s="72" t="s">
        <v>353</v>
      </c>
      <c r="F553" s="219">
        <v>8</v>
      </c>
      <c r="G553" s="203"/>
      <c r="H553" s="73">
        <f t="shared" si="38"/>
        <v>0</v>
      </c>
      <c r="I553" s="297" t="s">
        <v>100</v>
      </c>
      <c r="J553" s="101"/>
    </row>
    <row r="554" spans="1:10" s="47" customFormat="1" ht="12.75">
      <c r="A554" s="64">
        <f t="shared" si="40"/>
        <v>270</v>
      </c>
      <c r="B554" s="186"/>
      <c r="C554" s="218"/>
      <c r="D554" s="69" t="s">
        <v>963</v>
      </c>
      <c r="E554" s="72" t="s">
        <v>350</v>
      </c>
      <c r="F554" s="219">
        <v>1</v>
      </c>
      <c r="G554" s="203"/>
      <c r="H554" s="73">
        <f aca="true" t="shared" si="41" ref="H554:H564">F554*G554</f>
        <v>0</v>
      </c>
      <c r="I554" s="297" t="s">
        <v>100</v>
      </c>
      <c r="J554" s="101"/>
    </row>
    <row r="555" spans="1:10" s="47" customFormat="1" ht="12.75">
      <c r="A555" s="64">
        <f t="shared" si="40"/>
        <v>271</v>
      </c>
      <c r="B555" s="186" t="s">
        <v>992</v>
      </c>
      <c r="C555" s="95"/>
      <c r="D555" s="69" t="s">
        <v>993</v>
      </c>
      <c r="E555" s="72" t="s">
        <v>352</v>
      </c>
      <c r="F555" s="152">
        <f>+F537</f>
        <v>2</v>
      </c>
      <c r="G555" s="203"/>
      <c r="H555" s="73">
        <f t="shared" si="41"/>
        <v>0</v>
      </c>
      <c r="I555" s="297" t="s">
        <v>100</v>
      </c>
      <c r="J555" s="101"/>
    </row>
    <row r="556" spans="1:10" s="47" customFormat="1" ht="12.75">
      <c r="A556" s="64">
        <f t="shared" si="40"/>
        <v>272</v>
      </c>
      <c r="B556" s="186" t="s">
        <v>988</v>
      </c>
      <c r="C556" s="95"/>
      <c r="D556" s="69" t="s">
        <v>989</v>
      </c>
      <c r="E556" s="72" t="s">
        <v>352</v>
      </c>
      <c r="F556" s="152">
        <f>+F544+F543+F540+F539</f>
        <v>6</v>
      </c>
      <c r="G556" s="203"/>
      <c r="H556" s="73">
        <f t="shared" si="41"/>
        <v>0</v>
      </c>
      <c r="I556" s="297" t="s">
        <v>100</v>
      </c>
      <c r="J556" s="101"/>
    </row>
    <row r="557" spans="1:10" s="47" customFormat="1" ht="12.75">
      <c r="A557" s="64">
        <f t="shared" si="40"/>
        <v>273</v>
      </c>
      <c r="B557" s="186" t="s">
        <v>990</v>
      </c>
      <c r="C557" s="95"/>
      <c r="D557" s="69" t="s">
        <v>991</v>
      </c>
      <c r="E557" s="72" t="s">
        <v>352</v>
      </c>
      <c r="F557" s="152">
        <f>+F542+F541+F538</f>
        <v>3</v>
      </c>
      <c r="G557" s="203"/>
      <c r="H557" s="73">
        <f t="shared" si="41"/>
        <v>0</v>
      </c>
      <c r="I557" s="297" t="s">
        <v>100</v>
      </c>
      <c r="J557" s="101"/>
    </row>
    <row r="558" spans="1:10" s="47" customFormat="1" ht="12.75">
      <c r="A558" s="64">
        <f t="shared" si="40"/>
        <v>274</v>
      </c>
      <c r="B558" s="186" t="s">
        <v>1015</v>
      </c>
      <c r="C558" s="95"/>
      <c r="D558" s="69" t="s">
        <v>1016</v>
      </c>
      <c r="E558" s="72" t="s">
        <v>353</v>
      </c>
      <c r="F558" s="152">
        <f>+F545+F546+F547+F548+F549</f>
        <v>45</v>
      </c>
      <c r="G558" s="203"/>
      <c r="H558" s="73">
        <f t="shared" si="41"/>
        <v>0</v>
      </c>
      <c r="I558" s="297" t="s">
        <v>100</v>
      </c>
      <c r="J558" s="101"/>
    </row>
    <row r="559" spans="1:10" s="47" customFormat="1" ht="12.75">
      <c r="A559" s="64">
        <f t="shared" si="40"/>
        <v>275</v>
      </c>
      <c r="B559" s="186" t="s">
        <v>1017</v>
      </c>
      <c r="C559" s="95"/>
      <c r="D559" s="69" t="s">
        <v>1018</v>
      </c>
      <c r="E559" s="72" t="s">
        <v>353</v>
      </c>
      <c r="F559" s="152">
        <f>+F550+F551+F552+F553</f>
        <v>12</v>
      </c>
      <c r="G559" s="203"/>
      <c r="H559" s="73">
        <f t="shared" si="41"/>
        <v>0</v>
      </c>
      <c r="I559" s="297" t="s">
        <v>100</v>
      </c>
      <c r="J559" s="101"/>
    </row>
    <row r="560" spans="1:10" s="47" customFormat="1" ht="12.75">
      <c r="A560" s="64">
        <f t="shared" si="40"/>
        <v>276</v>
      </c>
      <c r="B560" s="186"/>
      <c r="C560" s="218"/>
      <c r="D560" s="69" t="s">
        <v>1046</v>
      </c>
      <c r="E560" s="72" t="s">
        <v>358</v>
      </c>
      <c r="F560" s="152">
        <f>SUM(H534:H536,H550:H554)</f>
        <v>0</v>
      </c>
      <c r="G560" s="318"/>
      <c r="H560" s="73">
        <f t="shared" si="41"/>
        <v>0</v>
      </c>
      <c r="I560" s="297" t="s">
        <v>100</v>
      </c>
      <c r="J560" s="101"/>
    </row>
    <row r="561" spans="1:10" s="47" customFormat="1" ht="12.75">
      <c r="A561" s="64">
        <f t="shared" si="40"/>
        <v>277</v>
      </c>
      <c r="B561" s="186"/>
      <c r="C561" s="218"/>
      <c r="D561" s="69" t="s">
        <v>1045</v>
      </c>
      <c r="E561" s="72" t="s">
        <v>358</v>
      </c>
      <c r="F561" s="152">
        <f>SUM(H534:H554)</f>
        <v>0</v>
      </c>
      <c r="G561" s="318"/>
      <c r="H561" s="73">
        <f t="shared" si="41"/>
        <v>0</v>
      </c>
      <c r="I561" s="297" t="s">
        <v>100</v>
      </c>
      <c r="J561" s="101"/>
    </row>
    <row r="562" spans="1:10" s="47" customFormat="1" ht="12.75">
      <c r="A562" s="64">
        <f t="shared" si="40"/>
        <v>278</v>
      </c>
      <c r="B562" s="186"/>
      <c r="C562" s="218"/>
      <c r="D562" s="69" t="s">
        <v>1047</v>
      </c>
      <c r="E562" s="72" t="s">
        <v>358</v>
      </c>
      <c r="F562" s="152">
        <f>F561</f>
        <v>0</v>
      </c>
      <c r="G562" s="320"/>
      <c r="H562" s="73">
        <f t="shared" si="41"/>
        <v>0</v>
      </c>
      <c r="I562" s="297" t="s">
        <v>100</v>
      </c>
      <c r="J562" s="101"/>
    </row>
    <row r="563" spans="1:10" s="47" customFormat="1" ht="12.75">
      <c r="A563" s="64">
        <f t="shared" si="40"/>
        <v>279</v>
      </c>
      <c r="B563" s="186"/>
      <c r="C563" s="218"/>
      <c r="D563" s="69" t="s">
        <v>1048</v>
      </c>
      <c r="E563" s="72" t="s">
        <v>358</v>
      </c>
      <c r="F563" s="152">
        <f>F561</f>
        <v>0</v>
      </c>
      <c r="G563" s="321"/>
      <c r="H563" s="73">
        <f t="shared" si="41"/>
        <v>0</v>
      </c>
      <c r="I563" s="297" t="s">
        <v>100</v>
      </c>
      <c r="J563" s="101"/>
    </row>
    <row r="564" spans="1:10" s="47" customFormat="1" ht="13.5" thickBot="1">
      <c r="A564" s="64">
        <f t="shared" si="40"/>
        <v>280</v>
      </c>
      <c r="B564" s="186"/>
      <c r="C564" s="218"/>
      <c r="D564" s="69" t="s">
        <v>1049</v>
      </c>
      <c r="E564" s="72" t="s">
        <v>358</v>
      </c>
      <c r="F564" s="152">
        <f>SUM(H555:H560)</f>
        <v>0</v>
      </c>
      <c r="G564" s="321"/>
      <c r="H564" s="73">
        <f t="shared" si="41"/>
        <v>0</v>
      </c>
      <c r="I564" s="297" t="s">
        <v>100</v>
      </c>
      <c r="J564" s="101"/>
    </row>
    <row r="565" spans="1:8" ht="13.5" thickBot="1">
      <c r="A565" s="64"/>
      <c r="B565" s="188"/>
      <c r="C565" s="65"/>
      <c r="D565" s="83" t="s">
        <v>351</v>
      </c>
      <c r="E565" s="84"/>
      <c r="F565" s="154"/>
      <c r="G565" s="85"/>
      <c r="H565" s="76">
        <f>SUM(H534:H564)</f>
        <v>0</v>
      </c>
    </row>
    <row r="566" spans="1:8" ht="12.75">
      <c r="A566" s="64"/>
      <c r="B566" s="188"/>
      <c r="C566" s="65"/>
      <c r="D566" s="77"/>
      <c r="E566" s="78"/>
      <c r="F566" s="138"/>
      <c r="G566" s="22"/>
      <c r="H566" s="79"/>
    </row>
    <row r="567" spans="1:10" s="47" customFormat="1" ht="16.5">
      <c r="A567" s="71"/>
      <c r="B567" s="187"/>
      <c r="C567" s="106" t="s">
        <v>258</v>
      </c>
      <c r="D567" s="117" t="s">
        <v>138</v>
      </c>
      <c r="E567" s="118"/>
      <c r="F567" s="151"/>
      <c r="G567" s="118"/>
      <c r="H567" s="118"/>
      <c r="I567" s="297"/>
      <c r="J567" s="101"/>
    </row>
    <row r="568" spans="1:10" s="47" customFormat="1" ht="52.5" customHeight="1">
      <c r="A568" s="71"/>
      <c r="B568" s="187"/>
      <c r="C568" s="98"/>
      <c r="D568" s="326" t="s">
        <v>330</v>
      </c>
      <c r="E568" s="326"/>
      <c r="F568" s="326"/>
      <c r="G568" s="109"/>
      <c r="H568" s="109"/>
      <c r="I568" s="297"/>
      <c r="J568" s="101"/>
    </row>
    <row r="569" spans="1:10" s="47" customFormat="1" ht="12.75">
      <c r="A569" s="71">
        <f>A564+1</f>
        <v>281</v>
      </c>
      <c r="B569" s="186" t="s">
        <v>448</v>
      </c>
      <c r="C569" s="292"/>
      <c r="D569" s="69" t="s">
        <v>1117</v>
      </c>
      <c r="E569" s="72" t="s">
        <v>353</v>
      </c>
      <c r="F569" s="152">
        <f>F592*1.1</f>
        <v>72.60000000000001</v>
      </c>
      <c r="G569" s="203"/>
      <c r="H569" s="73">
        <f>F569*G569</f>
        <v>0</v>
      </c>
      <c r="I569" s="311" t="s">
        <v>97</v>
      </c>
      <c r="J569" s="101"/>
    </row>
    <row r="570" spans="1:11" s="47" customFormat="1" ht="16.5">
      <c r="A570" s="71">
        <f>A569+1</f>
        <v>282</v>
      </c>
      <c r="B570" s="186" t="s">
        <v>449</v>
      </c>
      <c r="C570" s="292"/>
      <c r="D570" s="69" t="s">
        <v>1116</v>
      </c>
      <c r="E570" s="72" t="s">
        <v>353</v>
      </c>
      <c r="F570" s="152">
        <f>F593*1.1</f>
        <v>14.3</v>
      </c>
      <c r="G570" s="203"/>
      <c r="H570" s="73">
        <f aca="true" t="shared" si="42" ref="H570:H596">F570*G570</f>
        <v>0</v>
      </c>
      <c r="I570" s="311" t="s">
        <v>97</v>
      </c>
      <c r="J570" s="101"/>
      <c r="K570" s="278" t="s">
        <v>447</v>
      </c>
    </row>
    <row r="571" spans="1:11" s="47" customFormat="1" ht="12.75">
      <c r="A571" s="71">
        <f aca="true" t="shared" si="43" ref="A571:A600">A570+1</f>
        <v>283</v>
      </c>
      <c r="B571" s="187" t="s">
        <v>450</v>
      </c>
      <c r="C571" s="292"/>
      <c r="D571" s="69" t="s">
        <v>1118</v>
      </c>
      <c r="E571" s="72" t="s">
        <v>353</v>
      </c>
      <c r="F571" s="152">
        <f>F594*1.1</f>
        <v>25.3</v>
      </c>
      <c r="G571" s="203"/>
      <c r="H571" s="73">
        <f t="shared" si="42"/>
        <v>0</v>
      </c>
      <c r="I571" s="311" t="s">
        <v>97</v>
      </c>
      <c r="J571" s="101"/>
      <c r="K571" s="242"/>
    </row>
    <row r="572" spans="1:10" s="47" customFormat="1" ht="12.75">
      <c r="A572" s="71">
        <f t="shared" si="43"/>
        <v>284</v>
      </c>
      <c r="B572" s="187" t="s">
        <v>452</v>
      </c>
      <c r="C572" s="133"/>
      <c r="D572" s="69" t="s">
        <v>424</v>
      </c>
      <c r="E572" s="72" t="s">
        <v>353</v>
      </c>
      <c r="F572" s="152">
        <f>+F569+F570+F571</f>
        <v>112.2</v>
      </c>
      <c r="G572" s="203"/>
      <c r="H572" s="73">
        <f t="shared" si="42"/>
        <v>0</v>
      </c>
      <c r="I572" s="311" t="s">
        <v>97</v>
      </c>
      <c r="J572" s="101"/>
    </row>
    <row r="573" spans="1:10" s="47" customFormat="1" ht="12.75">
      <c r="A573" s="71">
        <f t="shared" si="43"/>
        <v>285</v>
      </c>
      <c r="B573" s="199" t="s">
        <v>807</v>
      </c>
      <c r="C573" s="95"/>
      <c r="D573" s="69" t="s">
        <v>808</v>
      </c>
      <c r="E573" s="72" t="s">
        <v>352</v>
      </c>
      <c r="F573" s="152">
        <f>+F578</f>
        <v>6</v>
      </c>
      <c r="G573" s="203"/>
      <c r="H573" s="73">
        <f t="shared" si="42"/>
        <v>0</v>
      </c>
      <c r="I573" s="311" t="s">
        <v>97</v>
      </c>
      <c r="J573" s="101"/>
    </row>
    <row r="574" spans="1:10" s="47" customFormat="1" ht="12.75">
      <c r="A574" s="71">
        <f t="shared" si="43"/>
        <v>286</v>
      </c>
      <c r="B574" s="199" t="s">
        <v>809</v>
      </c>
      <c r="C574" s="95"/>
      <c r="D574" s="69" t="s">
        <v>810</v>
      </c>
      <c r="E574" s="72" t="s">
        <v>352</v>
      </c>
      <c r="F574" s="152">
        <f>+F581</f>
        <v>9</v>
      </c>
      <c r="G574" s="203"/>
      <c r="H574" s="73">
        <f t="shared" si="42"/>
        <v>0</v>
      </c>
      <c r="I574" s="311" t="s">
        <v>97</v>
      </c>
      <c r="J574" s="101"/>
    </row>
    <row r="575" spans="1:10" s="47" customFormat="1" ht="12.75">
      <c r="A575" s="71">
        <f>A574+1</f>
        <v>287</v>
      </c>
      <c r="B575" s="199" t="s">
        <v>811</v>
      </c>
      <c r="C575" s="95"/>
      <c r="D575" s="69" t="s">
        <v>812</v>
      </c>
      <c r="E575" s="72" t="s">
        <v>352</v>
      </c>
      <c r="F575" s="152">
        <f>+F582+F583+F577+F576</f>
        <v>4</v>
      </c>
      <c r="G575" s="203"/>
      <c r="H575" s="73">
        <f t="shared" si="42"/>
        <v>0</v>
      </c>
      <c r="I575" s="311" t="s">
        <v>97</v>
      </c>
      <c r="J575" s="101"/>
    </row>
    <row r="576" spans="1:10" s="47" customFormat="1" ht="12.75">
      <c r="A576" s="71">
        <f t="shared" si="43"/>
        <v>288</v>
      </c>
      <c r="B576" s="186" t="s">
        <v>798</v>
      </c>
      <c r="C576" s="95"/>
      <c r="D576" s="69" t="s">
        <v>799</v>
      </c>
      <c r="E576" s="69" t="s">
        <v>352</v>
      </c>
      <c r="F576" s="152">
        <v>1</v>
      </c>
      <c r="G576" s="203"/>
      <c r="H576" s="73">
        <f t="shared" si="42"/>
        <v>0</v>
      </c>
      <c r="I576" s="311" t="s">
        <v>97</v>
      </c>
      <c r="J576" s="101"/>
    </row>
    <row r="577" spans="1:11" s="47" customFormat="1" ht="16.5">
      <c r="A577" s="71">
        <f t="shared" si="43"/>
        <v>289</v>
      </c>
      <c r="B577" s="186" t="s">
        <v>800</v>
      </c>
      <c r="C577" s="95"/>
      <c r="D577" s="69" t="s">
        <v>801</v>
      </c>
      <c r="E577" s="69" t="s">
        <v>352</v>
      </c>
      <c r="F577" s="152">
        <v>1</v>
      </c>
      <c r="G577" s="203"/>
      <c r="H577" s="73">
        <f t="shared" si="42"/>
        <v>0</v>
      </c>
      <c r="I577" s="311" t="s">
        <v>97</v>
      </c>
      <c r="J577" s="101"/>
      <c r="K577" s="278" t="s">
        <v>465</v>
      </c>
    </row>
    <row r="578" spans="1:11" s="47" customFormat="1" ht="16.5">
      <c r="A578" s="71">
        <f t="shared" si="43"/>
        <v>290</v>
      </c>
      <c r="B578" s="294" t="s">
        <v>802</v>
      </c>
      <c r="C578" s="295"/>
      <c r="D578" s="69" t="s">
        <v>425</v>
      </c>
      <c r="E578" s="69" t="s">
        <v>352</v>
      </c>
      <c r="F578" s="152">
        <v>6</v>
      </c>
      <c r="G578" s="203"/>
      <c r="H578" s="73">
        <f t="shared" si="42"/>
        <v>0</v>
      </c>
      <c r="I578" s="311" t="s">
        <v>97</v>
      </c>
      <c r="J578" s="101"/>
      <c r="K578" s="278"/>
    </row>
    <row r="579" spans="1:10" s="47" customFormat="1" ht="12.75">
      <c r="A579" s="71">
        <f t="shared" si="43"/>
        <v>291</v>
      </c>
      <c r="B579" s="276" t="s">
        <v>803</v>
      </c>
      <c r="C579" s="95"/>
      <c r="D579" s="69" t="s">
        <v>759</v>
      </c>
      <c r="E579" s="69" t="s">
        <v>352</v>
      </c>
      <c r="F579" s="152">
        <v>2</v>
      </c>
      <c r="G579" s="203"/>
      <c r="H579" s="73">
        <f t="shared" si="42"/>
        <v>0</v>
      </c>
      <c r="I579" s="311" t="s">
        <v>97</v>
      </c>
      <c r="J579" s="101"/>
    </row>
    <row r="580" spans="1:10" s="47" customFormat="1" ht="12.75">
      <c r="A580" s="71">
        <f t="shared" si="43"/>
        <v>292</v>
      </c>
      <c r="B580" s="186">
        <v>5513730630</v>
      </c>
      <c r="C580" s="95" t="s">
        <v>304</v>
      </c>
      <c r="D580" s="69" t="s">
        <v>569</v>
      </c>
      <c r="E580" s="69" t="s">
        <v>352</v>
      </c>
      <c r="F580" s="152">
        <v>10</v>
      </c>
      <c r="G580" s="203"/>
      <c r="H580" s="73">
        <f>F580*G580</f>
        <v>0</v>
      </c>
      <c r="I580" s="311" t="s">
        <v>97</v>
      </c>
      <c r="J580" s="101"/>
    </row>
    <row r="581" spans="1:10" s="47" customFormat="1" ht="25.5">
      <c r="A581" s="71">
        <f t="shared" si="43"/>
        <v>293</v>
      </c>
      <c r="B581" s="199" t="s">
        <v>805</v>
      </c>
      <c r="C581" s="95"/>
      <c r="D581" s="69" t="s">
        <v>806</v>
      </c>
      <c r="E581" s="69" t="s">
        <v>352</v>
      </c>
      <c r="F581" s="152">
        <v>9</v>
      </c>
      <c r="G581" s="203"/>
      <c r="H581" s="73">
        <f>F581*G581</f>
        <v>0</v>
      </c>
      <c r="I581" s="311" t="s">
        <v>97</v>
      </c>
      <c r="J581" s="101"/>
    </row>
    <row r="582" spans="1:10" s="47" customFormat="1" ht="25.5">
      <c r="A582" s="71">
        <f t="shared" si="43"/>
        <v>294</v>
      </c>
      <c r="B582" s="199" t="s">
        <v>886</v>
      </c>
      <c r="C582" s="95"/>
      <c r="D582" s="69" t="s">
        <v>804</v>
      </c>
      <c r="E582" s="69" t="s">
        <v>352</v>
      </c>
      <c r="F582" s="152">
        <v>1</v>
      </c>
      <c r="G582" s="203"/>
      <c r="H582" s="73">
        <f>F582*G582</f>
        <v>0</v>
      </c>
      <c r="I582" s="311" t="s">
        <v>97</v>
      </c>
      <c r="J582" s="101"/>
    </row>
    <row r="583" spans="1:10" s="47" customFormat="1" ht="12.75">
      <c r="A583" s="71">
        <f t="shared" si="43"/>
        <v>295</v>
      </c>
      <c r="B583" s="186" t="s">
        <v>885</v>
      </c>
      <c r="C583" s="95"/>
      <c r="D583" s="69" t="s">
        <v>760</v>
      </c>
      <c r="E583" s="69" t="s">
        <v>352</v>
      </c>
      <c r="F583" s="152">
        <v>1</v>
      </c>
      <c r="G583" s="203"/>
      <c r="H583" s="73">
        <f>F583*G583</f>
        <v>0</v>
      </c>
      <c r="I583" s="311" t="s">
        <v>97</v>
      </c>
      <c r="J583" s="101"/>
    </row>
    <row r="584" spans="1:11" s="47" customFormat="1" ht="25.5">
      <c r="A584" s="71">
        <f>A582+1</f>
        <v>295</v>
      </c>
      <c r="B584" s="186" t="s">
        <v>815</v>
      </c>
      <c r="C584" s="292" t="s">
        <v>1</v>
      </c>
      <c r="D584" s="92" t="s">
        <v>427</v>
      </c>
      <c r="E584" s="93" t="s">
        <v>352</v>
      </c>
      <c r="F584" s="153">
        <v>3</v>
      </c>
      <c r="G584" s="313"/>
      <c r="H584" s="94">
        <f t="shared" si="42"/>
        <v>0</v>
      </c>
      <c r="I584" s="311" t="s">
        <v>97</v>
      </c>
      <c r="J584" s="101"/>
      <c r="K584" s="278"/>
    </row>
    <row r="585" spans="1:11" s="47" customFormat="1" ht="25.5">
      <c r="A585" s="71">
        <f>A583+1</f>
        <v>296</v>
      </c>
      <c r="B585" s="187" t="s">
        <v>816</v>
      </c>
      <c r="C585" s="292" t="s">
        <v>1</v>
      </c>
      <c r="D585" s="92" t="s">
        <v>761</v>
      </c>
      <c r="E585" s="93" t="s">
        <v>352</v>
      </c>
      <c r="F585" s="153">
        <v>1</v>
      </c>
      <c r="G585" s="313"/>
      <c r="H585" s="94">
        <f>F585*G585</f>
        <v>0</v>
      </c>
      <c r="I585" s="311" t="s">
        <v>97</v>
      </c>
      <c r="J585" s="101"/>
      <c r="K585" s="278"/>
    </row>
    <row r="586" spans="1:11" s="47" customFormat="1" ht="25.5">
      <c r="A586" s="71">
        <f>A584+1</f>
        <v>296</v>
      </c>
      <c r="B586" s="187" t="s">
        <v>817</v>
      </c>
      <c r="C586" s="292" t="s">
        <v>1</v>
      </c>
      <c r="D586" s="92" t="s">
        <v>762</v>
      </c>
      <c r="E586" s="93" t="s">
        <v>352</v>
      </c>
      <c r="F586" s="153">
        <v>3</v>
      </c>
      <c r="G586" s="313"/>
      <c r="H586" s="94">
        <f>F586*G586</f>
        <v>0</v>
      </c>
      <c r="I586" s="311" t="s">
        <v>97</v>
      </c>
      <c r="J586" s="101"/>
      <c r="K586" s="278"/>
    </row>
    <row r="587" spans="1:11" s="47" customFormat="1" ht="25.5">
      <c r="A587" s="71">
        <f t="shared" si="43"/>
        <v>297</v>
      </c>
      <c r="B587" s="187" t="s">
        <v>818</v>
      </c>
      <c r="C587" s="292" t="s">
        <v>1</v>
      </c>
      <c r="D587" s="92" t="s">
        <v>763</v>
      </c>
      <c r="E587" s="93" t="s">
        <v>352</v>
      </c>
      <c r="F587" s="153">
        <v>2</v>
      </c>
      <c r="G587" s="313"/>
      <c r="H587" s="94">
        <f>F587*G587</f>
        <v>0</v>
      </c>
      <c r="I587" s="311" t="s">
        <v>97</v>
      </c>
      <c r="J587" s="101"/>
      <c r="K587" s="278"/>
    </row>
    <row r="588" spans="1:11" s="47" customFormat="1" ht="16.5">
      <c r="A588" s="71">
        <f t="shared" si="43"/>
        <v>298</v>
      </c>
      <c r="B588" s="186" t="s">
        <v>796</v>
      </c>
      <c r="C588" s="133" t="s">
        <v>2</v>
      </c>
      <c r="D588" s="69" t="s">
        <v>797</v>
      </c>
      <c r="E588" s="69" t="s">
        <v>352</v>
      </c>
      <c r="F588" s="152">
        <f>+F585+F584+F586</f>
        <v>7</v>
      </c>
      <c r="G588" s="203"/>
      <c r="H588" s="73">
        <f>F588*G588</f>
        <v>0</v>
      </c>
      <c r="I588" s="311" t="s">
        <v>97</v>
      </c>
      <c r="J588" s="101"/>
      <c r="K588" s="278"/>
    </row>
    <row r="589" spans="1:11" s="47" customFormat="1" ht="16.5">
      <c r="A589" s="71">
        <f t="shared" si="43"/>
        <v>299</v>
      </c>
      <c r="B589" s="186" t="s">
        <v>819</v>
      </c>
      <c r="C589" s="133" t="s">
        <v>2</v>
      </c>
      <c r="D589" s="69" t="s">
        <v>820</v>
      </c>
      <c r="E589" s="69" t="s">
        <v>352</v>
      </c>
      <c r="F589" s="152">
        <f>+F587</f>
        <v>2</v>
      </c>
      <c r="G589" s="203"/>
      <c r="H589" s="73">
        <f>F589*G589</f>
        <v>0</v>
      </c>
      <c r="I589" s="311" t="s">
        <v>97</v>
      </c>
      <c r="J589" s="101"/>
      <c r="K589" s="278"/>
    </row>
    <row r="590" spans="1:11" s="47" customFormat="1" ht="16.5">
      <c r="A590" s="71">
        <f t="shared" si="43"/>
        <v>300</v>
      </c>
      <c r="B590" s="186" t="s">
        <v>455</v>
      </c>
      <c r="C590" s="292" t="s">
        <v>1</v>
      </c>
      <c r="D590" s="92" t="s">
        <v>765</v>
      </c>
      <c r="E590" s="93" t="s">
        <v>352</v>
      </c>
      <c r="F590" s="153">
        <v>1</v>
      </c>
      <c r="G590" s="313"/>
      <c r="H590" s="94">
        <f t="shared" si="42"/>
        <v>0</v>
      </c>
      <c r="I590" s="311" t="s">
        <v>97</v>
      </c>
      <c r="J590" s="101"/>
      <c r="K590" s="278" t="s">
        <v>764</v>
      </c>
    </row>
    <row r="591" spans="1:11" s="47" customFormat="1" ht="16.5">
      <c r="A591" s="71">
        <f t="shared" si="43"/>
        <v>301</v>
      </c>
      <c r="B591" s="186" t="s">
        <v>454</v>
      </c>
      <c r="C591" s="133" t="s">
        <v>2</v>
      </c>
      <c r="D591" s="66" t="s">
        <v>453</v>
      </c>
      <c r="E591" s="69" t="s">
        <v>352</v>
      </c>
      <c r="F591" s="152">
        <v>1</v>
      </c>
      <c r="G591" s="203"/>
      <c r="H591" s="73">
        <f t="shared" si="42"/>
        <v>0</v>
      </c>
      <c r="I591" s="311" t="s">
        <v>97</v>
      </c>
      <c r="J591" s="101"/>
      <c r="K591" s="278"/>
    </row>
    <row r="592" spans="1:10" s="47" customFormat="1" ht="25.5">
      <c r="A592" s="71">
        <f t="shared" si="43"/>
        <v>302</v>
      </c>
      <c r="B592" s="186" t="s">
        <v>1124</v>
      </c>
      <c r="C592" s="133"/>
      <c r="D592" s="66" t="s">
        <v>1119</v>
      </c>
      <c r="E592" s="69" t="s">
        <v>353</v>
      </c>
      <c r="F592" s="152">
        <v>66</v>
      </c>
      <c r="G592" s="203"/>
      <c r="H592" s="73">
        <f t="shared" si="42"/>
        <v>0</v>
      </c>
      <c r="I592" s="311" t="s">
        <v>97</v>
      </c>
      <c r="J592" s="101"/>
    </row>
    <row r="593" spans="1:10" s="47" customFormat="1" ht="25.5">
      <c r="A593" s="71">
        <f t="shared" si="43"/>
        <v>303</v>
      </c>
      <c r="B593" s="186" t="s">
        <v>1122</v>
      </c>
      <c r="C593" s="133"/>
      <c r="D593" s="66" t="s">
        <v>1120</v>
      </c>
      <c r="E593" s="69" t="s">
        <v>353</v>
      </c>
      <c r="F593" s="152">
        <v>13</v>
      </c>
      <c r="G593" s="203"/>
      <c r="H593" s="73">
        <f t="shared" si="42"/>
        <v>0</v>
      </c>
      <c r="I593" s="311" t="s">
        <v>97</v>
      </c>
      <c r="J593" s="101"/>
    </row>
    <row r="594" spans="1:10" s="47" customFormat="1" ht="25.5">
      <c r="A594" s="71">
        <f t="shared" si="43"/>
        <v>304</v>
      </c>
      <c r="B594" s="186" t="s">
        <v>1123</v>
      </c>
      <c r="C594" s="133"/>
      <c r="D594" s="66" t="s">
        <v>1121</v>
      </c>
      <c r="E594" s="72" t="s">
        <v>353</v>
      </c>
      <c r="F594" s="152">
        <v>23</v>
      </c>
      <c r="G594" s="203"/>
      <c r="H594" s="73">
        <f t="shared" si="42"/>
        <v>0</v>
      </c>
      <c r="I594" s="311" t="s">
        <v>97</v>
      </c>
      <c r="J594" s="101"/>
    </row>
    <row r="595" spans="1:10" s="47" customFormat="1" ht="12.75">
      <c r="A595" s="71">
        <f t="shared" si="43"/>
        <v>305</v>
      </c>
      <c r="B595" s="186" t="s">
        <v>792</v>
      </c>
      <c r="C595" s="133"/>
      <c r="D595" s="69" t="s">
        <v>793</v>
      </c>
      <c r="E595" s="72" t="s">
        <v>352</v>
      </c>
      <c r="F595" s="152">
        <f>F584+F585+F586</f>
        <v>7</v>
      </c>
      <c r="G595" s="203"/>
      <c r="H595" s="73">
        <f t="shared" si="42"/>
        <v>0</v>
      </c>
      <c r="I595" s="311" t="s">
        <v>97</v>
      </c>
      <c r="J595" s="101"/>
    </row>
    <row r="596" spans="1:10" s="47" customFormat="1" ht="12.75">
      <c r="A596" s="71">
        <f t="shared" si="43"/>
        <v>306</v>
      </c>
      <c r="B596" s="186" t="s">
        <v>794</v>
      </c>
      <c r="C596" s="133"/>
      <c r="D596" s="69" t="s">
        <v>795</v>
      </c>
      <c r="E596" s="72" t="s">
        <v>352</v>
      </c>
      <c r="F596" s="152">
        <f>F587</f>
        <v>2</v>
      </c>
      <c r="G596" s="203"/>
      <c r="H596" s="73">
        <f t="shared" si="42"/>
        <v>0</v>
      </c>
      <c r="I596" s="311" t="s">
        <v>97</v>
      </c>
      <c r="J596" s="101"/>
    </row>
    <row r="597" spans="1:10" s="47" customFormat="1" ht="12.75">
      <c r="A597" s="71">
        <f>A594+1</f>
        <v>305</v>
      </c>
      <c r="B597" s="187" t="s">
        <v>551</v>
      </c>
      <c r="C597" s="95"/>
      <c r="D597" s="69" t="s">
        <v>552</v>
      </c>
      <c r="E597" s="72" t="s">
        <v>350</v>
      </c>
      <c r="F597" s="152">
        <f>(0.5*0.5+0.5*1+0.5*1.8+4*0.5*0.7+0.5*1.2+0.5*1.5+1.5*0.5+1.82*0.5)*2</f>
        <v>12.120000000000001</v>
      </c>
      <c r="G597" s="203"/>
      <c r="H597" s="73">
        <f>F597*G597</f>
        <v>0</v>
      </c>
      <c r="I597" s="311" t="s">
        <v>97</v>
      </c>
      <c r="J597" s="101"/>
    </row>
    <row r="598" spans="1:10" s="47" customFormat="1" ht="12.75">
      <c r="A598" s="71">
        <f t="shared" si="43"/>
        <v>306</v>
      </c>
      <c r="B598" s="187" t="s">
        <v>554</v>
      </c>
      <c r="C598" s="95"/>
      <c r="D598" s="69" t="s">
        <v>553</v>
      </c>
      <c r="E598" s="72" t="s">
        <v>352</v>
      </c>
      <c r="F598" s="152">
        <f>+F584+F586+F587+F590</f>
        <v>9</v>
      </c>
      <c r="G598" s="203"/>
      <c r="H598" s="73">
        <f>F598*G598</f>
        <v>0</v>
      </c>
      <c r="I598" s="311" t="s">
        <v>97</v>
      </c>
      <c r="J598" s="101"/>
    </row>
    <row r="599" spans="1:10" s="47" customFormat="1" ht="12.75">
      <c r="A599" s="71">
        <f t="shared" si="43"/>
        <v>307</v>
      </c>
      <c r="B599" s="186" t="s">
        <v>563</v>
      </c>
      <c r="C599" s="95"/>
      <c r="D599" s="69" t="s">
        <v>426</v>
      </c>
      <c r="E599" s="72" t="s">
        <v>349</v>
      </c>
      <c r="F599" s="152">
        <v>1</v>
      </c>
      <c r="G599" s="203"/>
      <c r="H599" s="73">
        <f>F599*G599</f>
        <v>0</v>
      </c>
      <c r="I599" s="311" t="s">
        <v>97</v>
      </c>
      <c r="J599" s="101"/>
    </row>
    <row r="600" spans="1:10" s="47" customFormat="1" ht="13.5" thickBot="1">
      <c r="A600" s="71">
        <f t="shared" si="43"/>
        <v>308</v>
      </c>
      <c r="B600" s="193" t="s">
        <v>475</v>
      </c>
      <c r="C600" s="95"/>
      <c r="D600" s="69" t="s">
        <v>16</v>
      </c>
      <c r="E600" s="72" t="s">
        <v>358</v>
      </c>
      <c r="F600" s="152">
        <f>+H569+H570+H571+H576+H577+H578+H579+H580+H581+H582+H583+H584+H585+H586+H587+H590+H592+H593+H594</f>
        <v>0</v>
      </c>
      <c r="G600" s="322"/>
      <c r="H600" s="97">
        <f>F600*G600</f>
        <v>0</v>
      </c>
      <c r="I600" s="311" t="s">
        <v>97</v>
      </c>
      <c r="J600" s="101"/>
    </row>
    <row r="601" spans="1:10" s="47" customFormat="1" ht="13.5" thickBot="1">
      <c r="A601" s="71"/>
      <c r="B601" s="187"/>
      <c r="C601" s="95"/>
      <c r="D601" s="83" t="s">
        <v>351</v>
      </c>
      <c r="E601" s="84"/>
      <c r="F601" s="159"/>
      <c r="G601" s="132"/>
      <c r="H601" s="76">
        <f>SUBTOTAL(9,H569:H600)</f>
        <v>0</v>
      </c>
      <c r="I601" s="297"/>
      <c r="J601" s="101"/>
    </row>
    <row r="602" spans="1:9" ht="12.75">
      <c r="A602" s="64"/>
      <c r="B602" s="188"/>
      <c r="C602" s="65"/>
      <c r="D602" s="77"/>
      <c r="E602" s="78"/>
      <c r="F602" s="138"/>
      <c r="G602" s="22"/>
      <c r="H602" s="79"/>
      <c r="I602" s="300"/>
    </row>
    <row r="603" spans="1:10" s="47" customFormat="1" ht="16.5">
      <c r="A603" s="71"/>
      <c r="B603" s="187"/>
      <c r="C603" s="106" t="s">
        <v>259</v>
      </c>
      <c r="D603" s="117" t="s">
        <v>331</v>
      </c>
      <c r="E603" s="118"/>
      <c r="F603" s="151"/>
      <c r="G603" s="118"/>
      <c r="H603" s="118"/>
      <c r="I603" s="297"/>
      <c r="J603" s="101"/>
    </row>
    <row r="604" spans="1:10" s="47" customFormat="1" ht="56.25" customHeight="1">
      <c r="A604" s="71"/>
      <c r="B604" s="187"/>
      <c r="C604" s="98"/>
      <c r="D604" s="326" t="s">
        <v>330</v>
      </c>
      <c r="E604" s="326"/>
      <c r="F604" s="326"/>
      <c r="G604" s="109"/>
      <c r="H604" s="109"/>
      <c r="I604" s="297"/>
      <c r="J604" s="101"/>
    </row>
    <row r="605" spans="1:24" s="47" customFormat="1" ht="12.75">
      <c r="A605" s="71">
        <f>A600+1</f>
        <v>309</v>
      </c>
      <c r="B605" s="187" t="s">
        <v>459</v>
      </c>
      <c r="C605" s="95"/>
      <c r="D605" s="134" t="s">
        <v>371</v>
      </c>
      <c r="E605" s="72" t="s">
        <v>353</v>
      </c>
      <c r="F605" s="152">
        <f>2.5+2+1.5+1+7.35+1.5</f>
        <v>15.85</v>
      </c>
      <c r="G605" s="203"/>
      <c r="H605" s="73">
        <f aca="true" t="shared" si="44" ref="H605:H645">F605*G605</f>
        <v>0</v>
      </c>
      <c r="I605" s="300" t="s">
        <v>97</v>
      </c>
      <c r="J605" s="101"/>
      <c r="M605" s="145"/>
      <c r="V605" s="235"/>
      <c r="W605" s="235"/>
      <c r="X605" s="235"/>
    </row>
    <row r="606" spans="1:24" s="47" customFormat="1" ht="12.75">
      <c r="A606" s="71">
        <f aca="true" t="shared" si="45" ref="A606:A616">A605+1</f>
        <v>310</v>
      </c>
      <c r="B606" s="187" t="s">
        <v>564</v>
      </c>
      <c r="C606" s="95"/>
      <c r="D606" s="82" t="s">
        <v>363</v>
      </c>
      <c r="E606" s="72" t="s">
        <v>352</v>
      </c>
      <c r="F606" s="152">
        <v>1</v>
      </c>
      <c r="G606" s="203"/>
      <c r="H606" s="73">
        <f t="shared" si="44"/>
        <v>0</v>
      </c>
      <c r="I606" s="300" t="s">
        <v>97</v>
      </c>
      <c r="J606" s="101"/>
      <c r="M606" s="145"/>
      <c r="V606" s="235"/>
      <c r="W606" s="235"/>
      <c r="X606" s="235"/>
    </row>
    <row r="607" spans="1:17" s="47" customFormat="1" ht="12.75">
      <c r="A607" s="71">
        <f t="shared" si="45"/>
        <v>311</v>
      </c>
      <c r="B607" s="276" t="s">
        <v>766</v>
      </c>
      <c r="C607" s="133"/>
      <c r="D607" s="66" t="s">
        <v>595</v>
      </c>
      <c r="E607" s="72" t="s">
        <v>352</v>
      </c>
      <c r="F607" s="152">
        <v>1</v>
      </c>
      <c r="G607" s="203"/>
      <c r="H607" s="73">
        <f aca="true" t="shared" si="46" ref="H607:H613">F607*G607</f>
        <v>0</v>
      </c>
      <c r="I607" s="297" t="s">
        <v>97</v>
      </c>
      <c r="J607" s="101"/>
      <c r="Q607" s="145">
        <v>0.067</v>
      </c>
    </row>
    <row r="608" spans="1:17" s="47" customFormat="1" ht="12.75">
      <c r="A608" s="71">
        <f t="shared" si="45"/>
        <v>312</v>
      </c>
      <c r="B608" s="276" t="s">
        <v>770</v>
      </c>
      <c r="C608" s="95"/>
      <c r="D608" s="66" t="s">
        <v>771</v>
      </c>
      <c r="E608" s="72" t="s">
        <v>352</v>
      </c>
      <c r="F608" s="152">
        <v>3</v>
      </c>
      <c r="G608" s="203"/>
      <c r="H608" s="73">
        <f t="shared" si="46"/>
        <v>0</v>
      </c>
      <c r="I608" s="297" t="s">
        <v>97</v>
      </c>
      <c r="J608" s="101"/>
      <c r="Q608" s="145">
        <v>0.067</v>
      </c>
    </row>
    <row r="609" spans="1:24" s="47" customFormat="1" ht="12.75">
      <c r="A609" s="71">
        <f t="shared" si="45"/>
        <v>313</v>
      </c>
      <c r="B609" s="199" t="s">
        <v>372</v>
      </c>
      <c r="C609" s="133"/>
      <c r="D609" s="134" t="s">
        <v>373</v>
      </c>
      <c r="E609" s="72" t="s">
        <v>354</v>
      </c>
      <c r="F609" s="152">
        <f>(2.46/1000)*F605+0.1</f>
        <v>0.138991</v>
      </c>
      <c r="G609" s="203"/>
      <c r="H609" s="73">
        <f t="shared" si="46"/>
        <v>0</v>
      </c>
      <c r="I609" s="297" t="s">
        <v>97</v>
      </c>
      <c r="J609" s="101"/>
      <c r="M609" s="145"/>
      <c r="V609" s="235"/>
      <c r="W609" s="235"/>
      <c r="X609" s="235"/>
    </row>
    <row r="610" spans="1:24" s="47" customFormat="1" ht="12.75">
      <c r="A610" s="71">
        <f t="shared" si="45"/>
        <v>314</v>
      </c>
      <c r="B610" s="186" t="s">
        <v>565</v>
      </c>
      <c r="C610" s="133"/>
      <c r="D610" s="134" t="s">
        <v>767</v>
      </c>
      <c r="E610" s="72" t="s">
        <v>349</v>
      </c>
      <c r="F610" s="152">
        <v>1</v>
      </c>
      <c r="G610" s="203"/>
      <c r="H610" s="68">
        <f>F610*G610</f>
        <v>0</v>
      </c>
      <c r="I610" s="297" t="s">
        <v>97</v>
      </c>
      <c r="J610" s="101"/>
      <c r="M610" s="145"/>
      <c r="V610" s="235"/>
      <c r="W610" s="235"/>
      <c r="X610" s="235"/>
    </row>
    <row r="611" spans="1:24" s="47" customFormat="1" ht="12.75">
      <c r="A611" s="71">
        <f t="shared" si="45"/>
        <v>315</v>
      </c>
      <c r="B611" s="199" t="s">
        <v>769</v>
      </c>
      <c r="C611" s="133"/>
      <c r="D611" s="134" t="s">
        <v>768</v>
      </c>
      <c r="E611" s="72" t="s">
        <v>352</v>
      </c>
      <c r="F611" s="152">
        <v>1</v>
      </c>
      <c r="G611" s="203"/>
      <c r="H611" s="73">
        <f t="shared" si="46"/>
        <v>0</v>
      </c>
      <c r="I611" s="297" t="s">
        <v>97</v>
      </c>
      <c r="J611" s="101"/>
      <c r="M611" s="145"/>
      <c r="V611" s="235"/>
      <c r="W611" s="235"/>
      <c r="X611" s="235"/>
    </row>
    <row r="612" spans="1:24" s="47" customFormat="1" ht="12.75">
      <c r="A612" s="71">
        <f t="shared" si="45"/>
        <v>316</v>
      </c>
      <c r="B612" s="199" t="s">
        <v>374</v>
      </c>
      <c r="C612" s="133"/>
      <c r="D612" s="134" t="s">
        <v>423</v>
      </c>
      <c r="E612" s="72" t="s">
        <v>349</v>
      </c>
      <c r="F612" s="152">
        <v>1</v>
      </c>
      <c r="G612" s="203"/>
      <c r="H612" s="73">
        <f t="shared" si="46"/>
        <v>0</v>
      </c>
      <c r="I612" s="297" t="s">
        <v>97</v>
      </c>
      <c r="J612" s="101"/>
      <c r="M612" s="145"/>
      <c r="V612" s="235"/>
      <c r="W612" s="235"/>
      <c r="X612" s="235"/>
    </row>
    <row r="613" spans="1:24" s="47" customFormat="1" ht="25.5">
      <c r="A613" s="71">
        <f t="shared" si="45"/>
        <v>317</v>
      </c>
      <c r="B613" s="199" t="s">
        <v>212</v>
      </c>
      <c r="C613" s="133"/>
      <c r="D613" s="134" t="s">
        <v>1125</v>
      </c>
      <c r="E613" s="72" t="s">
        <v>353</v>
      </c>
      <c r="F613" s="152">
        <v>1.5</v>
      </c>
      <c r="G613" s="203"/>
      <c r="H613" s="73">
        <f t="shared" si="46"/>
        <v>0</v>
      </c>
      <c r="I613" s="297" t="s">
        <v>97</v>
      </c>
      <c r="J613" s="101"/>
      <c r="M613" s="145"/>
      <c r="V613" s="235"/>
      <c r="W613" s="235"/>
      <c r="X613" s="235"/>
    </row>
    <row r="614" spans="1:24" s="47" customFormat="1" ht="25.5">
      <c r="A614" s="71">
        <f t="shared" si="45"/>
        <v>318</v>
      </c>
      <c r="B614" s="199" t="s">
        <v>213</v>
      </c>
      <c r="C614" s="133"/>
      <c r="D614" s="134" t="s">
        <v>1126</v>
      </c>
      <c r="E614" s="72" t="s">
        <v>353</v>
      </c>
      <c r="F614" s="152">
        <f>11.4+1.8+1.8+1.8+2</f>
        <v>18.8</v>
      </c>
      <c r="G614" s="203"/>
      <c r="H614" s="73">
        <f t="shared" si="44"/>
        <v>0</v>
      </c>
      <c r="I614" s="297" t="s">
        <v>97</v>
      </c>
      <c r="J614" s="101"/>
      <c r="M614" s="145"/>
      <c r="V614" s="235"/>
      <c r="W614" s="235"/>
      <c r="X614" s="235"/>
    </row>
    <row r="615" spans="1:24" s="47" customFormat="1" ht="12.75">
      <c r="A615" s="71">
        <f t="shared" si="45"/>
        <v>319</v>
      </c>
      <c r="B615" s="187" t="s">
        <v>813</v>
      </c>
      <c r="C615" s="95"/>
      <c r="D615" s="82" t="s">
        <v>814</v>
      </c>
      <c r="E615" s="72" t="s">
        <v>352</v>
      </c>
      <c r="F615" s="152">
        <v>2</v>
      </c>
      <c r="G615" s="203"/>
      <c r="H615" s="73">
        <f t="shared" si="44"/>
        <v>0</v>
      </c>
      <c r="I615" s="300" t="s">
        <v>97</v>
      </c>
      <c r="J615" s="310"/>
      <c r="M615" s="145"/>
      <c r="V615" s="235"/>
      <c r="W615" s="235"/>
      <c r="X615" s="235"/>
    </row>
    <row r="616" spans="1:24" s="47" customFormat="1" ht="12.75">
      <c r="A616" s="71">
        <f t="shared" si="45"/>
        <v>320</v>
      </c>
      <c r="B616" s="186" t="s">
        <v>451</v>
      </c>
      <c r="C616" s="95"/>
      <c r="D616" s="134" t="s">
        <v>456</v>
      </c>
      <c r="E616" s="72" t="s">
        <v>353</v>
      </c>
      <c r="F616" s="152">
        <f>0.78+0.43</f>
        <v>1.21</v>
      </c>
      <c r="G616" s="203"/>
      <c r="H616" s="73">
        <f aca="true" t="shared" si="47" ref="H616:H622">F616*G616</f>
        <v>0</v>
      </c>
      <c r="I616" s="300" t="s">
        <v>97</v>
      </c>
      <c r="J616" s="310"/>
      <c r="M616" s="145"/>
      <c r="V616" s="235"/>
      <c r="W616" s="235"/>
      <c r="X616" s="235"/>
    </row>
    <row r="617" spans="1:24" s="47" customFormat="1" ht="12.75">
      <c r="A617" s="71">
        <f aca="true" t="shared" si="48" ref="A617:A647">+A616+1</f>
        <v>321</v>
      </c>
      <c r="B617" s="186" t="s">
        <v>458</v>
      </c>
      <c r="C617" s="95"/>
      <c r="D617" s="134" t="s">
        <v>457</v>
      </c>
      <c r="E617" s="72" t="s">
        <v>353</v>
      </c>
      <c r="F617" s="152">
        <f>0.2+0.83</f>
        <v>1.03</v>
      </c>
      <c r="G617" s="203"/>
      <c r="H617" s="73">
        <f t="shared" si="47"/>
        <v>0</v>
      </c>
      <c r="I617" s="300" t="s">
        <v>97</v>
      </c>
      <c r="J617" s="310"/>
      <c r="M617" s="145"/>
      <c r="V617" s="235"/>
      <c r="W617" s="235"/>
      <c r="X617" s="235"/>
    </row>
    <row r="618" spans="1:24" s="47" customFormat="1" ht="12.75">
      <c r="A618" s="71">
        <f t="shared" si="48"/>
        <v>322</v>
      </c>
      <c r="B618" s="186" t="s">
        <v>939</v>
      </c>
      <c r="C618" s="95"/>
      <c r="D618" s="134" t="s">
        <v>940</v>
      </c>
      <c r="E618" s="72" t="s">
        <v>352</v>
      </c>
      <c r="F618" s="152">
        <v>1</v>
      </c>
      <c r="G618" s="203"/>
      <c r="H618" s="73">
        <f t="shared" si="47"/>
        <v>0</v>
      </c>
      <c r="I618" s="300" t="s">
        <v>97</v>
      </c>
      <c r="J618" s="310"/>
      <c r="M618" s="145"/>
      <c r="V618" s="235"/>
      <c r="W618" s="235"/>
      <c r="X618" s="235"/>
    </row>
    <row r="619" spans="1:24" s="47" customFormat="1" ht="12.75">
      <c r="A619" s="71">
        <f t="shared" si="48"/>
        <v>323</v>
      </c>
      <c r="B619" s="186" t="s">
        <v>941</v>
      </c>
      <c r="C619" s="95"/>
      <c r="D619" s="134" t="s">
        <v>942</v>
      </c>
      <c r="E619" s="72" t="s">
        <v>352</v>
      </c>
      <c r="F619" s="152">
        <v>1</v>
      </c>
      <c r="G619" s="203"/>
      <c r="H619" s="73">
        <f t="shared" si="47"/>
        <v>0</v>
      </c>
      <c r="I619" s="300" t="s">
        <v>97</v>
      </c>
      <c r="J619" s="310"/>
      <c r="M619" s="145"/>
      <c r="V619" s="235"/>
      <c r="W619" s="235"/>
      <c r="X619" s="235"/>
    </row>
    <row r="620" spans="1:24" s="47" customFormat="1" ht="12.75">
      <c r="A620" s="71">
        <f t="shared" si="48"/>
        <v>324</v>
      </c>
      <c r="B620" s="186"/>
      <c r="C620" s="95"/>
      <c r="D620" s="134" t="s">
        <v>772</v>
      </c>
      <c r="E620" s="72" t="s">
        <v>349</v>
      </c>
      <c r="F620" s="152">
        <v>1</v>
      </c>
      <c r="G620" s="203"/>
      <c r="H620" s="73">
        <f t="shared" si="47"/>
        <v>0</v>
      </c>
      <c r="I620" s="300" t="s">
        <v>97</v>
      </c>
      <c r="J620" s="310"/>
      <c r="M620" s="145"/>
      <c r="V620" s="235"/>
      <c r="W620" s="235"/>
      <c r="X620" s="235"/>
    </row>
    <row r="621" spans="1:24" s="47" customFormat="1" ht="12.75">
      <c r="A621" s="71">
        <f t="shared" si="48"/>
        <v>325</v>
      </c>
      <c r="B621" s="186" t="s">
        <v>560</v>
      </c>
      <c r="C621" s="95"/>
      <c r="D621" s="134" t="s">
        <v>559</v>
      </c>
      <c r="E621" s="72" t="s">
        <v>349</v>
      </c>
      <c r="F621" s="152">
        <v>1</v>
      </c>
      <c r="G621" s="203"/>
      <c r="H621" s="73">
        <f t="shared" si="47"/>
        <v>0</v>
      </c>
      <c r="I621" s="300" t="s">
        <v>97</v>
      </c>
      <c r="J621" s="310"/>
      <c r="M621" s="145"/>
      <c r="V621" s="235"/>
      <c r="W621" s="235"/>
      <c r="X621" s="235"/>
    </row>
    <row r="622" spans="1:24" s="47" customFormat="1" ht="12.75">
      <c r="A622" s="71">
        <f t="shared" si="48"/>
        <v>326</v>
      </c>
      <c r="B622" s="186" t="s">
        <v>561</v>
      </c>
      <c r="C622" s="95"/>
      <c r="D622" s="134" t="s">
        <v>562</v>
      </c>
      <c r="E622" s="72" t="s">
        <v>349</v>
      </c>
      <c r="F622" s="152">
        <v>1</v>
      </c>
      <c r="G622" s="203"/>
      <c r="H622" s="73">
        <f t="shared" si="47"/>
        <v>0</v>
      </c>
      <c r="I622" s="300" t="s">
        <v>97</v>
      </c>
      <c r="J622" s="310"/>
      <c r="M622" s="145"/>
      <c r="V622" s="235"/>
      <c r="W622" s="235"/>
      <c r="X622" s="235"/>
    </row>
    <row r="623" spans="1:24" s="47" customFormat="1" ht="12.75">
      <c r="A623" s="71">
        <f t="shared" si="48"/>
        <v>327</v>
      </c>
      <c r="B623" s="187" t="s">
        <v>214</v>
      </c>
      <c r="C623" s="133"/>
      <c r="D623" s="134" t="s">
        <v>332</v>
      </c>
      <c r="E623" s="72" t="s">
        <v>352</v>
      </c>
      <c r="F623" s="152">
        <v>1</v>
      </c>
      <c r="G623" s="203"/>
      <c r="H623" s="73">
        <f t="shared" si="44"/>
        <v>0</v>
      </c>
      <c r="I623" s="300" t="s">
        <v>97</v>
      </c>
      <c r="J623" s="310"/>
      <c r="V623" s="235"/>
      <c r="W623" s="235"/>
      <c r="X623" s="235"/>
    </row>
    <row r="624" spans="1:24" s="47" customFormat="1" ht="38.25">
      <c r="A624" s="71">
        <f t="shared" si="48"/>
        <v>328</v>
      </c>
      <c r="B624" s="186" t="s">
        <v>461</v>
      </c>
      <c r="C624" s="133"/>
      <c r="D624" s="183" t="s">
        <v>462</v>
      </c>
      <c r="E624" s="72" t="s">
        <v>352</v>
      </c>
      <c r="F624" s="152">
        <v>1</v>
      </c>
      <c r="G624" s="203"/>
      <c r="H624" s="73">
        <f t="shared" si="44"/>
        <v>0</v>
      </c>
      <c r="I624" s="300" t="s">
        <v>97</v>
      </c>
      <c r="J624" s="310"/>
      <c r="K624" s="278" t="s">
        <v>460</v>
      </c>
      <c r="V624" s="235"/>
      <c r="W624" s="235"/>
      <c r="X624" s="235"/>
    </row>
    <row r="625" spans="1:24" s="47" customFormat="1" ht="25.5">
      <c r="A625" s="71">
        <f t="shared" si="48"/>
        <v>329</v>
      </c>
      <c r="B625" s="186" t="s">
        <v>563</v>
      </c>
      <c r="C625" s="133"/>
      <c r="D625" s="66" t="s">
        <v>215</v>
      </c>
      <c r="E625" s="72" t="s">
        <v>349</v>
      </c>
      <c r="F625" s="152">
        <v>1</v>
      </c>
      <c r="G625" s="203"/>
      <c r="H625" s="73">
        <f>F625*G625</f>
        <v>0</v>
      </c>
      <c r="I625" s="300" t="s">
        <v>97</v>
      </c>
      <c r="J625" s="310"/>
      <c r="V625" s="235"/>
      <c r="W625" s="235"/>
      <c r="X625" s="235"/>
    </row>
    <row r="626" spans="1:24" s="47" customFormat="1" ht="16.5">
      <c r="A626" s="71">
        <f t="shared" si="48"/>
        <v>330</v>
      </c>
      <c r="B626" s="187">
        <v>4841731525</v>
      </c>
      <c r="C626" s="292" t="s">
        <v>1</v>
      </c>
      <c r="D626" s="92" t="s">
        <v>435</v>
      </c>
      <c r="E626" s="93" t="s">
        <v>352</v>
      </c>
      <c r="F626" s="153">
        <v>1</v>
      </c>
      <c r="G626" s="313"/>
      <c r="H626" s="94">
        <f t="shared" si="44"/>
        <v>0</v>
      </c>
      <c r="I626" s="311" t="s">
        <v>100</v>
      </c>
      <c r="J626" s="310"/>
      <c r="K626" s="278" t="s">
        <v>437</v>
      </c>
      <c r="P626" s="6"/>
      <c r="V626" s="235"/>
      <c r="W626" s="278"/>
      <c r="X626" s="235"/>
    </row>
    <row r="627" spans="1:24" s="47" customFormat="1" ht="16.5">
      <c r="A627" s="71">
        <f t="shared" si="48"/>
        <v>331</v>
      </c>
      <c r="B627" s="186" t="s">
        <v>463</v>
      </c>
      <c r="C627" s="292" t="s">
        <v>1</v>
      </c>
      <c r="D627" s="92" t="s">
        <v>1127</v>
      </c>
      <c r="E627" s="93" t="s">
        <v>352</v>
      </c>
      <c r="F627" s="153">
        <v>1</v>
      </c>
      <c r="G627" s="313"/>
      <c r="H627" s="94">
        <f t="shared" si="44"/>
        <v>0</v>
      </c>
      <c r="I627" s="311" t="s">
        <v>100</v>
      </c>
      <c r="J627" s="310"/>
      <c r="K627" s="278" t="s">
        <v>438</v>
      </c>
      <c r="V627" s="235"/>
      <c r="W627" s="278"/>
      <c r="X627" s="235"/>
    </row>
    <row r="628" spans="1:24" s="47" customFormat="1" ht="16.5">
      <c r="A628" s="71">
        <f t="shared" si="48"/>
        <v>332</v>
      </c>
      <c r="B628" s="186" t="s">
        <v>464</v>
      </c>
      <c r="C628" s="292" t="s">
        <v>1</v>
      </c>
      <c r="D628" s="92" t="s">
        <v>436</v>
      </c>
      <c r="E628" s="93" t="s">
        <v>352</v>
      </c>
      <c r="F628" s="153">
        <v>1</v>
      </c>
      <c r="G628" s="313"/>
      <c r="H628" s="94">
        <f t="shared" si="44"/>
        <v>0</v>
      </c>
      <c r="I628" s="311" t="s">
        <v>100</v>
      </c>
      <c r="J628" s="310"/>
      <c r="V628" s="235"/>
      <c r="W628" s="278"/>
      <c r="X628" s="235"/>
    </row>
    <row r="629" spans="1:24" s="47" customFormat="1" ht="25.5">
      <c r="A629" s="71">
        <f t="shared" si="48"/>
        <v>333</v>
      </c>
      <c r="B629" s="186" t="s">
        <v>869</v>
      </c>
      <c r="C629" s="292" t="s">
        <v>1</v>
      </c>
      <c r="D629" s="92" t="s">
        <v>866</v>
      </c>
      <c r="E629" s="93" t="s">
        <v>352</v>
      </c>
      <c r="F629" s="153">
        <v>1</v>
      </c>
      <c r="G629" s="313"/>
      <c r="H629" s="94">
        <f t="shared" si="44"/>
        <v>0</v>
      </c>
      <c r="I629" s="311" t="s">
        <v>100</v>
      </c>
      <c r="J629" s="310"/>
      <c r="V629" s="235"/>
      <c r="W629" s="278"/>
      <c r="X629" s="235"/>
    </row>
    <row r="630" spans="1:24" s="47" customFormat="1" ht="16.5">
      <c r="A630" s="71">
        <f t="shared" si="48"/>
        <v>334</v>
      </c>
      <c r="B630" s="186" t="s">
        <v>888</v>
      </c>
      <c r="C630" s="133"/>
      <c r="D630" s="183" t="s">
        <v>889</v>
      </c>
      <c r="E630" s="72" t="s">
        <v>352</v>
      </c>
      <c r="F630" s="152">
        <v>1</v>
      </c>
      <c r="G630" s="203"/>
      <c r="H630" s="73">
        <f t="shared" si="44"/>
        <v>0</v>
      </c>
      <c r="I630" s="300" t="s">
        <v>100</v>
      </c>
      <c r="J630" s="310"/>
      <c r="K630" s="278"/>
      <c r="V630" s="235"/>
      <c r="W630" s="235"/>
      <c r="X630" s="235"/>
    </row>
    <row r="631" spans="1:24" s="47" customFormat="1" ht="16.5">
      <c r="A631" s="71">
        <f t="shared" si="48"/>
        <v>335</v>
      </c>
      <c r="B631" s="186" t="s">
        <v>873</v>
      </c>
      <c r="C631" s="292" t="s">
        <v>1</v>
      </c>
      <c r="D631" s="92" t="s">
        <v>870</v>
      </c>
      <c r="E631" s="93" t="s">
        <v>352</v>
      </c>
      <c r="F631" s="153">
        <v>1</v>
      </c>
      <c r="G631" s="313"/>
      <c r="H631" s="94">
        <f t="shared" si="44"/>
        <v>0</v>
      </c>
      <c r="I631" s="311" t="s">
        <v>100</v>
      </c>
      <c r="J631" s="310"/>
      <c r="V631" s="235"/>
      <c r="W631" s="278"/>
      <c r="X631" s="235"/>
    </row>
    <row r="632" spans="1:24" s="47" customFormat="1" ht="25.5">
      <c r="A632" s="71">
        <f t="shared" si="48"/>
        <v>336</v>
      </c>
      <c r="B632" s="186" t="s">
        <v>924</v>
      </c>
      <c r="C632" s="107" t="s">
        <v>1</v>
      </c>
      <c r="D632" s="92" t="s">
        <v>932</v>
      </c>
      <c r="E632" s="93" t="s">
        <v>353</v>
      </c>
      <c r="F632" s="153">
        <v>3</v>
      </c>
      <c r="G632" s="313"/>
      <c r="H632" s="94">
        <f t="shared" si="44"/>
        <v>0</v>
      </c>
      <c r="I632" s="311" t="s">
        <v>100</v>
      </c>
      <c r="J632" s="310"/>
      <c r="K632" s="278" t="s">
        <v>923</v>
      </c>
      <c r="V632" s="235"/>
      <c r="W632" s="278"/>
      <c r="X632" s="235"/>
    </row>
    <row r="633" spans="1:24" s="47" customFormat="1" ht="16.5">
      <c r="A633" s="71">
        <f>+A632+1</f>
        <v>337</v>
      </c>
      <c r="B633" s="186" t="s">
        <v>926</v>
      </c>
      <c r="C633" s="292" t="s">
        <v>1</v>
      </c>
      <c r="D633" s="92" t="s">
        <v>867</v>
      </c>
      <c r="E633" s="93" t="s">
        <v>352</v>
      </c>
      <c r="F633" s="153">
        <v>1</v>
      </c>
      <c r="G633" s="313"/>
      <c r="H633" s="94">
        <f t="shared" si="44"/>
        <v>0</v>
      </c>
      <c r="I633" s="311" t="s">
        <v>100</v>
      </c>
      <c r="J633" s="310"/>
      <c r="V633" s="235"/>
      <c r="W633" s="278"/>
      <c r="X633" s="235"/>
    </row>
    <row r="634" spans="1:24" s="47" customFormat="1" ht="16.5">
      <c r="A634" s="71">
        <f t="shared" si="48"/>
        <v>338</v>
      </c>
      <c r="B634" s="186" t="s">
        <v>925</v>
      </c>
      <c r="C634" s="292" t="s">
        <v>1</v>
      </c>
      <c r="D634" s="92" t="s">
        <v>871</v>
      </c>
      <c r="E634" s="93" t="s">
        <v>352</v>
      </c>
      <c r="F634" s="153">
        <v>2</v>
      </c>
      <c r="G634" s="313"/>
      <c r="H634" s="94">
        <f t="shared" si="44"/>
        <v>0</v>
      </c>
      <c r="I634" s="311" t="s">
        <v>100</v>
      </c>
      <c r="J634" s="310"/>
      <c r="K634" s="47" t="s">
        <v>930</v>
      </c>
      <c r="V634" s="235"/>
      <c r="W634" s="278"/>
      <c r="X634" s="235"/>
    </row>
    <row r="635" spans="1:24" s="47" customFormat="1" ht="38.25">
      <c r="A635" s="71">
        <f t="shared" si="48"/>
        <v>339</v>
      </c>
      <c r="B635" s="186" t="s">
        <v>927</v>
      </c>
      <c r="C635" s="107" t="s">
        <v>1</v>
      </c>
      <c r="D635" s="92" t="s">
        <v>933</v>
      </c>
      <c r="E635" s="93" t="s">
        <v>353</v>
      </c>
      <c r="F635" s="153">
        <v>4</v>
      </c>
      <c r="G635" s="313"/>
      <c r="H635" s="94">
        <f>F635*G635</f>
        <v>0</v>
      </c>
      <c r="I635" s="311" t="s">
        <v>100</v>
      </c>
      <c r="J635" s="310"/>
      <c r="V635" s="235"/>
      <c r="W635" s="278"/>
      <c r="X635" s="235"/>
    </row>
    <row r="636" spans="1:24" s="47" customFormat="1" ht="16.5">
      <c r="A636" s="71">
        <f t="shared" si="48"/>
        <v>340</v>
      </c>
      <c r="B636" s="186" t="s">
        <v>928</v>
      </c>
      <c r="C636" s="292" t="s">
        <v>1</v>
      </c>
      <c r="D636" s="92" t="s">
        <v>921</v>
      </c>
      <c r="E636" s="93" t="s">
        <v>352</v>
      </c>
      <c r="F636" s="153">
        <v>1</v>
      </c>
      <c r="G636" s="313"/>
      <c r="H636" s="94">
        <f>F636*G636</f>
        <v>0</v>
      </c>
      <c r="I636" s="311" t="s">
        <v>100</v>
      </c>
      <c r="J636" s="310"/>
      <c r="K636" s="47" t="s">
        <v>931</v>
      </c>
      <c r="V636" s="235"/>
      <c r="W636" s="278"/>
      <c r="X636" s="235"/>
    </row>
    <row r="637" spans="1:24" s="47" customFormat="1" ht="16.5">
      <c r="A637" s="71">
        <f t="shared" si="48"/>
        <v>341</v>
      </c>
      <c r="B637" s="186" t="s">
        <v>929</v>
      </c>
      <c r="C637" s="292" t="s">
        <v>1</v>
      </c>
      <c r="D637" s="92" t="s">
        <v>922</v>
      </c>
      <c r="E637" s="93" t="s">
        <v>352</v>
      </c>
      <c r="F637" s="153">
        <v>3</v>
      </c>
      <c r="G637" s="313"/>
      <c r="H637" s="94">
        <f>F637*G637</f>
        <v>0</v>
      </c>
      <c r="I637" s="311" t="s">
        <v>100</v>
      </c>
      <c r="J637" s="310"/>
      <c r="V637" s="235"/>
      <c r="W637" s="278"/>
      <c r="X637" s="235"/>
    </row>
    <row r="638" spans="1:24" s="47" customFormat="1" ht="60" customHeight="1">
      <c r="A638" s="71">
        <f t="shared" si="48"/>
        <v>342</v>
      </c>
      <c r="B638" s="186" t="s">
        <v>872</v>
      </c>
      <c r="C638" s="292" t="s">
        <v>1</v>
      </c>
      <c r="D638" s="92" t="s">
        <v>935</v>
      </c>
      <c r="E638" s="93" t="s">
        <v>880</v>
      </c>
      <c r="F638" s="153">
        <v>1</v>
      </c>
      <c r="G638" s="313"/>
      <c r="H638" s="94">
        <f t="shared" si="44"/>
        <v>0</v>
      </c>
      <c r="I638" s="311" t="s">
        <v>100</v>
      </c>
      <c r="J638" s="310"/>
      <c r="K638" s="278" t="s">
        <v>934</v>
      </c>
      <c r="V638" s="235"/>
      <c r="W638" s="278"/>
      <c r="X638" s="235"/>
    </row>
    <row r="639" spans="1:24" s="47" customFormat="1" ht="12.75">
      <c r="A639" s="71">
        <f t="shared" si="48"/>
        <v>343</v>
      </c>
      <c r="B639" s="186" t="s">
        <v>887</v>
      </c>
      <c r="C639" s="95" t="s">
        <v>2</v>
      </c>
      <c r="D639" s="69" t="s">
        <v>890</v>
      </c>
      <c r="E639" s="72" t="s">
        <v>353</v>
      </c>
      <c r="F639" s="152">
        <v>14.5</v>
      </c>
      <c r="G639" s="203"/>
      <c r="H639" s="73">
        <f>F639*G639</f>
        <v>0</v>
      </c>
      <c r="I639" s="300" t="s">
        <v>100</v>
      </c>
      <c r="J639" s="310"/>
      <c r="K639" s="242"/>
      <c r="V639" s="235"/>
      <c r="W639" s="235"/>
      <c r="X639" s="235"/>
    </row>
    <row r="640" spans="1:24" s="47" customFormat="1" ht="16.5">
      <c r="A640" s="71">
        <f t="shared" si="48"/>
        <v>344</v>
      </c>
      <c r="B640" s="186" t="s">
        <v>877</v>
      </c>
      <c r="C640" s="292" t="s">
        <v>1</v>
      </c>
      <c r="D640" s="92" t="s">
        <v>878</v>
      </c>
      <c r="E640" s="93" t="s">
        <v>352</v>
      </c>
      <c r="F640" s="153">
        <v>1</v>
      </c>
      <c r="G640" s="313"/>
      <c r="H640" s="94">
        <f t="shared" si="44"/>
        <v>0</v>
      </c>
      <c r="I640" s="311" t="s">
        <v>100</v>
      </c>
      <c r="J640" s="310"/>
      <c r="K640" s="278"/>
      <c r="V640" s="235"/>
      <c r="W640" s="278"/>
      <c r="X640" s="235"/>
    </row>
    <row r="641" spans="1:24" s="47" customFormat="1" ht="16.5">
      <c r="A641" s="71">
        <f t="shared" si="48"/>
        <v>345</v>
      </c>
      <c r="B641" s="186" t="s">
        <v>926</v>
      </c>
      <c r="C641" s="292" t="s">
        <v>1</v>
      </c>
      <c r="D641" s="92" t="s">
        <v>868</v>
      </c>
      <c r="E641" s="93" t="s">
        <v>352</v>
      </c>
      <c r="F641" s="153">
        <v>1</v>
      </c>
      <c r="G641" s="313"/>
      <c r="H641" s="94">
        <f t="shared" si="44"/>
        <v>0</v>
      </c>
      <c r="I641" s="311" t="s">
        <v>100</v>
      </c>
      <c r="J641" s="310"/>
      <c r="K641" s="278" t="s">
        <v>884</v>
      </c>
      <c r="V641" s="235"/>
      <c r="W641" s="278"/>
      <c r="X641" s="235"/>
    </row>
    <row r="642" spans="1:24" s="47" customFormat="1" ht="16.5">
      <c r="A642" s="71">
        <f t="shared" si="48"/>
        <v>346</v>
      </c>
      <c r="B642" s="186" t="s">
        <v>928</v>
      </c>
      <c r="C642" s="292" t="s">
        <v>1</v>
      </c>
      <c r="D642" s="92" t="s">
        <v>937</v>
      </c>
      <c r="E642" s="93" t="s">
        <v>352</v>
      </c>
      <c r="F642" s="153">
        <v>1</v>
      </c>
      <c r="G642" s="313"/>
      <c r="H642" s="94">
        <f>F642*G642</f>
        <v>0</v>
      </c>
      <c r="I642" s="311" t="s">
        <v>100</v>
      </c>
      <c r="J642" s="310"/>
      <c r="K642" s="278" t="s">
        <v>884</v>
      </c>
      <c r="V642" s="235"/>
      <c r="W642" s="278"/>
      <c r="X642" s="235"/>
    </row>
    <row r="643" spans="1:24" s="47" customFormat="1" ht="51">
      <c r="A643" s="71">
        <f t="shared" si="48"/>
        <v>347</v>
      </c>
      <c r="B643" s="186" t="s">
        <v>879</v>
      </c>
      <c r="C643" s="95" t="s">
        <v>304</v>
      </c>
      <c r="D643" s="69" t="s">
        <v>938</v>
      </c>
      <c r="E643" s="72" t="s">
        <v>880</v>
      </c>
      <c r="F643" s="152">
        <v>1</v>
      </c>
      <c r="G643" s="203"/>
      <c r="H643" s="73">
        <f t="shared" si="44"/>
        <v>0</v>
      </c>
      <c r="I643" s="311" t="s">
        <v>100</v>
      </c>
      <c r="J643" s="310"/>
      <c r="K643" s="278" t="s">
        <v>936</v>
      </c>
      <c r="V643" s="235"/>
      <c r="W643" s="278"/>
      <c r="X643" s="235"/>
    </row>
    <row r="644" spans="1:24" s="47" customFormat="1" ht="16.5">
      <c r="A644" s="71">
        <f t="shared" si="48"/>
        <v>348</v>
      </c>
      <c r="B644" s="186" t="s">
        <v>881</v>
      </c>
      <c r="C644" s="292" t="s">
        <v>1</v>
      </c>
      <c r="D644" s="92" t="s">
        <v>883</v>
      </c>
      <c r="E644" s="93" t="s">
        <v>352</v>
      </c>
      <c r="F644" s="153">
        <v>1</v>
      </c>
      <c r="G644" s="313"/>
      <c r="H644" s="94">
        <f>F644*G644</f>
        <v>0</v>
      </c>
      <c r="I644" s="311" t="s">
        <v>100</v>
      </c>
      <c r="J644" s="310"/>
      <c r="K644" s="278" t="s">
        <v>882</v>
      </c>
      <c r="V644" s="235"/>
      <c r="W644" s="278"/>
      <c r="X644" s="235"/>
    </row>
    <row r="645" spans="1:24" s="47" customFormat="1" ht="12.75">
      <c r="A645" s="71">
        <f t="shared" si="48"/>
        <v>349</v>
      </c>
      <c r="B645" s="186" t="s">
        <v>558</v>
      </c>
      <c r="C645" s="133"/>
      <c r="D645" s="134" t="s">
        <v>333</v>
      </c>
      <c r="E645" s="72" t="s">
        <v>349</v>
      </c>
      <c r="F645" s="152">
        <v>1</v>
      </c>
      <c r="G645" s="203"/>
      <c r="H645" s="73">
        <f t="shared" si="44"/>
        <v>0</v>
      </c>
      <c r="I645" s="300" t="s">
        <v>97</v>
      </c>
      <c r="J645" s="310"/>
      <c r="V645" s="235"/>
      <c r="W645" s="235"/>
      <c r="X645" s="235"/>
    </row>
    <row r="646" spans="1:24" s="47" customFormat="1" ht="12.75">
      <c r="A646" s="71">
        <f t="shared" si="48"/>
        <v>350</v>
      </c>
      <c r="B646" s="186" t="s">
        <v>357</v>
      </c>
      <c r="C646" s="133"/>
      <c r="D646" s="134" t="s">
        <v>557</v>
      </c>
      <c r="E646" s="72" t="s">
        <v>70</v>
      </c>
      <c r="F646" s="152">
        <v>5</v>
      </c>
      <c r="G646" s="203"/>
      <c r="H646" s="73">
        <f>F646*G646</f>
        <v>0</v>
      </c>
      <c r="I646" s="300" t="s">
        <v>97</v>
      </c>
      <c r="J646" s="310"/>
      <c r="V646" s="235"/>
      <c r="W646" s="235"/>
      <c r="X646" s="235"/>
    </row>
    <row r="647" spans="1:10" s="47" customFormat="1" ht="13.5" thickBot="1">
      <c r="A647" s="71">
        <f t="shared" si="48"/>
        <v>351</v>
      </c>
      <c r="B647" s="193" t="s">
        <v>475</v>
      </c>
      <c r="C647" s="95"/>
      <c r="D647" s="69" t="s">
        <v>16</v>
      </c>
      <c r="E647" s="72" t="s">
        <v>358</v>
      </c>
      <c r="F647" s="152">
        <f>+H613+H614+H616+H617+H620+H623+H624+H626+H627+H628+H629+H631+H632+H633+H634+H635+H636+H637+H638+H640+H641+H642+H643+H644</f>
        <v>0</v>
      </c>
      <c r="G647" s="322"/>
      <c r="H647" s="97">
        <f>F647*G647</f>
        <v>0</v>
      </c>
      <c r="I647" s="297" t="s">
        <v>97</v>
      </c>
      <c r="J647" s="101"/>
    </row>
    <row r="648" spans="1:10" s="47" customFormat="1" ht="13.5" thickBot="1">
      <c r="A648" s="71"/>
      <c r="B648" s="187"/>
      <c r="C648" s="95"/>
      <c r="D648" s="83" t="s">
        <v>351</v>
      </c>
      <c r="E648" s="84"/>
      <c r="F648" s="159"/>
      <c r="G648" s="132"/>
      <c r="H648" s="76">
        <f>SUBTOTAL(9,H605:H647)</f>
        <v>0</v>
      </c>
      <c r="I648" s="297"/>
      <c r="J648" s="101"/>
    </row>
    <row r="649" spans="1:9" ht="12.75">
      <c r="A649" s="64"/>
      <c r="B649" s="188"/>
      <c r="C649" s="65"/>
      <c r="D649" s="77"/>
      <c r="E649" s="78"/>
      <c r="F649" s="138"/>
      <c r="G649" s="22"/>
      <c r="H649" s="79"/>
      <c r="I649" s="300"/>
    </row>
    <row r="650" spans="1:9" ht="16.5">
      <c r="A650" s="64"/>
      <c r="B650" s="188"/>
      <c r="C650" s="126">
        <v>4</v>
      </c>
      <c r="D650" s="63" t="s">
        <v>116</v>
      </c>
      <c r="E650" s="63"/>
      <c r="F650" s="151"/>
      <c r="G650" s="63"/>
      <c r="H650" s="63"/>
      <c r="I650" s="300"/>
    </row>
    <row r="651" spans="1:9" ht="54" customHeight="1">
      <c r="A651" s="64"/>
      <c r="B651" s="188"/>
      <c r="C651" s="62"/>
      <c r="D651" s="326" t="s">
        <v>45</v>
      </c>
      <c r="E651" s="326"/>
      <c r="F651" s="326"/>
      <c r="G651" s="109"/>
      <c r="H651" s="109"/>
      <c r="I651" s="300"/>
    </row>
    <row r="652" spans="1:9" ht="12.75">
      <c r="A652" s="64">
        <f>A647+1</f>
        <v>352</v>
      </c>
      <c r="B652" s="188"/>
      <c r="C652" s="65"/>
      <c r="D652" s="66" t="s">
        <v>42</v>
      </c>
      <c r="E652" s="67" t="s">
        <v>47</v>
      </c>
      <c r="F652" s="148">
        <v>1</v>
      </c>
      <c r="G652" s="119">
        <f>+ESA_ESI!H43</f>
        <v>0</v>
      </c>
      <c r="H652" s="68">
        <f>F652*G652</f>
        <v>0</v>
      </c>
      <c r="I652" s="300" t="s">
        <v>97</v>
      </c>
    </row>
    <row r="653" spans="1:9" ht="12.75">
      <c r="A653" s="64">
        <f>A652+1</f>
        <v>353</v>
      </c>
      <c r="B653" s="188"/>
      <c r="C653" s="65"/>
      <c r="D653" s="66" t="s">
        <v>43</v>
      </c>
      <c r="E653" s="67" t="s">
        <v>47</v>
      </c>
      <c r="F653" s="148">
        <v>1</v>
      </c>
      <c r="G653" s="119">
        <f>+ESA_ESI!H56</f>
        <v>0</v>
      </c>
      <c r="H653" s="68">
        <f>F653*G653</f>
        <v>0</v>
      </c>
      <c r="I653" s="300" t="s">
        <v>97</v>
      </c>
    </row>
    <row r="654" spans="1:9" ht="13.5" thickBot="1">
      <c r="A654" s="64">
        <f>A653+1</f>
        <v>354</v>
      </c>
      <c r="B654" s="188"/>
      <c r="C654" s="65"/>
      <c r="D654" s="66" t="s">
        <v>1095</v>
      </c>
      <c r="E654" s="67" t="s">
        <v>47</v>
      </c>
      <c r="F654" s="148">
        <v>1</v>
      </c>
      <c r="G654" s="119">
        <f>ESA_ESI!H61</f>
        <v>0</v>
      </c>
      <c r="H654" s="68">
        <f>F654*G654</f>
        <v>0</v>
      </c>
      <c r="I654" s="300" t="s">
        <v>97</v>
      </c>
    </row>
    <row r="655" spans="1:8" ht="13.5" thickBot="1">
      <c r="A655" s="64"/>
      <c r="B655" s="188"/>
      <c r="C655" s="65"/>
      <c r="D655" s="83" t="s">
        <v>351</v>
      </c>
      <c r="E655" s="84"/>
      <c r="F655" s="154"/>
      <c r="G655" s="85"/>
      <c r="H655" s="76">
        <f>SUBTOTAL(9,H652:H654)</f>
        <v>0</v>
      </c>
    </row>
    <row r="656" spans="1:9" ht="12.75">
      <c r="A656" s="64"/>
      <c r="B656" s="188"/>
      <c r="C656" s="65"/>
      <c r="D656" s="77"/>
      <c r="E656" s="78"/>
      <c r="F656" s="138"/>
      <c r="G656" s="22"/>
      <c r="H656" s="79"/>
      <c r="I656" s="300"/>
    </row>
    <row r="657" spans="1:9" ht="16.5">
      <c r="A657" s="64"/>
      <c r="B657" s="188"/>
      <c r="C657" s="126">
        <v>5</v>
      </c>
      <c r="D657" s="63" t="s">
        <v>117</v>
      </c>
      <c r="E657" s="63"/>
      <c r="F657" s="151"/>
      <c r="G657" s="63"/>
      <c r="H657" s="63"/>
      <c r="I657" s="300"/>
    </row>
    <row r="658" spans="1:11" ht="59.25" customHeight="1">
      <c r="A658" s="64"/>
      <c r="B658" s="188"/>
      <c r="C658" s="62"/>
      <c r="D658" s="326" t="s">
        <v>46</v>
      </c>
      <c r="E658" s="326"/>
      <c r="F658" s="326"/>
      <c r="G658" s="109"/>
      <c r="H658" s="109"/>
      <c r="I658" s="300"/>
      <c r="K658" s="242" t="s">
        <v>114</v>
      </c>
    </row>
    <row r="659" spans="1:10" ht="12.75">
      <c r="A659" s="64">
        <f>A654+1</f>
        <v>355</v>
      </c>
      <c r="B659" s="188"/>
      <c r="C659" s="65"/>
      <c r="D659" s="66" t="s">
        <v>89</v>
      </c>
      <c r="E659" s="67" t="s">
        <v>47</v>
      </c>
      <c r="F659" s="148">
        <v>1</v>
      </c>
      <c r="G659" s="119">
        <f>+ESA_ESI!H81</f>
        <v>0</v>
      </c>
      <c r="H659" s="68">
        <f>F659*G659</f>
        <v>0</v>
      </c>
      <c r="I659" s="300" t="s">
        <v>97</v>
      </c>
      <c r="J659" s="230"/>
    </row>
    <row r="660" spans="1:9" ht="13.5" thickBot="1">
      <c r="A660" s="64">
        <f>A659+1</f>
        <v>356</v>
      </c>
      <c r="B660" s="188"/>
      <c r="C660" s="65"/>
      <c r="D660" s="66" t="s">
        <v>1095</v>
      </c>
      <c r="E660" s="67" t="s">
        <v>47</v>
      </c>
      <c r="F660" s="148">
        <v>1</v>
      </c>
      <c r="G660" s="119">
        <f>+ESA_ESI!H87</f>
        <v>0</v>
      </c>
      <c r="H660" s="68">
        <f>F660*G660</f>
        <v>0</v>
      </c>
      <c r="I660" s="300" t="s">
        <v>97</v>
      </c>
    </row>
    <row r="661" spans="1:11" ht="13.5" thickBot="1">
      <c r="A661" s="64"/>
      <c r="B661" s="188"/>
      <c r="C661" s="65"/>
      <c r="D661" s="83" t="s">
        <v>351</v>
      </c>
      <c r="E661" s="84"/>
      <c r="F661" s="154"/>
      <c r="G661" s="85"/>
      <c r="H661" s="76">
        <f>SUBTOTAL(9,H659:H660)</f>
        <v>0</v>
      </c>
      <c r="J661" s="108"/>
      <c r="K661" s="6"/>
    </row>
    <row r="662" spans="1:11" ht="14.25" customHeight="1">
      <c r="A662" s="64"/>
      <c r="B662" s="188"/>
      <c r="C662" s="65"/>
      <c r="D662" s="77"/>
      <c r="E662" s="78"/>
      <c r="F662" s="138"/>
      <c r="G662" s="22"/>
      <c r="H662" s="79"/>
      <c r="I662" s="300"/>
      <c r="J662" s="108"/>
      <c r="K662" s="6"/>
    </row>
    <row r="663" spans="3:11" ht="16.5">
      <c r="C663" s="62">
        <v>6</v>
      </c>
      <c r="D663" s="63" t="s">
        <v>6</v>
      </c>
      <c r="E663" s="63"/>
      <c r="F663" s="151"/>
      <c r="G663" s="63"/>
      <c r="H663" s="63"/>
      <c r="J663" s="108"/>
      <c r="K663" s="6"/>
    </row>
    <row r="664" spans="1:11" ht="13.5" thickBot="1">
      <c r="A664" s="64">
        <f>A660+1</f>
        <v>357</v>
      </c>
      <c r="B664" s="193" t="s">
        <v>555</v>
      </c>
      <c r="C664" s="65" t="s">
        <v>115</v>
      </c>
      <c r="D664" s="66" t="s">
        <v>556</v>
      </c>
      <c r="E664" s="67" t="s">
        <v>352</v>
      </c>
      <c r="F664" s="148">
        <v>1</v>
      </c>
      <c r="G664" s="203"/>
      <c r="H664" s="68">
        <f>F664*G664</f>
        <v>0</v>
      </c>
      <c r="I664" s="300" t="s">
        <v>100</v>
      </c>
      <c r="J664" s="108"/>
      <c r="K664" s="6"/>
    </row>
    <row r="665" spans="1:11" ht="13.5" thickBot="1">
      <c r="A665" s="64"/>
      <c r="B665" s="188"/>
      <c r="D665" s="83" t="s">
        <v>351</v>
      </c>
      <c r="E665" s="84"/>
      <c r="F665" s="154"/>
      <c r="G665" s="85"/>
      <c r="H665" s="99">
        <f>SUBTOTAL(9,H664:H664)</f>
        <v>0</v>
      </c>
      <c r="I665" s="300"/>
      <c r="J665" s="108"/>
      <c r="K665" s="6"/>
    </row>
    <row r="666" spans="1:11" ht="12.75">
      <c r="A666" s="64"/>
      <c r="B666" s="188"/>
      <c r="D666" s="77"/>
      <c r="E666" s="78"/>
      <c r="F666" s="138"/>
      <c r="G666" s="22"/>
      <c r="H666" s="79"/>
      <c r="I666" s="300"/>
      <c r="J666" s="108"/>
      <c r="K666" s="6"/>
    </row>
  </sheetData>
  <sheetProtection password="C578" sheet="1" selectLockedCells="1"/>
  <mergeCells count="26">
    <mergeCell ref="D658:F658"/>
    <mergeCell ref="D604:F604"/>
    <mergeCell ref="D215:F215"/>
    <mergeCell ref="D461:F461"/>
    <mergeCell ref="D480:F480"/>
    <mergeCell ref="D234:F234"/>
    <mergeCell ref="D111:H111"/>
    <mergeCell ref="D115:H115"/>
    <mergeCell ref="D127:H127"/>
    <mergeCell ref="D5:H5"/>
    <mergeCell ref="D6:H6"/>
    <mergeCell ref="G34:H34"/>
    <mergeCell ref="D7:H7"/>
    <mergeCell ref="D8:H8"/>
    <mergeCell ref="D9:H9"/>
    <mergeCell ref="D72:H72"/>
    <mergeCell ref="D651:F651"/>
    <mergeCell ref="D425:F425"/>
    <mergeCell ref="D403:F403"/>
    <mergeCell ref="D533:F533"/>
    <mergeCell ref="D568:F568"/>
    <mergeCell ref="D129:H129"/>
    <mergeCell ref="D392:F392"/>
    <mergeCell ref="D499:F499"/>
    <mergeCell ref="D343:F343"/>
    <mergeCell ref="D133:H133"/>
  </mergeCells>
  <conditionalFormatting sqref="E75:E76">
    <cfRule type="expression" priority="1" dxfId="3" stopIfTrue="1">
      <formula>ISTEXT(E75)</formula>
    </cfRule>
  </conditionalFormatting>
  <conditionalFormatting sqref="F75:H76">
    <cfRule type="expression" priority="2" dxfId="3" stopIfTrue="1">
      <formula>ISNUMBER(F75)</formula>
    </cfRule>
  </conditionalFormatting>
  <hyperlinks>
    <hyperlink ref="D14" location="Kapitola_2" display="Kapitola_2"/>
    <hyperlink ref="D13" location="Kapitola_1" display="Kapitola_1"/>
    <hyperlink ref="D182:H182" location="Rekapitulace_2" display="Stropní deska v úrovni terénu"/>
    <hyperlink ref="D32" location="Dokoncovaci_prace" display="Dokoncovaci_prace"/>
    <hyperlink ref="D133:H133" location="Rekapitulace_1" display="Bourací a přípravné práce"/>
    <hyperlink ref="D214:H214" location="Rekapitulace_2b" display="Živičné izolace"/>
    <hyperlink ref="D233:H233" location="Rekapitulace_2c" display="Povlakové izolace proti vodě"/>
    <hyperlink ref="D460:H460" location="Rekapitulace_2d" display="Izolace tepelné"/>
    <hyperlink ref="D479:H479" location="Rekapitulace_2e" display="Kanalizace"/>
    <hyperlink ref="D498:H498" location="Rekapitulace_2f" display="Konstrukce klempířské"/>
    <hyperlink ref="D16" location="Kapitola_2b" display="Kapitola_2b"/>
    <hyperlink ref="D17" location="Kapitola_2c" display="Kapitola_2c"/>
    <hyperlink ref="D24" location="Kapitola_2d" display="Kapitola_2d"/>
    <hyperlink ref="D25" location="Kapitola_2e" display="Kapitola_2e"/>
    <hyperlink ref="D26" location="Kapitola_2f" display="Kapitola_2f"/>
    <hyperlink ref="D30" location="Kapitola_2g" display="Kapitola_2g"/>
    <hyperlink ref="D650:H650" location="Rekapitulace_2g" display="Elektroinstalace - silnoproud"/>
    <hyperlink ref="D532:H532" location="Rekapitulace_2i" display="Vzduchotechnika"/>
    <hyperlink ref="D657:H657" location="Rekapitulace_2h" display="Elektroinstalace - slaboproud"/>
    <hyperlink ref="D342:H342" location="Rekapitulace_2j" display="Konstrukce truhlářské"/>
    <hyperlink ref="D391:H391" location="Rekapitulace_2k" display="Konstrukce zámečnické"/>
    <hyperlink ref="D402:H402" location="Rekapitulace_2l" display="Podlahy z dlaždic"/>
    <hyperlink ref="D424:H424" location="Rekapitulace_2m" display="Podlahy povlakové"/>
    <hyperlink ref="D31" location="Kapitola_2h" display="Kapitola_2h"/>
    <hyperlink ref="D27" location="Kapitola_2i" display="Kapitola_2i"/>
    <hyperlink ref="D18" location="Kapitola_2j" display="Kapitola_2j"/>
    <hyperlink ref="D19" location="Kapitola_2k" display="Kapitola_2k"/>
    <hyperlink ref="D20" location="Kapitola_2l" display="Kapitola_2l"/>
    <hyperlink ref="D21" location="Kapitola_2m" display="Kapitola_2m"/>
    <hyperlink ref="D663:H663" location="Rekapitulace_Dokončovací_práce" display="Dokončovací práce"/>
    <hyperlink ref="D567:H567" location="Rekapitulace_2h" display="Elektroinstalace - slaboproud"/>
    <hyperlink ref="D603:H603" location="Rekapitulace_2h" display="Elektroinstalace - slaboproud"/>
    <hyperlink ref="D444:H444" location="Rekapitulace_2d" display="Izolace tepelné"/>
    <hyperlink ref="K327" r:id="rId1" display="https://www.siko.cz/lista-ukoncovaci-l-hlinik-10-mm-250-cm-al10250/p/AL10250?gclid=EAIaIQobChMIsYDCpJ7F6QIVie3tCh0zFQanEAAYAyAAEgKzu_D_BwE"/>
    <hyperlink ref="K326" r:id="rId2" display="https://www.siko.cz/lista-ukoncovaci-l-kartacovana-nerez-10-mm-250-cm-nrzk10250/p/NRZK10250"/>
    <hyperlink ref="K440" r:id="rId3" display="https://www.floorwood.cz/prechodova-lista-sroubovaci-obla-stribrna-e01/"/>
    <hyperlink ref="K472" r:id="rId4" display="https://ok-levne.cz/hl138-podomitkovy-sifon-ke-klimatizacnim-jednotkam-dn32-100x100mm.html"/>
    <hyperlink ref="K501" r:id="rId5" display="https://www.siko.cz/umyvadlo-jika-lyra-plus-60x49-cm-otvor-pro-baterii-uprostred-h8143830001041/p/1438.3.000.104.1"/>
    <hyperlink ref="K387" r:id="rId6" display="https://www.svet-koupelny.cz/keramia-fresh/zoja-keramia-fresh-galerka-s-halogenovym-osvetlenim-60x60x14cm-dub-platin-lev-45027/aqualine/"/>
    <hyperlink ref="K385" r:id="rId7" display="https://www.datart.cz/Vestavna-trouba-MORA-VT-433-BW.html?gclid=EAIaIQobChMIpMnpia_H6QIVGofVCh2towCrEAAYASAAEgKGBfD_BwE"/>
    <hyperlink ref="K384" r:id="rId8" display="https://www.mall.cz/plynove-varne-desky/concept-pdv7460bc?gclid=EAIaIQobChMI0evMsq_H6QIVgYxRCh0KAAVIEAAYASAAEgLB8fD_BwE"/>
    <hyperlink ref="D106" location="Doplňky_dodavatele" display="Doplňky dodavatele"/>
    <hyperlink ref="K321" r:id="rId9" display="https://www.keramikasoukup.cz/katalog/maioliche"/>
    <hyperlink ref="K436" r:id="rId10" display="https://iparador.cz/drevene-podlahy/2345-parador-trendtime-8-dub-limed-handcrafted-4v-trivrstva-drevena-podlaha-plovouci.html"/>
    <hyperlink ref="K363" r:id="rId11" display="https://www.google.com/url?sa=t&amp;rct=j&amp;q=&amp;esrc=s&amp;source=web&amp;cd=&amp;ved=2ahUKEwjK3oKc6-DqAhVMm6QKHTz4AlwQFjACegQIBBAB&amp;url=http%3A%2F%2Falertservis.cz%2Fassets%2Fcenik_bezpecnostni_dvere_2015.pdf&amp;usg=AOvVaw1h0oKErv61qShOgqKb2xiw"/>
    <hyperlink ref="K366" r:id="rId12" display="https://www.spalensky.com/e/ostatni-drevene-vyrobky-676/dverni-prahy-971/?page=1&amp;sort=title&amp;parameters=2582"/>
    <hyperlink ref="K365" r:id="rId13" display="https://www.next.cz/bezpecnostni-dvere-sd-101"/>
    <hyperlink ref="K527" r:id="rId14" display="https://www.vodo-plasttop.cz/podomitkova-zapachova-uzaverka-hl405-sifon-prackovy"/>
    <hyperlink ref="K509" r:id="rId15" display="https://www.siko.cz/sprchova-vanicka-ctvrtkruhova-ravak-chrome-90x90-cm-lity-mramor-xa247701010/p/EL90PROCHROM0"/>
    <hyperlink ref="K510" r:id="rId16" display="https://www.koupelny-sen.cz/vanickovy-sifon-prumer-otvoru-90-mm-dn50-krytka-lestena-nerez-ewn0850"/>
    <hyperlink ref="K511" r:id="rId17" display="https://www.siko.cz/sprchovy-kout-ctvrtkruh-90x90x200-cm-roth-proxima-line-chrom-leskly-539-9000000-00-02/p/539-9000000-00-02"/>
    <hyperlink ref="K590" r:id="rId18" display="https://instalcentrum.eu/produkt-5029/korado-koralux-koupelnovy-zebrik-klc-1820500/"/>
    <hyperlink ref="K626" r:id="rId19" display="https://kotle.heureka.cz/vaillant-vuw-246-5-5-ecotec-plus/specifikace/#section"/>
    <hyperlink ref="K643" r:id="rId20" display="https://www.levnekominy.cz/tloustka-materialu-2x-0-12-mm/flexi-nerez-dn-130-plyn-tl-2x-0-12mm"/>
  </hyperlinks>
  <printOptions horizontalCentered="1"/>
  <pageMargins left="0.3937007874015748" right="0.3937007874015748" top="0.7874015748031497" bottom="0.7874015748031497" header="0.3937007874015748" footer="0.3937007874015748"/>
  <pageSetup fitToHeight="0" fitToWidth="1" horizontalDpi="600" verticalDpi="600" orientation="portrait" paperSize="9" scale="66" r:id="rId21"/>
  <headerFooter alignWithMargins="0">
    <oddHeader xml:space="preserve">&amp;R
 </oddHeader>
    <oddFooter>&amp;CStránka &amp;P z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103"/>
  <sheetViews>
    <sheetView zoomScalePageLayoutView="130" workbookViewId="0" topLeftCell="A34">
      <selection activeCell="K67" sqref="K67"/>
    </sheetView>
  </sheetViews>
  <sheetFormatPr defaultColWidth="9.00390625" defaultRowHeight="12.75"/>
  <cols>
    <col min="1" max="1" width="4.75390625" style="113" customWidth="1"/>
    <col min="2" max="2" width="11.875" style="113" customWidth="1"/>
    <col min="3" max="3" width="44.125" style="0" customWidth="1"/>
    <col min="4" max="4" width="4.625" style="0" customWidth="1"/>
    <col min="5" max="5" width="5.625" style="0" customWidth="1"/>
    <col min="6" max="6" width="9.75390625" style="0" customWidth="1"/>
    <col min="7" max="7" width="11.25390625" style="0" customWidth="1"/>
    <col min="8" max="8" width="10.375" style="0" customWidth="1"/>
    <col min="9" max="9" width="2.75390625" style="0" customWidth="1"/>
    <col min="10" max="10" width="0" style="0" hidden="1" customWidth="1"/>
    <col min="11" max="11" width="12.125" style="310" customWidth="1"/>
  </cols>
  <sheetData>
    <row r="1" spans="1:11" s="1" customFormat="1" ht="21" customHeight="1">
      <c r="A1" s="163"/>
      <c r="B1" s="163"/>
      <c r="C1" s="349" t="s">
        <v>773</v>
      </c>
      <c r="D1" s="349"/>
      <c r="E1" s="350"/>
      <c r="F1" s="350"/>
      <c r="G1" s="350"/>
      <c r="H1" s="350"/>
      <c r="I1" s="350"/>
      <c r="J1" s="350"/>
      <c r="K1" s="324"/>
    </row>
    <row r="2" spans="1:11" s="1" customFormat="1" ht="24" customHeight="1">
      <c r="A2" s="164"/>
      <c r="B2" s="164"/>
      <c r="C2" s="165" t="s">
        <v>50</v>
      </c>
      <c r="K2" s="324"/>
    </row>
    <row r="3" spans="1:11" s="1" customFormat="1" ht="16.5" customHeight="1">
      <c r="A3" s="164"/>
      <c r="B3" s="164"/>
      <c r="C3" s="166" t="s">
        <v>51</v>
      </c>
      <c r="K3" s="324"/>
    </row>
    <row r="4" spans="1:11" s="1" customFormat="1" ht="11.25">
      <c r="A4" s="164"/>
      <c r="B4" s="164" t="s">
        <v>52</v>
      </c>
      <c r="C4" s="167" t="s">
        <v>53</v>
      </c>
      <c r="E4" s="164" t="s">
        <v>355</v>
      </c>
      <c r="F4" s="164" t="s">
        <v>54</v>
      </c>
      <c r="G4" s="164" t="s">
        <v>55</v>
      </c>
      <c r="H4" s="164" t="s">
        <v>356</v>
      </c>
      <c r="I4" s="164"/>
      <c r="J4" s="1" t="s">
        <v>428</v>
      </c>
      <c r="K4" s="325" t="s">
        <v>1128</v>
      </c>
    </row>
    <row r="5" spans="1:11" s="1" customFormat="1" ht="13.5" customHeight="1">
      <c r="A5" s="164">
        <v>1</v>
      </c>
      <c r="B5" s="164">
        <v>210201064</v>
      </c>
      <c r="C5" s="1" t="s">
        <v>56</v>
      </c>
      <c r="D5" s="1" t="s">
        <v>352</v>
      </c>
      <c r="E5" s="1">
        <v>9</v>
      </c>
      <c r="F5" s="323"/>
      <c r="G5" s="323"/>
      <c r="H5" s="168">
        <f>(F5+G5)*E5</f>
        <v>0</v>
      </c>
      <c r="I5" s="168"/>
      <c r="J5" s="1">
        <f>E5*F5</f>
        <v>0</v>
      </c>
      <c r="K5" s="324"/>
    </row>
    <row r="6" spans="1:11" s="1" customFormat="1" ht="13.5" customHeight="1">
      <c r="A6" s="164">
        <f>A5+1</f>
        <v>2</v>
      </c>
      <c r="B6" s="164">
        <v>210201064</v>
      </c>
      <c r="C6" s="1" t="s">
        <v>774</v>
      </c>
      <c r="D6" s="1" t="s">
        <v>352</v>
      </c>
      <c r="E6" s="1">
        <v>4</v>
      </c>
      <c r="F6" s="323"/>
      <c r="G6" s="323"/>
      <c r="H6" s="168">
        <f aca="true" t="shared" si="0" ref="H6:H42">(F6+G6)*E6</f>
        <v>0</v>
      </c>
      <c r="I6" s="168"/>
      <c r="J6" s="1">
        <f aca="true" t="shared" si="1" ref="J6:J42">E6*F6</f>
        <v>0</v>
      </c>
      <c r="K6" s="324"/>
    </row>
    <row r="7" spans="1:11" s="1" customFormat="1" ht="13.5" customHeight="1">
      <c r="A7" s="164">
        <f aca="true" t="shared" si="2" ref="A7:A42">A6+1</f>
        <v>3</v>
      </c>
      <c r="B7" s="164">
        <v>210201064</v>
      </c>
      <c r="C7" s="1" t="s">
        <v>429</v>
      </c>
      <c r="D7" s="1" t="s">
        <v>352</v>
      </c>
      <c r="E7" s="1">
        <v>1</v>
      </c>
      <c r="F7" s="323"/>
      <c r="G7" s="323"/>
      <c r="H7" s="168">
        <f t="shared" si="0"/>
        <v>0</v>
      </c>
      <c r="I7" s="168"/>
      <c r="K7" s="324"/>
    </row>
    <row r="8" spans="1:11" s="1" customFormat="1" ht="13.5" customHeight="1">
      <c r="A8" s="164">
        <f t="shared" si="2"/>
        <v>4</v>
      </c>
      <c r="B8" s="164">
        <v>210111011</v>
      </c>
      <c r="C8" s="1" t="s">
        <v>58</v>
      </c>
      <c r="D8" s="1" t="s">
        <v>352</v>
      </c>
      <c r="E8" s="1">
        <v>40</v>
      </c>
      <c r="F8" s="323"/>
      <c r="G8" s="323"/>
      <c r="H8" s="168">
        <f t="shared" si="0"/>
        <v>0</v>
      </c>
      <c r="I8" s="168"/>
      <c r="J8" s="1">
        <f t="shared" si="1"/>
        <v>0</v>
      </c>
      <c r="K8" s="324"/>
    </row>
    <row r="9" spans="1:11" s="1" customFormat="1" ht="13.5" customHeight="1">
      <c r="A9" s="164">
        <f t="shared" si="2"/>
        <v>5</v>
      </c>
      <c r="B9" s="164">
        <v>210111011</v>
      </c>
      <c r="C9" s="1" t="s">
        <v>59</v>
      </c>
      <c r="D9" s="1" t="s">
        <v>352</v>
      </c>
      <c r="E9" s="1">
        <v>3</v>
      </c>
      <c r="F9" s="323"/>
      <c r="G9" s="323"/>
      <c r="H9" s="168">
        <f t="shared" si="0"/>
        <v>0</v>
      </c>
      <c r="I9" s="168"/>
      <c r="K9" s="324"/>
    </row>
    <row r="10" spans="1:11" s="1" customFormat="1" ht="13.5" customHeight="1">
      <c r="A10" s="164">
        <f t="shared" si="2"/>
        <v>6</v>
      </c>
      <c r="B10" s="164">
        <v>210110001</v>
      </c>
      <c r="C10" s="1" t="s">
        <v>60</v>
      </c>
      <c r="D10" s="1" t="s">
        <v>352</v>
      </c>
      <c r="E10" s="1">
        <v>7</v>
      </c>
      <c r="F10" s="323"/>
      <c r="G10" s="323"/>
      <c r="H10" s="168">
        <f t="shared" si="0"/>
        <v>0</v>
      </c>
      <c r="I10" s="168"/>
      <c r="J10" s="1">
        <f t="shared" si="1"/>
        <v>0</v>
      </c>
      <c r="K10" s="324"/>
    </row>
    <row r="11" spans="1:11" s="1" customFormat="1" ht="13.5" customHeight="1">
      <c r="A11" s="164">
        <f t="shared" si="2"/>
        <v>7</v>
      </c>
      <c r="B11" s="164">
        <v>210110003</v>
      </c>
      <c r="C11" s="1" t="s">
        <v>430</v>
      </c>
      <c r="D11" s="1" t="s">
        <v>352</v>
      </c>
      <c r="E11" s="1">
        <v>1</v>
      </c>
      <c r="F11" s="323"/>
      <c r="G11" s="323"/>
      <c r="H11" s="168">
        <f t="shared" si="0"/>
        <v>0</v>
      </c>
      <c r="I11" s="168"/>
      <c r="J11" s="1">
        <f t="shared" si="1"/>
        <v>0</v>
      </c>
      <c r="K11" s="324"/>
    </row>
    <row r="12" spans="1:11" s="1" customFormat="1" ht="13.5" customHeight="1">
      <c r="A12" s="164">
        <f t="shared" si="2"/>
        <v>8</v>
      </c>
      <c r="B12" s="164">
        <v>210110045</v>
      </c>
      <c r="C12" s="1" t="s">
        <v>216</v>
      </c>
      <c r="D12" s="1" t="s">
        <v>352</v>
      </c>
      <c r="E12" s="1">
        <v>10</v>
      </c>
      <c r="F12" s="323"/>
      <c r="G12" s="323"/>
      <c r="H12" s="168">
        <f>(F12+G12)*E12</f>
        <v>0</v>
      </c>
      <c r="I12" s="168"/>
      <c r="J12" s="1">
        <f t="shared" si="1"/>
        <v>0</v>
      </c>
      <c r="K12" s="324"/>
    </row>
    <row r="13" spans="1:11" s="1" customFormat="1" ht="13.5" customHeight="1">
      <c r="A13" s="164">
        <f t="shared" si="2"/>
        <v>9</v>
      </c>
      <c r="B13" s="164">
        <v>210110046</v>
      </c>
      <c r="C13" s="1" t="s">
        <v>431</v>
      </c>
      <c r="D13" s="1" t="s">
        <v>352</v>
      </c>
      <c r="E13" s="1">
        <v>4</v>
      </c>
      <c r="F13" s="323"/>
      <c r="G13" s="323"/>
      <c r="H13" s="168">
        <f>(F13+G13)*E13</f>
        <v>0</v>
      </c>
      <c r="I13" s="168"/>
      <c r="K13" s="324"/>
    </row>
    <row r="14" spans="1:11" s="1" customFormat="1" ht="13.5" customHeight="1">
      <c r="A14" s="164">
        <f t="shared" si="2"/>
        <v>10</v>
      </c>
      <c r="B14" s="164" t="s">
        <v>57</v>
      </c>
      <c r="C14" s="1" t="s">
        <v>61</v>
      </c>
      <c r="D14" s="1" t="s">
        <v>352</v>
      </c>
      <c r="E14" s="1">
        <v>45</v>
      </c>
      <c r="F14" s="323"/>
      <c r="G14" s="323"/>
      <c r="H14" s="168">
        <f t="shared" si="0"/>
        <v>0</v>
      </c>
      <c r="I14" s="168"/>
      <c r="J14" s="1">
        <f t="shared" si="1"/>
        <v>0</v>
      </c>
      <c r="K14" s="324"/>
    </row>
    <row r="15" spans="1:11" s="1" customFormat="1" ht="13.5" customHeight="1">
      <c r="A15" s="164">
        <f t="shared" si="2"/>
        <v>11</v>
      </c>
      <c r="B15" s="164" t="s">
        <v>57</v>
      </c>
      <c r="C15" s="1" t="s">
        <v>62</v>
      </c>
      <c r="D15" s="1" t="s">
        <v>352</v>
      </c>
      <c r="E15" s="1">
        <v>8</v>
      </c>
      <c r="F15" s="323"/>
      <c r="G15" s="323"/>
      <c r="H15" s="168">
        <f t="shared" si="0"/>
        <v>0</v>
      </c>
      <c r="I15" s="168"/>
      <c r="J15" s="1">
        <f t="shared" si="1"/>
        <v>0</v>
      </c>
      <c r="K15" s="324"/>
    </row>
    <row r="16" spans="1:13" s="1" customFormat="1" ht="13.5" customHeight="1">
      <c r="A16" s="164">
        <f t="shared" si="2"/>
        <v>12</v>
      </c>
      <c r="B16" s="164" t="s">
        <v>57</v>
      </c>
      <c r="C16" s="169" t="s">
        <v>217</v>
      </c>
      <c r="D16" s="1" t="s">
        <v>352</v>
      </c>
      <c r="E16" s="169">
        <v>4</v>
      </c>
      <c r="F16" s="323"/>
      <c r="G16" s="323"/>
      <c r="H16" s="168">
        <f t="shared" si="0"/>
        <v>0</v>
      </c>
      <c r="I16" s="168"/>
      <c r="J16" s="1">
        <f t="shared" si="1"/>
        <v>0</v>
      </c>
      <c r="K16" s="324"/>
      <c r="M16" s="169"/>
    </row>
    <row r="17" spans="1:13" s="1" customFormat="1" ht="13.5" customHeight="1">
      <c r="A17" s="164">
        <f t="shared" si="2"/>
        <v>13</v>
      </c>
      <c r="B17" s="164" t="s">
        <v>57</v>
      </c>
      <c r="C17" s="169" t="s">
        <v>432</v>
      </c>
      <c r="D17" s="1" t="s">
        <v>352</v>
      </c>
      <c r="E17" s="169">
        <v>1</v>
      </c>
      <c r="F17" s="323"/>
      <c r="G17" s="323"/>
      <c r="H17" s="168">
        <f t="shared" si="0"/>
        <v>0</v>
      </c>
      <c r="I17" s="168"/>
      <c r="K17" s="324"/>
      <c r="M17" s="169"/>
    </row>
    <row r="18" spans="1:11" s="1" customFormat="1" ht="13.5" customHeight="1">
      <c r="A18" s="164">
        <f t="shared" si="2"/>
        <v>14</v>
      </c>
      <c r="B18" s="164">
        <v>210220321</v>
      </c>
      <c r="C18" s="1" t="s">
        <v>119</v>
      </c>
      <c r="D18" s="1" t="s">
        <v>352</v>
      </c>
      <c r="E18" s="1">
        <v>2</v>
      </c>
      <c r="F18" s="323"/>
      <c r="G18" s="323"/>
      <c r="H18" s="168">
        <f t="shared" si="0"/>
        <v>0</v>
      </c>
      <c r="I18" s="168"/>
      <c r="J18" s="1">
        <f t="shared" si="1"/>
        <v>0</v>
      </c>
      <c r="K18" s="324"/>
    </row>
    <row r="19" spans="1:11" s="1" customFormat="1" ht="13.5" customHeight="1">
      <c r="A19" s="164">
        <f t="shared" si="2"/>
        <v>15</v>
      </c>
      <c r="B19" s="164">
        <v>210010301</v>
      </c>
      <c r="C19" s="1" t="s">
        <v>63</v>
      </c>
      <c r="D19" s="1" t="s">
        <v>352</v>
      </c>
      <c r="E19" s="1">
        <v>68</v>
      </c>
      <c r="F19" s="323"/>
      <c r="G19" s="323"/>
      <c r="H19" s="168">
        <f t="shared" si="0"/>
        <v>0</v>
      </c>
      <c r="I19" s="168"/>
      <c r="J19" s="1">
        <f t="shared" si="1"/>
        <v>0</v>
      </c>
      <c r="K19" s="324"/>
    </row>
    <row r="20" spans="1:11" s="1" customFormat="1" ht="13.5" customHeight="1">
      <c r="A20" s="164">
        <f t="shared" si="2"/>
        <v>16</v>
      </c>
      <c r="B20" s="164">
        <v>210010321</v>
      </c>
      <c r="C20" s="1" t="s">
        <v>120</v>
      </c>
      <c r="D20" s="1" t="s">
        <v>352</v>
      </c>
      <c r="E20" s="1">
        <v>10</v>
      </c>
      <c r="F20" s="323"/>
      <c r="G20" s="323"/>
      <c r="H20" s="168">
        <f t="shared" si="0"/>
        <v>0</v>
      </c>
      <c r="I20" s="168"/>
      <c r="J20" s="1">
        <f t="shared" si="1"/>
        <v>0</v>
      </c>
      <c r="K20" s="324"/>
    </row>
    <row r="21" spans="1:11" s="1" customFormat="1" ht="13.5" customHeight="1">
      <c r="A21" s="164">
        <f t="shared" si="2"/>
        <v>17</v>
      </c>
      <c r="B21" s="164">
        <v>211010011</v>
      </c>
      <c r="C21" s="1" t="s">
        <v>64</v>
      </c>
      <c r="D21" s="1" t="s">
        <v>352</v>
      </c>
      <c r="E21" s="1">
        <v>30</v>
      </c>
      <c r="F21" s="323"/>
      <c r="G21" s="323"/>
      <c r="H21" s="168">
        <f t="shared" si="0"/>
        <v>0</v>
      </c>
      <c r="I21" s="168"/>
      <c r="J21" s="1">
        <f t="shared" si="1"/>
        <v>0</v>
      </c>
      <c r="K21" s="324"/>
    </row>
    <row r="22" spans="1:11" s="1" customFormat="1" ht="13.5" customHeight="1">
      <c r="A22" s="164">
        <f t="shared" si="2"/>
        <v>18</v>
      </c>
      <c r="B22" s="164">
        <v>210800024</v>
      </c>
      <c r="C22" s="1" t="s">
        <v>218</v>
      </c>
      <c r="D22" s="1" t="s">
        <v>353</v>
      </c>
      <c r="E22" s="1">
        <v>390</v>
      </c>
      <c r="F22" s="323"/>
      <c r="G22" s="323"/>
      <c r="H22" s="168">
        <f t="shared" si="0"/>
        <v>0</v>
      </c>
      <c r="I22" s="168"/>
      <c r="J22" s="1">
        <f t="shared" si="1"/>
        <v>0</v>
      </c>
      <c r="K22" s="324"/>
    </row>
    <row r="23" spans="1:11" s="1" customFormat="1" ht="13.5" customHeight="1">
      <c r="A23" s="164">
        <f t="shared" si="2"/>
        <v>19</v>
      </c>
      <c r="B23" s="164">
        <v>210800022</v>
      </c>
      <c r="C23" s="1" t="s">
        <v>219</v>
      </c>
      <c r="D23" s="1" t="s">
        <v>353</v>
      </c>
      <c r="E23" s="1">
        <v>40</v>
      </c>
      <c r="F23" s="323"/>
      <c r="G23" s="323"/>
      <c r="H23" s="168">
        <f t="shared" si="0"/>
        <v>0</v>
      </c>
      <c r="I23" s="168"/>
      <c r="J23" s="1">
        <f t="shared" si="1"/>
        <v>0</v>
      </c>
      <c r="K23" s="324"/>
    </row>
    <row r="24" spans="1:11" s="1" customFormat="1" ht="13.5" customHeight="1">
      <c r="A24" s="164">
        <f t="shared" si="2"/>
        <v>20</v>
      </c>
      <c r="B24" s="164">
        <v>210800023</v>
      </c>
      <c r="C24" s="1" t="s">
        <v>220</v>
      </c>
      <c r="D24" s="1" t="s">
        <v>353</v>
      </c>
      <c r="E24" s="1">
        <v>40</v>
      </c>
      <c r="F24" s="323"/>
      <c r="G24" s="323"/>
      <c r="H24" s="168">
        <f t="shared" si="0"/>
        <v>0</v>
      </c>
      <c r="I24" s="168"/>
      <c r="J24" s="1">
        <f t="shared" si="1"/>
        <v>0</v>
      </c>
      <c r="K24" s="324"/>
    </row>
    <row r="25" spans="1:11" s="1" customFormat="1" ht="13.5" customHeight="1">
      <c r="A25" s="164">
        <f t="shared" si="2"/>
        <v>21</v>
      </c>
      <c r="B25" s="164">
        <v>210800023</v>
      </c>
      <c r="C25" s="1" t="s">
        <v>221</v>
      </c>
      <c r="D25" s="1" t="s">
        <v>353</v>
      </c>
      <c r="E25" s="1">
        <v>140</v>
      </c>
      <c r="F25" s="323"/>
      <c r="G25" s="323"/>
      <c r="H25" s="168">
        <f t="shared" si="0"/>
        <v>0</v>
      </c>
      <c r="I25" s="168"/>
      <c r="J25" s="1">
        <f t="shared" si="1"/>
        <v>0</v>
      </c>
      <c r="K25" s="324"/>
    </row>
    <row r="26" spans="1:11" s="1" customFormat="1" ht="13.5" customHeight="1">
      <c r="A26" s="164">
        <f t="shared" si="2"/>
        <v>22</v>
      </c>
      <c r="B26" s="164">
        <v>210810115</v>
      </c>
      <c r="C26" s="1" t="s">
        <v>222</v>
      </c>
      <c r="D26" s="1" t="s">
        <v>353</v>
      </c>
      <c r="E26" s="1">
        <v>60</v>
      </c>
      <c r="F26" s="323"/>
      <c r="G26" s="323"/>
      <c r="H26" s="168">
        <f t="shared" si="0"/>
        <v>0</v>
      </c>
      <c r="I26" s="168"/>
      <c r="J26" s="1">
        <f t="shared" si="1"/>
        <v>0</v>
      </c>
      <c r="K26" s="324"/>
    </row>
    <row r="27" spans="1:11" s="1" customFormat="1" ht="13.5" customHeight="1">
      <c r="A27" s="164">
        <f t="shared" si="2"/>
        <v>23</v>
      </c>
      <c r="B27" s="164">
        <v>210800506</v>
      </c>
      <c r="C27" s="1" t="s">
        <v>65</v>
      </c>
      <c r="D27" s="1" t="s">
        <v>353</v>
      </c>
      <c r="E27" s="1">
        <v>20</v>
      </c>
      <c r="F27" s="323"/>
      <c r="G27" s="323"/>
      <c r="H27" s="168">
        <f t="shared" si="0"/>
        <v>0</v>
      </c>
      <c r="I27" s="168"/>
      <c r="J27" s="1">
        <f t="shared" si="1"/>
        <v>0</v>
      </c>
      <c r="K27" s="324"/>
    </row>
    <row r="28" spans="1:11" s="1" customFormat="1" ht="12.75" customHeight="1">
      <c r="A28" s="164">
        <f t="shared" si="2"/>
        <v>24</v>
      </c>
      <c r="B28" s="164">
        <v>210190001</v>
      </c>
      <c r="C28" s="1" t="s">
        <v>66</v>
      </c>
      <c r="D28" s="1" t="s">
        <v>352</v>
      </c>
      <c r="E28" s="1">
        <v>1</v>
      </c>
      <c r="F28" s="168"/>
      <c r="G28" s="323"/>
      <c r="H28" s="168">
        <f t="shared" si="0"/>
        <v>0</v>
      </c>
      <c r="I28" s="168"/>
      <c r="J28" s="1">
        <f t="shared" si="1"/>
        <v>0</v>
      </c>
      <c r="K28" s="324"/>
    </row>
    <row r="29" spans="1:11" s="1" customFormat="1" ht="12.75" customHeight="1">
      <c r="A29" s="164">
        <f t="shared" si="2"/>
        <v>25</v>
      </c>
      <c r="B29" s="164">
        <v>210800113</v>
      </c>
      <c r="C29" s="1" t="s">
        <v>775</v>
      </c>
      <c r="D29" s="1" t="s">
        <v>353</v>
      </c>
      <c r="E29" s="1">
        <v>8</v>
      </c>
      <c r="F29" s="323"/>
      <c r="G29" s="323"/>
      <c r="H29" s="168">
        <f t="shared" si="0"/>
        <v>0</v>
      </c>
      <c r="I29" s="168"/>
      <c r="J29" s="1">
        <f t="shared" si="1"/>
        <v>0</v>
      </c>
      <c r="K29" s="324"/>
    </row>
    <row r="30" spans="1:11" s="1" customFormat="1" ht="12.75" customHeight="1">
      <c r="A30" s="164">
        <f t="shared" si="2"/>
        <v>26</v>
      </c>
      <c r="B30" s="164">
        <v>210800506</v>
      </c>
      <c r="C30" s="1" t="s">
        <v>776</v>
      </c>
      <c r="D30" s="1" t="s">
        <v>353</v>
      </c>
      <c r="E30" s="1">
        <v>8</v>
      </c>
      <c r="F30" s="323"/>
      <c r="G30" s="323"/>
      <c r="H30" s="168">
        <f t="shared" si="0"/>
        <v>0</v>
      </c>
      <c r="I30" s="168"/>
      <c r="J30" s="1">
        <f t="shared" si="1"/>
        <v>0</v>
      </c>
      <c r="K30" s="324"/>
    </row>
    <row r="31" spans="1:11" s="1" customFormat="1" ht="12.75" customHeight="1">
      <c r="A31" s="164">
        <f t="shared" si="2"/>
        <v>27</v>
      </c>
      <c r="B31" s="164">
        <v>210110081</v>
      </c>
      <c r="C31" s="1" t="s">
        <v>777</v>
      </c>
      <c r="D31" s="1" t="s">
        <v>352</v>
      </c>
      <c r="E31" s="1">
        <v>1</v>
      </c>
      <c r="F31" s="323"/>
      <c r="G31" s="323"/>
      <c r="H31" s="168">
        <f t="shared" si="0"/>
        <v>0</v>
      </c>
      <c r="I31" s="168"/>
      <c r="K31" s="324"/>
    </row>
    <row r="32" spans="1:11" s="1" customFormat="1" ht="12.75" customHeight="1">
      <c r="A32" s="164">
        <f t="shared" si="2"/>
        <v>28</v>
      </c>
      <c r="B32" s="164">
        <v>210292041</v>
      </c>
      <c r="C32" s="1" t="s">
        <v>67</v>
      </c>
      <c r="D32" s="1" t="s">
        <v>352</v>
      </c>
      <c r="E32" s="1">
        <v>40</v>
      </c>
      <c r="F32" s="168"/>
      <c r="G32" s="323"/>
      <c r="H32" s="168">
        <f t="shared" si="0"/>
        <v>0</v>
      </c>
      <c r="I32" s="168"/>
      <c r="J32" s="1">
        <f t="shared" si="1"/>
        <v>0</v>
      </c>
      <c r="K32" s="324"/>
    </row>
    <row r="33" spans="1:11" s="1" customFormat="1" ht="12.75" customHeight="1">
      <c r="A33" s="164">
        <f t="shared" si="2"/>
        <v>29</v>
      </c>
      <c r="B33" s="164">
        <v>210100001</v>
      </c>
      <c r="C33" s="1" t="s">
        <v>121</v>
      </c>
      <c r="D33" s="1" t="s">
        <v>352</v>
      </c>
      <c r="E33" s="1">
        <v>40</v>
      </c>
      <c r="F33" s="168"/>
      <c r="G33" s="323"/>
      <c r="H33" s="168">
        <f t="shared" si="0"/>
        <v>0</v>
      </c>
      <c r="I33" s="168"/>
      <c r="J33" s="1">
        <f t="shared" si="1"/>
        <v>0</v>
      </c>
      <c r="K33" s="324"/>
    </row>
    <row r="34" spans="1:11" s="1" customFormat="1" ht="12.75" customHeight="1">
      <c r="A34" s="164">
        <f t="shared" si="2"/>
        <v>30</v>
      </c>
      <c r="B34" s="164">
        <v>210100281</v>
      </c>
      <c r="C34" s="1" t="s">
        <v>223</v>
      </c>
      <c r="D34" s="1" t="s">
        <v>352</v>
      </c>
      <c r="E34" s="1">
        <v>2</v>
      </c>
      <c r="F34" s="168"/>
      <c r="G34" s="323"/>
      <c r="H34" s="168">
        <f t="shared" si="0"/>
        <v>0</v>
      </c>
      <c r="I34" s="168"/>
      <c r="J34" s="1">
        <f t="shared" si="1"/>
        <v>0</v>
      </c>
      <c r="K34" s="324"/>
    </row>
    <row r="35" spans="1:11" s="1" customFormat="1" ht="12.75" customHeight="1">
      <c r="A35" s="164">
        <f t="shared" si="2"/>
        <v>31</v>
      </c>
      <c r="B35" s="164">
        <v>974051215</v>
      </c>
      <c r="C35" s="1" t="s">
        <v>224</v>
      </c>
      <c r="D35" s="1" t="s">
        <v>353</v>
      </c>
      <c r="E35" s="1">
        <v>240</v>
      </c>
      <c r="F35" s="168"/>
      <c r="G35" s="323"/>
      <c r="H35" s="168">
        <f t="shared" si="0"/>
        <v>0</v>
      </c>
      <c r="I35" s="168"/>
      <c r="J35" s="1">
        <f t="shared" si="1"/>
        <v>0</v>
      </c>
      <c r="K35" s="324"/>
    </row>
    <row r="36" spans="1:11" s="1" customFormat="1" ht="12.75" customHeight="1">
      <c r="A36" s="164">
        <f t="shared" si="2"/>
        <v>32</v>
      </c>
      <c r="B36" s="164">
        <v>974052513</v>
      </c>
      <c r="C36" s="1" t="s">
        <v>225</v>
      </c>
      <c r="D36" s="1" t="s">
        <v>353</v>
      </c>
      <c r="E36" s="1">
        <v>1</v>
      </c>
      <c r="F36" s="168"/>
      <c r="G36" s="323"/>
      <c r="H36" s="168">
        <f>(F36+G36)*E36</f>
        <v>0</v>
      </c>
      <c r="I36" s="168"/>
      <c r="K36" s="324"/>
    </row>
    <row r="37" spans="1:11" s="1" customFormat="1" ht="12.75" customHeight="1">
      <c r="A37" s="164">
        <f t="shared" si="2"/>
        <v>33</v>
      </c>
      <c r="B37" s="164">
        <v>210040721</v>
      </c>
      <c r="C37" s="1" t="s">
        <v>122</v>
      </c>
      <c r="D37" s="1" t="s">
        <v>352</v>
      </c>
      <c r="E37" s="1">
        <v>10</v>
      </c>
      <c r="F37" s="168"/>
      <c r="G37" s="323"/>
      <c r="H37" s="168">
        <f t="shared" si="0"/>
        <v>0</v>
      </c>
      <c r="I37" s="168"/>
      <c r="J37" s="1">
        <f t="shared" si="1"/>
        <v>0</v>
      </c>
      <c r="K37" s="324"/>
    </row>
    <row r="38" spans="1:11" s="1" customFormat="1" ht="12.75" customHeight="1">
      <c r="A38" s="164">
        <f t="shared" si="2"/>
        <v>34</v>
      </c>
      <c r="B38" s="164">
        <v>974054208</v>
      </c>
      <c r="C38" s="1" t="s">
        <v>123</v>
      </c>
      <c r="D38" s="1" t="s">
        <v>352</v>
      </c>
      <c r="E38" s="1">
        <v>78</v>
      </c>
      <c r="F38" s="168"/>
      <c r="G38" s="323"/>
      <c r="H38" s="168">
        <f t="shared" si="0"/>
        <v>0</v>
      </c>
      <c r="I38" s="168"/>
      <c r="J38" s="1">
        <f t="shared" si="1"/>
        <v>0</v>
      </c>
      <c r="K38" s="324"/>
    </row>
    <row r="39" spans="1:11" s="1" customFormat="1" ht="12.75" customHeight="1">
      <c r="A39" s="164">
        <f t="shared" si="2"/>
        <v>35</v>
      </c>
      <c r="B39" s="164" t="s">
        <v>57</v>
      </c>
      <c r="C39" s="1" t="s">
        <v>778</v>
      </c>
      <c r="D39" s="1" t="s">
        <v>352</v>
      </c>
      <c r="E39" s="1">
        <v>2</v>
      </c>
      <c r="F39" s="168"/>
      <c r="G39" s="323"/>
      <c r="H39" s="168">
        <f t="shared" si="0"/>
        <v>0</v>
      </c>
      <c r="I39" s="168"/>
      <c r="J39" s="1">
        <f t="shared" si="1"/>
        <v>0</v>
      </c>
      <c r="K39" s="324"/>
    </row>
    <row r="40" spans="1:11" s="1" customFormat="1" ht="12.75" customHeight="1">
      <c r="A40" s="164">
        <f t="shared" si="2"/>
        <v>36</v>
      </c>
      <c r="B40" s="164" t="s">
        <v>57</v>
      </c>
      <c r="C40" s="1" t="s">
        <v>68</v>
      </c>
      <c r="D40" s="1" t="s">
        <v>69</v>
      </c>
      <c r="E40" s="1">
        <v>1</v>
      </c>
      <c r="F40" s="168"/>
      <c r="G40" s="323"/>
      <c r="H40" s="168">
        <f t="shared" si="0"/>
        <v>0</v>
      </c>
      <c r="I40" s="168"/>
      <c r="K40" s="324"/>
    </row>
    <row r="41" spans="1:11" s="1" customFormat="1" ht="12.75" customHeight="1">
      <c r="A41" s="164">
        <f t="shared" si="2"/>
        <v>37</v>
      </c>
      <c r="B41" s="164" t="s">
        <v>357</v>
      </c>
      <c r="C41" s="1" t="s">
        <v>124</v>
      </c>
      <c r="D41" s="1" t="s">
        <v>70</v>
      </c>
      <c r="E41" s="1">
        <v>24</v>
      </c>
      <c r="F41" s="168"/>
      <c r="G41" s="323"/>
      <c r="H41" s="168">
        <f t="shared" si="0"/>
        <v>0</v>
      </c>
      <c r="I41" s="168"/>
      <c r="K41" s="324"/>
    </row>
    <row r="42" spans="1:11" s="1" customFormat="1" ht="12.75" customHeight="1">
      <c r="A42" s="164">
        <f t="shared" si="2"/>
        <v>38</v>
      </c>
      <c r="B42" s="164" t="s">
        <v>357</v>
      </c>
      <c r="C42" s="1" t="s">
        <v>71</v>
      </c>
      <c r="D42" s="1" t="s">
        <v>70</v>
      </c>
      <c r="E42" s="1">
        <v>24</v>
      </c>
      <c r="F42" s="168"/>
      <c r="G42" s="323"/>
      <c r="H42" s="168">
        <f t="shared" si="0"/>
        <v>0</v>
      </c>
      <c r="I42" s="168"/>
      <c r="J42" s="1">
        <f t="shared" si="1"/>
        <v>0</v>
      </c>
      <c r="K42" s="324"/>
    </row>
    <row r="43" spans="1:11" s="1" customFormat="1" ht="12.75" customHeight="1">
      <c r="A43" s="164"/>
      <c r="B43" s="164"/>
      <c r="C43" s="167" t="s">
        <v>72</v>
      </c>
      <c r="F43" s="168"/>
      <c r="G43" s="168"/>
      <c r="H43" s="170">
        <f>SUM(H5:H42)</f>
        <v>0</v>
      </c>
      <c r="I43" s="170"/>
      <c r="J43" s="1">
        <f>SUM(J5:J42)</f>
        <v>0</v>
      </c>
      <c r="K43" s="324"/>
    </row>
    <row r="44" spans="1:11" s="1" customFormat="1" ht="12.75" customHeight="1">
      <c r="A44" s="164"/>
      <c r="B44" s="164"/>
      <c r="C44" s="167"/>
      <c r="F44" s="168"/>
      <c r="G44" s="168"/>
      <c r="H44" s="170"/>
      <c r="I44" s="170"/>
      <c r="K44" s="324"/>
    </row>
    <row r="45" spans="1:11" s="1" customFormat="1" ht="12.75" customHeight="1">
      <c r="A45" s="164"/>
      <c r="B45" s="164"/>
      <c r="C45" s="167" t="s">
        <v>226</v>
      </c>
      <c r="F45" s="168"/>
      <c r="G45" s="168"/>
      <c r="H45" s="168"/>
      <c r="I45" s="168"/>
      <c r="K45" s="324"/>
    </row>
    <row r="46" spans="1:11" s="1" customFormat="1" ht="12.75" customHeight="1">
      <c r="A46" s="164">
        <f>A42+1</f>
        <v>39</v>
      </c>
      <c r="B46" s="164"/>
      <c r="C46" s="1" t="s">
        <v>779</v>
      </c>
      <c r="D46" s="1" t="s">
        <v>352</v>
      </c>
      <c r="E46" s="1">
        <v>1</v>
      </c>
      <c r="F46" s="323"/>
      <c r="G46" s="168"/>
      <c r="H46" s="168">
        <f aca="true" t="shared" si="3" ref="H46:H55">(F46+G46)*E46</f>
        <v>0</v>
      </c>
      <c r="I46" s="168"/>
      <c r="J46" s="1">
        <f>E46*F46</f>
        <v>0</v>
      </c>
      <c r="K46" s="324"/>
    </row>
    <row r="47" spans="1:11" s="1" customFormat="1" ht="12.75" customHeight="1">
      <c r="A47" s="164">
        <f>A46+1</f>
        <v>40</v>
      </c>
      <c r="B47" s="164"/>
      <c r="C47" s="1" t="s">
        <v>780</v>
      </c>
      <c r="D47" s="1" t="s">
        <v>352</v>
      </c>
      <c r="E47" s="1">
        <v>1</v>
      </c>
      <c r="F47" s="323"/>
      <c r="G47" s="168"/>
      <c r="H47" s="168">
        <f t="shared" si="3"/>
        <v>0</v>
      </c>
      <c r="I47" s="168"/>
      <c r="K47" s="324"/>
    </row>
    <row r="48" spans="1:11" s="1" customFormat="1" ht="12.75" customHeight="1">
      <c r="A48" s="164">
        <f aca="true" t="shared" si="4" ref="A48:A55">A47+1</f>
        <v>41</v>
      </c>
      <c r="B48" s="164"/>
      <c r="C48" s="1" t="s">
        <v>781</v>
      </c>
      <c r="D48" s="1" t="s">
        <v>352</v>
      </c>
      <c r="E48" s="1">
        <v>1</v>
      </c>
      <c r="F48" s="323"/>
      <c r="G48" s="168"/>
      <c r="H48" s="168">
        <f t="shared" si="3"/>
        <v>0</v>
      </c>
      <c r="I48" s="168"/>
      <c r="J48" s="1">
        <f aca="true" t="shared" si="5" ref="J48:J55">E48*F48</f>
        <v>0</v>
      </c>
      <c r="K48" s="324"/>
    </row>
    <row r="49" spans="1:11" s="1" customFormat="1" ht="12.75" customHeight="1">
      <c r="A49" s="164">
        <f t="shared" si="4"/>
        <v>42</v>
      </c>
      <c r="B49" s="164"/>
      <c r="C49" s="1" t="s">
        <v>125</v>
      </c>
      <c r="D49" s="1" t="s">
        <v>352</v>
      </c>
      <c r="E49" s="1">
        <v>2</v>
      </c>
      <c r="F49" s="323"/>
      <c r="G49" s="168"/>
      <c r="H49" s="168">
        <f t="shared" si="3"/>
        <v>0</v>
      </c>
      <c r="I49" s="168"/>
      <c r="J49" s="1">
        <f t="shared" si="5"/>
        <v>0</v>
      </c>
      <c r="K49" s="324"/>
    </row>
    <row r="50" spans="1:11" s="1" customFormat="1" ht="12.75" customHeight="1">
      <c r="A50" s="164">
        <f t="shared" si="4"/>
        <v>43</v>
      </c>
      <c r="B50" s="164"/>
      <c r="C50" s="1" t="s">
        <v>433</v>
      </c>
      <c r="D50" s="1" t="s">
        <v>352</v>
      </c>
      <c r="E50" s="1">
        <v>1</v>
      </c>
      <c r="F50" s="323"/>
      <c r="G50" s="168"/>
      <c r="H50" s="168">
        <f t="shared" si="3"/>
        <v>0</v>
      </c>
      <c r="I50" s="168"/>
      <c r="J50" s="1">
        <f t="shared" si="5"/>
        <v>0</v>
      </c>
      <c r="K50" s="324"/>
    </row>
    <row r="51" spans="1:11" s="1" customFormat="1" ht="12.75" customHeight="1">
      <c r="A51" s="164">
        <f t="shared" si="4"/>
        <v>44</v>
      </c>
      <c r="B51" s="164"/>
      <c r="C51" s="1" t="s">
        <v>227</v>
      </c>
      <c r="D51" s="1" t="s">
        <v>352</v>
      </c>
      <c r="E51" s="1">
        <v>2</v>
      </c>
      <c r="F51" s="323"/>
      <c r="G51" s="168"/>
      <c r="H51" s="168">
        <f t="shared" si="3"/>
        <v>0</v>
      </c>
      <c r="I51" s="168"/>
      <c r="J51" s="1">
        <f t="shared" si="5"/>
        <v>0</v>
      </c>
      <c r="K51" s="324"/>
    </row>
    <row r="52" spans="1:11" s="1" customFormat="1" ht="12.75" customHeight="1">
      <c r="A52" s="164">
        <f t="shared" si="4"/>
        <v>45</v>
      </c>
      <c r="B52" s="164"/>
      <c r="C52" s="1" t="s">
        <v>228</v>
      </c>
      <c r="D52" s="1" t="s">
        <v>352</v>
      </c>
      <c r="E52" s="1">
        <v>9</v>
      </c>
      <c r="F52" s="323"/>
      <c r="G52" s="168"/>
      <c r="H52" s="168">
        <f t="shared" si="3"/>
        <v>0</v>
      </c>
      <c r="I52" s="168"/>
      <c r="K52" s="324"/>
    </row>
    <row r="53" spans="1:11" s="1" customFormat="1" ht="12.75" customHeight="1">
      <c r="A53" s="164">
        <f t="shared" si="4"/>
        <v>46</v>
      </c>
      <c r="B53" s="164"/>
      <c r="C53" s="1" t="s">
        <v>73</v>
      </c>
      <c r="D53" s="1" t="s">
        <v>353</v>
      </c>
      <c r="E53" s="1">
        <v>0.5</v>
      </c>
      <c r="F53" s="323"/>
      <c r="G53" s="168"/>
      <c r="H53" s="168">
        <f t="shared" si="3"/>
        <v>0</v>
      </c>
      <c r="I53" s="168"/>
      <c r="K53" s="324"/>
    </row>
    <row r="54" spans="1:11" s="1" customFormat="1" ht="12.75" customHeight="1">
      <c r="A54" s="164">
        <f t="shared" si="4"/>
        <v>47</v>
      </c>
      <c r="B54" s="164"/>
      <c r="C54" s="1" t="s">
        <v>229</v>
      </c>
      <c r="D54" s="1" t="s">
        <v>349</v>
      </c>
      <c r="E54" s="1">
        <v>1</v>
      </c>
      <c r="F54" s="323"/>
      <c r="G54" s="168"/>
      <c r="H54" s="168">
        <f t="shared" si="3"/>
        <v>0</v>
      </c>
      <c r="I54" s="168"/>
      <c r="K54" s="324"/>
    </row>
    <row r="55" spans="1:11" s="1" customFormat="1" ht="12.75" customHeight="1">
      <c r="A55" s="164">
        <f t="shared" si="4"/>
        <v>48</v>
      </c>
      <c r="B55" s="164"/>
      <c r="C55" s="1" t="s">
        <v>74</v>
      </c>
      <c r="D55" s="1" t="s">
        <v>349</v>
      </c>
      <c r="E55" s="1">
        <v>1</v>
      </c>
      <c r="F55" s="168"/>
      <c r="G55" s="323"/>
      <c r="H55" s="168">
        <f t="shared" si="3"/>
        <v>0</v>
      </c>
      <c r="I55" s="168"/>
      <c r="J55" s="1">
        <f t="shared" si="5"/>
        <v>0</v>
      </c>
      <c r="K55" s="324"/>
    </row>
    <row r="56" spans="1:11" s="1" customFormat="1" ht="12.75" customHeight="1">
      <c r="A56" s="164"/>
      <c r="B56" s="164"/>
      <c r="C56" s="167" t="s">
        <v>230</v>
      </c>
      <c r="H56" s="170">
        <f>SUM(H46:H55)</f>
        <v>0</v>
      </c>
      <c r="I56" s="170"/>
      <c r="J56" s="1">
        <f>SUM(J46:J55)</f>
        <v>0</v>
      </c>
      <c r="K56" s="324"/>
    </row>
    <row r="57" spans="1:11" s="1" customFormat="1" ht="12.75" customHeight="1">
      <c r="A57" s="164"/>
      <c r="B57" s="164"/>
      <c r="C57" s="167"/>
      <c r="H57" s="170"/>
      <c r="I57" s="170"/>
      <c r="K57" s="324"/>
    </row>
    <row r="58" spans="1:11" s="1" customFormat="1" ht="12.75" customHeight="1">
      <c r="A58" s="164"/>
      <c r="B58" s="164"/>
      <c r="C58" s="167" t="s">
        <v>44</v>
      </c>
      <c r="K58" s="324"/>
    </row>
    <row r="59" spans="1:12" s="1" customFormat="1" ht="12">
      <c r="A59" s="164">
        <f>A55+1</f>
        <v>49</v>
      </c>
      <c r="B59" s="164"/>
      <c r="C59" s="172" t="s">
        <v>434</v>
      </c>
      <c r="D59" s="1" t="s">
        <v>358</v>
      </c>
      <c r="E59" s="323"/>
      <c r="F59" s="168"/>
      <c r="G59" s="168">
        <f>SUM(H43,H56)</f>
        <v>0</v>
      </c>
      <c r="H59" s="168">
        <f>G59*E59/100</f>
        <v>0</v>
      </c>
      <c r="I59" s="173"/>
      <c r="J59" s="1">
        <f>E59*F59</f>
        <v>0</v>
      </c>
      <c r="K59" s="324"/>
      <c r="L59" s="174"/>
    </row>
    <row r="60" spans="1:12" s="1" customFormat="1" ht="12">
      <c r="A60" s="164">
        <f>A59+1</f>
        <v>50</v>
      </c>
      <c r="B60" s="164"/>
      <c r="C60" s="172" t="s">
        <v>239</v>
      </c>
      <c r="D60" s="1" t="s">
        <v>358</v>
      </c>
      <c r="E60" s="323"/>
      <c r="F60" s="168"/>
      <c r="G60" s="168">
        <f>+G59</f>
        <v>0</v>
      </c>
      <c r="H60" s="168">
        <f>G60*E60/100</f>
        <v>0</v>
      </c>
      <c r="I60" s="173"/>
      <c r="J60" s="1">
        <f>E60*F60</f>
        <v>0</v>
      </c>
      <c r="K60" s="324"/>
      <c r="L60" s="174"/>
    </row>
    <row r="61" spans="1:11" s="1" customFormat="1" ht="13.5" customHeight="1">
      <c r="A61" s="175"/>
      <c r="B61" s="164"/>
      <c r="C61" s="167" t="s">
        <v>78</v>
      </c>
      <c r="D61" s="167"/>
      <c r="E61" s="176"/>
      <c r="F61" s="167"/>
      <c r="G61" s="167"/>
      <c r="H61" s="170">
        <f>SUM(H59:H60)</f>
        <v>0</v>
      </c>
      <c r="I61" s="174"/>
      <c r="J61" s="1">
        <f>SUM(J59:J60)</f>
        <v>0</v>
      </c>
      <c r="K61" s="324"/>
    </row>
    <row r="62" spans="1:11" s="1" customFormat="1" ht="12.75" customHeight="1">
      <c r="A62" s="164"/>
      <c r="B62" s="164"/>
      <c r="C62" s="167"/>
      <c r="H62" s="170"/>
      <c r="I62" s="170"/>
      <c r="K62" s="324"/>
    </row>
    <row r="63" spans="1:11" s="1" customFormat="1" ht="12.75" customHeight="1">
      <c r="A63" s="164"/>
      <c r="B63" s="164"/>
      <c r="C63" s="167"/>
      <c r="H63" s="170"/>
      <c r="I63" s="170"/>
      <c r="K63" s="324"/>
    </row>
    <row r="64" spans="1:11" s="1" customFormat="1" ht="12.75" customHeight="1">
      <c r="A64" s="164"/>
      <c r="B64" s="164"/>
      <c r="C64" s="167"/>
      <c r="H64" s="170"/>
      <c r="I64" s="170"/>
      <c r="K64" s="324"/>
    </row>
    <row r="65" spans="1:11" s="1" customFormat="1" ht="18" customHeight="1">
      <c r="A65" s="164"/>
      <c r="B65" s="164"/>
      <c r="C65" s="166" t="s">
        <v>75</v>
      </c>
      <c r="H65" s="170"/>
      <c r="I65" s="170"/>
      <c r="K65" s="324"/>
    </row>
    <row r="66" spans="1:11" s="1" customFormat="1" ht="12.75" customHeight="1">
      <c r="A66" s="164"/>
      <c r="B66" s="164"/>
      <c r="C66" s="167" t="s">
        <v>53</v>
      </c>
      <c r="E66" s="164" t="s">
        <v>355</v>
      </c>
      <c r="F66" s="164" t="s">
        <v>54</v>
      </c>
      <c r="G66" s="164" t="s">
        <v>55</v>
      </c>
      <c r="H66" s="164" t="s">
        <v>356</v>
      </c>
      <c r="I66" s="170"/>
      <c r="K66" s="324"/>
    </row>
    <row r="67" spans="1:11" s="1" customFormat="1" ht="12.75" customHeight="1">
      <c r="A67" s="164">
        <v>1</v>
      </c>
      <c r="B67" s="164">
        <v>210111012</v>
      </c>
      <c r="C67" s="1" t="s">
        <v>231</v>
      </c>
      <c r="D67" s="1" t="s">
        <v>352</v>
      </c>
      <c r="E67" s="1">
        <v>3</v>
      </c>
      <c r="F67" s="323"/>
      <c r="G67" s="323"/>
      <c r="H67" s="168">
        <f aca="true" t="shared" si="6" ref="H67:H80">(F67+G67)*E67</f>
        <v>0</v>
      </c>
      <c r="I67" s="168"/>
      <c r="K67" s="324"/>
    </row>
    <row r="68" spans="1:11" s="1" customFormat="1" ht="12.75" customHeight="1">
      <c r="A68" s="164">
        <f aca="true" t="shared" si="7" ref="A68:A80">A67+1</f>
        <v>2</v>
      </c>
      <c r="B68" s="164">
        <v>210111012</v>
      </c>
      <c r="C68" s="1" t="s">
        <v>126</v>
      </c>
      <c r="D68" s="1" t="s">
        <v>352</v>
      </c>
      <c r="E68" s="1">
        <v>1</v>
      </c>
      <c r="F68" s="323"/>
      <c r="G68" s="323"/>
      <c r="H68" s="168">
        <f t="shared" si="6"/>
        <v>0</v>
      </c>
      <c r="I68" s="168"/>
      <c r="K68" s="324"/>
    </row>
    <row r="69" spans="1:11" s="1" customFormat="1" ht="12.75" customHeight="1">
      <c r="A69" s="164">
        <f t="shared" si="7"/>
        <v>3</v>
      </c>
      <c r="B69" s="164">
        <v>210111012</v>
      </c>
      <c r="C69" s="1" t="s">
        <v>232</v>
      </c>
      <c r="D69" s="1" t="s">
        <v>352</v>
      </c>
      <c r="E69" s="1">
        <v>4</v>
      </c>
      <c r="F69" s="323"/>
      <c r="G69" s="323"/>
      <c r="H69" s="168">
        <f t="shared" si="6"/>
        <v>0</v>
      </c>
      <c r="I69" s="168"/>
      <c r="K69" s="324"/>
    </row>
    <row r="70" spans="1:11" s="1" customFormat="1" ht="12.75" customHeight="1">
      <c r="A70" s="164">
        <f t="shared" si="7"/>
        <v>4</v>
      </c>
      <c r="B70" s="164">
        <v>210010301</v>
      </c>
      <c r="C70" s="1" t="s">
        <v>63</v>
      </c>
      <c r="D70" s="1" t="s">
        <v>352</v>
      </c>
      <c r="E70" s="1">
        <v>9</v>
      </c>
      <c r="F70" s="323"/>
      <c r="G70" s="323"/>
      <c r="H70" s="168">
        <f t="shared" si="6"/>
        <v>0</v>
      </c>
      <c r="I70" s="168"/>
      <c r="J70" s="1">
        <f>E70*F70</f>
        <v>0</v>
      </c>
      <c r="K70" s="324"/>
    </row>
    <row r="71" spans="1:11" s="1" customFormat="1" ht="12.75" customHeight="1">
      <c r="A71" s="164">
        <f t="shared" si="7"/>
        <v>5</v>
      </c>
      <c r="B71" s="164">
        <v>210010301</v>
      </c>
      <c r="C71" s="1" t="s">
        <v>233</v>
      </c>
      <c r="D71" s="1" t="s">
        <v>352</v>
      </c>
      <c r="E71" s="1">
        <v>2</v>
      </c>
      <c r="F71" s="323"/>
      <c r="G71" s="323"/>
      <c r="H71" s="168">
        <f t="shared" si="6"/>
        <v>0</v>
      </c>
      <c r="I71" s="168"/>
      <c r="K71" s="324"/>
    </row>
    <row r="72" spans="1:11" s="1" customFormat="1" ht="12.75" customHeight="1">
      <c r="A72" s="164">
        <f t="shared" si="7"/>
        <v>6</v>
      </c>
      <c r="B72" s="164">
        <v>210110047</v>
      </c>
      <c r="C72" s="1" t="s">
        <v>782</v>
      </c>
      <c r="D72" s="1" t="s">
        <v>352</v>
      </c>
      <c r="E72" s="1">
        <v>1</v>
      </c>
      <c r="F72" s="323"/>
      <c r="G72" s="323"/>
      <c r="H72" s="168">
        <f>(F72+G72)*E72</f>
        <v>0</v>
      </c>
      <c r="I72" s="168"/>
      <c r="K72" s="324"/>
    </row>
    <row r="73" spans="1:11" s="1" customFormat="1" ht="12.75" customHeight="1">
      <c r="A73" s="164">
        <f t="shared" si="7"/>
        <v>7</v>
      </c>
      <c r="B73" s="164">
        <v>210800549</v>
      </c>
      <c r="C73" s="1" t="s">
        <v>234</v>
      </c>
      <c r="D73" s="1" t="s">
        <v>353</v>
      </c>
      <c r="E73" s="1">
        <v>140</v>
      </c>
      <c r="F73" s="323"/>
      <c r="G73" s="323"/>
      <c r="H73" s="168">
        <f t="shared" si="6"/>
        <v>0</v>
      </c>
      <c r="I73" s="168"/>
      <c r="J73" s="1">
        <f>E73*F73</f>
        <v>0</v>
      </c>
      <c r="K73" s="324"/>
    </row>
    <row r="74" spans="1:11" s="1" customFormat="1" ht="12.75" customHeight="1">
      <c r="A74" s="164">
        <f t="shared" si="7"/>
        <v>8</v>
      </c>
      <c r="B74" s="164">
        <v>210800549</v>
      </c>
      <c r="C74" s="1" t="s">
        <v>235</v>
      </c>
      <c r="D74" s="1" t="s">
        <v>353</v>
      </c>
      <c r="E74" s="1">
        <v>30</v>
      </c>
      <c r="F74" s="323"/>
      <c r="G74" s="323"/>
      <c r="H74" s="168">
        <f t="shared" si="6"/>
        <v>0</v>
      </c>
      <c r="I74" s="168"/>
      <c r="K74" s="324"/>
    </row>
    <row r="75" spans="1:11" s="1" customFormat="1" ht="12.75" customHeight="1">
      <c r="A75" s="164">
        <f t="shared" si="7"/>
        <v>9</v>
      </c>
      <c r="B75" s="164">
        <v>210010002</v>
      </c>
      <c r="C75" s="1" t="s">
        <v>236</v>
      </c>
      <c r="D75" s="1" t="s">
        <v>353</v>
      </c>
      <c r="E75" s="1">
        <v>30</v>
      </c>
      <c r="F75" s="323"/>
      <c r="G75" s="323"/>
      <c r="H75" s="168">
        <f t="shared" si="6"/>
        <v>0</v>
      </c>
      <c r="I75" s="168"/>
      <c r="J75" s="1">
        <f>E75*F75</f>
        <v>0</v>
      </c>
      <c r="K75" s="324"/>
    </row>
    <row r="76" spans="1:11" s="1" customFormat="1" ht="12.75" customHeight="1">
      <c r="A76" s="164">
        <f t="shared" si="7"/>
        <v>10</v>
      </c>
      <c r="B76" s="164">
        <v>974054208</v>
      </c>
      <c r="C76" s="1" t="s">
        <v>123</v>
      </c>
      <c r="D76" s="1" t="s">
        <v>352</v>
      </c>
      <c r="E76" s="1">
        <v>11</v>
      </c>
      <c r="F76" s="168"/>
      <c r="G76" s="323"/>
      <c r="H76" s="168">
        <f t="shared" si="6"/>
        <v>0</v>
      </c>
      <c r="I76" s="168"/>
      <c r="K76" s="324"/>
    </row>
    <row r="77" spans="1:11" s="1" customFormat="1" ht="12.75" customHeight="1">
      <c r="A77" s="164">
        <f t="shared" si="7"/>
        <v>11</v>
      </c>
      <c r="B77" s="164">
        <v>974051215</v>
      </c>
      <c r="C77" s="1" t="s">
        <v>224</v>
      </c>
      <c r="D77" s="1" t="s">
        <v>353</v>
      </c>
      <c r="E77" s="1">
        <v>60</v>
      </c>
      <c r="F77" s="168"/>
      <c r="G77" s="323"/>
      <c r="H77" s="168">
        <f t="shared" si="6"/>
        <v>0</v>
      </c>
      <c r="I77" s="168"/>
      <c r="K77" s="324"/>
    </row>
    <row r="78" spans="1:11" s="1" customFormat="1" ht="12.75" customHeight="1">
      <c r="A78" s="164">
        <f t="shared" si="7"/>
        <v>12</v>
      </c>
      <c r="B78" s="164">
        <v>210292041</v>
      </c>
      <c r="C78" s="1" t="s">
        <v>67</v>
      </c>
      <c r="D78" s="1" t="s">
        <v>352</v>
      </c>
      <c r="E78" s="1">
        <v>6</v>
      </c>
      <c r="F78" s="168"/>
      <c r="G78" s="323"/>
      <c r="H78" s="168">
        <f t="shared" si="6"/>
        <v>0</v>
      </c>
      <c r="I78" s="168"/>
      <c r="K78" s="324"/>
    </row>
    <row r="79" spans="1:11" s="1" customFormat="1" ht="12.75" customHeight="1">
      <c r="A79" s="164">
        <f t="shared" si="7"/>
        <v>13</v>
      </c>
      <c r="B79" s="164">
        <v>210010351</v>
      </c>
      <c r="C79" s="171" t="s">
        <v>237</v>
      </c>
      <c r="D79" s="1" t="s">
        <v>352</v>
      </c>
      <c r="E79" s="1">
        <v>1</v>
      </c>
      <c r="F79" s="323"/>
      <c r="G79" s="323"/>
      <c r="H79" s="168">
        <f t="shared" si="6"/>
        <v>0</v>
      </c>
      <c r="I79" s="168"/>
      <c r="J79" s="1">
        <f>E79*F79</f>
        <v>0</v>
      </c>
      <c r="K79" s="324"/>
    </row>
    <row r="80" spans="1:11" s="1" customFormat="1" ht="12.75" customHeight="1">
      <c r="A80" s="164">
        <f t="shared" si="7"/>
        <v>14</v>
      </c>
      <c r="B80" s="164">
        <v>210860201</v>
      </c>
      <c r="C80" s="171" t="s">
        <v>238</v>
      </c>
      <c r="D80" s="1" t="s">
        <v>353</v>
      </c>
      <c r="E80" s="1">
        <v>14</v>
      </c>
      <c r="F80" s="323"/>
      <c r="G80" s="323"/>
      <c r="H80" s="168">
        <f t="shared" si="6"/>
        <v>0</v>
      </c>
      <c r="I80" s="168"/>
      <c r="K80" s="324"/>
    </row>
    <row r="81" spans="1:11" s="1" customFormat="1" ht="12.75" customHeight="1">
      <c r="A81" s="164"/>
      <c r="B81" s="164"/>
      <c r="C81" s="167" t="s">
        <v>76</v>
      </c>
      <c r="F81" s="168"/>
      <c r="G81" s="168"/>
      <c r="H81" s="170">
        <f>SUM(H67:H80)</f>
        <v>0</v>
      </c>
      <c r="I81" s="168"/>
      <c r="J81" s="1">
        <f>E81*F81</f>
        <v>0</v>
      </c>
      <c r="K81" s="324"/>
    </row>
    <row r="82" spans="1:11" s="1" customFormat="1" ht="12.75" customHeight="1">
      <c r="A82" s="164"/>
      <c r="B82" s="164"/>
      <c r="C82" s="167"/>
      <c r="F82" s="168"/>
      <c r="G82" s="168"/>
      <c r="H82" s="170"/>
      <c r="I82" s="168"/>
      <c r="K82" s="324"/>
    </row>
    <row r="83" spans="1:11" s="1" customFormat="1" ht="12.75" customHeight="1">
      <c r="A83" s="164"/>
      <c r="B83" s="164"/>
      <c r="C83" s="167"/>
      <c r="F83" s="168"/>
      <c r="G83" s="168"/>
      <c r="H83" s="170"/>
      <c r="I83" s="168"/>
      <c r="K83" s="324"/>
    </row>
    <row r="84" spans="1:11" s="1" customFormat="1" ht="12.75" customHeight="1">
      <c r="A84" s="164"/>
      <c r="B84" s="164"/>
      <c r="C84" s="167" t="s">
        <v>44</v>
      </c>
      <c r="K84" s="324"/>
    </row>
    <row r="85" spans="1:12" s="1" customFormat="1" ht="12">
      <c r="A85" s="164">
        <f>A80+1</f>
        <v>15</v>
      </c>
      <c r="B85" s="164"/>
      <c r="C85" s="172" t="s">
        <v>434</v>
      </c>
      <c r="D85" s="1" t="s">
        <v>358</v>
      </c>
      <c r="E85" s="323"/>
      <c r="F85" s="168"/>
      <c r="G85" s="168">
        <f>H81</f>
        <v>0</v>
      </c>
      <c r="H85" s="168">
        <f>G85*E85/100</f>
        <v>0</v>
      </c>
      <c r="I85" s="173"/>
      <c r="J85" s="1">
        <f>E85*F85</f>
        <v>0</v>
      </c>
      <c r="K85" s="324"/>
      <c r="L85" s="174"/>
    </row>
    <row r="86" spans="1:12" s="1" customFormat="1" ht="12">
      <c r="A86" s="164">
        <f>A85+1</f>
        <v>16</v>
      </c>
      <c r="B86" s="164"/>
      <c r="C86" s="172" t="s">
        <v>239</v>
      </c>
      <c r="D86" s="1" t="s">
        <v>358</v>
      </c>
      <c r="E86" s="323"/>
      <c r="F86" s="168"/>
      <c r="G86" s="168">
        <f>+G85</f>
        <v>0</v>
      </c>
      <c r="H86" s="168">
        <f>G86*E86/100</f>
        <v>0</v>
      </c>
      <c r="I86" s="173"/>
      <c r="J86" s="1">
        <f>E86*F86</f>
        <v>0</v>
      </c>
      <c r="K86" s="324"/>
      <c r="L86" s="174"/>
    </row>
    <row r="87" spans="1:11" s="1" customFormat="1" ht="13.5" customHeight="1">
      <c r="A87" s="175"/>
      <c r="B87" s="164"/>
      <c r="C87" s="167" t="s">
        <v>78</v>
      </c>
      <c r="D87" s="167"/>
      <c r="E87" s="176"/>
      <c r="F87" s="167"/>
      <c r="G87" s="167"/>
      <c r="H87" s="170">
        <f>SUM(H85:H86)</f>
        <v>0</v>
      </c>
      <c r="I87" s="174"/>
      <c r="J87" s="1">
        <f>SUM(J85:J86)</f>
        <v>0</v>
      </c>
      <c r="K87" s="324"/>
    </row>
    <row r="88" spans="1:11" s="1" customFormat="1" ht="13.5" customHeight="1">
      <c r="A88" s="175"/>
      <c r="B88" s="175"/>
      <c r="C88" s="177"/>
      <c r="D88" s="177"/>
      <c r="E88" s="178"/>
      <c r="F88" s="177"/>
      <c r="G88" s="177"/>
      <c r="H88" s="179"/>
      <c r="I88" s="174"/>
      <c r="K88" s="324"/>
    </row>
    <row r="89" spans="1:11" s="1" customFormat="1" ht="12.75" customHeight="1">
      <c r="A89" s="164"/>
      <c r="B89" s="164"/>
      <c r="C89" s="167" t="s">
        <v>79</v>
      </c>
      <c r="H89" s="170">
        <f>H87+H81+H56+H43</f>
        <v>0</v>
      </c>
      <c r="I89" s="170"/>
      <c r="J89" s="170" t="e">
        <f>#REF!+J56+J43+J87</f>
        <v>#REF!</v>
      </c>
      <c r="K89" s="324"/>
    </row>
    <row r="90" spans="1:11" s="1" customFormat="1" ht="12.75" customHeight="1">
      <c r="A90" s="164"/>
      <c r="B90" s="164"/>
      <c r="C90" s="167" t="s">
        <v>80</v>
      </c>
      <c r="D90" s="180">
        <v>0.15</v>
      </c>
      <c r="H90" s="170">
        <f>H89*D90</f>
        <v>0</v>
      </c>
      <c r="I90" s="170"/>
      <c r="J90" s="170"/>
      <c r="K90" s="324"/>
    </row>
    <row r="91" spans="1:11" s="1" customFormat="1" ht="12.75" customHeight="1">
      <c r="A91" s="164"/>
      <c r="B91" s="164"/>
      <c r="C91" s="167" t="s">
        <v>81</v>
      </c>
      <c r="H91" s="170">
        <f>SUM(H89:H90)</f>
        <v>0</v>
      </c>
      <c r="I91" s="170"/>
      <c r="J91" s="170"/>
      <c r="K91" s="324"/>
    </row>
    <row r="92" spans="1:11" s="1" customFormat="1" ht="12.75" customHeight="1">
      <c r="A92" s="164"/>
      <c r="B92" s="164"/>
      <c r="C92" s="167"/>
      <c r="H92" s="170"/>
      <c r="I92" s="170"/>
      <c r="J92" s="170"/>
      <c r="K92" s="324"/>
    </row>
    <row r="93" spans="1:11" s="1" customFormat="1" ht="13.5" customHeight="1">
      <c r="A93" s="164"/>
      <c r="B93" s="164"/>
      <c r="C93" s="167" t="s">
        <v>82</v>
      </c>
      <c r="K93" s="324"/>
    </row>
    <row r="94" spans="1:11" s="1" customFormat="1" ht="97.5" customHeight="1">
      <c r="A94" s="164"/>
      <c r="B94" s="164"/>
      <c r="C94" s="353" t="s">
        <v>83</v>
      </c>
      <c r="D94" s="353"/>
      <c r="E94" s="353"/>
      <c r="F94" s="353"/>
      <c r="G94" s="353"/>
      <c r="H94" s="353"/>
      <c r="I94" s="181"/>
      <c r="K94" s="324"/>
    </row>
    <row r="95" spans="1:11" s="1" customFormat="1" ht="13.5" customHeight="1">
      <c r="A95" s="164"/>
      <c r="B95" s="164"/>
      <c r="C95" s="352" t="s">
        <v>344</v>
      </c>
      <c r="D95" s="352"/>
      <c r="E95" s="352"/>
      <c r="F95" s="352"/>
      <c r="G95" s="352"/>
      <c r="H95" s="352"/>
      <c r="K95" s="324"/>
    </row>
    <row r="96" spans="1:11" s="1" customFormat="1" ht="13.5" customHeight="1">
      <c r="A96" s="164"/>
      <c r="B96" s="164"/>
      <c r="C96" s="351" t="s">
        <v>84</v>
      </c>
      <c r="D96" s="351"/>
      <c r="E96" s="351"/>
      <c r="F96" s="351"/>
      <c r="G96" s="351"/>
      <c r="H96" s="351"/>
      <c r="K96" s="324"/>
    </row>
    <row r="97" spans="1:11" s="1" customFormat="1" ht="27.75" customHeight="1">
      <c r="A97" s="164"/>
      <c r="B97" s="164"/>
      <c r="C97" s="348" t="s">
        <v>85</v>
      </c>
      <c r="D97" s="348"/>
      <c r="E97" s="348"/>
      <c r="F97" s="348"/>
      <c r="G97" s="348"/>
      <c r="H97" s="348"/>
      <c r="K97" s="324"/>
    </row>
    <row r="98" spans="1:11" s="1" customFormat="1" ht="13.5" customHeight="1">
      <c r="A98" s="164"/>
      <c r="B98" s="164"/>
      <c r="C98" s="351" t="s">
        <v>86</v>
      </c>
      <c r="D98" s="351"/>
      <c r="E98" s="351"/>
      <c r="F98" s="351"/>
      <c r="G98" s="351"/>
      <c r="H98" s="351"/>
      <c r="K98" s="324"/>
    </row>
    <row r="99" spans="1:11" s="1" customFormat="1" ht="13.5" customHeight="1">
      <c r="A99" s="164"/>
      <c r="B99" s="164"/>
      <c r="C99" s="347" t="s">
        <v>87</v>
      </c>
      <c r="D99" s="347"/>
      <c r="E99" s="347"/>
      <c r="F99" s="347"/>
      <c r="G99" s="347"/>
      <c r="H99" s="347"/>
      <c r="K99" s="324"/>
    </row>
    <row r="100" spans="1:11" s="1" customFormat="1" ht="13.5" customHeight="1">
      <c r="A100" s="164"/>
      <c r="B100" s="164"/>
      <c r="C100" s="182" t="s">
        <v>88</v>
      </c>
      <c r="D100" s="182"/>
      <c r="E100" s="182"/>
      <c r="F100" s="182"/>
      <c r="G100" s="182"/>
      <c r="H100" s="182"/>
      <c r="K100" s="324"/>
    </row>
    <row r="101" spans="3:8" ht="31.5" customHeight="1">
      <c r="C101" s="348" t="s">
        <v>347</v>
      </c>
      <c r="D101" s="348"/>
      <c r="E101" s="348"/>
      <c r="F101" s="348"/>
      <c r="G101" s="348"/>
      <c r="H101" s="348"/>
    </row>
    <row r="102" spans="3:8" ht="27" customHeight="1">
      <c r="C102" s="348" t="s">
        <v>348</v>
      </c>
      <c r="D102" s="348"/>
      <c r="E102" s="348"/>
      <c r="F102" s="348"/>
      <c r="G102" s="348"/>
      <c r="H102" s="348"/>
    </row>
    <row r="103" spans="3:8" ht="15" customHeight="1">
      <c r="C103" s="348" t="s">
        <v>18</v>
      </c>
      <c r="D103" s="348"/>
      <c r="E103" s="348"/>
      <c r="F103" s="348"/>
      <c r="G103" s="348"/>
      <c r="H103" s="348"/>
    </row>
  </sheetData>
  <sheetProtection password="C578" sheet="1"/>
  <mergeCells count="10">
    <mergeCell ref="C99:H99"/>
    <mergeCell ref="C103:H103"/>
    <mergeCell ref="C1:J1"/>
    <mergeCell ref="C98:H98"/>
    <mergeCell ref="C102:H102"/>
    <mergeCell ref="C101:H101"/>
    <mergeCell ref="C95:H95"/>
    <mergeCell ref="C97:H97"/>
    <mergeCell ref="C94:H94"/>
    <mergeCell ref="C96:H96"/>
  </mergeCells>
  <conditionalFormatting sqref="C95">
    <cfRule type="expression" priority="1" dxfId="3" stopIfTrue="1">
      <formula>ISTEXT(C95)</formula>
    </cfRule>
  </conditionalFormatting>
  <printOptions/>
  <pageMargins left="0.7086614173228347" right="0.7086614173228347" top="0.7874015748031497" bottom="0.7874015748031497" header="0.31496062992125984" footer="0.31496062992125984"/>
  <pageSetup fitToHeight="0" fitToWidth="1" horizontalDpi="600" verticalDpi="600" orientation="portrait" paperSize="9" scale="87" r:id="rId1"/>
  <headerFooter>
    <oddHeader>&amp;C5.8.2020</oddHeader>
    <oddFooter>&amp;R&amp;P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Miroslav Šiška</dc:creator>
  <cp:keywords/>
  <dc:description/>
  <cp:lastModifiedBy>tomashromadko</cp:lastModifiedBy>
  <cp:lastPrinted>2020-08-28T11:49:26Z</cp:lastPrinted>
  <dcterms:created xsi:type="dcterms:W3CDTF">2015-06-09T11:12:40Z</dcterms:created>
  <dcterms:modified xsi:type="dcterms:W3CDTF">2020-08-28T11:57:07Z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