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kouri</author>
  </authors>
  <commentList>
    <comment ref="D215" authorId="0">
      <text>
        <r>
          <rPr>
            <b/>
            <sz val="9"/>
            <rFont val="Tahoma"/>
            <family val="2"/>
          </rPr>
          <t>kouri: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<sst xmlns="http://schemas.openxmlformats.org/spreadsheetml/2006/main" count="2473" uniqueCount="828">
  <si>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</si>
  <si>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</si>
  <si>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</si>
  <si>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</si>
  <si>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</si>
  <si>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</si>
  <si>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</si>
  <si>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</si>
  <si>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</si>
  <si>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</si>
  <si>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</si>
  <si>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</si>
  <si>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</si>
  <si>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</si>
  <si>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</si>
  <si>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</si>
  <si>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</si>
  <si>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</si>
  <si>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</si>
  <si>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</si>
  <si>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</si>
  <si>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</si>
  <si>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</si>
  <si>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</si>
  <si>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</si>
  <si>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</si>
  <si>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</si>
  <si>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</si>
  <si>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</si>
  <si>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</si>
  <si>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</si>
  <si>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</si>
  <si>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</si>
  <si>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</si>
  <si>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</si>
  <si>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</si>
  <si>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</si>
  <si>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</si>
  <si>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</si>
  <si>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</si>
  <si>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</si>
  <si>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</si>
  <si>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</si>
  <si>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</si>
  <si>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</si>
  <si>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</si>
  <si>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</si>
  <si>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</si>
  <si>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</si>
  <si>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</si>
  <si>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</si>
  <si>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</si>
  <si>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</si>
  <si>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</si>
  <si>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</si>
  <si>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</si>
  <si>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</si>
  <si>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</si>
  <si>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</si>
  <si>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</si>
  <si>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</si>
  <si>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</si>
  <si>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</si>
  <si>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</si>
  <si>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</si>
  <si>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</si>
  <si>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</si>
  <si>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</si>
  <si>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</si>
  <si>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</si>
  <si>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</si>
  <si>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</si>
  <si>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</si>
  <si>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</si>
  <si>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</si>
  <si>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</si>
  <si>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</si>
  <si>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</si>
  <si>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</si>
  <si>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</si>
  <si>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</si>
  <si>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</si>
  <si>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</si>
  <si>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</si>
  <si>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</si>
  <si>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</si>
  <si>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</si>
  <si>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</si>
  <si>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</si>
  <si>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</si>
  <si>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</si>
  <si>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</si>
  <si>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</si>
  <si>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</si>
  <si>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</si>
  <si>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</si>
  <si>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</si>
  <si>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</si>
  <si>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</si>
  <si>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</si>
  <si>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</si>
  <si>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</si>
  <si>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</si>
  <si>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</si>
  <si>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</si>
  <si>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</si>
  <si>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</si>
  <si>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</si>
  <si>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</si>
  <si>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</si>
  <si>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</si>
  <si>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</si>
  <si>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</si>
  <si>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</si>
  <si>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</si>
  <si>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</si>
  <si>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</si>
  <si>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</si>
  <si>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</si>
  <si>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</si>
  <si>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</si>
  <si>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</si>
  <si>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</si>
  <si>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</si>
  <si>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</si>
  <si>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</si>
  <si>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</si>
  <si>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</si>
  <si>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</si>
  <si>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</si>
  <si>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</si>
  <si>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</si>
  <si>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</si>
  <si>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</si>
  <si>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</si>
  <si>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</si>
  <si>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</si>
  <si>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</si>
  <si>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</si>
  <si>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</si>
  <si>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</si>
  <si>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</si>
  <si>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</si>
  <si>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</si>
  <si>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</si>
  <si>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</si>
  <si>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</si>
  <si>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</si>
  <si>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</si>
  <si>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</si>
  <si>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</si>
  <si>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</si>
  <si>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</si>
  <si>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</si>
  <si>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</si>
  <si>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</si>
  <si>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</si>
  <si>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</si>
  <si>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</si>
  <si>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</si>
  <si>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</si>
  <si>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</si>
  <si>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</si>
  <si>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</si>
  <si>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</si>
  <si>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</si>
  <si>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</si>
  <si>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</si>
  <si>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</si>
  <si>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</si>
  <si>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</si>
  <si>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</si>
  <si>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</si>
  <si>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</si>
  <si>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</si>
  <si>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</si>
  <si>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</si>
  <si>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</si>
  <si>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</si>
  <si>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</si>
  <si>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</si>
  <si>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</si>
  <si>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</si>
  <si>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</si>
  <si>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</si>
  <si>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</si>
  <si>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</si>
  <si>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</si>
  <si>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</si>
  <si>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</si>
  <si>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</si>
  <si>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</si>
  <si>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</si>
  <si>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</si>
  <si>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</si>
  <si>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</si>
  <si>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</si>
  <si>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</si>
  <si>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</si>
  <si>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</si>
  <si>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</si>
  <si>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</si>
  <si>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</si>
  <si>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</si>
  <si>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</si>
  <si>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</si>
  <si>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</si>
  <si>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</si>
  <si>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</si>
  <si>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</si>
  <si>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</si>
  <si>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</si>
  <si>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</si>
  <si>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</si>
  <si>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</si>
  <si>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</si>
  <si>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Poznámka:</t>
  </si>
  <si>
    <t>Objekt</t>
  </si>
  <si>
    <t>Kód</t>
  </si>
  <si>
    <t>310237261RT1</t>
  </si>
  <si>
    <t>314</t>
  </si>
  <si>
    <t>314.4VD</t>
  </si>
  <si>
    <t>314.1VD</t>
  </si>
  <si>
    <t>314.2VD</t>
  </si>
  <si>
    <t>314.3VD</t>
  </si>
  <si>
    <t>314.5VD</t>
  </si>
  <si>
    <t>612421431RT2</t>
  </si>
  <si>
    <t>611421431RT2</t>
  </si>
  <si>
    <t>611</t>
  </si>
  <si>
    <t>611.2VD</t>
  </si>
  <si>
    <t>630300010RA0</t>
  </si>
  <si>
    <t>771.1VD</t>
  </si>
  <si>
    <t>721</t>
  </si>
  <si>
    <t>721176101R00</t>
  </si>
  <si>
    <t>721176102R00</t>
  </si>
  <si>
    <t>721176103R00</t>
  </si>
  <si>
    <t>721223427RT2</t>
  </si>
  <si>
    <t>722</t>
  </si>
  <si>
    <t>722163104R00</t>
  </si>
  <si>
    <t>722163105R00</t>
  </si>
  <si>
    <t>722181243RT7</t>
  </si>
  <si>
    <t>722181243RU1</t>
  </si>
  <si>
    <t>722176112R00</t>
  </si>
  <si>
    <t>722176114R00</t>
  </si>
  <si>
    <t>722178711R00</t>
  </si>
  <si>
    <t>722178713R00</t>
  </si>
  <si>
    <t>722181214RT7</t>
  </si>
  <si>
    <t>722181215RT9</t>
  </si>
  <si>
    <t>722290234R00</t>
  </si>
  <si>
    <t>722.2VD</t>
  </si>
  <si>
    <t>732339103R00</t>
  </si>
  <si>
    <t>732429111R00</t>
  </si>
  <si>
    <t>722235813R00</t>
  </si>
  <si>
    <t>722237132R00</t>
  </si>
  <si>
    <t>722237122R00</t>
  </si>
  <si>
    <t>722237133R00</t>
  </si>
  <si>
    <t>722237123R00</t>
  </si>
  <si>
    <t>722235522R00</t>
  </si>
  <si>
    <t>722235652R00</t>
  </si>
  <si>
    <t>722235653R00</t>
  </si>
  <si>
    <t>722264324R00</t>
  </si>
  <si>
    <t>722.5VD</t>
  </si>
  <si>
    <t>722.4VD</t>
  </si>
  <si>
    <t>5511356971</t>
  </si>
  <si>
    <t>230320122R00</t>
  </si>
  <si>
    <t>722229101R00</t>
  </si>
  <si>
    <t>722.6VD</t>
  </si>
  <si>
    <t>723</t>
  </si>
  <si>
    <t>723120805R00</t>
  </si>
  <si>
    <t>723239105R00</t>
  </si>
  <si>
    <t>723:1VD</t>
  </si>
  <si>
    <t>723120204R00</t>
  </si>
  <si>
    <t>723120205R00</t>
  </si>
  <si>
    <t>723150312R00</t>
  </si>
  <si>
    <t>723150314R00</t>
  </si>
  <si>
    <t>723120206R00</t>
  </si>
  <si>
    <t>723237213R00</t>
  </si>
  <si>
    <t>723237215R00</t>
  </si>
  <si>
    <t>723237217R00</t>
  </si>
  <si>
    <t>723225114R00</t>
  </si>
  <si>
    <t>734421130R00</t>
  </si>
  <si>
    <t>723.2VD</t>
  </si>
  <si>
    <t>723.3VD</t>
  </si>
  <si>
    <t>725</t>
  </si>
  <si>
    <t>725334301R00</t>
  </si>
  <si>
    <t>55231405</t>
  </si>
  <si>
    <t>725210821R00</t>
  </si>
  <si>
    <t>725VD</t>
  </si>
  <si>
    <t>55145012</t>
  </si>
  <si>
    <t>725829201R00</t>
  </si>
  <si>
    <t>731</t>
  </si>
  <si>
    <t>731100809R00</t>
  </si>
  <si>
    <t>731249126R00</t>
  </si>
  <si>
    <t>731.1VD</t>
  </si>
  <si>
    <t>731.2VD</t>
  </si>
  <si>
    <t>731.3VD</t>
  </si>
  <si>
    <t>731.4VD</t>
  </si>
  <si>
    <t>731.5VD</t>
  </si>
  <si>
    <t>731.6VD</t>
  </si>
  <si>
    <t>731.7VD</t>
  </si>
  <si>
    <t>731.8VD</t>
  </si>
  <si>
    <t>731.9VD</t>
  </si>
  <si>
    <t>731.10VD</t>
  </si>
  <si>
    <t>732</t>
  </si>
  <si>
    <t>732110811R00</t>
  </si>
  <si>
    <t>732.1VD</t>
  </si>
  <si>
    <t>732.2VD</t>
  </si>
  <si>
    <t>732.4VD</t>
  </si>
  <si>
    <t>732.3VD</t>
  </si>
  <si>
    <t>732339107R00</t>
  </si>
  <si>
    <t>48466208</t>
  </si>
  <si>
    <t>732.5VD</t>
  </si>
  <si>
    <t>732.7VD</t>
  </si>
  <si>
    <t>732.6VD</t>
  </si>
  <si>
    <t>732.8VD</t>
  </si>
  <si>
    <t>732.9VD</t>
  </si>
  <si>
    <t>732.10VD</t>
  </si>
  <si>
    <t>732.11VD</t>
  </si>
  <si>
    <t>733</t>
  </si>
  <si>
    <t>733163104R00</t>
  </si>
  <si>
    <t>733163105R00</t>
  </si>
  <si>
    <t>733163106R00</t>
  </si>
  <si>
    <t>733163107R00</t>
  </si>
  <si>
    <t>722181214RT9</t>
  </si>
  <si>
    <t>722181214RU2</t>
  </si>
  <si>
    <t>734</t>
  </si>
  <si>
    <t>734213112R00</t>
  </si>
  <si>
    <t>734293273R00</t>
  </si>
  <si>
    <t>734293275R00</t>
  </si>
  <si>
    <t>734293274R00</t>
  </si>
  <si>
    <t>734.1VD</t>
  </si>
  <si>
    <t>734.2VD</t>
  </si>
  <si>
    <t>734.3VD</t>
  </si>
  <si>
    <t>734.4VD</t>
  </si>
  <si>
    <t>286547027</t>
  </si>
  <si>
    <t>286547028</t>
  </si>
  <si>
    <t>734.5VD</t>
  </si>
  <si>
    <t>734.6VD</t>
  </si>
  <si>
    <t>55113434.A</t>
  </si>
  <si>
    <t>55113435.A</t>
  </si>
  <si>
    <t>55113436.A</t>
  </si>
  <si>
    <t>734209114R00</t>
  </si>
  <si>
    <t>734209115R00</t>
  </si>
  <si>
    <t>734209116R00</t>
  </si>
  <si>
    <t>734209117R00</t>
  </si>
  <si>
    <t>734209125R00</t>
  </si>
  <si>
    <t>734209126R00</t>
  </si>
  <si>
    <t>734209103R00</t>
  </si>
  <si>
    <t>551100161</t>
  </si>
  <si>
    <t>734413122R00</t>
  </si>
  <si>
    <t>734413123R00</t>
  </si>
  <si>
    <t>766</t>
  </si>
  <si>
    <t>766660014RA0</t>
  </si>
  <si>
    <t>767</t>
  </si>
  <si>
    <t>767681120R00</t>
  </si>
  <si>
    <t>771</t>
  </si>
  <si>
    <t>771101101R00</t>
  </si>
  <si>
    <t>771101111R00</t>
  </si>
  <si>
    <t>771101142R00</t>
  </si>
  <si>
    <t>771120111R00</t>
  </si>
  <si>
    <t>771120211R00</t>
  </si>
  <si>
    <t>771130111R00</t>
  </si>
  <si>
    <t>771212112R00</t>
  </si>
  <si>
    <t>784</t>
  </si>
  <si>
    <t>784191201R00</t>
  </si>
  <si>
    <t>784195212R00</t>
  </si>
  <si>
    <t>784900010RAB</t>
  </si>
  <si>
    <t>891183431R00</t>
  </si>
  <si>
    <t>968072455R00</t>
  </si>
  <si>
    <t>965081702R00</t>
  </si>
  <si>
    <t>965048250R00</t>
  </si>
  <si>
    <t>965081713RT1</t>
  </si>
  <si>
    <t>968061126R00</t>
  </si>
  <si>
    <t>971028461R00</t>
  </si>
  <si>
    <t>970031030R00</t>
  </si>
  <si>
    <t>M21</t>
  </si>
  <si>
    <t>650121113R00</t>
  </si>
  <si>
    <t>S</t>
  </si>
  <si>
    <t>979011221R00</t>
  </si>
  <si>
    <t>979081111R00</t>
  </si>
  <si>
    <t>979081121R00</t>
  </si>
  <si>
    <t>979990107R00</t>
  </si>
  <si>
    <t>M21.1</t>
  </si>
  <si>
    <t>650.1VD</t>
  </si>
  <si>
    <t>650.2VD</t>
  </si>
  <si>
    <t>650.3VD</t>
  </si>
  <si>
    <t>650.4VD</t>
  </si>
  <si>
    <t>650.5VD</t>
  </si>
  <si>
    <t>650.6VD</t>
  </si>
  <si>
    <t>650.7VD</t>
  </si>
  <si>
    <t>650.8VD</t>
  </si>
  <si>
    <t>650.9VD</t>
  </si>
  <si>
    <t>650.10VD</t>
  </si>
  <si>
    <t>650.11VD</t>
  </si>
  <si>
    <t>650.12VD</t>
  </si>
  <si>
    <t>650.13VD</t>
  </si>
  <si>
    <t>650.14VD</t>
  </si>
  <si>
    <t>650.15VD</t>
  </si>
  <si>
    <t>650.16VD</t>
  </si>
  <si>
    <t>650.17VD</t>
  </si>
  <si>
    <t>650.18VD</t>
  </si>
  <si>
    <t>M21.2</t>
  </si>
  <si>
    <t>210.1VD</t>
  </si>
  <si>
    <t>210.2VD</t>
  </si>
  <si>
    <t>210.3VD</t>
  </si>
  <si>
    <t>M21.3</t>
  </si>
  <si>
    <t>210.4VD</t>
  </si>
  <si>
    <t>210.5VD</t>
  </si>
  <si>
    <t>M21.4</t>
  </si>
  <si>
    <t>210.6VD</t>
  </si>
  <si>
    <t>210.7VD</t>
  </si>
  <si>
    <t>210.8VD</t>
  </si>
  <si>
    <t>210.9VD</t>
  </si>
  <si>
    <t>210.10VD</t>
  </si>
  <si>
    <t>210.11VD</t>
  </si>
  <si>
    <t>210.12VD</t>
  </si>
  <si>
    <t>210.13VD</t>
  </si>
  <si>
    <t>210.14VD</t>
  </si>
  <si>
    <t>210.15VD</t>
  </si>
  <si>
    <t>210.16VD</t>
  </si>
  <si>
    <t>210.17VD</t>
  </si>
  <si>
    <t>210.30VD</t>
  </si>
  <si>
    <t>M21.5</t>
  </si>
  <si>
    <t>210.18VD</t>
  </si>
  <si>
    <t>M21.6</t>
  </si>
  <si>
    <t>210.20VD</t>
  </si>
  <si>
    <t>210.21VD</t>
  </si>
  <si>
    <t>210.22VD</t>
  </si>
  <si>
    <t>210.23VD</t>
  </si>
  <si>
    <t>210.24VD</t>
  </si>
  <si>
    <t>210.25VD</t>
  </si>
  <si>
    <t>210.26VD</t>
  </si>
  <si>
    <t>210.27VD</t>
  </si>
  <si>
    <t>210.28VD</t>
  </si>
  <si>
    <t>210.29VD</t>
  </si>
  <si>
    <t>M22</t>
  </si>
  <si>
    <t>220261662R00</t>
  </si>
  <si>
    <t>220261664R00</t>
  </si>
  <si>
    <t>220261665R00</t>
  </si>
  <si>
    <t>Celková oprava plynové kotelny</t>
  </si>
  <si>
    <t>Zdroj tepla pro objekt ZŠ</t>
  </si>
  <si>
    <t>Butovická 228/9, 158 00 Praha 5 - Jinonice</t>
  </si>
  <si>
    <t>Zkrácený popis</t>
  </si>
  <si>
    <t>Rozměry</t>
  </si>
  <si>
    <t>Zdi podpěrné a volné</t>
  </si>
  <si>
    <t>Zazdívka otvorů pl. 0,25 m2 cihlami, tl. zdi 60 cm</t>
  </si>
  <si>
    <t>zdi volně stojících komínů a ventilací</t>
  </si>
  <si>
    <t>Úprava stávající šachty (Al pr.150mm), osazení patního kolena</t>
  </si>
  <si>
    <t>Komínová vložka PP průměr 80mm, dl. 1m</t>
  </si>
  <si>
    <t>Komínová hlava pro kondenz.kotle, pr.80 mm, PP</t>
  </si>
  <si>
    <t>Připojení na komín, šachtu vč. patního kole</t>
  </si>
  <si>
    <t>Montáž komínové vložky</t>
  </si>
  <si>
    <t>Úprava povrchů vnitřní</t>
  </si>
  <si>
    <t>Oprava vápen.omítek stěn do 50 % pl. - štukových</t>
  </si>
  <si>
    <t>Oprava váp.omítek stropů do 50% plochy - štukových</t>
  </si>
  <si>
    <t>Výplně otvorů</t>
  </si>
  <si>
    <t>Exteriérové ocelové dveře oboustr. hladké, falcové, 1/1 křídlé, izolované, trn proti vysazení, zámek pro vložku FAB, štítkové kování Rostex 804 kl+kl,</t>
  </si>
  <si>
    <t>Bloková zárub AUH100GA+0 bez zapuštění, s těsněním, bez přípravy pro samozavírač, závěsy s axiálními ložisky, kotvení šrouby. Nátěr prásková vypalov</t>
  </si>
  <si>
    <t>Podlahy a podlahové konstrukce</t>
  </si>
  <si>
    <t>Vybourání dlažby a podkladního betonu pro výměnu vpusti</t>
  </si>
  <si>
    <t>Dlažba protiskl. 300x300mm R11</t>
  </si>
  <si>
    <t>Vnitřní kanalizace</t>
  </si>
  <si>
    <t>Potrubí HT připojovací D 32 x 1,8 mm</t>
  </si>
  <si>
    <t>Potrubí HT připojovací D 40 x 1,8 mm</t>
  </si>
  <si>
    <t>Potrubí HT připojovací D 50 x 1,8 mm</t>
  </si>
  <si>
    <t>Vpusť podlahová se zápachovou uzávěrkou HL 510N</t>
  </si>
  <si>
    <t>Vnitřní vodovod</t>
  </si>
  <si>
    <t>Potrubí z měděných vodovod. trubek D 22 x 1,0 mm</t>
  </si>
  <si>
    <t>Potrubí z měděných vodovod. trubek D 28 x 1,5 mm</t>
  </si>
  <si>
    <t>Izolace návleková MIRELON STABIL tl. stěny 13 mm</t>
  </si>
  <si>
    <t>Montáž rozvodů z plastů polyfúz. svařováním D 20mm</t>
  </si>
  <si>
    <t>Montáž rozvodů z plastů polyfúz. svařováním D 32mm</t>
  </si>
  <si>
    <t>Potrubí vícevrst.vod.Wavin Basalt Plus,D 20x2,8 mm</t>
  </si>
  <si>
    <t>Potrubí vícevrst.vod.Wavin Basalt Plus,D 32x4,4 mm</t>
  </si>
  <si>
    <t>Izolace návleková MIRELON PRO tl. stěny 20 mm</t>
  </si>
  <si>
    <t>Izolace návleková  MIRELON PRO tl. stěny 25 mm</t>
  </si>
  <si>
    <t>Proplach a dezinfekce vodovod.potrubí DN 80</t>
  </si>
  <si>
    <t>Ventil pojistný 1/2" x 3/4",závitový 0,6 MPa</t>
  </si>
  <si>
    <t>Membránová expanzní nádoba pro rozvody pitné vody DD33/10</t>
  </si>
  <si>
    <t>Průtočná armatura k membránové nádobě Refix 3/4"</t>
  </si>
  <si>
    <t>Montáž nádoby expanzní tlakové 35 l</t>
  </si>
  <si>
    <t>Elektronicky řízené cirkulační čerpadlo STRATOS PICO-Z pro pitnou vodu., dopravní výška 4m, napájení 230V, DN20</t>
  </si>
  <si>
    <t>Montáž čerpadel oběhových spirálních, DN 25</t>
  </si>
  <si>
    <t>Ventil redukční s manometrem PN 25,IVAR.5350 DN 25</t>
  </si>
  <si>
    <t>Kohout vod.kulový s vypouš.,GIACOMINI R250DS DN 20</t>
  </si>
  <si>
    <t>Kohout vod.kul.,2xvnitř.záv.GIACOMINI R250D DN 20</t>
  </si>
  <si>
    <t>Kohout vod.kulový s vypouš.,GIACOMINI R250DS DN 25</t>
  </si>
  <si>
    <t>Kohout vod.kul.,2xvnitř.záv.GIACOMINI R250D DN 25</t>
  </si>
  <si>
    <t>Filtr,vod.vnitřní-vnitřní z.IVAR FIV.08412 DN 20</t>
  </si>
  <si>
    <t>Ventil vod.zpětný EURA-SPRINT,IVAR.CIM 30 VA DN 20</t>
  </si>
  <si>
    <t>Ventil vod.zpětný EURA-SPRINT,IVAR.CIM 30 VA DN 25</t>
  </si>
  <si>
    <t>Vodoměr bytový SV Enbra ET DN 20x130 mm, Qn 4</t>
  </si>
  <si>
    <t>Termostatický směšovací ventil MT52 SD - 1" s pojistkou, průtok 39+61 l/min, rozsah 30-70°C</t>
  </si>
  <si>
    <t>R620 výtokový kulový kohout s hadicovou vývodkou</t>
  </si>
  <si>
    <t>Kohout kulový vypouštěcí R608 1/2" Giacomini</t>
  </si>
  <si>
    <t>Tlaková zkouška</t>
  </si>
  <si>
    <t>Montáž vodovodních armatur,1závit, G 1/2</t>
  </si>
  <si>
    <t>Montáž termostatického ventilu 1"</t>
  </si>
  <si>
    <t>Vnitřní plynovod</t>
  </si>
  <si>
    <t>Demontáž potrubí svařovaného závitového DN 25-50</t>
  </si>
  <si>
    <t>Montáž plynovodních armatur, 2 závity, G 6/4</t>
  </si>
  <si>
    <t>Havarijní ventil PEVEKO EVPE 1040.02/A – závitové připojení Rp 1 1/2"</t>
  </si>
  <si>
    <t>Potrubí ocelové závitové černé svařované DN 25</t>
  </si>
  <si>
    <t>Potrubí ocelové závitové černé svařované DN 32</t>
  </si>
  <si>
    <t>Potrubí ocelové hladké černé svařované D 57x2,9</t>
  </si>
  <si>
    <t>Potrubí ocelové hladké černé svařované D 89x3,6</t>
  </si>
  <si>
    <t>Potrubí ocelové závitové černé svařované DN 40</t>
  </si>
  <si>
    <t>Kohout kulový,2xvnitřní závit,GIACOMINI R950 DN 15</t>
  </si>
  <si>
    <t>Kohout kulový,2xvnitřní závit,GIACOMINI R950 DN 25</t>
  </si>
  <si>
    <t>Kohout kulový,2xvnitřní závit,GIACOMINI R950 DN 40</t>
  </si>
  <si>
    <t>Ventil vzorkov.přímý.vnější z. MET IVAR.8105R DN15</t>
  </si>
  <si>
    <t>Tlakoměr plyn d160 0-6kPa typ313</t>
  </si>
  <si>
    <t>Smyčka k manometru závitová stočená 1375 32.1</t>
  </si>
  <si>
    <t>Úprava plynoměrné skříně v souvislosti s osazením ventilu EVPE</t>
  </si>
  <si>
    <t>Zvýšená ochrana proti korozi třívrsrvý nátěr o tl. Min 0,25mm nebo dvouvrstvý dvousložkový nátěr (žluté barvy)</t>
  </si>
  <si>
    <t>Zařizovací předměty</t>
  </si>
  <si>
    <t>Nálevka se sifonem PP HL21, DN 32</t>
  </si>
  <si>
    <t>Výlevka nerez SLVN 04 nástěnná, zadní stěna mřížka</t>
  </si>
  <si>
    <t>Demontáž umyvadel bez výtokových armatur</t>
  </si>
  <si>
    <t>Montáž výlevky nerezové</t>
  </si>
  <si>
    <t>Baterie dřezová směšov nástěnná s kul ústím PL02B</t>
  </si>
  <si>
    <t>Montáž baterie umyv.a dřezové nástěnné chromové</t>
  </si>
  <si>
    <t>Kotelny</t>
  </si>
  <si>
    <t>Demontáž kotle litinového článkového</t>
  </si>
  <si>
    <t>Montáž kotle ocel.teplov.,kapalina/plyn do 52 kW</t>
  </si>
  <si>
    <t>Plynový závěsný kondenzační kotel o jmenovitém výkonu 8,0 - 45,0 kW (80/60°C)</t>
  </si>
  <si>
    <t>modul VR 34 připojovací modul k nadřazeným regulačním systémům 0-10V</t>
  </si>
  <si>
    <t>Připojovací adaptér pr. 80/125mm</t>
  </si>
  <si>
    <t>Prodlužovací kus odkouření 0,5 m, O 80/125 mm</t>
  </si>
  <si>
    <t xml:space="preserve"> Koleno 2x 45°, O 80/125 mm</t>
  </si>
  <si>
    <t>Montáž kouřovodu pr. 80/125mm</t>
  </si>
  <si>
    <t>Stojan z ocel.profilů pro zavěšení jednoho kotle</t>
  </si>
  <si>
    <t>Servisní spuštění kotlů</t>
  </si>
  <si>
    <t>Zkoušky tlakové</t>
  </si>
  <si>
    <t>Revize</t>
  </si>
  <si>
    <t>Strojovny</t>
  </si>
  <si>
    <t>Demontáž těles rozdělovačů a sběračů, DN 100 mm</t>
  </si>
  <si>
    <t>Zásobníkový ohřívač teplé vody o objemu 300 litrů</t>
  </si>
  <si>
    <t>Hydraulická výhybka např. Flexbalance ECOPlus C 6/4'" vč.tepelné izol. pro průtočné množství min. 5600 l/h</t>
  </si>
  <si>
    <t>Odplynění armatura 6/4"</t>
  </si>
  <si>
    <t>Magnetický odlučovač nečistot 6/4"</t>
  </si>
  <si>
    <t>Montáž nádoby expanzní tlakové 140 l</t>
  </si>
  <si>
    <t>Nádoba expanzní membránová NG 140/6</t>
  </si>
  <si>
    <t>Rychlouzavírací šroubení s vypouštěním a pojistkou DN25</t>
  </si>
  <si>
    <t>Stojan stavitelný ke kombi rozdělovači</t>
  </si>
  <si>
    <t>Kombinovaný rozdělovač/sběrač modul 80, délka 1,3m vč. tepelné izolace</t>
  </si>
  <si>
    <t>Elektronické telovodní oběhové čerpadlo DN25, H=6m, 10 bar</t>
  </si>
  <si>
    <t>Elektronické telovodní oběhové čerpadlo DN32, H=8m, 10 bar</t>
  </si>
  <si>
    <t>úpravna vody změkčení vč. oddělovače</t>
  </si>
  <si>
    <t>kartuš  změkčení</t>
  </si>
  <si>
    <t>Rozvod potrubí</t>
  </si>
  <si>
    <t>Potrubí z měděných trubek vytápění D 22 x 1,0 mm</t>
  </si>
  <si>
    <t>Potrubí z měděných trubek vytápění D 28 x 1,5 mm</t>
  </si>
  <si>
    <t>Potrubí z měděných trubek vytápění D 35 x 1,5 mm</t>
  </si>
  <si>
    <t>Potrubí z měděných trubek vytápění D 42 x 1,5 mm</t>
  </si>
  <si>
    <t>Armatury</t>
  </si>
  <si>
    <t>Ventil automatický odvzdušňovací, IVAR VARIA DN 15</t>
  </si>
  <si>
    <t>Tlakoměr deformační 0-10 MPa č. 03313, D 160</t>
  </si>
  <si>
    <t>Kohout kulový FILTR BALL, IVAR.51F DN 25</t>
  </si>
  <si>
    <t>Kohout kulový FILTR BALL, IVAR.51F DN 40</t>
  </si>
  <si>
    <t>Kohout kulový FILTR BALL, IVAR.51F DN 32</t>
  </si>
  <si>
    <t>Trojcestný směšovací ventil ESBE VRG 131 25-6.3</t>
  </si>
  <si>
    <t>Trojcestný směšovací ventil ESBE VRG 131 25-4,0</t>
  </si>
  <si>
    <t>Trojcestný směšovací ventil ESBE VRG 131 32-4,0</t>
  </si>
  <si>
    <t>Ventil regulační DN20</t>
  </si>
  <si>
    <t>Klapka zpětná  D 25</t>
  </si>
  <si>
    <t>Klapka zpětná  D 32</t>
  </si>
  <si>
    <t>Ventil regulační DN32</t>
  </si>
  <si>
    <t>Regulační ventil DN25</t>
  </si>
  <si>
    <t>Kohout kulový R910 1" plnoprůt. páčka GIACOMINI</t>
  </si>
  <si>
    <t>Kohout kulový R910 1"1/4 plnoprůt. páčka GIACOMINI</t>
  </si>
  <si>
    <t>Kohout kulový R910 1"1/2 plnoprůt. páčka GIACOMINI</t>
  </si>
  <si>
    <t>Montáž armatur závitových,se 2závity, G 3/4</t>
  </si>
  <si>
    <t>Montáž armatur závitových,se 2závity, G 1</t>
  </si>
  <si>
    <t>Montáž armatur závitových,se 2závity, G 5/4</t>
  </si>
  <si>
    <t>Montáž armatur závitových,se 2závity, G 6/4</t>
  </si>
  <si>
    <t>Montáž armatur závitových,se 3závity, G 1</t>
  </si>
  <si>
    <t>Montáž armatur závitových,se 3závity, G 5/4</t>
  </si>
  <si>
    <t>Montáž armatur závitových,s 1závitem, G 1/2</t>
  </si>
  <si>
    <t>Kohout kulový vypouštěcí IVAR.EURO M 1/2"</t>
  </si>
  <si>
    <t>Teploměr IVAR.TP 120 A, D 63 / dl.jímky 50 mm</t>
  </si>
  <si>
    <t>Teploměr IVAR.TP 120 A, D 63 / dl.jímky 75 mm</t>
  </si>
  <si>
    <t>Konstrukce truhlářské</t>
  </si>
  <si>
    <t>Montáž dveří jednokřídlových šířky 80 cm</t>
  </si>
  <si>
    <t>Konstrukce doplňkové stavební (zámečnické)</t>
  </si>
  <si>
    <t>Montáž zárubní montovat.1kř. hl. 8,5, š. přes 80cm</t>
  </si>
  <si>
    <t>Podlahy z dlaždic</t>
  </si>
  <si>
    <t>Vysávání podlah prům.vysavačem pro pokládku dlažby</t>
  </si>
  <si>
    <t>Vyrovnání podkladů maltou ze SMS tl. do 10 mm</t>
  </si>
  <si>
    <t>Provedení hydroizol. stěrky pod dlažby dvouvrstvé</t>
  </si>
  <si>
    <t>Kladení dlaždic na stupnice do tmele, jedna řada</t>
  </si>
  <si>
    <t>Kladení dlaždic na podstupnice do tmele, 1 řada</t>
  </si>
  <si>
    <t>Obklad soklíků rovných do tmele výšky do 100 mm</t>
  </si>
  <si>
    <t>Kladení dlažby keramické do TM, vel. do 200x200 mm</t>
  </si>
  <si>
    <t>Malby</t>
  </si>
  <si>
    <t>Penetrace podkladu hloubková Primalex 1x</t>
  </si>
  <si>
    <t>Malba Primalex Plus, bílá, bez penetrace, 2 x</t>
  </si>
  <si>
    <t>Odstranění stávajících maleb</t>
  </si>
  <si>
    <t>Ostatní konstrukce a práce na trubním vedení</t>
  </si>
  <si>
    <t>Montáž ventilů regulačních v objektech do DN 40</t>
  </si>
  <si>
    <t>Bourání konstrukcí</t>
  </si>
  <si>
    <t>Vybourání kovových dveřních zárubní pl. do 2 m2</t>
  </si>
  <si>
    <t>Bourání soklíků z dlažeb keramických</t>
  </si>
  <si>
    <t>Dočištění povrchu po vybourání dlažeb, MC do 50%</t>
  </si>
  <si>
    <t>Bourání dlažeb keramických tl.10 mm, nad 1 m2</t>
  </si>
  <si>
    <t>Vyvěšení dřevěných dveřních křídel pl. nad 2 m2</t>
  </si>
  <si>
    <t>Prorážení otvorů a ostatní bourací práce</t>
  </si>
  <si>
    <t>Vybourání otvorů zeď smíš. pl. 0,25 m2, tl. 60 cm</t>
  </si>
  <si>
    <t>Vrtání jádrové do zdiva cihelného d 30 mm</t>
  </si>
  <si>
    <t>Elektroinstalce</t>
  </si>
  <si>
    <t>Uložení vodiče Cu 2,5 mm2 pevně</t>
  </si>
  <si>
    <t>Přesuny sutí</t>
  </si>
  <si>
    <t>Svislá doprava suti a vybour. hmot za 1.PP nošením</t>
  </si>
  <si>
    <t>Odvoz suti a vybour. hmot na skládku do 1 km</t>
  </si>
  <si>
    <t>Příplatek k odvozu za každý další 1 km</t>
  </si>
  <si>
    <t>Poplatek za skládku suti - směs betonu,cihel,dřeva</t>
  </si>
  <si>
    <t>PERIFÉRIE</t>
  </si>
  <si>
    <t>Teplotní čidlo příložné provedení, snímač N1000</t>
  </si>
  <si>
    <t>Servopohon směšovacího ventilu kroutící moment 10Nm, napájení 24V, řídící signál 0-10V</t>
  </si>
  <si>
    <t>Montážní sada pro pohony řady HT. montáž na armatury ESBE VRG 131</t>
  </si>
  <si>
    <t>Teplotní čidlo kabelové snímač N1000</t>
  </si>
  <si>
    <t>Nerezová jímka 300mm</t>
  </si>
  <si>
    <t>Teplotní čidlo, venkovní provedení snímač N1000</t>
  </si>
  <si>
    <t>LED zářivkové těleso 120cm, 40W, denní bílá vodotěsné a prachotěsné 230V, IP65, závěsné provedení</t>
  </si>
  <si>
    <t>Vypínač osvětlení provedení do vlhka</t>
  </si>
  <si>
    <t>Nouzové osvětlení 1x6W, 100lm montáž na stěnu včetně baterie</t>
  </si>
  <si>
    <t>GSM hlásič  + Záložní zdroj v krytu hlásiče</t>
  </si>
  <si>
    <t>Čidla tlaku pro kapaliny a plyny, keramická (nerezová) membrána, vnější závit G1/2", napájení AC 24 V  výstup 0 až 10 V rozsah: 0-6 bar včetně redukcí</t>
  </si>
  <si>
    <t>Detektor plynu pro metan elektrochemický senzor montáž na stěnu, ochran a IP65</t>
  </si>
  <si>
    <t>Detektor plynu pro oxid uhelnatý výstražný signál: světelný + zvukový, napájení: 90...265 VAC, rozsah měření: 0...200 ppm</t>
  </si>
  <si>
    <t>Sonda zaplavení  včetně vyhodnocovací jednotky</t>
  </si>
  <si>
    <t>Tlačítko havarijního odstavení pod sklem včetně kladívka</t>
  </si>
  <si>
    <t>Venkovní svítidlo reflektor světlomet se senzorem pohybu PIR, záběr 160°, dosah až 10m, těleso kov lak černá mat, kr sklo čiré, LED 1x30W, teplá 3000K</t>
  </si>
  <si>
    <t>Datová zásuvka pro montáž na omítku 2× nestíněné porty RJ-45 (cat. 6) pod úhlem 45°Datová zásuvka je opatřena zářezovým polem LSA</t>
  </si>
  <si>
    <t>Nástěnná zásuvka 230V 16A s ochranným kolíčkem a víčkem s krytím IP44 pro venkovní použití. Ochranné průhledné plastové víčko.</t>
  </si>
  <si>
    <t>Ventil solenidový 1/2" pro napouštění</t>
  </si>
  <si>
    <t>Rozvodnice MaR RA1</t>
  </si>
  <si>
    <t>Merbon PLC, Ethernet, 2x RS232, 2x RS485, 16AI, 6AO, 32DI, 32DO</t>
  </si>
  <si>
    <t>7 “  LCD TFT barevný display, dotyková obrazovka, rozlišení obrazovky 800 x 480, 2x sériový port 1xEthernet, 1xUSB 2.0</t>
  </si>
  <si>
    <t>5-Port 100Base-TX průmyslový Switch</t>
  </si>
  <si>
    <t>Dispečerské pracoviště</t>
  </si>
  <si>
    <t>5-Port 100Base-TX průmyslový Switch  - Operátorská stanice - velín, CPU 3GHz - 4 vlákna, 8GB RAM, 1TB HDD 120GB SSD ,    DWD/RW</t>
  </si>
  <si>
    <t>Licence dispečerského SW MERBORN SCADA (5000DB)</t>
  </si>
  <si>
    <t>Kabeláž</t>
  </si>
  <si>
    <t>Kabel pro řídící a automatizační systémy JYTY 2x1. Pro pevné uložení, stínění, měděné jádro, vnější plášť PVC, jmenovité napětí 250V.</t>
  </si>
  <si>
    <t>Kabel pro řídící a automatizační systémy JYTY 4x1, Pro pevné uložení, stínění, měděné jádro, vnější plášť PVC, jmenovité napětí 250V..</t>
  </si>
  <si>
    <t>Sdělovací a komunikační kabel, pro rozvody ethernetu UTP cal.6, nestíněný.</t>
  </si>
  <si>
    <t>Silový kabel CYKY 3Jx1,5. Měděné jádro, vnější plášť PVC, jmenovité napětí 450/750V, odolnost vůči šíření plamene dle ČSN EN 50265–1;–2–1 (IEC 60</t>
  </si>
  <si>
    <t>Silový kabel CYKY 3Jx2,5.Měděné jádro, vnější plášť PVC, jmenovité napětí 450/750V, odolnost vůči šíření plamene dle ČSN EN 50265–1;–2–1 (IEC 60</t>
  </si>
  <si>
    <t>Silový kabel CYKY 5Jx2,5.Měděné jádro, vnější plášť PVC, jmenovité napětí 450/750V, odolnost vůči šíření plamene dle ČSN EN 50265–1;–2–1 (IEC 60</t>
  </si>
  <si>
    <t>Silový kabel CYKY 5Jx4.Měděné jádro, vnější plášť PVC, jmenovité napětí 450/750V, odolnost vůči šíření plamene dle ČSN EN 50265–1;–2–1 (IEC 60</t>
  </si>
  <si>
    <t>Kabelový žlab perforovaný s integrovanmou spojkou. Kovový žlab, povrchová úprava zinkováním, rozměr 50x125mm, včetně víka, včetně bezšroubových úchyte</t>
  </si>
  <si>
    <t>PVC trubka nízká mech. pevnost samozhášivá. vč. příchytek a příslušenství. Průměr 23mm.</t>
  </si>
  <si>
    <t>PVC pevná trubka 25 mm, vč. příchytek a příslušenství. Průměr 25mm.</t>
  </si>
  <si>
    <t>Pomocná propojeovací krabice pro 5x4, včetně svorek.</t>
  </si>
  <si>
    <t>Pomocná svorková krabice, včetně víka a svorek (20ks).</t>
  </si>
  <si>
    <t>Sekání drážkyvčetně začištění pro kabeláž ve fasádě dvora k plynovměru a venkovmním světlům</t>
  </si>
  <si>
    <t>Rozvodnice</t>
  </si>
  <si>
    <t>Oceloplechový nástěnný rozvaděč nn , min krytí IP55, rozvodná soustava 3NPE, 50Hz, 230/400V/TN-S,  Povrchová úprava práškovou technologií. Dveře s těs</t>
  </si>
  <si>
    <t>Plastová rozvodnice pro osazení do výklenku ve stěně. Rozměr: 500x500x200 vč 2x Třífázová zásuvka, 5 pólů, 16A, 400V, IP44, nástěnná</t>
  </si>
  <si>
    <t>Montážní práce MaR</t>
  </si>
  <si>
    <t>Výroba rozvodnic</t>
  </si>
  <si>
    <t>Zpracování uživatelských programů - SW/konfigurace regulátoru a terminálu</t>
  </si>
  <si>
    <t>Zpracování uživatelských programů - dispečink</t>
  </si>
  <si>
    <t>Demontáž stávající elektroinstalace k plynové kotelně, včetně ekologické likvidace</t>
  </si>
  <si>
    <t>Montážní práce</t>
  </si>
  <si>
    <t>Oživení regulace a provedení zkoušek</t>
  </si>
  <si>
    <t>Revizní zprávy</t>
  </si>
  <si>
    <t>Engineering</t>
  </si>
  <si>
    <t>Projektová dokumentace (výrobní a skutečné provedení)</t>
  </si>
  <si>
    <t>Montáže sdělovací a zabezpečovací techniky</t>
  </si>
  <si>
    <t>Zhotovení drážky ve zdi cihlovém</t>
  </si>
  <si>
    <t>Zazdění drážky</t>
  </si>
  <si>
    <t>Začištění drážky, konečná úprava</t>
  </si>
  <si>
    <t>Doba výstavby:</t>
  </si>
  <si>
    <t>Začátek výstavby:</t>
  </si>
  <si>
    <t>Konec výstavby:</t>
  </si>
  <si>
    <t>Zpracováno dne:</t>
  </si>
  <si>
    <t>MJ</t>
  </si>
  <si>
    <t>kus</t>
  </si>
  <si>
    <t>kpl</t>
  </si>
  <si>
    <t>m</t>
  </si>
  <si>
    <t>m2</t>
  </si>
  <si>
    <t>soubor</t>
  </si>
  <si>
    <t>ku</t>
  </si>
  <si>
    <t>kpl6000</t>
  </si>
  <si>
    <t>ks</t>
  </si>
  <si>
    <t>t</t>
  </si>
  <si>
    <t>Množství</t>
  </si>
  <si>
    <t>12.01.2021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</si>
  <si>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</si>
  <si>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</si>
  <si>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</si>
  <si>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</si>
  <si>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</si>
  <si>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</si>
  <si>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</si>
  <si>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</si>
  <si>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</si>
  <si>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</si>
  <si>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</si>
  <si>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</si>
  <si>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</si>
  <si>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</si>
  <si>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</si>
  <si>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</si>
  <si>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II / 2020</t>
  </si>
  <si>
    <t>2020</t>
  </si>
  <si>
    <t>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</si>
  <si>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</si>
  <si>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</si>
  <si>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</si>
  <si>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</si>
  <si>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</si>
  <si>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</si>
  <si>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</si>
  <si>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</si>
  <si>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</si>
  <si>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</si>
  <si>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314_</t>
  </si>
  <si>
    <t>61_</t>
  </si>
  <si>
    <t>611_</t>
  </si>
  <si>
    <t>63_</t>
  </si>
  <si>
    <t>721_</t>
  </si>
  <si>
    <t>722_</t>
  </si>
  <si>
    <t>723_</t>
  </si>
  <si>
    <t>725_</t>
  </si>
  <si>
    <t>731_</t>
  </si>
  <si>
    <t>732_</t>
  </si>
  <si>
    <t>733_</t>
  </si>
  <si>
    <t>734_</t>
  </si>
  <si>
    <t>766_</t>
  </si>
  <si>
    <t>767_</t>
  </si>
  <si>
    <t>771_</t>
  </si>
  <si>
    <t>784_</t>
  </si>
  <si>
    <t>89_</t>
  </si>
  <si>
    <t>96_</t>
  </si>
  <si>
    <t>97_</t>
  </si>
  <si>
    <t>M21_</t>
  </si>
  <si>
    <t>S_</t>
  </si>
  <si>
    <t>M21.1_</t>
  </si>
  <si>
    <t>M21.2_</t>
  </si>
  <si>
    <t>M21.3_</t>
  </si>
  <si>
    <t>M21.4_</t>
  </si>
  <si>
    <t>M21.5_</t>
  </si>
  <si>
    <t>M21.6_</t>
  </si>
  <si>
    <t>M22_</t>
  </si>
  <si>
    <t>3_</t>
  </si>
  <si>
    <t>6_</t>
  </si>
  <si>
    <t>72_</t>
  </si>
  <si>
    <t>73_</t>
  </si>
  <si>
    <t>76_</t>
  </si>
  <si>
    <t>77_</t>
  </si>
  <si>
    <t>78_</t>
  </si>
  <si>
    <t>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</si>
  <si>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</si>
  <si>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</si>
  <si>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</si>
  <si>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</si>
  <si>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</si>
  <si>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</si>
  <si>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</si>
  <si>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</si>
  <si>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</si>
  <si>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</si>
  <si>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</si>
  <si>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</si>
  <si>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</si>
  <si>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</si>
  <si>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</si>
  <si>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</si>
  <si>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</si>
  <si>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</si>
  <si>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</si>
  <si>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</si>
  <si>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</si>
  <si>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</si>
  <si>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</si>
  <si>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</si>
  <si>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</si>
  <si>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</si>
  <si>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</si>
  <si>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</si>
  <si>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</si>
  <si>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</si>
  <si>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</si>
  <si>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</si>
  <si>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</si>
  <si>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</si>
  <si>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</si>
  <si>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</si>
  <si>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</si>
  <si>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</si>
  <si>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</si>
  <si>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</si>
  <si>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</si>
  <si>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</si>
  <si>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</si>
  <si>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</si>
  <si>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</si>
  <si>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</si>
  <si>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</si>
  <si>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</si>
  <si>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</si>
  <si>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</si>
  <si>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</si>
  <si>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</si>
  <si>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</si>
  <si>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</si>
  <si>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</si>
  <si>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</si>
  <si>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</si>
  <si>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</si>
  <si>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</si>
  <si>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Ing. Viktor Kouřílek</t>
  </si>
  <si>
    <t>210.19VD</t>
  </si>
  <si>
    <t>Osazení zásuvkové skříně vč. vybourání otvoru na fasádu a začištění</t>
  </si>
  <si>
    <t>Kotelna</t>
  </si>
  <si>
    <t>15372092</t>
  </si>
  <si>
    <t>Tlakové zkoušky a revize vnitřního plynovodu, revize</t>
  </si>
  <si>
    <t>723.4VD</t>
  </si>
  <si>
    <t>723.5VD</t>
  </si>
  <si>
    <t>722.1VD</t>
  </si>
  <si>
    <t>722.3VD</t>
  </si>
  <si>
    <t>722.7VD</t>
  </si>
  <si>
    <t>611.1VD</t>
  </si>
  <si>
    <t>650.19VD</t>
  </si>
  <si>
    <t>220.1VD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</si>
</sst>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35" xfId="0" applyNumberFormat="1" applyFont="1" applyFill="1" applyBorder="1" applyAlignment="1" applyProtection="1">
      <alignment horizontal="center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35" xfId="0" applyNumberFormat="1" applyFont="1" applyFill="1" applyBorder="1" applyAlignment="1" applyProtection="1">
      <alignment horizontal="right" vertical="center"/>
      <protection/>
    </xf>
    <xf numFmtId="49" fontId="12" fillId="0" borderId="35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4" borderId="4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9" xfId="0" applyNumberFormat="1" applyFont="1" applyFill="1" applyBorder="1" applyAlignment="1" applyProtection="1">
      <alignment horizontal="left" vertical="center"/>
      <protection locked="0"/>
    </xf>
    <xf numFmtId="0" fontId="1" fillId="0" borderId="28" xfId="0" applyNumberFormat="1" applyFont="1" applyFill="1" applyBorder="1" applyAlignment="1" applyProtection="1">
      <alignment horizontal="left" vertical="center"/>
      <protection locked="0"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8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9" xfId="0" applyNumberFormat="1" applyFont="1" applyFill="1" applyBorder="1" applyAlignment="1" applyProtection="1">
      <alignment horizontal="left" vertical="center"/>
      <protection locked="0"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49" fontId="13" fillId="0" borderId="4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1" fillId="0" borderId="49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49" fontId="11" fillId="34" borderId="49" xfId="0" applyNumberFormat="1" applyFont="1" applyFill="1" applyBorder="1" applyAlignment="1" applyProtection="1">
      <alignment horizontal="left" vertical="center"/>
      <protection/>
    </xf>
    <xf numFmtId="0" fontId="11" fillId="34" borderId="48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5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2"/>
  <sheetViews>
    <sheetView tabSelected="1" zoomScalePageLayoutView="0" workbookViewId="0" topLeftCell="A1">
      <pane ySplit="11" topLeftCell="A236" activePane="bottomLeft" state="frozen"/>
      <selection pane="topLeft" activeCell="A1" sqref="A1"/>
      <selection pane="bottomLeft" activeCell="G242" sqref="G242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6.00390625" style="0" customWidth="1"/>
    <col min="5" max="5" width="7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2.75">
      <c r="A2" s="96" t="s">
        <v>1</v>
      </c>
      <c r="B2" s="97"/>
      <c r="C2" s="97"/>
      <c r="D2" s="100" t="s">
        <v>439</v>
      </c>
      <c r="E2" s="102" t="s">
        <v>674</v>
      </c>
      <c r="F2" s="97"/>
      <c r="G2" s="102" t="s">
        <v>6</v>
      </c>
      <c r="H2" s="103" t="s">
        <v>692</v>
      </c>
      <c r="I2" s="102" t="s">
        <v>699</v>
      </c>
      <c r="J2" s="97"/>
      <c r="K2" s="97"/>
      <c r="L2" s="97"/>
      <c r="M2" s="104"/>
      <c r="N2" s="40"/>
    </row>
    <row r="3" spans="1:14" ht="12.75">
      <c r="A3" s="98"/>
      <c r="B3" s="99"/>
      <c r="C3" s="99"/>
      <c r="D3" s="101"/>
      <c r="E3" s="99"/>
      <c r="F3" s="99"/>
      <c r="G3" s="99"/>
      <c r="H3" s="99"/>
      <c r="I3" s="99"/>
      <c r="J3" s="99"/>
      <c r="K3" s="99"/>
      <c r="L3" s="99"/>
      <c r="M3" s="105"/>
      <c r="N3" s="40"/>
    </row>
    <row r="4" spans="1:14" ht="12.75">
      <c r="A4" s="106" t="s">
        <v>2</v>
      </c>
      <c r="B4" s="99"/>
      <c r="C4" s="99"/>
      <c r="D4" s="107" t="s">
        <v>440</v>
      </c>
      <c r="E4" s="108" t="s">
        <v>675</v>
      </c>
      <c r="F4" s="99"/>
      <c r="G4" s="108" t="s">
        <v>689</v>
      </c>
      <c r="H4" s="107" t="s">
        <v>693</v>
      </c>
      <c r="I4" s="108" t="s">
        <v>814</v>
      </c>
      <c r="J4" s="99"/>
      <c r="K4" s="99"/>
      <c r="L4" s="99"/>
      <c r="M4" s="105"/>
      <c r="N4" s="40"/>
    </row>
    <row r="5" spans="1:14" ht="12.7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5"/>
      <c r="N5" s="40"/>
    </row>
    <row r="6" spans="1:14" ht="12.75">
      <c r="A6" s="106" t="s">
        <v>3</v>
      </c>
      <c r="B6" s="99"/>
      <c r="C6" s="99"/>
      <c r="D6" s="107" t="s">
        <v>441</v>
      </c>
      <c r="E6" s="108" t="s">
        <v>676</v>
      </c>
      <c r="F6" s="99"/>
      <c r="G6" s="108" t="s">
        <v>6</v>
      </c>
      <c r="H6" s="107" t="s">
        <v>694</v>
      </c>
      <c r="I6" s="108" t="s">
        <v>699</v>
      </c>
      <c r="J6" s="99"/>
      <c r="K6" s="99"/>
      <c r="L6" s="99"/>
      <c r="M6" s="105"/>
      <c r="N6" s="40"/>
    </row>
    <row r="7" spans="1:14" ht="12.7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5"/>
      <c r="N7" s="40"/>
    </row>
    <row r="8" spans="1:14" ht="12.75">
      <c r="A8" s="106" t="s">
        <v>4</v>
      </c>
      <c r="B8" s="99"/>
      <c r="C8" s="99"/>
      <c r="D8" s="107" t="s">
        <v>6</v>
      </c>
      <c r="E8" s="108" t="s">
        <v>677</v>
      </c>
      <c r="F8" s="99"/>
      <c r="G8" s="108" t="s">
        <v>689</v>
      </c>
      <c r="H8" s="107" t="s">
        <v>695</v>
      </c>
      <c r="I8" s="108" t="s">
        <v>699</v>
      </c>
      <c r="J8" s="99"/>
      <c r="K8" s="99"/>
      <c r="L8" s="99"/>
      <c r="M8" s="105"/>
      <c r="N8" s="40"/>
    </row>
    <row r="9" spans="1:14" ht="12.7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40"/>
    </row>
    <row r="10" spans="1:64" ht="12.75">
      <c r="A10" s="1" t="s">
        <v>5</v>
      </c>
      <c r="B10" s="10" t="s">
        <v>217</v>
      </c>
      <c r="C10" s="10" t="s">
        <v>218</v>
      </c>
      <c r="D10" s="10" t="s">
        <v>442</v>
      </c>
      <c r="E10" s="10" t="s">
        <v>678</v>
      </c>
      <c r="F10" s="21" t="s">
        <v>688</v>
      </c>
      <c r="G10" s="25" t="s">
        <v>690</v>
      </c>
      <c r="H10" s="109" t="s">
        <v>696</v>
      </c>
      <c r="I10" s="110"/>
      <c r="J10" s="111"/>
      <c r="K10" s="109" t="s">
        <v>702</v>
      </c>
      <c r="L10" s="111"/>
      <c r="M10" s="33" t="s">
        <v>704</v>
      </c>
      <c r="N10" s="41"/>
      <c r="BK10" s="32" t="s">
        <v>760</v>
      </c>
      <c r="BL10" s="46" t="s">
        <v>763</v>
      </c>
    </row>
    <row r="11" spans="1:62" ht="12.75">
      <c r="A11" s="2" t="s">
        <v>6</v>
      </c>
      <c r="B11" s="11" t="s">
        <v>6</v>
      </c>
      <c r="C11" s="11" t="s">
        <v>6</v>
      </c>
      <c r="D11" s="17" t="s">
        <v>443</v>
      </c>
      <c r="E11" s="11" t="s">
        <v>6</v>
      </c>
      <c r="F11" s="11" t="s">
        <v>6</v>
      </c>
      <c r="G11" s="26" t="s">
        <v>691</v>
      </c>
      <c r="H11" s="27" t="s">
        <v>697</v>
      </c>
      <c r="I11" s="29" t="s">
        <v>700</v>
      </c>
      <c r="J11" s="30" t="s">
        <v>701</v>
      </c>
      <c r="K11" s="27" t="s">
        <v>703</v>
      </c>
      <c r="L11" s="30" t="s">
        <v>701</v>
      </c>
      <c r="M11" s="34" t="s">
        <v>705</v>
      </c>
      <c r="N11" s="41"/>
      <c r="Z11" s="32" t="s">
        <v>709</v>
      </c>
      <c r="AA11" s="32" t="s">
        <v>710</v>
      </c>
      <c r="AB11" s="32" t="s">
        <v>711</v>
      </c>
      <c r="AC11" s="32" t="s">
        <v>712</v>
      </c>
      <c r="AD11" s="32" t="s">
        <v>713</v>
      </c>
      <c r="AE11" s="32" t="s">
        <v>714</v>
      </c>
      <c r="AF11" s="32" t="s">
        <v>715</v>
      </c>
      <c r="AG11" s="32" t="s">
        <v>716</v>
      </c>
      <c r="AH11" s="32" t="s">
        <v>717</v>
      </c>
      <c r="BH11" s="32" t="s">
        <v>757</v>
      </c>
      <c r="BI11" s="32" t="s">
        <v>758</v>
      </c>
      <c r="BJ11" s="32" t="s">
        <v>759</v>
      </c>
    </row>
    <row r="12" spans="1:47" ht="12.75">
      <c r="A12" s="3"/>
      <c r="B12" s="12"/>
      <c r="C12" s="12" t="s">
        <v>37</v>
      </c>
      <c r="D12" s="12" t="s">
        <v>444</v>
      </c>
      <c r="E12" s="19" t="s">
        <v>6</v>
      </c>
      <c r="F12" s="19" t="s">
        <v>6</v>
      </c>
      <c r="G12" s="19" t="s">
        <v>6</v>
      </c>
      <c r="H12" s="47">
        <f>SUM(H13:H13)</f>
        <v>0</v>
      </c>
      <c r="I12" s="47">
        <f>SUM(I13:I13)</f>
        <v>0</v>
      </c>
      <c r="J12" s="47">
        <f>SUM(J13:J13)</f>
        <v>0</v>
      </c>
      <c r="K12" s="31"/>
      <c r="L12" s="47">
        <f>SUM(L13:L13)</f>
        <v>0.44752</v>
      </c>
      <c r="M12" s="35"/>
      <c r="N12" s="40"/>
      <c r="AI12" s="32"/>
      <c r="AS12" s="48">
        <f>SUM(AJ13:AJ13)</f>
        <v>0</v>
      </c>
      <c r="AT12" s="48">
        <f>SUM(AK13:AK13)</f>
        <v>0</v>
      </c>
      <c r="AU12" s="48">
        <f>SUM(AL13:AL13)</f>
        <v>0</v>
      </c>
    </row>
    <row r="13" spans="1:64" ht="12.75">
      <c r="A13" s="4" t="s">
        <v>7</v>
      </c>
      <c r="B13" s="13"/>
      <c r="C13" s="13" t="s">
        <v>219</v>
      </c>
      <c r="D13" s="13" t="s">
        <v>445</v>
      </c>
      <c r="E13" s="13" t="s">
        <v>679</v>
      </c>
      <c r="F13" s="22">
        <v>2</v>
      </c>
      <c r="G13" s="90">
        <v>0</v>
      </c>
      <c r="H13" s="22">
        <f>F13*AO13</f>
        <v>0</v>
      </c>
      <c r="I13" s="22">
        <f>F13*AP13</f>
        <v>0</v>
      </c>
      <c r="J13" s="22">
        <f>F13*G13</f>
        <v>0</v>
      </c>
      <c r="K13" s="22">
        <v>0.22376</v>
      </c>
      <c r="L13" s="22">
        <f>F13*K13</f>
        <v>0.44752</v>
      </c>
      <c r="M13" s="36" t="s">
        <v>706</v>
      </c>
      <c r="N13" s="40"/>
      <c r="Z13" s="42">
        <f>IF(AQ13="5",BJ13,0)</f>
        <v>0</v>
      </c>
      <c r="AB13" s="42">
        <f>IF(AQ13="1",BH13,0)</f>
        <v>0</v>
      </c>
      <c r="AC13" s="42">
        <f>IF(AQ13="1",BI13,0)</f>
        <v>0</v>
      </c>
      <c r="AD13" s="42">
        <f>IF(AQ13="7",BH13,0)</f>
        <v>0</v>
      </c>
      <c r="AE13" s="42">
        <f>IF(AQ13="7",BI13,0)</f>
        <v>0</v>
      </c>
      <c r="AF13" s="42">
        <f>IF(AQ13="2",BH13,0)</f>
        <v>0</v>
      </c>
      <c r="AG13" s="42">
        <f>IF(AQ13="2",BI13,0)</f>
        <v>0</v>
      </c>
      <c r="AH13" s="42">
        <f>IF(AQ13="0",BJ13,0)</f>
        <v>0</v>
      </c>
      <c r="AI13" s="32"/>
      <c r="AJ13" s="22">
        <f>IF(AN13=0,J13,0)</f>
        <v>0</v>
      </c>
      <c r="AK13" s="22">
        <f>IF(AN13=15,J13,0)</f>
        <v>0</v>
      </c>
      <c r="AL13" s="22">
        <f>IF(AN13=21,J13,0)</f>
        <v>0</v>
      </c>
      <c r="AN13" s="42">
        <v>15</v>
      </c>
      <c r="AO13" s="42">
        <f>G13*0.568895768833849</f>
        <v>0</v>
      </c>
      <c r="AP13" s="42">
        <f>G13*(1-0.568895768833849)</f>
        <v>0</v>
      </c>
      <c r="AQ13" s="43" t="s">
        <v>7</v>
      </c>
      <c r="AV13" s="42">
        <f>AW13+AX13</f>
        <v>0</v>
      </c>
      <c r="AW13" s="42">
        <f>F13*AO13</f>
        <v>0</v>
      </c>
      <c r="AX13" s="42">
        <f>F13*AP13</f>
        <v>0</v>
      </c>
      <c r="AY13" s="45" t="s">
        <v>718</v>
      </c>
      <c r="AZ13" s="45" t="s">
        <v>747</v>
      </c>
      <c r="BA13" s="32" t="s">
        <v>756</v>
      </c>
      <c r="BC13" s="42">
        <f>AW13+AX13</f>
        <v>0</v>
      </c>
      <c r="BD13" s="42">
        <f>G13/(100-BE13)*100</f>
        <v>0</v>
      </c>
      <c r="BE13" s="42">
        <v>0</v>
      </c>
      <c r="BF13" s="42">
        <f>L13</f>
        <v>0.44752</v>
      </c>
      <c r="BH13" s="22">
        <f>F13*AO13</f>
        <v>0</v>
      </c>
      <c r="BI13" s="22">
        <f>F13*AP13</f>
        <v>0</v>
      </c>
      <c r="BJ13" s="22">
        <f>F13*G13</f>
        <v>0</v>
      </c>
      <c r="BK13" s="22" t="s">
        <v>761</v>
      </c>
      <c r="BL13" s="42">
        <v>31</v>
      </c>
    </row>
    <row r="14" spans="1:47" ht="12.75">
      <c r="A14" s="5"/>
      <c r="B14" s="14"/>
      <c r="C14" s="14" t="s">
        <v>220</v>
      </c>
      <c r="D14" s="14" t="s">
        <v>446</v>
      </c>
      <c r="E14" s="20" t="s">
        <v>6</v>
      </c>
      <c r="F14" s="20" t="s">
        <v>6</v>
      </c>
      <c r="G14" s="20" t="s">
        <v>6</v>
      </c>
      <c r="H14" s="48">
        <f>SUM(H15:H19)</f>
        <v>0</v>
      </c>
      <c r="I14" s="48">
        <f>SUM(I15:I19)</f>
        <v>0</v>
      </c>
      <c r="J14" s="48">
        <f>SUM(J15:J19)</f>
        <v>0</v>
      </c>
      <c r="K14" s="32"/>
      <c r="L14" s="48">
        <f>SUM(L15:L19)</f>
        <v>0</v>
      </c>
      <c r="M14" s="37"/>
      <c r="N14" s="40"/>
      <c r="AI14" s="32"/>
      <c r="AS14" s="48">
        <f>SUM(AJ15:AJ19)</f>
        <v>0</v>
      </c>
      <c r="AT14" s="48">
        <f>SUM(AK15:AK19)</f>
        <v>0</v>
      </c>
      <c r="AU14" s="48">
        <f>SUM(AL15:AL19)</f>
        <v>0</v>
      </c>
    </row>
    <row r="15" spans="1:64" ht="12.75">
      <c r="A15" s="4" t="s">
        <v>8</v>
      </c>
      <c r="B15" s="13"/>
      <c r="C15" s="13" t="s">
        <v>221</v>
      </c>
      <c r="D15" s="13" t="s">
        <v>447</v>
      </c>
      <c r="E15" s="13" t="s">
        <v>680</v>
      </c>
      <c r="F15" s="22">
        <v>2</v>
      </c>
      <c r="G15" s="90">
        <v>0</v>
      </c>
      <c r="H15" s="22">
        <f>F15*AO15</f>
        <v>0</v>
      </c>
      <c r="I15" s="22">
        <f>F15*AP15</f>
        <v>0</v>
      </c>
      <c r="J15" s="22">
        <f>F15*G15</f>
        <v>0</v>
      </c>
      <c r="K15" s="22">
        <v>0</v>
      </c>
      <c r="L15" s="22">
        <f>F15*K15</f>
        <v>0</v>
      </c>
      <c r="M15" s="36"/>
      <c r="N15" s="40"/>
      <c r="Z15" s="42">
        <f>IF(AQ15="5",BJ15,0)</f>
        <v>0</v>
      </c>
      <c r="AB15" s="42">
        <f>IF(AQ15="1",BH15,0)</f>
        <v>0</v>
      </c>
      <c r="AC15" s="42">
        <f>IF(AQ15="1",BI15,0)</f>
        <v>0</v>
      </c>
      <c r="AD15" s="42">
        <f>IF(AQ15="7",BH15,0)</f>
        <v>0</v>
      </c>
      <c r="AE15" s="42">
        <f>IF(AQ15="7",BI15,0)</f>
        <v>0</v>
      </c>
      <c r="AF15" s="42">
        <f>IF(AQ15="2",BH15,0)</f>
        <v>0</v>
      </c>
      <c r="AG15" s="42">
        <f>IF(AQ15="2",BI15,0)</f>
        <v>0</v>
      </c>
      <c r="AH15" s="42">
        <f>IF(AQ15="0",BJ15,0)</f>
        <v>0</v>
      </c>
      <c r="AI15" s="32"/>
      <c r="AJ15" s="22">
        <f>IF(AN15=0,J15,0)</f>
        <v>0</v>
      </c>
      <c r="AK15" s="22">
        <f>IF(AN15=15,J15,0)</f>
        <v>0</v>
      </c>
      <c r="AL15" s="22">
        <f>IF(AN15=21,J15,0)</f>
        <v>0</v>
      </c>
      <c r="AN15" s="42">
        <v>15</v>
      </c>
      <c r="AO15" s="42">
        <f>G15*0</f>
        <v>0</v>
      </c>
      <c r="AP15" s="42">
        <f>G15*(1-0)</f>
        <v>0</v>
      </c>
      <c r="AQ15" s="43" t="s">
        <v>7</v>
      </c>
      <c r="AV15" s="42">
        <f>AW15+AX15</f>
        <v>0</v>
      </c>
      <c r="AW15" s="42">
        <f>F15*AO15</f>
        <v>0</v>
      </c>
      <c r="AX15" s="42">
        <f>F15*AP15</f>
        <v>0</v>
      </c>
      <c r="AY15" s="45" t="s">
        <v>719</v>
      </c>
      <c r="AZ15" s="45" t="s">
        <v>747</v>
      </c>
      <c r="BA15" s="32" t="s">
        <v>756</v>
      </c>
      <c r="BC15" s="42">
        <f>AW15+AX15</f>
        <v>0</v>
      </c>
      <c r="BD15" s="42">
        <f>G15/(100-BE15)*100</f>
        <v>0</v>
      </c>
      <c r="BE15" s="42">
        <v>0</v>
      </c>
      <c r="BF15" s="42">
        <f>L15</f>
        <v>0</v>
      </c>
      <c r="BH15" s="22">
        <f>F15*AO15</f>
        <v>0</v>
      </c>
      <c r="BI15" s="22">
        <f>F15*AP15</f>
        <v>0</v>
      </c>
      <c r="BJ15" s="22">
        <f>F15*G15</f>
        <v>0</v>
      </c>
      <c r="BK15" s="22" t="s">
        <v>761</v>
      </c>
      <c r="BL15" s="42">
        <v>314</v>
      </c>
    </row>
    <row r="16" spans="1:64" ht="12.75">
      <c r="A16" s="6" t="s">
        <v>9</v>
      </c>
      <c r="B16" s="15"/>
      <c r="C16" s="15" t="s">
        <v>222</v>
      </c>
      <c r="D16" s="15" t="s">
        <v>448</v>
      </c>
      <c r="E16" s="15" t="s">
        <v>681</v>
      </c>
      <c r="F16" s="23">
        <v>32</v>
      </c>
      <c r="G16" s="91">
        <v>0</v>
      </c>
      <c r="H16" s="23">
        <f>F16*AO16</f>
        <v>0</v>
      </c>
      <c r="I16" s="23">
        <f>F16*AP16</f>
        <v>0</v>
      </c>
      <c r="J16" s="23">
        <f>F16*G16</f>
        <v>0</v>
      </c>
      <c r="K16" s="23">
        <v>0</v>
      </c>
      <c r="L16" s="23">
        <f>F16*K16</f>
        <v>0</v>
      </c>
      <c r="M16" s="38"/>
      <c r="N16" s="40"/>
      <c r="Z16" s="42">
        <f>IF(AQ16="5",BJ16,0)</f>
        <v>0</v>
      </c>
      <c r="AB16" s="42">
        <f>IF(AQ16="1",BH16,0)</f>
        <v>0</v>
      </c>
      <c r="AC16" s="42">
        <f>IF(AQ16="1",BI16,0)</f>
        <v>0</v>
      </c>
      <c r="AD16" s="42">
        <f>IF(AQ16="7",BH16,0)</f>
        <v>0</v>
      </c>
      <c r="AE16" s="42">
        <f>IF(AQ16="7",BI16,0)</f>
        <v>0</v>
      </c>
      <c r="AF16" s="42">
        <f>IF(AQ16="2",BH16,0)</f>
        <v>0</v>
      </c>
      <c r="AG16" s="42">
        <f>IF(AQ16="2",BI16,0)</f>
        <v>0</v>
      </c>
      <c r="AH16" s="42">
        <f>IF(AQ16="0",BJ16,0)</f>
        <v>0</v>
      </c>
      <c r="AI16" s="32"/>
      <c r="AJ16" s="23">
        <f>IF(AN16=0,J16,0)</f>
        <v>0</v>
      </c>
      <c r="AK16" s="23">
        <f>IF(AN16=15,J16,0)</f>
        <v>0</v>
      </c>
      <c r="AL16" s="23">
        <f>IF(AN16=21,J16,0)</f>
        <v>0</v>
      </c>
      <c r="AN16" s="42">
        <v>15</v>
      </c>
      <c r="AO16" s="42">
        <f>G16*1</f>
        <v>0</v>
      </c>
      <c r="AP16" s="42">
        <f>G16*(1-1)</f>
        <v>0</v>
      </c>
      <c r="AQ16" s="44" t="s">
        <v>7</v>
      </c>
      <c r="AV16" s="42">
        <f>AW16+AX16</f>
        <v>0</v>
      </c>
      <c r="AW16" s="42">
        <f>F16*AO16</f>
        <v>0</v>
      </c>
      <c r="AX16" s="42">
        <f>F16*AP16</f>
        <v>0</v>
      </c>
      <c r="AY16" s="45" t="s">
        <v>719</v>
      </c>
      <c r="AZ16" s="45" t="s">
        <v>747</v>
      </c>
      <c r="BA16" s="32" t="s">
        <v>756</v>
      </c>
      <c r="BC16" s="42">
        <f>AW16+AX16</f>
        <v>0</v>
      </c>
      <c r="BD16" s="42">
        <f>G16/(100-BE16)*100</f>
        <v>0</v>
      </c>
      <c r="BE16" s="42">
        <v>0</v>
      </c>
      <c r="BF16" s="42">
        <f>L16</f>
        <v>0</v>
      </c>
      <c r="BH16" s="23">
        <f>F16*AO16</f>
        <v>0</v>
      </c>
      <c r="BI16" s="23">
        <f>F16*AP16</f>
        <v>0</v>
      </c>
      <c r="BJ16" s="23">
        <f>F16*G16</f>
        <v>0</v>
      </c>
      <c r="BK16" s="23" t="s">
        <v>762</v>
      </c>
      <c r="BL16" s="42">
        <v>314</v>
      </c>
    </row>
    <row r="17" spans="1:64" ht="12.75">
      <c r="A17" s="6" t="s">
        <v>10</v>
      </c>
      <c r="B17" s="15"/>
      <c r="C17" s="15" t="s">
        <v>223</v>
      </c>
      <c r="D17" s="15" t="s">
        <v>449</v>
      </c>
      <c r="E17" s="15" t="s">
        <v>679</v>
      </c>
      <c r="F17" s="23">
        <v>2</v>
      </c>
      <c r="G17" s="91">
        <v>0</v>
      </c>
      <c r="H17" s="23">
        <f>F17*AO17</f>
        <v>0</v>
      </c>
      <c r="I17" s="23">
        <f>F17*AP17</f>
        <v>0</v>
      </c>
      <c r="J17" s="23">
        <f>F17*G17</f>
        <v>0</v>
      </c>
      <c r="K17" s="23">
        <v>0</v>
      </c>
      <c r="L17" s="23">
        <f>F17*K17</f>
        <v>0</v>
      </c>
      <c r="M17" s="38"/>
      <c r="N17" s="40"/>
      <c r="Z17" s="42">
        <f>IF(AQ17="5",BJ17,0)</f>
        <v>0</v>
      </c>
      <c r="AB17" s="42">
        <f>IF(AQ17="1",BH17,0)</f>
        <v>0</v>
      </c>
      <c r="AC17" s="42">
        <f>IF(AQ17="1",BI17,0)</f>
        <v>0</v>
      </c>
      <c r="AD17" s="42">
        <f>IF(AQ17="7",BH17,0)</f>
        <v>0</v>
      </c>
      <c r="AE17" s="42">
        <f>IF(AQ17="7",BI17,0)</f>
        <v>0</v>
      </c>
      <c r="AF17" s="42">
        <f>IF(AQ17="2",BH17,0)</f>
        <v>0</v>
      </c>
      <c r="AG17" s="42">
        <f>IF(AQ17="2",BI17,0)</f>
        <v>0</v>
      </c>
      <c r="AH17" s="42">
        <f>IF(AQ17="0",BJ17,0)</f>
        <v>0</v>
      </c>
      <c r="AI17" s="32"/>
      <c r="AJ17" s="23">
        <f>IF(AN17=0,J17,0)</f>
        <v>0</v>
      </c>
      <c r="AK17" s="23">
        <f>IF(AN17=15,J17,0)</f>
        <v>0</v>
      </c>
      <c r="AL17" s="23">
        <f>IF(AN17=21,J17,0)</f>
        <v>0</v>
      </c>
      <c r="AN17" s="42">
        <v>15</v>
      </c>
      <c r="AO17" s="42">
        <f>G17*1</f>
        <v>0</v>
      </c>
      <c r="AP17" s="42">
        <f>G17*(1-1)</f>
        <v>0</v>
      </c>
      <c r="AQ17" s="44" t="s">
        <v>7</v>
      </c>
      <c r="AV17" s="42">
        <f>AW17+AX17</f>
        <v>0</v>
      </c>
      <c r="AW17" s="42">
        <f>F17*AO17</f>
        <v>0</v>
      </c>
      <c r="AX17" s="42">
        <f>F17*AP17</f>
        <v>0</v>
      </c>
      <c r="AY17" s="45" t="s">
        <v>719</v>
      </c>
      <c r="AZ17" s="45" t="s">
        <v>747</v>
      </c>
      <c r="BA17" s="32" t="s">
        <v>756</v>
      </c>
      <c r="BC17" s="42">
        <f>AW17+AX17</f>
        <v>0</v>
      </c>
      <c r="BD17" s="42">
        <f>G17/(100-BE17)*100</f>
        <v>0</v>
      </c>
      <c r="BE17" s="42">
        <v>0</v>
      </c>
      <c r="BF17" s="42">
        <f>L17</f>
        <v>0</v>
      </c>
      <c r="BH17" s="23">
        <f>F17*AO17</f>
        <v>0</v>
      </c>
      <c r="BI17" s="23">
        <f>F17*AP17</f>
        <v>0</v>
      </c>
      <c r="BJ17" s="23">
        <f>F17*G17</f>
        <v>0</v>
      </c>
      <c r="BK17" s="23" t="s">
        <v>762</v>
      </c>
      <c r="BL17" s="42">
        <v>314</v>
      </c>
    </row>
    <row r="18" spans="1:64" ht="12.75">
      <c r="A18" s="6" t="s">
        <v>11</v>
      </c>
      <c r="B18" s="15"/>
      <c r="C18" s="15" t="s">
        <v>224</v>
      </c>
      <c r="D18" s="15" t="s">
        <v>450</v>
      </c>
      <c r="E18" s="15" t="s">
        <v>679</v>
      </c>
      <c r="F18" s="23">
        <v>2</v>
      </c>
      <c r="G18" s="91">
        <v>0</v>
      </c>
      <c r="H18" s="23">
        <f>F18*AO18</f>
        <v>0</v>
      </c>
      <c r="I18" s="23">
        <f>F18*AP18</f>
        <v>0</v>
      </c>
      <c r="J18" s="23">
        <f>F18*G18</f>
        <v>0</v>
      </c>
      <c r="K18" s="23">
        <v>0</v>
      </c>
      <c r="L18" s="23">
        <f>F18*K18</f>
        <v>0</v>
      </c>
      <c r="M18" s="38"/>
      <c r="N18" s="40"/>
      <c r="Z18" s="42">
        <f>IF(AQ18="5",BJ18,0)</f>
        <v>0</v>
      </c>
      <c r="AB18" s="42">
        <f>IF(AQ18="1",BH18,0)</f>
        <v>0</v>
      </c>
      <c r="AC18" s="42">
        <f>IF(AQ18="1",BI18,0)</f>
        <v>0</v>
      </c>
      <c r="AD18" s="42">
        <f>IF(AQ18="7",BH18,0)</f>
        <v>0</v>
      </c>
      <c r="AE18" s="42">
        <f>IF(AQ18="7",BI18,0)</f>
        <v>0</v>
      </c>
      <c r="AF18" s="42">
        <f>IF(AQ18="2",BH18,0)</f>
        <v>0</v>
      </c>
      <c r="AG18" s="42">
        <f>IF(AQ18="2",BI18,0)</f>
        <v>0</v>
      </c>
      <c r="AH18" s="42">
        <f>IF(AQ18="0",BJ18,0)</f>
        <v>0</v>
      </c>
      <c r="AI18" s="32"/>
      <c r="AJ18" s="23">
        <f>IF(AN18=0,J18,0)</f>
        <v>0</v>
      </c>
      <c r="AK18" s="23">
        <f>IF(AN18=15,J18,0)</f>
        <v>0</v>
      </c>
      <c r="AL18" s="23">
        <f>IF(AN18=21,J18,0)</f>
        <v>0</v>
      </c>
      <c r="AN18" s="42">
        <v>15</v>
      </c>
      <c r="AO18" s="42">
        <f>G18*1</f>
        <v>0</v>
      </c>
      <c r="AP18" s="42">
        <f>G18*(1-1)</f>
        <v>0</v>
      </c>
      <c r="AQ18" s="44" t="s">
        <v>7</v>
      </c>
      <c r="AV18" s="42">
        <f>AW18+AX18</f>
        <v>0</v>
      </c>
      <c r="AW18" s="42">
        <f>F18*AO18</f>
        <v>0</v>
      </c>
      <c r="AX18" s="42">
        <f>F18*AP18</f>
        <v>0</v>
      </c>
      <c r="AY18" s="45" t="s">
        <v>719</v>
      </c>
      <c r="AZ18" s="45" t="s">
        <v>747</v>
      </c>
      <c r="BA18" s="32" t="s">
        <v>756</v>
      </c>
      <c r="BC18" s="42">
        <f>AW18+AX18</f>
        <v>0</v>
      </c>
      <c r="BD18" s="42">
        <f>G18/(100-BE18)*100</f>
        <v>0</v>
      </c>
      <c r="BE18" s="42">
        <v>0</v>
      </c>
      <c r="BF18" s="42">
        <f>L18</f>
        <v>0</v>
      </c>
      <c r="BH18" s="23">
        <f>F18*AO18</f>
        <v>0</v>
      </c>
      <c r="BI18" s="23">
        <f>F18*AP18</f>
        <v>0</v>
      </c>
      <c r="BJ18" s="23">
        <f>F18*G18</f>
        <v>0</v>
      </c>
      <c r="BK18" s="23" t="s">
        <v>762</v>
      </c>
      <c r="BL18" s="42">
        <v>314</v>
      </c>
    </row>
    <row r="19" spans="1:64" ht="12.75">
      <c r="A19" s="6" t="s">
        <v>12</v>
      </c>
      <c r="B19" s="15"/>
      <c r="C19" s="15" t="s">
        <v>225</v>
      </c>
      <c r="D19" s="15" t="s">
        <v>451</v>
      </c>
      <c r="E19" s="15" t="s">
        <v>681</v>
      </c>
      <c r="F19" s="23">
        <v>32</v>
      </c>
      <c r="G19" s="91">
        <v>0</v>
      </c>
      <c r="H19" s="23">
        <f>F19*AO19</f>
        <v>0</v>
      </c>
      <c r="I19" s="23">
        <f>F19*AP19</f>
        <v>0</v>
      </c>
      <c r="J19" s="23">
        <f>F19*G19</f>
        <v>0</v>
      </c>
      <c r="K19" s="23">
        <v>0</v>
      </c>
      <c r="L19" s="23">
        <f>F19*K19</f>
        <v>0</v>
      </c>
      <c r="M19" s="38"/>
      <c r="N19" s="40"/>
      <c r="Z19" s="42">
        <f>IF(AQ19="5",BJ19,0)</f>
        <v>0</v>
      </c>
      <c r="AB19" s="42">
        <f>IF(AQ19="1",BH19,0)</f>
        <v>0</v>
      </c>
      <c r="AC19" s="42">
        <f>IF(AQ19="1",BI19,0)</f>
        <v>0</v>
      </c>
      <c r="AD19" s="42">
        <f>IF(AQ19="7",BH19,0)</f>
        <v>0</v>
      </c>
      <c r="AE19" s="42">
        <f>IF(AQ19="7",BI19,0)</f>
        <v>0</v>
      </c>
      <c r="AF19" s="42">
        <f>IF(AQ19="2",BH19,0)</f>
        <v>0</v>
      </c>
      <c r="AG19" s="42">
        <f>IF(AQ19="2",BI19,0)</f>
        <v>0</v>
      </c>
      <c r="AH19" s="42">
        <f>IF(AQ19="0",BJ19,0)</f>
        <v>0</v>
      </c>
      <c r="AI19" s="32"/>
      <c r="AJ19" s="23">
        <f>IF(AN19=0,J19,0)</f>
        <v>0</v>
      </c>
      <c r="AK19" s="23">
        <f>IF(AN19=15,J19,0)</f>
        <v>0</v>
      </c>
      <c r="AL19" s="23">
        <f>IF(AN19=21,J19,0)</f>
        <v>0</v>
      </c>
      <c r="AN19" s="42">
        <v>15</v>
      </c>
      <c r="AO19" s="42">
        <f>G19*1</f>
        <v>0</v>
      </c>
      <c r="AP19" s="42">
        <f>G19*(1-1)</f>
        <v>0</v>
      </c>
      <c r="AQ19" s="44" t="s">
        <v>7</v>
      </c>
      <c r="AV19" s="42">
        <f>AW19+AX19</f>
        <v>0</v>
      </c>
      <c r="AW19" s="42">
        <f>F19*AO19</f>
        <v>0</v>
      </c>
      <c r="AX19" s="42">
        <f>F19*AP19</f>
        <v>0</v>
      </c>
      <c r="AY19" s="45" t="s">
        <v>719</v>
      </c>
      <c r="AZ19" s="45" t="s">
        <v>747</v>
      </c>
      <c r="BA19" s="32" t="s">
        <v>756</v>
      </c>
      <c r="BC19" s="42">
        <f>AW19+AX19</f>
        <v>0</v>
      </c>
      <c r="BD19" s="42">
        <f>G19/(100-BE19)*100</f>
        <v>0</v>
      </c>
      <c r="BE19" s="42">
        <v>0</v>
      </c>
      <c r="BF19" s="42">
        <f>L19</f>
        <v>0</v>
      </c>
      <c r="BH19" s="23">
        <f>F19*AO19</f>
        <v>0</v>
      </c>
      <c r="BI19" s="23">
        <f>F19*AP19</f>
        <v>0</v>
      </c>
      <c r="BJ19" s="23">
        <f>F19*G19</f>
        <v>0</v>
      </c>
      <c r="BK19" s="23" t="s">
        <v>762</v>
      </c>
      <c r="BL19" s="42">
        <v>314</v>
      </c>
    </row>
    <row r="20" spans="1:47" ht="12.75">
      <c r="A20" s="5"/>
      <c r="B20" s="14"/>
      <c r="C20" s="14" t="s">
        <v>67</v>
      </c>
      <c r="D20" s="14" t="s">
        <v>452</v>
      </c>
      <c r="E20" s="20" t="s">
        <v>6</v>
      </c>
      <c r="F20" s="20" t="s">
        <v>6</v>
      </c>
      <c r="G20" s="20" t="s">
        <v>6</v>
      </c>
      <c r="H20" s="48">
        <f>SUM(H21:H22)</f>
        <v>0</v>
      </c>
      <c r="I20" s="48">
        <f>SUM(I21:I22)</f>
        <v>0</v>
      </c>
      <c r="J20" s="48">
        <f>SUM(J21:J22)</f>
        <v>0</v>
      </c>
      <c r="K20" s="32"/>
      <c r="L20" s="48">
        <f>SUM(L21:L22)</f>
        <v>1.1305599999999998</v>
      </c>
      <c r="M20" s="37"/>
      <c r="N20" s="40"/>
      <c r="AI20" s="32"/>
      <c r="AS20" s="48">
        <f>SUM(AJ21:AJ22)</f>
        <v>0</v>
      </c>
      <c r="AT20" s="48">
        <f>SUM(AK21:AK22)</f>
        <v>0</v>
      </c>
      <c r="AU20" s="48">
        <f>SUM(AL21:AL22)</f>
        <v>0</v>
      </c>
    </row>
    <row r="21" spans="1:64" ht="12.75">
      <c r="A21" s="4" t="s">
        <v>13</v>
      </c>
      <c r="B21" s="13"/>
      <c r="C21" s="13" t="s">
        <v>226</v>
      </c>
      <c r="D21" s="13" t="s">
        <v>453</v>
      </c>
      <c r="E21" s="13" t="s">
        <v>682</v>
      </c>
      <c r="F21" s="22">
        <v>41</v>
      </c>
      <c r="G21" s="90">
        <v>0</v>
      </c>
      <c r="H21" s="22">
        <f>F21*AO21</f>
        <v>0</v>
      </c>
      <c r="I21" s="22">
        <f>F21*AP21</f>
        <v>0</v>
      </c>
      <c r="J21" s="22">
        <f>F21*G21</f>
        <v>0</v>
      </c>
      <c r="K21" s="22">
        <v>0.01646</v>
      </c>
      <c r="L21" s="22">
        <f>F21*K21</f>
        <v>0.6748599999999999</v>
      </c>
      <c r="M21" s="36" t="s">
        <v>706</v>
      </c>
      <c r="N21" s="40"/>
      <c r="Z21" s="42">
        <f>IF(AQ21="5",BJ21,0)</f>
        <v>0</v>
      </c>
      <c r="AB21" s="42">
        <f>IF(AQ21="1",BH21,0)</f>
        <v>0</v>
      </c>
      <c r="AC21" s="42">
        <f>IF(AQ21="1",BI21,0)</f>
        <v>0</v>
      </c>
      <c r="AD21" s="42">
        <f>IF(AQ21="7",BH21,0)</f>
        <v>0</v>
      </c>
      <c r="AE21" s="42">
        <f>IF(AQ21="7",BI21,0)</f>
        <v>0</v>
      </c>
      <c r="AF21" s="42">
        <f>IF(AQ21="2",BH21,0)</f>
        <v>0</v>
      </c>
      <c r="AG21" s="42">
        <f>IF(AQ21="2",BI21,0)</f>
        <v>0</v>
      </c>
      <c r="AH21" s="42">
        <f>IF(AQ21="0",BJ21,0)</f>
        <v>0</v>
      </c>
      <c r="AI21" s="32"/>
      <c r="AJ21" s="22">
        <f>IF(AN21=0,J21,0)</f>
        <v>0</v>
      </c>
      <c r="AK21" s="22">
        <f>IF(AN21=15,J21,0)</f>
        <v>0</v>
      </c>
      <c r="AL21" s="22">
        <f>IF(AN21=21,J21,0)</f>
        <v>0</v>
      </c>
      <c r="AN21" s="42">
        <v>15</v>
      </c>
      <c r="AO21" s="42">
        <f>G21*0.20994459833795</f>
        <v>0</v>
      </c>
      <c r="AP21" s="42">
        <f>G21*(1-0.20994459833795)</f>
        <v>0</v>
      </c>
      <c r="AQ21" s="43" t="s">
        <v>7</v>
      </c>
      <c r="AV21" s="42">
        <f>AW21+AX21</f>
        <v>0</v>
      </c>
      <c r="AW21" s="42">
        <f>F21*AO21</f>
        <v>0</v>
      </c>
      <c r="AX21" s="42">
        <f>F21*AP21</f>
        <v>0</v>
      </c>
      <c r="AY21" s="45" t="s">
        <v>720</v>
      </c>
      <c r="AZ21" s="45" t="s">
        <v>748</v>
      </c>
      <c r="BA21" s="32" t="s">
        <v>756</v>
      </c>
      <c r="BC21" s="42">
        <f>AW21+AX21</f>
        <v>0</v>
      </c>
      <c r="BD21" s="42">
        <f>G21/(100-BE21)*100</f>
        <v>0</v>
      </c>
      <c r="BE21" s="42">
        <v>0</v>
      </c>
      <c r="BF21" s="42">
        <f>L21</f>
        <v>0.6748599999999999</v>
      </c>
      <c r="BH21" s="22">
        <f>F21*AO21</f>
        <v>0</v>
      </c>
      <c r="BI21" s="22">
        <f>F21*AP21</f>
        <v>0</v>
      </c>
      <c r="BJ21" s="22">
        <f>F21*G21</f>
        <v>0</v>
      </c>
      <c r="BK21" s="22" t="s">
        <v>761</v>
      </c>
      <c r="BL21" s="42">
        <v>61</v>
      </c>
    </row>
    <row r="22" spans="1:64" ht="12.75">
      <c r="A22" s="4" t="s">
        <v>14</v>
      </c>
      <c r="B22" s="13"/>
      <c r="C22" s="13" t="s">
        <v>227</v>
      </c>
      <c r="D22" s="13" t="s">
        <v>454</v>
      </c>
      <c r="E22" s="13" t="s">
        <v>682</v>
      </c>
      <c r="F22" s="22">
        <v>24.5</v>
      </c>
      <c r="G22" s="90">
        <v>0</v>
      </c>
      <c r="H22" s="22">
        <f>F22*AO22</f>
        <v>0</v>
      </c>
      <c r="I22" s="22">
        <f>F22*AP22</f>
        <v>0</v>
      </c>
      <c r="J22" s="22">
        <f>F22*G22</f>
        <v>0</v>
      </c>
      <c r="K22" s="22">
        <v>0.0186</v>
      </c>
      <c r="L22" s="22">
        <f>F22*K22</f>
        <v>0.45569999999999994</v>
      </c>
      <c r="M22" s="36" t="s">
        <v>706</v>
      </c>
      <c r="N22" s="40"/>
      <c r="Z22" s="42">
        <f>IF(AQ22="5",BJ22,0)</f>
        <v>0</v>
      </c>
      <c r="AB22" s="42">
        <f>IF(AQ22="1",BH22,0)</f>
        <v>0</v>
      </c>
      <c r="AC22" s="42">
        <f>IF(AQ22="1",BI22,0)</f>
        <v>0</v>
      </c>
      <c r="AD22" s="42">
        <f>IF(AQ22="7",BH22,0)</f>
        <v>0</v>
      </c>
      <c r="AE22" s="42">
        <f>IF(AQ22="7",BI22,0)</f>
        <v>0</v>
      </c>
      <c r="AF22" s="42">
        <f>IF(AQ22="2",BH22,0)</f>
        <v>0</v>
      </c>
      <c r="AG22" s="42">
        <f>IF(AQ22="2",BI22,0)</f>
        <v>0</v>
      </c>
      <c r="AH22" s="42">
        <f>IF(AQ22="0",BJ22,0)</f>
        <v>0</v>
      </c>
      <c r="AI22" s="32"/>
      <c r="AJ22" s="22">
        <f>IF(AN22=0,J22,0)</f>
        <v>0</v>
      </c>
      <c r="AK22" s="22">
        <f>IF(AN22=15,J22,0)</f>
        <v>0</v>
      </c>
      <c r="AL22" s="22">
        <f>IF(AN22=21,J22,0)</f>
        <v>0</v>
      </c>
      <c r="AN22" s="42">
        <v>15</v>
      </c>
      <c r="AO22" s="42">
        <f>G22*0.235103092783505</f>
        <v>0</v>
      </c>
      <c r="AP22" s="42">
        <f>G22*(1-0.235103092783505)</f>
        <v>0</v>
      </c>
      <c r="AQ22" s="43" t="s">
        <v>7</v>
      </c>
      <c r="AV22" s="42">
        <f>AW22+AX22</f>
        <v>0</v>
      </c>
      <c r="AW22" s="42">
        <f>F22*AO22</f>
        <v>0</v>
      </c>
      <c r="AX22" s="42">
        <f>F22*AP22</f>
        <v>0</v>
      </c>
      <c r="AY22" s="45" t="s">
        <v>720</v>
      </c>
      <c r="AZ22" s="45" t="s">
        <v>748</v>
      </c>
      <c r="BA22" s="32" t="s">
        <v>756</v>
      </c>
      <c r="BC22" s="42">
        <f>AW22+AX22</f>
        <v>0</v>
      </c>
      <c r="BD22" s="42">
        <f>G22/(100-BE22)*100</f>
        <v>0</v>
      </c>
      <c r="BE22" s="42">
        <v>0</v>
      </c>
      <c r="BF22" s="42">
        <f>L22</f>
        <v>0.45569999999999994</v>
      </c>
      <c r="BH22" s="22">
        <f>F22*AO22</f>
        <v>0</v>
      </c>
      <c r="BI22" s="22">
        <f>F22*AP22</f>
        <v>0</v>
      </c>
      <c r="BJ22" s="22">
        <f>F22*G22</f>
        <v>0</v>
      </c>
      <c r="BK22" s="22" t="s">
        <v>761</v>
      </c>
      <c r="BL22" s="42">
        <v>61</v>
      </c>
    </row>
    <row r="23" spans="1:47" ht="12.75">
      <c r="A23" s="5"/>
      <c r="B23" s="14"/>
      <c r="C23" s="14" t="s">
        <v>228</v>
      </c>
      <c r="D23" s="14" t="s">
        <v>455</v>
      </c>
      <c r="E23" s="20" t="s">
        <v>6</v>
      </c>
      <c r="F23" s="20" t="s">
        <v>6</v>
      </c>
      <c r="G23" s="20" t="s">
        <v>6</v>
      </c>
      <c r="H23" s="48">
        <f>SUM(H24:H25)</f>
        <v>0</v>
      </c>
      <c r="I23" s="48">
        <f>SUM(I24:I25)</f>
        <v>0</v>
      </c>
      <c r="J23" s="48">
        <f>SUM(J24:J25)</f>
        <v>0</v>
      </c>
      <c r="K23" s="32"/>
      <c r="L23" s="48">
        <f>SUM(L24:L25)</f>
        <v>0</v>
      </c>
      <c r="M23" s="37"/>
      <c r="N23" s="40"/>
      <c r="AI23" s="32"/>
      <c r="AS23" s="48">
        <f>SUM(AJ24:AJ25)</f>
        <v>0</v>
      </c>
      <c r="AT23" s="48">
        <f>SUM(AK24:AK25)</f>
        <v>0</v>
      </c>
      <c r="AU23" s="48">
        <f>SUM(AL24:AL25)</f>
        <v>0</v>
      </c>
    </row>
    <row r="24" spans="1:64" ht="25.5">
      <c r="A24" s="6" t="s">
        <v>15</v>
      </c>
      <c r="B24" s="15"/>
      <c r="C24" s="81" t="s">
        <v>825</v>
      </c>
      <c r="D24" s="80" t="s">
        <v>456</v>
      </c>
      <c r="E24" s="15" t="s">
        <v>679</v>
      </c>
      <c r="F24" s="23">
        <v>1</v>
      </c>
      <c r="G24" s="91">
        <v>0</v>
      </c>
      <c r="H24" s="23">
        <f>F24*AO24</f>
        <v>0</v>
      </c>
      <c r="I24" s="23">
        <f>F24*AP24</f>
        <v>0</v>
      </c>
      <c r="J24" s="23">
        <f>F24*G24</f>
        <v>0</v>
      </c>
      <c r="K24" s="23">
        <v>0</v>
      </c>
      <c r="L24" s="23">
        <f>F24*K24</f>
        <v>0</v>
      </c>
      <c r="M24" s="38"/>
      <c r="N24" s="40"/>
      <c r="Z24" s="42">
        <f>IF(AQ24="5",BJ24,0)</f>
        <v>0</v>
      </c>
      <c r="AB24" s="42">
        <f>IF(AQ24="1",BH24,0)</f>
        <v>0</v>
      </c>
      <c r="AC24" s="42">
        <f>IF(AQ24="1",BI24,0)</f>
        <v>0</v>
      </c>
      <c r="AD24" s="42">
        <f>IF(AQ24="7",BH24,0)</f>
        <v>0</v>
      </c>
      <c r="AE24" s="42">
        <f>IF(AQ24="7",BI24,0)</f>
        <v>0</v>
      </c>
      <c r="AF24" s="42">
        <f>IF(AQ24="2",BH24,0)</f>
        <v>0</v>
      </c>
      <c r="AG24" s="42">
        <f>IF(AQ24="2",BI24,0)</f>
        <v>0</v>
      </c>
      <c r="AH24" s="42">
        <f>IF(AQ24="0",BJ24,0)</f>
        <v>0</v>
      </c>
      <c r="AI24" s="32"/>
      <c r="AJ24" s="23">
        <f>IF(AN24=0,J24,0)</f>
        <v>0</v>
      </c>
      <c r="AK24" s="23">
        <f>IF(AN24=15,J24,0)</f>
        <v>0</v>
      </c>
      <c r="AL24" s="23">
        <f>IF(AN24=21,J24,0)</f>
        <v>0</v>
      </c>
      <c r="AN24" s="42">
        <v>15</v>
      </c>
      <c r="AO24" s="42">
        <f>G24*1</f>
        <v>0</v>
      </c>
      <c r="AP24" s="42">
        <f>G24*(1-1)</f>
        <v>0</v>
      </c>
      <c r="AQ24" s="44" t="s">
        <v>7</v>
      </c>
      <c r="AV24" s="42">
        <f>AW24+AX24</f>
        <v>0</v>
      </c>
      <c r="AW24" s="42">
        <f>F24*AO24</f>
        <v>0</v>
      </c>
      <c r="AX24" s="42">
        <f>F24*AP24</f>
        <v>0</v>
      </c>
      <c r="AY24" s="45" t="s">
        <v>721</v>
      </c>
      <c r="AZ24" s="45" t="s">
        <v>748</v>
      </c>
      <c r="BA24" s="32" t="s">
        <v>756</v>
      </c>
      <c r="BC24" s="42">
        <f>AW24+AX24</f>
        <v>0</v>
      </c>
      <c r="BD24" s="42">
        <f>G24/(100-BE24)*100</f>
        <v>0</v>
      </c>
      <c r="BE24" s="42">
        <v>0</v>
      </c>
      <c r="BF24" s="42">
        <f>L24</f>
        <v>0</v>
      </c>
      <c r="BH24" s="23">
        <f>F24*AO24</f>
        <v>0</v>
      </c>
      <c r="BI24" s="23">
        <f>F24*AP24</f>
        <v>0</v>
      </c>
      <c r="BJ24" s="23">
        <f>F24*G24</f>
        <v>0</v>
      </c>
      <c r="BK24" s="23" t="s">
        <v>762</v>
      </c>
      <c r="BL24" s="42">
        <v>611</v>
      </c>
    </row>
    <row r="25" spans="1:64" ht="25.5">
      <c r="A25" s="6" t="s">
        <v>16</v>
      </c>
      <c r="B25" s="15"/>
      <c r="C25" s="15" t="s">
        <v>229</v>
      </c>
      <c r="D25" s="80" t="s">
        <v>457</v>
      </c>
      <c r="E25" s="15" t="s">
        <v>679</v>
      </c>
      <c r="F25" s="23">
        <v>1</v>
      </c>
      <c r="G25" s="91">
        <v>0</v>
      </c>
      <c r="H25" s="23">
        <f>F25*AO25</f>
        <v>0</v>
      </c>
      <c r="I25" s="23">
        <f>F25*AP25</f>
        <v>0</v>
      </c>
      <c r="J25" s="23">
        <f>F25*G25</f>
        <v>0</v>
      </c>
      <c r="K25" s="23">
        <v>0</v>
      </c>
      <c r="L25" s="23">
        <f>F25*K25</f>
        <v>0</v>
      </c>
      <c r="M25" s="38"/>
      <c r="N25" s="40"/>
      <c r="Z25" s="42">
        <f>IF(AQ25="5",BJ25,0)</f>
        <v>0</v>
      </c>
      <c r="AB25" s="42">
        <f>IF(AQ25="1",BH25,0)</f>
        <v>0</v>
      </c>
      <c r="AC25" s="42">
        <f>IF(AQ25="1",BI25,0)</f>
        <v>0</v>
      </c>
      <c r="AD25" s="42">
        <f>IF(AQ25="7",BH25,0)</f>
        <v>0</v>
      </c>
      <c r="AE25" s="42">
        <f>IF(AQ25="7",BI25,0)</f>
        <v>0</v>
      </c>
      <c r="AF25" s="42">
        <f>IF(AQ25="2",BH25,0)</f>
        <v>0</v>
      </c>
      <c r="AG25" s="42">
        <f>IF(AQ25="2",BI25,0)</f>
        <v>0</v>
      </c>
      <c r="AH25" s="42">
        <f>IF(AQ25="0",BJ25,0)</f>
        <v>0</v>
      </c>
      <c r="AI25" s="32"/>
      <c r="AJ25" s="23">
        <f>IF(AN25=0,J25,0)</f>
        <v>0</v>
      </c>
      <c r="AK25" s="23">
        <f>IF(AN25=15,J25,0)</f>
        <v>0</v>
      </c>
      <c r="AL25" s="23">
        <f>IF(AN25=21,J25,0)</f>
        <v>0</v>
      </c>
      <c r="AN25" s="42">
        <v>15</v>
      </c>
      <c r="AO25" s="42">
        <f>G25*1</f>
        <v>0</v>
      </c>
      <c r="AP25" s="42">
        <f>G25*(1-1)</f>
        <v>0</v>
      </c>
      <c r="AQ25" s="44" t="s">
        <v>7</v>
      </c>
      <c r="AV25" s="42">
        <f>AW25+AX25</f>
        <v>0</v>
      </c>
      <c r="AW25" s="42">
        <f>F25*AO25</f>
        <v>0</v>
      </c>
      <c r="AX25" s="42">
        <f>F25*AP25</f>
        <v>0</v>
      </c>
      <c r="AY25" s="45" t="s">
        <v>721</v>
      </c>
      <c r="AZ25" s="45" t="s">
        <v>748</v>
      </c>
      <c r="BA25" s="32" t="s">
        <v>756</v>
      </c>
      <c r="BC25" s="42">
        <f>AW25+AX25</f>
        <v>0</v>
      </c>
      <c r="BD25" s="42">
        <f>G25/(100-BE25)*100</f>
        <v>0</v>
      </c>
      <c r="BE25" s="42">
        <v>0</v>
      </c>
      <c r="BF25" s="42">
        <f>L25</f>
        <v>0</v>
      </c>
      <c r="BH25" s="23">
        <f>F25*AO25</f>
        <v>0</v>
      </c>
      <c r="BI25" s="23">
        <f>F25*AP25</f>
        <v>0</v>
      </c>
      <c r="BJ25" s="23">
        <f>F25*G25</f>
        <v>0</v>
      </c>
      <c r="BK25" s="23" t="s">
        <v>762</v>
      </c>
      <c r="BL25" s="42">
        <v>611</v>
      </c>
    </row>
    <row r="26" spans="1:47" ht="12.75">
      <c r="A26" s="5"/>
      <c r="B26" s="14"/>
      <c r="C26" s="14" t="s">
        <v>69</v>
      </c>
      <c r="D26" s="14" t="s">
        <v>458</v>
      </c>
      <c r="E26" s="20" t="s">
        <v>6</v>
      </c>
      <c r="F26" s="20" t="s">
        <v>6</v>
      </c>
      <c r="G26" s="20" t="s">
        <v>6</v>
      </c>
      <c r="H26" s="48">
        <f>SUM(H27:H28)</f>
        <v>0</v>
      </c>
      <c r="I26" s="48">
        <f>SUM(I27:I28)</f>
        <v>0</v>
      </c>
      <c r="J26" s="48">
        <f>SUM(J27:J28)</f>
        <v>0</v>
      </c>
      <c r="K26" s="32"/>
      <c r="L26" s="48">
        <f>SUM(L27:L28)</f>
        <v>17.431250000000002</v>
      </c>
      <c r="M26" s="37"/>
      <c r="N26" s="40"/>
      <c r="AI26" s="32"/>
      <c r="AS26" s="48">
        <f>SUM(AJ27:AJ28)</f>
        <v>0</v>
      </c>
      <c r="AT26" s="48">
        <f>SUM(AK27:AK28)</f>
        <v>0</v>
      </c>
      <c r="AU26" s="48">
        <f>SUM(AL27:AL28)</f>
        <v>0</v>
      </c>
    </row>
    <row r="27" spans="1:64" ht="12.75">
      <c r="A27" s="4" t="s">
        <v>17</v>
      </c>
      <c r="B27" s="13"/>
      <c r="C27" s="13" t="s">
        <v>230</v>
      </c>
      <c r="D27" s="13" t="s">
        <v>459</v>
      </c>
      <c r="E27" s="13" t="s">
        <v>682</v>
      </c>
      <c r="F27" s="22">
        <v>25</v>
      </c>
      <c r="G27" s="90">
        <v>0</v>
      </c>
      <c r="H27" s="22">
        <f>F27*AO27</f>
        <v>0</v>
      </c>
      <c r="I27" s="22">
        <f>F27*AP27</f>
        <v>0</v>
      </c>
      <c r="J27" s="22">
        <f>F27*G27</f>
        <v>0</v>
      </c>
      <c r="K27" s="22">
        <v>0.69725</v>
      </c>
      <c r="L27" s="22">
        <f>F27*K27</f>
        <v>17.431250000000002</v>
      </c>
      <c r="M27" s="36" t="s">
        <v>706</v>
      </c>
      <c r="N27" s="40"/>
      <c r="Z27" s="42">
        <f>IF(AQ27="5",BJ27,0)</f>
        <v>0</v>
      </c>
      <c r="AB27" s="42">
        <f>IF(AQ27="1",BH27,0)</f>
        <v>0</v>
      </c>
      <c r="AC27" s="42">
        <f>IF(AQ27="1",BI27,0)</f>
        <v>0</v>
      </c>
      <c r="AD27" s="42">
        <f>IF(AQ27="7",BH27,0)</f>
        <v>0</v>
      </c>
      <c r="AE27" s="42">
        <f>IF(AQ27="7",BI27,0)</f>
        <v>0</v>
      </c>
      <c r="AF27" s="42">
        <f>IF(AQ27="2",BH27,0)</f>
        <v>0</v>
      </c>
      <c r="AG27" s="42">
        <f>IF(AQ27="2",BI27,0)</f>
        <v>0</v>
      </c>
      <c r="AH27" s="42">
        <f>IF(AQ27="0",BJ27,0)</f>
        <v>0</v>
      </c>
      <c r="AI27" s="32"/>
      <c r="AJ27" s="22">
        <f>IF(AN27=0,J27,0)</f>
        <v>0</v>
      </c>
      <c r="AK27" s="22">
        <f>IF(AN27=15,J27,0)</f>
        <v>0</v>
      </c>
      <c r="AL27" s="22">
        <f>IF(AN27=21,J27,0)</f>
        <v>0</v>
      </c>
      <c r="AN27" s="42">
        <v>15</v>
      </c>
      <c r="AO27" s="42">
        <f>G27*0.301773265651438</f>
        <v>0</v>
      </c>
      <c r="AP27" s="42">
        <f>G27*(1-0.301773265651438)</f>
        <v>0</v>
      </c>
      <c r="AQ27" s="43" t="s">
        <v>7</v>
      </c>
      <c r="AV27" s="42">
        <f>AW27+AX27</f>
        <v>0</v>
      </c>
      <c r="AW27" s="42">
        <f>F27*AO27</f>
        <v>0</v>
      </c>
      <c r="AX27" s="42">
        <f>F27*AP27</f>
        <v>0</v>
      </c>
      <c r="AY27" s="45" t="s">
        <v>722</v>
      </c>
      <c r="AZ27" s="45" t="s">
        <v>748</v>
      </c>
      <c r="BA27" s="32" t="s">
        <v>756</v>
      </c>
      <c r="BC27" s="42">
        <f>AW27+AX27</f>
        <v>0</v>
      </c>
      <c r="BD27" s="42">
        <f>G27/(100-BE27)*100</f>
        <v>0</v>
      </c>
      <c r="BE27" s="42">
        <v>0</v>
      </c>
      <c r="BF27" s="42">
        <f>L27</f>
        <v>17.431250000000002</v>
      </c>
      <c r="BH27" s="22">
        <f>F27*AO27</f>
        <v>0</v>
      </c>
      <c r="BI27" s="22">
        <f>F27*AP27</f>
        <v>0</v>
      </c>
      <c r="BJ27" s="22">
        <f>F27*G27</f>
        <v>0</v>
      </c>
      <c r="BK27" s="22" t="s">
        <v>761</v>
      </c>
      <c r="BL27" s="42">
        <v>63</v>
      </c>
    </row>
    <row r="28" spans="1:64" ht="12.75">
      <c r="A28" s="6" t="s">
        <v>18</v>
      </c>
      <c r="B28" s="15"/>
      <c r="C28" s="15" t="s">
        <v>231</v>
      </c>
      <c r="D28" s="15" t="s">
        <v>460</v>
      </c>
      <c r="E28" s="15" t="s">
        <v>682</v>
      </c>
      <c r="F28" s="23">
        <v>25</v>
      </c>
      <c r="G28" s="91">
        <v>0</v>
      </c>
      <c r="H28" s="23">
        <f>F28*AO28</f>
        <v>0</v>
      </c>
      <c r="I28" s="23">
        <f>F28*AP28</f>
        <v>0</v>
      </c>
      <c r="J28" s="23">
        <f>F28*G28</f>
        <v>0</v>
      </c>
      <c r="K28" s="23">
        <v>0</v>
      </c>
      <c r="L28" s="23">
        <f>F28*K28</f>
        <v>0</v>
      </c>
      <c r="M28" s="38"/>
      <c r="N28" s="40"/>
      <c r="Z28" s="42">
        <f>IF(AQ28="5",BJ28,0)</f>
        <v>0</v>
      </c>
      <c r="AB28" s="42">
        <f>IF(AQ28="1",BH28,0)</f>
        <v>0</v>
      </c>
      <c r="AC28" s="42">
        <f>IF(AQ28="1",BI28,0)</f>
        <v>0</v>
      </c>
      <c r="AD28" s="42">
        <f>IF(AQ28="7",BH28,0)</f>
        <v>0</v>
      </c>
      <c r="AE28" s="42">
        <f>IF(AQ28="7",BI28,0)</f>
        <v>0</v>
      </c>
      <c r="AF28" s="42">
        <f>IF(AQ28="2",BH28,0)</f>
        <v>0</v>
      </c>
      <c r="AG28" s="42">
        <f>IF(AQ28="2",BI28,0)</f>
        <v>0</v>
      </c>
      <c r="AH28" s="42">
        <f>IF(AQ28="0",BJ28,0)</f>
        <v>0</v>
      </c>
      <c r="AI28" s="32"/>
      <c r="AJ28" s="23">
        <f>IF(AN28=0,J28,0)</f>
        <v>0</v>
      </c>
      <c r="AK28" s="23">
        <f>IF(AN28=15,J28,0)</f>
        <v>0</v>
      </c>
      <c r="AL28" s="23">
        <f>IF(AN28=21,J28,0)</f>
        <v>0</v>
      </c>
      <c r="AN28" s="42">
        <v>15</v>
      </c>
      <c r="AO28" s="42">
        <f>G28*1</f>
        <v>0</v>
      </c>
      <c r="AP28" s="42">
        <f>G28*(1-1)</f>
        <v>0</v>
      </c>
      <c r="AQ28" s="44" t="s">
        <v>7</v>
      </c>
      <c r="AV28" s="42">
        <f>AW28+AX28</f>
        <v>0</v>
      </c>
      <c r="AW28" s="42">
        <f>F28*AO28</f>
        <v>0</v>
      </c>
      <c r="AX28" s="42">
        <f>F28*AP28</f>
        <v>0</v>
      </c>
      <c r="AY28" s="45" t="s">
        <v>722</v>
      </c>
      <c r="AZ28" s="45" t="s">
        <v>748</v>
      </c>
      <c r="BA28" s="32" t="s">
        <v>756</v>
      </c>
      <c r="BC28" s="42">
        <f>AW28+AX28</f>
        <v>0</v>
      </c>
      <c r="BD28" s="42">
        <f>G28/(100-BE28)*100</f>
        <v>0</v>
      </c>
      <c r="BE28" s="42">
        <v>0</v>
      </c>
      <c r="BF28" s="42">
        <f>L28</f>
        <v>0</v>
      </c>
      <c r="BH28" s="23">
        <f>F28*AO28</f>
        <v>0</v>
      </c>
      <c r="BI28" s="23">
        <f>F28*AP28</f>
        <v>0</v>
      </c>
      <c r="BJ28" s="23">
        <f>F28*G28</f>
        <v>0</v>
      </c>
      <c r="BK28" s="23" t="s">
        <v>762</v>
      </c>
      <c r="BL28" s="42">
        <v>63</v>
      </c>
    </row>
    <row r="29" spans="1:47" ht="12.75">
      <c r="A29" s="5"/>
      <c r="B29" s="14"/>
      <c r="C29" s="14" t="s">
        <v>232</v>
      </c>
      <c r="D29" s="14" t="s">
        <v>461</v>
      </c>
      <c r="E29" s="20" t="s">
        <v>6</v>
      </c>
      <c r="F29" s="20" t="s">
        <v>6</v>
      </c>
      <c r="G29" s="20" t="s">
        <v>6</v>
      </c>
      <c r="H29" s="48">
        <f>SUM(H30:H33)</f>
        <v>0</v>
      </c>
      <c r="I29" s="48">
        <f>SUM(I30:I33)</f>
        <v>0</v>
      </c>
      <c r="J29" s="48">
        <f>SUM(J30:J33)</f>
        <v>0</v>
      </c>
      <c r="K29" s="32"/>
      <c r="L29" s="48">
        <f>SUM(L30:L33)</f>
        <v>0.009000000000000001</v>
      </c>
      <c r="M29" s="37"/>
      <c r="N29" s="40"/>
      <c r="AI29" s="32"/>
      <c r="AS29" s="48">
        <f>SUM(AJ30:AJ33)</f>
        <v>0</v>
      </c>
      <c r="AT29" s="48">
        <f>SUM(AK30:AK33)</f>
        <v>0</v>
      </c>
      <c r="AU29" s="48">
        <f>SUM(AL30:AL33)</f>
        <v>0</v>
      </c>
    </row>
    <row r="30" spans="1:64" ht="12.75">
      <c r="A30" s="4" t="s">
        <v>19</v>
      </c>
      <c r="B30" s="13"/>
      <c r="C30" s="13" t="s">
        <v>233</v>
      </c>
      <c r="D30" s="13" t="s">
        <v>462</v>
      </c>
      <c r="E30" s="13" t="s">
        <v>681</v>
      </c>
      <c r="F30" s="22">
        <v>2</v>
      </c>
      <c r="G30" s="90">
        <v>0</v>
      </c>
      <c r="H30" s="22">
        <f>F30*AO30</f>
        <v>0</v>
      </c>
      <c r="I30" s="22">
        <f>F30*AP30</f>
        <v>0</v>
      </c>
      <c r="J30" s="22">
        <f>F30*G30</f>
        <v>0</v>
      </c>
      <c r="K30" s="22">
        <v>0.00034</v>
      </c>
      <c r="L30" s="22">
        <f>F30*K30</f>
        <v>0.00068</v>
      </c>
      <c r="M30" s="36" t="s">
        <v>706</v>
      </c>
      <c r="N30" s="40"/>
      <c r="Z30" s="42">
        <f>IF(AQ30="5",BJ30,0)</f>
        <v>0</v>
      </c>
      <c r="AB30" s="42">
        <f>IF(AQ30="1",BH30,0)</f>
        <v>0</v>
      </c>
      <c r="AC30" s="42">
        <f>IF(AQ30="1",BI30,0)</f>
        <v>0</v>
      </c>
      <c r="AD30" s="42">
        <f>IF(AQ30="7",BH30,0)</f>
        <v>0</v>
      </c>
      <c r="AE30" s="42">
        <f>IF(AQ30="7",BI30,0)</f>
        <v>0</v>
      </c>
      <c r="AF30" s="42">
        <f>IF(AQ30="2",BH30,0)</f>
        <v>0</v>
      </c>
      <c r="AG30" s="42">
        <f>IF(AQ30="2",BI30,0)</f>
        <v>0</v>
      </c>
      <c r="AH30" s="42">
        <f>IF(AQ30="0",BJ30,0)</f>
        <v>0</v>
      </c>
      <c r="AI30" s="32"/>
      <c r="AJ30" s="22">
        <f>IF(AN30=0,J30,0)</f>
        <v>0</v>
      </c>
      <c r="AK30" s="22">
        <f>IF(AN30=15,J30,0)</f>
        <v>0</v>
      </c>
      <c r="AL30" s="22">
        <f>IF(AN30=21,J30,0)</f>
        <v>0</v>
      </c>
      <c r="AN30" s="42">
        <v>15</v>
      </c>
      <c r="AO30" s="42">
        <f>G30*0.395184466019417</f>
        <v>0</v>
      </c>
      <c r="AP30" s="42">
        <f>G30*(1-0.395184466019417)</f>
        <v>0</v>
      </c>
      <c r="AQ30" s="43" t="s">
        <v>13</v>
      </c>
      <c r="AV30" s="42">
        <f>AW30+AX30</f>
        <v>0</v>
      </c>
      <c r="AW30" s="42">
        <f>F30*AO30</f>
        <v>0</v>
      </c>
      <c r="AX30" s="42">
        <f>F30*AP30</f>
        <v>0</v>
      </c>
      <c r="AY30" s="45" t="s">
        <v>723</v>
      </c>
      <c r="AZ30" s="45" t="s">
        <v>749</v>
      </c>
      <c r="BA30" s="32" t="s">
        <v>756</v>
      </c>
      <c r="BC30" s="42">
        <f>AW30+AX30</f>
        <v>0</v>
      </c>
      <c r="BD30" s="42">
        <f>G30/(100-BE30)*100</f>
        <v>0</v>
      </c>
      <c r="BE30" s="42">
        <v>0</v>
      </c>
      <c r="BF30" s="42">
        <f>L30</f>
        <v>0.00068</v>
      </c>
      <c r="BH30" s="22">
        <f>F30*AO30</f>
        <v>0</v>
      </c>
      <c r="BI30" s="22">
        <f>F30*AP30</f>
        <v>0</v>
      </c>
      <c r="BJ30" s="22">
        <f>F30*G30</f>
        <v>0</v>
      </c>
      <c r="BK30" s="22" t="s">
        <v>761</v>
      </c>
      <c r="BL30" s="42">
        <v>721</v>
      </c>
    </row>
    <row r="31" spans="1:64" ht="12.75">
      <c r="A31" s="4" t="s">
        <v>20</v>
      </c>
      <c r="B31" s="13"/>
      <c r="C31" s="13" t="s">
        <v>234</v>
      </c>
      <c r="D31" s="13" t="s">
        <v>463</v>
      </c>
      <c r="E31" s="13" t="s">
        <v>681</v>
      </c>
      <c r="F31" s="22">
        <v>7</v>
      </c>
      <c r="G31" s="90">
        <v>0</v>
      </c>
      <c r="H31" s="22">
        <f>F31*AO31</f>
        <v>0</v>
      </c>
      <c r="I31" s="22">
        <f>F31*AP31</f>
        <v>0</v>
      </c>
      <c r="J31" s="22">
        <f>F31*G31</f>
        <v>0</v>
      </c>
      <c r="K31" s="22">
        <v>0.00038</v>
      </c>
      <c r="L31" s="22">
        <f>F31*K31</f>
        <v>0.00266</v>
      </c>
      <c r="M31" s="36" t="s">
        <v>706</v>
      </c>
      <c r="N31" s="40"/>
      <c r="Z31" s="42">
        <f>IF(AQ31="5",BJ31,0)</f>
        <v>0</v>
      </c>
      <c r="AB31" s="42">
        <f>IF(AQ31="1",BH31,0)</f>
        <v>0</v>
      </c>
      <c r="AC31" s="42">
        <f>IF(AQ31="1",BI31,0)</f>
        <v>0</v>
      </c>
      <c r="AD31" s="42">
        <f>IF(AQ31="7",BH31,0)</f>
        <v>0</v>
      </c>
      <c r="AE31" s="42">
        <f>IF(AQ31="7",BI31,0)</f>
        <v>0</v>
      </c>
      <c r="AF31" s="42">
        <f>IF(AQ31="2",BH31,0)</f>
        <v>0</v>
      </c>
      <c r="AG31" s="42">
        <f>IF(AQ31="2",BI31,0)</f>
        <v>0</v>
      </c>
      <c r="AH31" s="42">
        <f>IF(AQ31="0",BJ31,0)</f>
        <v>0</v>
      </c>
      <c r="AI31" s="32"/>
      <c r="AJ31" s="22">
        <f>IF(AN31=0,J31,0)</f>
        <v>0</v>
      </c>
      <c r="AK31" s="22">
        <f>IF(AN31=15,J31,0)</f>
        <v>0</v>
      </c>
      <c r="AL31" s="22">
        <f>IF(AN31=21,J31,0)</f>
        <v>0</v>
      </c>
      <c r="AN31" s="42">
        <v>15</v>
      </c>
      <c r="AO31" s="42">
        <f>G31*0.342869198312236</f>
        <v>0</v>
      </c>
      <c r="AP31" s="42">
        <f>G31*(1-0.342869198312236)</f>
        <v>0</v>
      </c>
      <c r="AQ31" s="43" t="s">
        <v>13</v>
      </c>
      <c r="AV31" s="42">
        <f>AW31+AX31</f>
        <v>0</v>
      </c>
      <c r="AW31" s="42">
        <f>F31*AO31</f>
        <v>0</v>
      </c>
      <c r="AX31" s="42">
        <f>F31*AP31</f>
        <v>0</v>
      </c>
      <c r="AY31" s="45" t="s">
        <v>723</v>
      </c>
      <c r="AZ31" s="45" t="s">
        <v>749</v>
      </c>
      <c r="BA31" s="32" t="s">
        <v>756</v>
      </c>
      <c r="BC31" s="42">
        <f>AW31+AX31</f>
        <v>0</v>
      </c>
      <c r="BD31" s="42">
        <f>G31/(100-BE31)*100</f>
        <v>0</v>
      </c>
      <c r="BE31" s="42">
        <v>0</v>
      </c>
      <c r="BF31" s="42">
        <f>L31</f>
        <v>0.00266</v>
      </c>
      <c r="BH31" s="22">
        <f>F31*AO31</f>
        <v>0</v>
      </c>
      <c r="BI31" s="22">
        <f>F31*AP31</f>
        <v>0</v>
      </c>
      <c r="BJ31" s="22">
        <f>F31*G31</f>
        <v>0</v>
      </c>
      <c r="BK31" s="22" t="s">
        <v>761</v>
      </c>
      <c r="BL31" s="42">
        <v>721</v>
      </c>
    </row>
    <row r="32" spans="1:64" ht="12.75">
      <c r="A32" s="4" t="s">
        <v>21</v>
      </c>
      <c r="B32" s="13"/>
      <c r="C32" s="13" t="s">
        <v>235</v>
      </c>
      <c r="D32" s="13" t="s">
        <v>464</v>
      </c>
      <c r="E32" s="13" t="s">
        <v>681</v>
      </c>
      <c r="F32" s="22">
        <v>10</v>
      </c>
      <c r="G32" s="90">
        <v>0</v>
      </c>
      <c r="H32" s="22">
        <f>F32*AO32</f>
        <v>0</v>
      </c>
      <c r="I32" s="22">
        <f>F32*AP32</f>
        <v>0</v>
      </c>
      <c r="J32" s="22">
        <f>F32*G32</f>
        <v>0</v>
      </c>
      <c r="K32" s="22">
        <v>0.00047</v>
      </c>
      <c r="L32" s="22">
        <f>F32*K32</f>
        <v>0.0047</v>
      </c>
      <c r="M32" s="36" t="s">
        <v>706</v>
      </c>
      <c r="N32" s="40"/>
      <c r="Z32" s="42">
        <f>IF(AQ32="5",BJ32,0)</f>
        <v>0</v>
      </c>
      <c r="AB32" s="42">
        <f>IF(AQ32="1",BH32,0)</f>
        <v>0</v>
      </c>
      <c r="AC32" s="42">
        <f>IF(AQ32="1",BI32,0)</f>
        <v>0</v>
      </c>
      <c r="AD32" s="42">
        <f>IF(AQ32="7",BH32,0)</f>
        <v>0</v>
      </c>
      <c r="AE32" s="42">
        <f>IF(AQ32="7",BI32,0)</f>
        <v>0</v>
      </c>
      <c r="AF32" s="42">
        <f>IF(AQ32="2",BH32,0)</f>
        <v>0</v>
      </c>
      <c r="AG32" s="42">
        <f>IF(AQ32="2",BI32,0)</f>
        <v>0</v>
      </c>
      <c r="AH32" s="42">
        <f>IF(AQ32="0",BJ32,0)</f>
        <v>0</v>
      </c>
      <c r="AI32" s="32"/>
      <c r="AJ32" s="22">
        <f>IF(AN32=0,J32,0)</f>
        <v>0</v>
      </c>
      <c r="AK32" s="22">
        <f>IF(AN32=15,J32,0)</f>
        <v>0</v>
      </c>
      <c r="AL32" s="22">
        <f>IF(AN32=21,J32,0)</f>
        <v>0</v>
      </c>
      <c r="AN32" s="42">
        <v>15</v>
      </c>
      <c r="AO32" s="42">
        <f>G32*0.330587378826775</f>
        <v>0</v>
      </c>
      <c r="AP32" s="42">
        <f>G32*(1-0.330587378826775)</f>
        <v>0</v>
      </c>
      <c r="AQ32" s="43" t="s">
        <v>13</v>
      </c>
      <c r="AV32" s="42">
        <f>AW32+AX32</f>
        <v>0</v>
      </c>
      <c r="AW32" s="42">
        <f>F32*AO32</f>
        <v>0</v>
      </c>
      <c r="AX32" s="42">
        <f>F32*AP32</f>
        <v>0</v>
      </c>
      <c r="AY32" s="45" t="s">
        <v>723</v>
      </c>
      <c r="AZ32" s="45" t="s">
        <v>749</v>
      </c>
      <c r="BA32" s="32" t="s">
        <v>756</v>
      </c>
      <c r="BC32" s="42">
        <f>AW32+AX32</f>
        <v>0</v>
      </c>
      <c r="BD32" s="42">
        <f>G32/(100-BE32)*100</f>
        <v>0</v>
      </c>
      <c r="BE32" s="42">
        <v>0</v>
      </c>
      <c r="BF32" s="42">
        <f>L32</f>
        <v>0.0047</v>
      </c>
      <c r="BH32" s="22">
        <f>F32*AO32</f>
        <v>0</v>
      </c>
      <c r="BI32" s="22">
        <f>F32*AP32</f>
        <v>0</v>
      </c>
      <c r="BJ32" s="22">
        <f>F32*G32</f>
        <v>0</v>
      </c>
      <c r="BK32" s="22" t="s">
        <v>761</v>
      </c>
      <c r="BL32" s="42">
        <v>721</v>
      </c>
    </row>
    <row r="33" spans="1:64" ht="12.75">
      <c r="A33" s="4" t="s">
        <v>22</v>
      </c>
      <c r="B33" s="13"/>
      <c r="C33" s="13" t="s">
        <v>236</v>
      </c>
      <c r="D33" s="13" t="s">
        <v>465</v>
      </c>
      <c r="E33" s="13" t="s">
        <v>679</v>
      </c>
      <c r="F33" s="22">
        <v>1</v>
      </c>
      <c r="G33" s="90">
        <v>0</v>
      </c>
      <c r="H33" s="22">
        <f>F33*AO33</f>
        <v>0</v>
      </c>
      <c r="I33" s="22">
        <f>F33*AP33</f>
        <v>0</v>
      </c>
      <c r="J33" s="22">
        <f>F33*G33</f>
        <v>0</v>
      </c>
      <c r="K33" s="22">
        <v>0.00096</v>
      </c>
      <c r="L33" s="22">
        <f>F33*K33</f>
        <v>0.00096</v>
      </c>
      <c r="M33" s="36" t="s">
        <v>706</v>
      </c>
      <c r="N33" s="40"/>
      <c r="Z33" s="42">
        <f>IF(AQ33="5",BJ33,0)</f>
        <v>0</v>
      </c>
      <c r="AB33" s="42">
        <f>IF(AQ33="1",BH33,0)</f>
        <v>0</v>
      </c>
      <c r="AC33" s="42">
        <f>IF(AQ33="1",BI33,0)</f>
        <v>0</v>
      </c>
      <c r="AD33" s="42">
        <f>IF(AQ33="7",BH33,0)</f>
        <v>0</v>
      </c>
      <c r="AE33" s="42">
        <f>IF(AQ33="7",BI33,0)</f>
        <v>0</v>
      </c>
      <c r="AF33" s="42">
        <f>IF(AQ33="2",BH33,0)</f>
        <v>0</v>
      </c>
      <c r="AG33" s="42">
        <f>IF(AQ33="2",BI33,0)</f>
        <v>0</v>
      </c>
      <c r="AH33" s="42">
        <f>IF(AQ33="0",BJ33,0)</f>
        <v>0</v>
      </c>
      <c r="AI33" s="32"/>
      <c r="AJ33" s="22">
        <f>IF(AN33=0,J33,0)</f>
        <v>0</v>
      </c>
      <c r="AK33" s="22">
        <f>IF(AN33=15,J33,0)</f>
        <v>0</v>
      </c>
      <c r="AL33" s="22">
        <f>IF(AN33=21,J33,0)</f>
        <v>0</v>
      </c>
      <c r="AN33" s="42">
        <v>15</v>
      </c>
      <c r="AO33" s="42">
        <f>G33*0.941747456612807</f>
        <v>0</v>
      </c>
      <c r="AP33" s="42">
        <f>G33*(1-0.941747456612807)</f>
        <v>0</v>
      </c>
      <c r="AQ33" s="43" t="s">
        <v>13</v>
      </c>
      <c r="AV33" s="42">
        <f>AW33+AX33</f>
        <v>0</v>
      </c>
      <c r="AW33" s="42">
        <f>F33*AO33</f>
        <v>0</v>
      </c>
      <c r="AX33" s="42">
        <f>F33*AP33</f>
        <v>0</v>
      </c>
      <c r="AY33" s="45" t="s">
        <v>723</v>
      </c>
      <c r="AZ33" s="45" t="s">
        <v>749</v>
      </c>
      <c r="BA33" s="32" t="s">
        <v>756</v>
      </c>
      <c r="BC33" s="42">
        <f>AW33+AX33</f>
        <v>0</v>
      </c>
      <c r="BD33" s="42">
        <f>G33/(100-BE33)*100</f>
        <v>0</v>
      </c>
      <c r="BE33" s="42">
        <v>0</v>
      </c>
      <c r="BF33" s="42">
        <f>L33</f>
        <v>0.00096</v>
      </c>
      <c r="BH33" s="22">
        <f>F33*AO33</f>
        <v>0</v>
      </c>
      <c r="BI33" s="22">
        <f>F33*AP33</f>
        <v>0</v>
      </c>
      <c r="BJ33" s="22">
        <f>F33*G33</f>
        <v>0</v>
      </c>
      <c r="BK33" s="22" t="s">
        <v>761</v>
      </c>
      <c r="BL33" s="42">
        <v>721</v>
      </c>
    </row>
    <row r="34" spans="1:47" ht="12.75">
      <c r="A34" s="5"/>
      <c r="B34" s="14"/>
      <c r="C34" s="14" t="s">
        <v>237</v>
      </c>
      <c r="D34" s="14" t="s">
        <v>466</v>
      </c>
      <c r="E34" s="20" t="s">
        <v>6</v>
      </c>
      <c r="F34" s="20" t="s">
        <v>6</v>
      </c>
      <c r="G34" s="20" t="s">
        <v>6</v>
      </c>
      <c r="H34" s="48">
        <f>SUM(H35:H66)</f>
        <v>0</v>
      </c>
      <c r="I34" s="48">
        <f>SUM(I35:I66)</f>
        <v>0</v>
      </c>
      <c r="J34" s="48">
        <f>SUM(J35:J66)</f>
        <v>0</v>
      </c>
      <c r="K34" s="32"/>
      <c r="L34" s="48">
        <f>SUM(L35:L66)</f>
        <v>0.059899999999999995</v>
      </c>
      <c r="M34" s="37"/>
      <c r="N34" s="40"/>
      <c r="AI34" s="32"/>
      <c r="AS34" s="48">
        <f>SUM(AJ35:AJ66)</f>
        <v>0</v>
      </c>
      <c r="AT34" s="48">
        <f>SUM(AK35:AK66)</f>
        <v>0</v>
      </c>
      <c r="AU34" s="48">
        <f>SUM(AL35:AL66)</f>
        <v>0</v>
      </c>
    </row>
    <row r="35" spans="1:64" ht="12.75">
      <c r="A35" s="4" t="s">
        <v>23</v>
      </c>
      <c r="B35" s="13"/>
      <c r="C35" s="13" t="s">
        <v>238</v>
      </c>
      <c r="D35" s="13" t="s">
        <v>467</v>
      </c>
      <c r="E35" s="13" t="s">
        <v>681</v>
      </c>
      <c r="F35" s="22">
        <v>7</v>
      </c>
      <c r="G35" s="90">
        <v>0</v>
      </c>
      <c r="H35" s="22">
        <f aca="true" t="shared" si="0" ref="H35:H66">F35*AO35</f>
        <v>0</v>
      </c>
      <c r="I35" s="22">
        <f aca="true" t="shared" si="1" ref="I35:I66">F35*AP35</f>
        <v>0</v>
      </c>
      <c r="J35" s="22">
        <f aca="true" t="shared" si="2" ref="J35:J66">F35*G35</f>
        <v>0</v>
      </c>
      <c r="K35" s="22">
        <v>0.00109</v>
      </c>
      <c r="L35" s="22">
        <f aca="true" t="shared" si="3" ref="L35:L66">F35*K35</f>
        <v>0.0076300000000000005</v>
      </c>
      <c r="M35" s="36" t="s">
        <v>706</v>
      </c>
      <c r="N35" s="40"/>
      <c r="Z35" s="42">
        <f aca="true" t="shared" si="4" ref="Z35:Z66">IF(AQ35="5",BJ35,0)</f>
        <v>0</v>
      </c>
      <c r="AB35" s="42">
        <f aca="true" t="shared" si="5" ref="AB35:AB66">IF(AQ35="1",BH35,0)</f>
        <v>0</v>
      </c>
      <c r="AC35" s="42">
        <f aca="true" t="shared" si="6" ref="AC35:AC66">IF(AQ35="1",BI35,0)</f>
        <v>0</v>
      </c>
      <c r="AD35" s="42">
        <f aca="true" t="shared" si="7" ref="AD35:AD66">IF(AQ35="7",BH35,0)</f>
        <v>0</v>
      </c>
      <c r="AE35" s="42">
        <f aca="true" t="shared" si="8" ref="AE35:AE66">IF(AQ35="7",BI35,0)</f>
        <v>0</v>
      </c>
      <c r="AF35" s="42">
        <f aca="true" t="shared" si="9" ref="AF35:AF66">IF(AQ35="2",BH35,0)</f>
        <v>0</v>
      </c>
      <c r="AG35" s="42">
        <f aca="true" t="shared" si="10" ref="AG35:AG66">IF(AQ35="2",BI35,0)</f>
        <v>0</v>
      </c>
      <c r="AH35" s="42">
        <f aca="true" t="shared" si="11" ref="AH35:AH66">IF(AQ35="0",BJ35,0)</f>
        <v>0</v>
      </c>
      <c r="AI35" s="32"/>
      <c r="AJ35" s="22">
        <f aca="true" t="shared" si="12" ref="AJ35:AJ66">IF(AN35=0,J35,0)</f>
        <v>0</v>
      </c>
      <c r="AK35" s="22">
        <f aca="true" t="shared" si="13" ref="AK35:AK66">IF(AN35=15,J35,0)</f>
        <v>0</v>
      </c>
      <c r="AL35" s="22">
        <f aca="true" t="shared" si="14" ref="AL35:AL66">IF(AN35=21,J35,0)</f>
        <v>0</v>
      </c>
      <c r="AN35" s="42">
        <v>15</v>
      </c>
      <c r="AO35" s="42">
        <f>G35*0.650078277886497</f>
        <v>0</v>
      </c>
      <c r="AP35" s="42">
        <f>G35*(1-0.650078277886497)</f>
        <v>0</v>
      </c>
      <c r="AQ35" s="43" t="s">
        <v>13</v>
      </c>
      <c r="AV35" s="42">
        <f aca="true" t="shared" si="15" ref="AV35:AV66">AW35+AX35</f>
        <v>0</v>
      </c>
      <c r="AW35" s="42">
        <f aca="true" t="shared" si="16" ref="AW35:AW66">F35*AO35</f>
        <v>0</v>
      </c>
      <c r="AX35" s="42">
        <f aca="true" t="shared" si="17" ref="AX35:AX66">F35*AP35</f>
        <v>0</v>
      </c>
      <c r="AY35" s="45" t="s">
        <v>724</v>
      </c>
      <c r="AZ35" s="45" t="s">
        <v>749</v>
      </c>
      <c r="BA35" s="32" t="s">
        <v>756</v>
      </c>
      <c r="BC35" s="42">
        <f aca="true" t="shared" si="18" ref="BC35:BC66">AW35+AX35</f>
        <v>0</v>
      </c>
      <c r="BD35" s="42">
        <f aca="true" t="shared" si="19" ref="BD35:BD66">G35/(100-BE35)*100</f>
        <v>0</v>
      </c>
      <c r="BE35" s="42">
        <v>0</v>
      </c>
      <c r="BF35" s="42">
        <f aca="true" t="shared" si="20" ref="BF35:BF66">L35</f>
        <v>0.0076300000000000005</v>
      </c>
      <c r="BH35" s="22">
        <f aca="true" t="shared" si="21" ref="BH35:BH66">F35*AO35</f>
        <v>0</v>
      </c>
      <c r="BI35" s="22">
        <f aca="true" t="shared" si="22" ref="BI35:BI66">F35*AP35</f>
        <v>0</v>
      </c>
      <c r="BJ35" s="22">
        <f aca="true" t="shared" si="23" ref="BJ35:BJ66">F35*G35</f>
        <v>0</v>
      </c>
      <c r="BK35" s="22" t="s">
        <v>761</v>
      </c>
      <c r="BL35" s="42">
        <v>722</v>
      </c>
    </row>
    <row r="36" spans="1:64" ht="12.75">
      <c r="A36" s="4" t="s">
        <v>24</v>
      </c>
      <c r="B36" s="13"/>
      <c r="C36" s="13" t="s">
        <v>239</v>
      </c>
      <c r="D36" s="13" t="s">
        <v>468</v>
      </c>
      <c r="E36" s="13" t="s">
        <v>681</v>
      </c>
      <c r="F36" s="22">
        <v>10</v>
      </c>
      <c r="G36" s="90">
        <v>0</v>
      </c>
      <c r="H36" s="22">
        <f t="shared" si="0"/>
        <v>0</v>
      </c>
      <c r="I36" s="22">
        <f t="shared" si="1"/>
        <v>0</v>
      </c>
      <c r="J36" s="22">
        <f t="shared" si="2"/>
        <v>0</v>
      </c>
      <c r="K36" s="22">
        <v>0.00167</v>
      </c>
      <c r="L36" s="22">
        <f t="shared" si="3"/>
        <v>0.0167</v>
      </c>
      <c r="M36" s="36" t="s">
        <v>706</v>
      </c>
      <c r="N36" s="40"/>
      <c r="Z36" s="42">
        <f t="shared" si="4"/>
        <v>0</v>
      </c>
      <c r="AB36" s="42">
        <f t="shared" si="5"/>
        <v>0</v>
      </c>
      <c r="AC36" s="42">
        <f t="shared" si="6"/>
        <v>0</v>
      </c>
      <c r="AD36" s="42">
        <f t="shared" si="7"/>
        <v>0</v>
      </c>
      <c r="AE36" s="42">
        <f t="shared" si="8"/>
        <v>0</v>
      </c>
      <c r="AF36" s="42">
        <f t="shared" si="9"/>
        <v>0</v>
      </c>
      <c r="AG36" s="42">
        <f t="shared" si="10"/>
        <v>0</v>
      </c>
      <c r="AH36" s="42">
        <f t="shared" si="11"/>
        <v>0</v>
      </c>
      <c r="AI36" s="32"/>
      <c r="AJ36" s="22">
        <f t="shared" si="12"/>
        <v>0</v>
      </c>
      <c r="AK36" s="22">
        <f t="shared" si="13"/>
        <v>0</v>
      </c>
      <c r="AL36" s="22">
        <f t="shared" si="14"/>
        <v>0</v>
      </c>
      <c r="AN36" s="42">
        <v>15</v>
      </c>
      <c r="AO36" s="42">
        <f>G36*0.721904761904762</f>
        <v>0</v>
      </c>
      <c r="AP36" s="42">
        <f>G36*(1-0.721904761904762)</f>
        <v>0</v>
      </c>
      <c r="AQ36" s="43" t="s">
        <v>13</v>
      </c>
      <c r="AV36" s="42">
        <f t="shared" si="15"/>
        <v>0</v>
      </c>
      <c r="AW36" s="42">
        <f t="shared" si="16"/>
        <v>0</v>
      </c>
      <c r="AX36" s="42">
        <f t="shared" si="17"/>
        <v>0</v>
      </c>
      <c r="AY36" s="45" t="s">
        <v>724</v>
      </c>
      <c r="AZ36" s="45" t="s">
        <v>749</v>
      </c>
      <c r="BA36" s="32" t="s">
        <v>756</v>
      </c>
      <c r="BC36" s="42">
        <f t="shared" si="18"/>
        <v>0</v>
      </c>
      <c r="BD36" s="42">
        <f t="shared" si="19"/>
        <v>0</v>
      </c>
      <c r="BE36" s="42">
        <v>0</v>
      </c>
      <c r="BF36" s="42">
        <f t="shared" si="20"/>
        <v>0.0167</v>
      </c>
      <c r="BH36" s="22">
        <f t="shared" si="21"/>
        <v>0</v>
      </c>
      <c r="BI36" s="22">
        <f t="shared" si="22"/>
        <v>0</v>
      </c>
      <c r="BJ36" s="22">
        <f t="shared" si="23"/>
        <v>0</v>
      </c>
      <c r="BK36" s="22" t="s">
        <v>761</v>
      </c>
      <c r="BL36" s="42">
        <v>722</v>
      </c>
    </row>
    <row r="37" spans="1:64" ht="12.75">
      <c r="A37" s="4" t="s">
        <v>25</v>
      </c>
      <c r="B37" s="13"/>
      <c r="C37" s="13" t="s">
        <v>240</v>
      </c>
      <c r="D37" s="13" t="s">
        <v>469</v>
      </c>
      <c r="E37" s="13" t="s">
        <v>681</v>
      </c>
      <c r="F37" s="22">
        <v>7</v>
      </c>
      <c r="G37" s="90">
        <v>0</v>
      </c>
      <c r="H37" s="22">
        <f t="shared" si="0"/>
        <v>0</v>
      </c>
      <c r="I37" s="22">
        <f t="shared" si="1"/>
        <v>0</v>
      </c>
      <c r="J37" s="22">
        <f t="shared" si="2"/>
        <v>0</v>
      </c>
      <c r="K37" s="22">
        <v>3E-05</v>
      </c>
      <c r="L37" s="22">
        <f t="shared" si="3"/>
        <v>0.00021</v>
      </c>
      <c r="M37" s="36" t="s">
        <v>706</v>
      </c>
      <c r="N37" s="40"/>
      <c r="Z37" s="42">
        <f t="shared" si="4"/>
        <v>0</v>
      </c>
      <c r="AB37" s="42">
        <f t="shared" si="5"/>
        <v>0</v>
      </c>
      <c r="AC37" s="42">
        <f t="shared" si="6"/>
        <v>0</v>
      </c>
      <c r="AD37" s="42">
        <f t="shared" si="7"/>
        <v>0</v>
      </c>
      <c r="AE37" s="42">
        <f t="shared" si="8"/>
        <v>0</v>
      </c>
      <c r="AF37" s="42">
        <f t="shared" si="9"/>
        <v>0</v>
      </c>
      <c r="AG37" s="42">
        <f t="shared" si="10"/>
        <v>0</v>
      </c>
      <c r="AH37" s="42">
        <f t="shared" si="11"/>
        <v>0</v>
      </c>
      <c r="AI37" s="32"/>
      <c r="AJ37" s="22">
        <f t="shared" si="12"/>
        <v>0</v>
      </c>
      <c r="AK37" s="22">
        <f t="shared" si="13"/>
        <v>0</v>
      </c>
      <c r="AL37" s="22">
        <f t="shared" si="14"/>
        <v>0</v>
      </c>
      <c r="AN37" s="42">
        <v>15</v>
      </c>
      <c r="AO37" s="42">
        <f>G37*0.447149758454106</f>
        <v>0</v>
      </c>
      <c r="AP37" s="42">
        <f>G37*(1-0.447149758454106)</f>
        <v>0</v>
      </c>
      <c r="AQ37" s="43" t="s">
        <v>13</v>
      </c>
      <c r="AV37" s="42">
        <f t="shared" si="15"/>
        <v>0</v>
      </c>
      <c r="AW37" s="42">
        <f t="shared" si="16"/>
        <v>0</v>
      </c>
      <c r="AX37" s="42">
        <f t="shared" si="17"/>
        <v>0</v>
      </c>
      <c r="AY37" s="45" t="s">
        <v>724</v>
      </c>
      <c r="AZ37" s="45" t="s">
        <v>749</v>
      </c>
      <c r="BA37" s="32" t="s">
        <v>756</v>
      </c>
      <c r="BC37" s="42">
        <f t="shared" si="18"/>
        <v>0</v>
      </c>
      <c r="BD37" s="42">
        <f t="shared" si="19"/>
        <v>0</v>
      </c>
      <c r="BE37" s="42">
        <v>0</v>
      </c>
      <c r="BF37" s="42">
        <f t="shared" si="20"/>
        <v>0.00021</v>
      </c>
      <c r="BH37" s="22">
        <f t="shared" si="21"/>
        <v>0</v>
      </c>
      <c r="BI37" s="22">
        <f t="shared" si="22"/>
        <v>0</v>
      </c>
      <c r="BJ37" s="22">
        <f t="shared" si="23"/>
        <v>0</v>
      </c>
      <c r="BK37" s="22" t="s">
        <v>761</v>
      </c>
      <c r="BL37" s="42">
        <v>722</v>
      </c>
    </row>
    <row r="38" spans="1:64" ht="12.75">
      <c r="A38" s="4" t="s">
        <v>26</v>
      </c>
      <c r="B38" s="13"/>
      <c r="C38" s="13" t="s">
        <v>241</v>
      </c>
      <c r="D38" s="13" t="s">
        <v>469</v>
      </c>
      <c r="E38" s="13" t="s">
        <v>681</v>
      </c>
      <c r="F38" s="22">
        <v>8</v>
      </c>
      <c r="G38" s="90">
        <v>0</v>
      </c>
      <c r="H38" s="22">
        <f t="shared" si="0"/>
        <v>0</v>
      </c>
      <c r="I38" s="22">
        <f t="shared" si="1"/>
        <v>0</v>
      </c>
      <c r="J38" s="22">
        <f t="shared" si="2"/>
        <v>0</v>
      </c>
      <c r="K38" s="22">
        <v>5E-05</v>
      </c>
      <c r="L38" s="22">
        <f t="shared" si="3"/>
        <v>0.0004</v>
      </c>
      <c r="M38" s="36" t="s">
        <v>706</v>
      </c>
      <c r="N38" s="40"/>
      <c r="Z38" s="42">
        <f t="shared" si="4"/>
        <v>0</v>
      </c>
      <c r="AB38" s="42">
        <f t="shared" si="5"/>
        <v>0</v>
      </c>
      <c r="AC38" s="42">
        <f t="shared" si="6"/>
        <v>0</v>
      </c>
      <c r="AD38" s="42">
        <f t="shared" si="7"/>
        <v>0</v>
      </c>
      <c r="AE38" s="42">
        <f t="shared" si="8"/>
        <v>0</v>
      </c>
      <c r="AF38" s="42">
        <f t="shared" si="9"/>
        <v>0</v>
      </c>
      <c r="AG38" s="42">
        <f t="shared" si="10"/>
        <v>0</v>
      </c>
      <c r="AH38" s="42">
        <f t="shared" si="11"/>
        <v>0</v>
      </c>
      <c r="AI38" s="32"/>
      <c r="AJ38" s="22">
        <f t="shared" si="12"/>
        <v>0</v>
      </c>
      <c r="AK38" s="22">
        <f t="shared" si="13"/>
        <v>0</v>
      </c>
      <c r="AL38" s="22">
        <f t="shared" si="14"/>
        <v>0</v>
      </c>
      <c r="AN38" s="42">
        <v>15</v>
      </c>
      <c r="AO38" s="42">
        <f>G38*0.48784651654337</f>
        <v>0</v>
      </c>
      <c r="AP38" s="42">
        <f>G38*(1-0.48784651654337)</f>
        <v>0</v>
      </c>
      <c r="AQ38" s="43" t="s">
        <v>13</v>
      </c>
      <c r="AV38" s="42">
        <f t="shared" si="15"/>
        <v>0</v>
      </c>
      <c r="AW38" s="42">
        <f t="shared" si="16"/>
        <v>0</v>
      </c>
      <c r="AX38" s="42">
        <f t="shared" si="17"/>
        <v>0</v>
      </c>
      <c r="AY38" s="45" t="s">
        <v>724</v>
      </c>
      <c r="AZ38" s="45" t="s">
        <v>749</v>
      </c>
      <c r="BA38" s="32" t="s">
        <v>756</v>
      </c>
      <c r="BC38" s="42">
        <f t="shared" si="18"/>
        <v>0</v>
      </c>
      <c r="BD38" s="42">
        <f t="shared" si="19"/>
        <v>0</v>
      </c>
      <c r="BE38" s="42">
        <v>0</v>
      </c>
      <c r="BF38" s="42">
        <f t="shared" si="20"/>
        <v>0.0004</v>
      </c>
      <c r="BH38" s="22">
        <f t="shared" si="21"/>
        <v>0</v>
      </c>
      <c r="BI38" s="22">
        <f t="shared" si="22"/>
        <v>0</v>
      </c>
      <c r="BJ38" s="22">
        <f t="shared" si="23"/>
        <v>0</v>
      </c>
      <c r="BK38" s="22" t="s">
        <v>761</v>
      </c>
      <c r="BL38" s="42">
        <v>722</v>
      </c>
    </row>
    <row r="39" spans="1:64" ht="12.75">
      <c r="A39" s="4" t="s">
        <v>27</v>
      </c>
      <c r="B39" s="13"/>
      <c r="C39" s="13" t="s">
        <v>242</v>
      </c>
      <c r="D39" s="13" t="s">
        <v>470</v>
      </c>
      <c r="E39" s="13" t="s">
        <v>681</v>
      </c>
      <c r="F39" s="22">
        <v>7</v>
      </c>
      <c r="G39" s="90">
        <v>0</v>
      </c>
      <c r="H39" s="22">
        <f t="shared" si="0"/>
        <v>0</v>
      </c>
      <c r="I39" s="22">
        <f t="shared" si="1"/>
        <v>0</v>
      </c>
      <c r="J39" s="22">
        <f t="shared" si="2"/>
        <v>0</v>
      </c>
      <c r="K39" s="22">
        <v>0.00028</v>
      </c>
      <c r="L39" s="22">
        <f t="shared" si="3"/>
        <v>0.00196</v>
      </c>
      <c r="M39" s="36" t="s">
        <v>706</v>
      </c>
      <c r="N39" s="40"/>
      <c r="Z39" s="42">
        <f t="shared" si="4"/>
        <v>0</v>
      </c>
      <c r="AB39" s="42">
        <f t="shared" si="5"/>
        <v>0</v>
      </c>
      <c r="AC39" s="42">
        <f t="shared" si="6"/>
        <v>0</v>
      </c>
      <c r="AD39" s="42">
        <f t="shared" si="7"/>
        <v>0</v>
      </c>
      <c r="AE39" s="42">
        <f t="shared" si="8"/>
        <v>0</v>
      </c>
      <c r="AF39" s="42">
        <f t="shared" si="9"/>
        <v>0</v>
      </c>
      <c r="AG39" s="42">
        <f t="shared" si="10"/>
        <v>0</v>
      </c>
      <c r="AH39" s="42">
        <f t="shared" si="11"/>
        <v>0</v>
      </c>
      <c r="AI39" s="32"/>
      <c r="AJ39" s="22">
        <f t="shared" si="12"/>
        <v>0</v>
      </c>
      <c r="AK39" s="22">
        <f t="shared" si="13"/>
        <v>0</v>
      </c>
      <c r="AL39" s="22">
        <f t="shared" si="14"/>
        <v>0</v>
      </c>
      <c r="AN39" s="42">
        <v>15</v>
      </c>
      <c r="AO39" s="42">
        <f>G39*0.0348087431693989</f>
        <v>0</v>
      </c>
      <c r="AP39" s="42">
        <f>G39*(1-0.0348087431693989)</f>
        <v>0</v>
      </c>
      <c r="AQ39" s="43" t="s">
        <v>13</v>
      </c>
      <c r="AV39" s="42">
        <f t="shared" si="15"/>
        <v>0</v>
      </c>
      <c r="AW39" s="42">
        <f t="shared" si="16"/>
        <v>0</v>
      </c>
      <c r="AX39" s="42">
        <f t="shared" si="17"/>
        <v>0</v>
      </c>
      <c r="AY39" s="45" t="s">
        <v>724</v>
      </c>
      <c r="AZ39" s="45" t="s">
        <v>749</v>
      </c>
      <c r="BA39" s="32" t="s">
        <v>756</v>
      </c>
      <c r="BC39" s="42">
        <f t="shared" si="18"/>
        <v>0</v>
      </c>
      <c r="BD39" s="42">
        <f t="shared" si="19"/>
        <v>0</v>
      </c>
      <c r="BE39" s="42">
        <v>0</v>
      </c>
      <c r="BF39" s="42">
        <f t="shared" si="20"/>
        <v>0.00196</v>
      </c>
      <c r="BH39" s="22">
        <f t="shared" si="21"/>
        <v>0</v>
      </c>
      <c r="BI39" s="22">
        <f t="shared" si="22"/>
        <v>0</v>
      </c>
      <c r="BJ39" s="22">
        <f t="shared" si="23"/>
        <v>0</v>
      </c>
      <c r="BK39" s="22" t="s">
        <v>761</v>
      </c>
      <c r="BL39" s="42">
        <v>722</v>
      </c>
    </row>
    <row r="40" spans="1:64" ht="12.75">
      <c r="A40" s="4" t="s">
        <v>28</v>
      </c>
      <c r="B40" s="13"/>
      <c r="C40" s="13" t="s">
        <v>243</v>
      </c>
      <c r="D40" s="13" t="s">
        <v>471</v>
      </c>
      <c r="E40" s="13" t="s">
        <v>681</v>
      </c>
      <c r="F40" s="22">
        <v>10</v>
      </c>
      <c r="G40" s="90">
        <v>0</v>
      </c>
      <c r="H40" s="22">
        <f t="shared" si="0"/>
        <v>0</v>
      </c>
      <c r="I40" s="22">
        <f t="shared" si="1"/>
        <v>0</v>
      </c>
      <c r="J40" s="22">
        <f t="shared" si="2"/>
        <v>0</v>
      </c>
      <c r="K40" s="22">
        <v>0.00028</v>
      </c>
      <c r="L40" s="22">
        <f t="shared" si="3"/>
        <v>0.0027999999999999995</v>
      </c>
      <c r="M40" s="36" t="s">
        <v>706</v>
      </c>
      <c r="N40" s="40"/>
      <c r="Z40" s="42">
        <f t="shared" si="4"/>
        <v>0</v>
      </c>
      <c r="AB40" s="42">
        <f t="shared" si="5"/>
        <v>0</v>
      </c>
      <c r="AC40" s="42">
        <f t="shared" si="6"/>
        <v>0</v>
      </c>
      <c r="AD40" s="42">
        <f t="shared" si="7"/>
        <v>0</v>
      </c>
      <c r="AE40" s="42">
        <f t="shared" si="8"/>
        <v>0</v>
      </c>
      <c r="AF40" s="42">
        <f t="shared" si="9"/>
        <v>0</v>
      </c>
      <c r="AG40" s="42">
        <f t="shared" si="10"/>
        <v>0</v>
      </c>
      <c r="AH40" s="42">
        <f t="shared" si="11"/>
        <v>0</v>
      </c>
      <c r="AI40" s="32"/>
      <c r="AJ40" s="22">
        <f t="shared" si="12"/>
        <v>0</v>
      </c>
      <c r="AK40" s="22">
        <f t="shared" si="13"/>
        <v>0</v>
      </c>
      <c r="AL40" s="22">
        <f t="shared" si="14"/>
        <v>0</v>
      </c>
      <c r="AN40" s="42">
        <v>15</v>
      </c>
      <c r="AO40" s="42">
        <f>G40*0.0269915254237288</f>
        <v>0</v>
      </c>
      <c r="AP40" s="42">
        <f>G40*(1-0.0269915254237288)</f>
        <v>0</v>
      </c>
      <c r="AQ40" s="43" t="s">
        <v>13</v>
      </c>
      <c r="AV40" s="42">
        <f t="shared" si="15"/>
        <v>0</v>
      </c>
      <c r="AW40" s="42">
        <f t="shared" si="16"/>
        <v>0</v>
      </c>
      <c r="AX40" s="42">
        <f t="shared" si="17"/>
        <v>0</v>
      </c>
      <c r="AY40" s="45" t="s">
        <v>724</v>
      </c>
      <c r="AZ40" s="45" t="s">
        <v>749</v>
      </c>
      <c r="BA40" s="32" t="s">
        <v>756</v>
      </c>
      <c r="BC40" s="42">
        <f t="shared" si="18"/>
        <v>0</v>
      </c>
      <c r="BD40" s="42">
        <f t="shared" si="19"/>
        <v>0</v>
      </c>
      <c r="BE40" s="42">
        <v>0</v>
      </c>
      <c r="BF40" s="42">
        <f t="shared" si="20"/>
        <v>0.0027999999999999995</v>
      </c>
      <c r="BH40" s="22">
        <f t="shared" si="21"/>
        <v>0</v>
      </c>
      <c r="BI40" s="22">
        <f t="shared" si="22"/>
        <v>0</v>
      </c>
      <c r="BJ40" s="22">
        <f t="shared" si="23"/>
        <v>0</v>
      </c>
      <c r="BK40" s="22" t="s">
        <v>761</v>
      </c>
      <c r="BL40" s="42">
        <v>722</v>
      </c>
    </row>
    <row r="41" spans="1:64" ht="12.75">
      <c r="A41" s="4" t="s">
        <v>29</v>
      </c>
      <c r="B41" s="13"/>
      <c r="C41" s="13" t="s">
        <v>244</v>
      </c>
      <c r="D41" s="13" t="s">
        <v>472</v>
      </c>
      <c r="E41" s="13" t="s">
        <v>681</v>
      </c>
      <c r="F41" s="22">
        <v>7</v>
      </c>
      <c r="G41" s="90">
        <v>0</v>
      </c>
      <c r="H41" s="22">
        <f t="shared" si="0"/>
        <v>0</v>
      </c>
      <c r="I41" s="22">
        <f t="shared" si="1"/>
        <v>0</v>
      </c>
      <c r="J41" s="22">
        <f t="shared" si="2"/>
        <v>0</v>
      </c>
      <c r="K41" s="22">
        <v>0.00043</v>
      </c>
      <c r="L41" s="22">
        <f t="shared" si="3"/>
        <v>0.00301</v>
      </c>
      <c r="M41" s="36" t="s">
        <v>706</v>
      </c>
      <c r="N41" s="40"/>
      <c r="Z41" s="42">
        <f t="shared" si="4"/>
        <v>0</v>
      </c>
      <c r="AB41" s="42">
        <f t="shared" si="5"/>
        <v>0</v>
      </c>
      <c r="AC41" s="42">
        <f t="shared" si="6"/>
        <v>0</v>
      </c>
      <c r="AD41" s="42">
        <f t="shared" si="7"/>
        <v>0</v>
      </c>
      <c r="AE41" s="42">
        <f t="shared" si="8"/>
        <v>0</v>
      </c>
      <c r="AF41" s="42">
        <f t="shared" si="9"/>
        <v>0</v>
      </c>
      <c r="AG41" s="42">
        <f t="shared" si="10"/>
        <v>0</v>
      </c>
      <c r="AH41" s="42">
        <f t="shared" si="11"/>
        <v>0</v>
      </c>
      <c r="AI41" s="32"/>
      <c r="AJ41" s="22">
        <f t="shared" si="12"/>
        <v>0</v>
      </c>
      <c r="AK41" s="22">
        <f t="shared" si="13"/>
        <v>0</v>
      </c>
      <c r="AL41" s="22">
        <f t="shared" si="14"/>
        <v>0</v>
      </c>
      <c r="AN41" s="42">
        <v>15</v>
      </c>
      <c r="AO41" s="42">
        <f>G41*0.38939122463436</f>
        <v>0</v>
      </c>
      <c r="AP41" s="42">
        <f>G41*(1-0.38939122463436)</f>
        <v>0</v>
      </c>
      <c r="AQ41" s="43" t="s">
        <v>13</v>
      </c>
      <c r="AV41" s="42">
        <f t="shared" si="15"/>
        <v>0</v>
      </c>
      <c r="AW41" s="42">
        <f t="shared" si="16"/>
        <v>0</v>
      </c>
      <c r="AX41" s="42">
        <f t="shared" si="17"/>
        <v>0</v>
      </c>
      <c r="AY41" s="45" t="s">
        <v>724</v>
      </c>
      <c r="AZ41" s="45" t="s">
        <v>749</v>
      </c>
      <c r="BA41" s="32" t="s">
        <v>756</v>
      </c>
      <c r="BC41" s="42">
        <f t="shared" si="18"/>
        <v>0</v>
      </c>
      <c r="BD41" s="42">
        <f t="shared" si="19"/>
        <v>0</v>
      </c>
      <c r="BE41" s="42">
        <v>0</v>
      </c>
      <c r="BF41" s="42">
        <f t="shared" si="20"/>
        <v>0.00301</v>
      </c>
      <c r="BH41" s="22">
        <f t="shared" si="21"/>
        <v>0</v>
      </c>
      <c r="BI41" s="22">
        <f t="shared" si="22"/>
        <v>0</v>
      </c>
      <c r="BJ41" s="22">
        <f t="shared" si="23"/>
        <v>0</v>
      </c>
      <c r="BK41" s="22" t="s">
        <v>761</v>
      </c>
      <c r="BL41" s="42">
        <v>722</v>
      </c>
    </row>
    <row r="42" spans="1:64" ht="12.75">
      <c r="A42" s="4" t="s">
        <v>30</v>
      </c>
      <c r="B42" s="13"/>
      <c r="C42" s="13" t="s">
        <v>245</v>
      </c>
      <c r="D42" s="13" t="s">
        <v>473</v>
      </c>
      <c r="E42" s="13" t="s">
        <v>681</v>
      </c>
      <c r="F42" s="22">
        <v>8</v>
      </c>
      <c r="G42" s="90">
        <v>0</v>
      </c>
      <c r="H42" s="22">
        <f t="shared" si="0"/>
        <v>0</v>
      </c>
      <c r="I42" s="22">
        <f t="shared" si="1"/>
        <v>0</v>
      </c>
      <c r="J42" s="22">
        <f t="shared" si="2"/>
        <v>0</v>
      </c>
      <c r="K42" s="22">
        <v>0.00073</v>
      </c>
      <c r="L42" s="22">
        <f t="shared" si="3"/>
        <v>0.00584</v>
      </c>
      <c r="M42" s="36" t="s">
        <v>706</v>
      </c>
      <c r="N42" s="40"/>
      <c r="Z42" s="42">
        <f t="shared" si="4"/>
        <v>0</v>
      </c>
      <c r="AB42" s="42">
        <f t="shared" si="5"/>
        <v>0</v>
      </c>
      <c r="AC42" s="42">
        <f t="shared" si="6"/>
        <v>0</v>
      </c>
      <c r="AD42" s="42">
        <f t="shared" si="7"/>
        <v>0</v>
      </c>
      <c r="AE42" s="42">
        <f t="shared" si="8"/>
        <v>0</v>
      </c>
      <c r="AF42" s="42">
        <f t="shared" si="9"/>
        <v>0</v>
      </c>
      <c r="AG42" s="42">
        <f t="shared" si="10"/>
        <v>0</v>
      </c>
      <c r="AH42" s="42">
        <f t="shared" si="11"/>
        <v>0</v>
      </c>
      <c r="AI42" s="32"/>
      <c r="AJ42" s="22">
        <f t="shared" si="12"/>
        <v>0</v>
      </c>
      <c r="AK42" s="22">
        <f t="shared" si="13"/>
        <v>0</v>
      </c>
      <c r="AL42" s="22">
        <f t="shared" si="14"/>
        <v>0</v>
      </c>
      <c r="AN42" s="42">
        <v>15</v>
      </c>
      <c r="AO42" s="42">
        <f>G42*0.530740242261104</f>
        <v>0</v>
      </c>
      <c r="AP42" s="42">
        <f>G42*(1-0.530740242261104)</f>
        <v>0</v>
      </c>
      <c r="AQ42" s="43" t="s">
        <v>13</v>
      </c>
      <c r="AV42" s="42">
        <f t="shared" si="15"/>
        <v>0</v>
      </c>
      <c r="AW42" s="42">
        <f t="shared" si="16"/>
        <v>0</v>
      </c>
      <c r="AX42" s="42">
        <f t="shared" si="17"/>
        <v>0</v>
      </c>
      <c r="AY42" s="45" t="s">
        <v>724</v>
      </c>
      <c r="AZ42" s="45" t="s">
        <v>749</v>
      </c>
      <c r="BA42" s="32" t="s">
        <v>756</v>
      </c>
      <c r="BC42" s="42">
        <f t="shared" si="18"/>
        <v>0</v>
      </c>
      <c r="BD42" s="42">
        <f t="shared" si="19"/>
        <v>0</v>
      </c>
      <c r="BE42" s="42">
        <v>0</v>
      </c>
      <c r="BF42" s="42">
        <f t="shared" si="20"/>
        <v>0.00584</v>
      </c>
      <c r="BH42" s="22">
        <f t="shared" si="21"/>
        <v>0</v>
      </c>
      <c r="BI42" s="22">
        <f t="shared" si="22"/>
        <v>0</v>
      </c>
      <c r="BJ42" s="22">
        <f t="shared" si="23"/>
        <v>0</v>
      </c>
      <c r="BK42" s="22" t="s">
        <v>761</v>
      </c>
      <c r="BL42" s="42">
        <v>722</v>
      </c>
    </row>
    <row r="43" spans="1:64" ht="12.75">
      <c r="A43" s="4" t="s">
        <v>31</v>
      </c>
      <c r="B43" s="13"/>
      <c r="C43" s="13" t="s">
        <v>246</v>
      </c>
      <c r="D43" s="13" t="s">
        <v>474</v>
      </c>
      <c r="E43" s="13" t="s">
        <v>681</v>
      </c>
      <c r="F43" s="22">
        <v>7</v>
      </c>
      <c r="G43" s="90">
        <v>0</v>
      </c>
      <c r="H43" s="22">
        <f t="shared" si="0"/>
        <v>0</v>
      </c>
      <c r="I43" s="22">
        <f t="shared" si="1"/>
        <v>0</v>
      </c>
      <c r="J43" s="22">
        <f t="shared" si="2"/>
        <v>0</v>
      </c>
      <c r="K43" s="22">
        <v>5E-05</v>
      </c>
      <c r="L43" s="22">
        <f t="shared" si="3"/>
        <v>0.00035</v>
      </c>
      <c r="M43" s="36" t="s">
        <v>706</v>
      </c>
      <c r="N43" s="40"/>
      <c r="Z43" s="42">
        <f t="shared" si="4"/>
        <v>0</v>
      </c>
      <c r="AB43" s="42">
        <f t="shared" si="5"/>
        <v>0</v>
      </c>
      <c r="AC43" s="42">
        <f t="shared" si="6"/>
        <v>0</v>
      </c>
      <c r="AD43" s="42">
        <f t="shared" si="7"/>
        <v>0</v>
      </c>
      <c r="AE43" s="42">
        <f t="shared" si="8"/>
        <v>0</v>
      </c>
      <c r="AF43" s="42">
        <f t="shared" si="9"/>
        <v>0</v>
      </c>
      <c r="AG43" s="42">
        <f t="shared" si="10"/>
        <v>0</v>
      </c>
      <c r="AH43" s="42">
        <f t="shared" si="11"/>
        <v>0</v>
      </c>
      <c r="AI43" s="32"/>
      <c r="AJ43" s="22">
        <f t="shared" si="12"/>
        <v>0</v>
      </c>
      <c r="AK43" s="22">
        <f t="shared" si="13"/>
        <v>0</v>
      </c>
      <c r="AL43" s="22">
        <f t="shared" si="14"/>
        <v>0</v>
      </c>
      <c r="AN43" s="42">
        <v>15</v>
      </c>
      <c r="AO43" s="42">
        <f>G43*0.433465346534654</f>
        <v>0</v>
      </c>
      <c r="AP43" s="42">
        <f>G43*(1-0.433465346534654)</f>
        <v>0</v>
      </c>
      <c r="AQ43" s="43" t="s">
        <v>13</v>
      </c>
      <c r="AV43" s="42">
        <f t="shared" si="15"/>
        <v>0</v>
      </c>
      <c r="AW43" s="42">
        <f t="shared" si="16"/>
        <v>0</v>
      </c>
      <c r="AX43" s="42">
        <f t="shared" si="17"/>
        <v>0</v>
      </c>
      <c r="AY43" s="45" t="s">
        <v>724</v>
      </c>
      <c r="AZ43" s="45" t="s">
        <v>749</v>
      </c>
      <c r="BA43" s="32" t="s">
        <v>756</v>
      </c>
      <c r="BC43" s="42">
        <f t="shared" si="18"/>
        <v>0</v>
      </c>
      <c r="BD43" s="42">
        <f t="shared" si="19"/>
        <v>0</v>
      </c>
      <c r="BE43" s="42">
        <v>0</v>
      </c>
      <c r="BF43" s="42">
        <f t="shared" si="20"/>
        <v>0.00035</v>
      </c>
      <c r="BH43" s="22">
        <f t="shared" si="21"/>
        <v>0</v>
      </c>
      <c r="BI43" s="22">
        <f t="shared" si="22"/>
        <v>0</v>
      </c>
      <c r="BJ43" s="22">
        <f t="shared" si="23"/>
        <v>0</v>
      </c>
      <c r="BK43" s="22" t="s">
        <v>761</v>
      </c>
      <c r="BL43" s="42">
        <v>722</v>
      </c>
    </row>
    <row r="44" spans="1:64" ht="12.75">
      <c r="A44" s="4" t="s">
        <v>32</v>
      </c>
      <c r="B44" s="13"/>
      <c r="C44" s="13" t="s">
        <v>247</v>
      </c>
      <c r="D44" s="13" t="s">
        <v>475</v>
      </c>
      <c r="E44" s="13" t="s">
        <v>681</v>
      </c>
      <c r="F44" s="22">
        <v>10</v>
      </c>
      <c r="G44" s="90">
        <v>0</v>
      </c>
      <c r="H44" s="22">
        <f t="shared" si="0"/>
        <v>0</v>
      </c>
      <c r="I44" s="22">
        <f t="shared" si="1"/>
        <v>0</v>
      </c>
      <c r="J44" s="22">
        <f t="shared" si="2"/>
        <v>0</v>
      </c>
      <c r="K44" s="22">
        <v>9E-05</v>
      </c>
      <c r="L44" s="22">
        <f t="shared" si="3"/>
        <v>0.0009000000000000001</v>
      </c>
      <c r="M44" s="36" t="s">
        <v>706</v>
      </c>
      <c r="N44" s="40"/>
      <c r="Z44" s="42">
        <f t="shared" si="4"/>
        <v>0</v>
      </c>
      <c r="AB44" s="42">
        <f t="shared" si="5"/>
        <v>0</v>
      </c>
      <c r="AC44" s="42">
        <f t="shared" si="6"/>
        <v>0</v>
      </c>
      <c r="AD44" s="42">
        <f t="shared" si="7"/>
        <v>0</v>
      </c>
      <c r="AE44" s="42">
        <f t="shared" si="8"/>
        <v>0</v>
      </c>
      <c r="AF44" s="42">
        <f t="shared" si="9"/>
        <v>0</v>
      </c>
      <c r="AG44" s="42">
        <f t="shared" si="10"/>
        <v>0</v>
      </c>
      <c r="AH44" s="42">
        <f t="shared" si="11"/>
        <v>0</v>
      </c>
      <c r="AI44" s="32"/>
      <c r="AJ44" s="22">
        <f t="shared" si="12"/>
        <v>0</v>
      </c>
      <c r="AK44" s="22">
        <f t="shared" si="13"/>
        <v>0</v>
      </c>
      <c r="AL44" s="22">
        <f t="shared" si="14"/>
        <v>0</v>
      </c>
      <c r="AN44" s="42">
        <v>15</v>
      </c>
      <c r="AO44" s="42">
        <f>G44*0.559846153846154</f>
        <v>0</v>
      </c>
      <c r="AP44" s="42">
        <f>G44*(1-0.559846153846154)</f>
        <v>0</v>
      </c>
      <c r="AQ44" s="43" t="s">
        <v>13</v>
      </c>
      <c r="AV44" s="42">
        <f t="shared" si="15"/>
        <v>0</v>
      </c>
      <c r="AW44" s="42">
        <f t="shared" si="16"/>
        <v>0</v>
      </c>
      <c r="AX44" s="42">
        <f t="shared" si="17"/>
        <v>0</v>
      </c>
      <c r="AY44" s="45" t="s">
        <v>724</v>
      </c>
      <c r="AZ44" s="45" t="s">
        <v>749</v>
      </c>
      <c r="BA44" s="32" t="s">
        <v>756</v>
      </c>
      <c r="BC44" s="42">
        <f t="shared" si="18"/>
        <v>0</v>
      </c>
      <c r="BD44" s="42">
        <f t="shared" si="19"/>
        <v>0</v>
      </c>
      <c r="BE44" s="42">
        <v>0</v>
      </c>
      <c r="BF44" s="42">
        <f t="shared" si="20"/>
        <v>0.0009000000000000001</v>
      </c>
      <c r="BH44" s="22">
        <f t="shared" si="21"/>
        <v>0</v>
      </c>
      <c r="BI44" s="22">
        <f t="shared" si="22"/>
        <v>0</v>
      </c>
      <c r="BJ44" s="22">
        <f t="shared" si="23"/>
        <v>0</v>
      </c>
      <c r="BK44" s="22" t="s">
        <v>761</v>
      </c>
      <c r="BL44" s="42">
        <v>722</v>
      </c>
    </row>
    <row r="45" spans="1:64" ht="12.75">
      <c r="A45" s="4" t="s">
        <v>33</v>
      </c>
      <c r="B45" s="13"/>
      <c r="C45" s="13" t="s">
        <v>248</v>
      </c>
      <c r="D45" s="13" t="s">
        <v>476</v>
      </c>
      <c r="E45" s="13" t="s">
        <v>681</v>
      </c>
      <c r="F45" s="22">
        <v>32</v>
      </c>
      <c r="G45" s="90">
        <v>0</v>
      </c>
      <c r="H45" s="22">
        <f t="shared" si="0"/>
        <v>0</v>
      </c>
      <c r="I45" s="22">
        <f t="shared" si="1"/>
        <v>0</v>
      </c>
      <c r="J45" s="22">
        <f t="shared" si="2"/>
        <v>0</v>
      </c>
      <c r="K45" s="22">
        <v>1E-05</v>
      </c>
      <c r="L45" s="22">
        <f t="shared" si="3"/>
        <v>0.00032</v>
      </c>
      <c r="M45" s="36" t="s">
        <v>706</v>
      </c>
      <c r="N45" s="40"/>
      <c r="Z45" s="42">
        <f t="shared" si="4"/>
        <v>0</v>
      </c>
      <c r="AB45" s="42">
        <f t="shared" si="5"/>
        <v>0</v>
      </c>
      <c r="AC45" s="42">
        <f t="shared" si="6"/>
        <v>0</v>
      </c>
      <c r="AD45" s="42">
        <f t="shared" si="7"/>
        <v>0</v>
      </c>
      <c r="AE45" s="42">
        <f t="shared" si="8"/>
        <v>0</v>
      </c>
      <c r="AF45" s="42">
        <f t="shared" si="9"/>
        <v>0</v>
      </c>
      <c r="AG45" s="42">
        <f t="shared" si="10"/>
        <v>0</v>
      </c>
      <c r="AH45" s="42">
        <f t="shared" si="11"/>
        <v>0</v>
      </c>
      <c r="AI45" s="32"/>
      <c r="AJ45" s="22">
        <f t="shared" si="12"/>
        <v>0</v>
      </c>
      <c r="AK45" s="22">
        <f t="shared" si="13"/>
        <v>0</v>
      </c>
      <c r="AL45" s="22">
        <f t="shared" si="14"/>
        <v>0</v>
      </c>
      <c r="AN45" s="42">
        <v>15</v>
      </c>
      <c r="AO45" s="42">
        <f>G45*0.0512578616352201</f>
        <v>0</v>
      </c>
      <c r="AP45" s="42">
        <f>G45*(1-0.0512578616352201)</f>
        <v>0</v>
      </c>
      <c r="AQ45" s="43" t="s">
        <v>13</v>
      </c>
      <c r="AV45" s="42">
        <f t="shared" si="15"/>
        <v>0</v>
      </c>
      <c r="AW45" s="42">
        <f t="shared" si="16"/>
        <v>0</v>
      </c>
      <c r="AX45" s="42">
        <f t="shared" si="17"/>
        <v>0</v>
      </c>
      <c r="AY45" s="45" t="s">
        <v>724</v>
      </c>
      <c r="AZ45" s="45" t="s">
        <v>749</v>
      </c>
      <c r="BA45" s="32" t="s">
        <v>756</v>
      </c>
      <c r="BC45" s="42">
        <f t="shared" si="18"/>
        <v>0</v>
      </c>
      <c r="BD45" s="42">
        <f t="shared" si="19"/>
        <v>0</v>
      </c>
      <c r="BE45" s="42">
        <v>0</v>
      </c>
      <c r="BF45" s="42">
        <f t="shared" si="20"/>
        <v>0.00032</v>
      </c>
      <c r="BH45" s="22">
        <f t="shared" si="21"/>
        <v>0</v>
      </c>
      <c r="BI45" s="22">
        <f t="shared" si="22"/>
        <v>0</v>
      </c>
      <c r="BJ45" s="22">
        <f t="shared" si="23"/>
        <v>0</v>
      </c>
      <c r="BK45" s="22" t="s">
        <v>761</v>
      </c>
      <c r="BL45" s="42">
        <v>722</v>
      </c>
    </row>
    <row r="46" spans="1:64" ht="12.75">
      <c r="A46" s="6" t="s">
        <v>34</v>
      </c>
      <c r="B46" s="15"/>
      <c r="C46" s="81" t="s">
        <v>822</v>
      </c>
      <c r="D46" s="15" t="s">
        <v>477</v>
      </c>
      <c r="E46" s="15" t="s">
        <v>679</v>
      </c>
      <c r="F46" s="23">
        <v>1</v>
      </c>
      <c r="G46" s="91">
        <v>0</v>
      </c>
      <c r="H46" s="23">
        <f t="shared" si="0"/>
        <v>0</v>
      </c>
      <c r="I46" s="23">
        <f t="shared" si="1"/>
        <v>0</v>
      </c>
      <c r="J46" s="23">
        <f t="shared" si="2"/>
        <v>0</v>
      </c>
      <c r="K46" s="23">
        <v>0.00044</v>
      </c>
      <c r="L46" s="23">
        <f t="shared" si="3"/>
        <v>0.00044</v>
      </c>
      <c r="M46" s="38" t="s">
        <v>706</v>
      </c>
      <c r="N46" s="40"/>
      <c r="Z46" s="42">
        <f t="shared" si="4"/>
        <v>0</v>
      </c>
      <c r="AB46" s="42">
        <f t="shared" si="5"/>
        <v>0</v>
      </c>
      <c r="AC46" s="42">
        <f t="shared" si="6"/>
        <v>0</v>
      </c>
      <c r="AD46" s="42">
        <f t="shared" si="7"/>
        <v>0</v>
      </c>
      <c r="AE46" s="42">
        <f t="shared" si="8"/>
        <v>0</v>
      </c>
      <c r="AF46" s="42">
        <f t="shared" si="9"/>
        <v>0</v>
      </c>
      <c r="AG46" s="42">
        <f t="shared" si="10"/>
        <v>0</v>
      </c>
      <c r="AH46" s="42">
        <f t="shared" si="11"/>
        <v>0</v>
      </c>
      <c r="AI46" s="32"/>
      <c r="AJ46" s="23">
        <f t="shared" si="12"/>
        <v>0</v>
      </c>
      <c r="AK46" s="23">
        <f t="shared" si="13"/>
        <v>0</v>
      </c>
      <c r="AL46" s="23">
        <f t="shared" si="14"/>
        <v>0</v>
      </c>
      <c r="AN46" s="42">
        <v>15</v>
      </c>
      <c r="AO46" s="42">
        <f>G46*1</f>
        <v>0</v>
      </c>
      <c r="AP46" s="42">
        <f>G46*(1-1)</f>
        <v>0</v>
      </c>
      <c r="AQ46" s="44" t="s">
        <v>13</v>
      </c>
      <c r="AV46" s="42">
        <f t="shared" si="15"/>
        <v>0</v>
      </c>
      <c r="AW46" s="42">
        <f t="shared" si="16"/>
        <v>0</v>
      </c>
      <c r="AX46" s="42">
        <f t="shared" si="17"/>
        <v>0</v>
      </c>
      <c r="AY46" s="45" t="s">
        <v>724</v>
      </c>
      <c r="AZ46" s="45" t="s">
        <v>749</v>
      </c>
      <c r="BA46" s="32" t="s">
        <v>756</v>
      </c>
      <c r="BC46" s="42">
        <f t="shared" si="18"/>
        <v>0</v>
      </c>
      <c r="BD46" s="42">
        <f t="shared" si="19"/>
        <v>0</v>
      </c>
      <c r="BE46" s="42">
        <v>0</v>
      </c>
      <c r="BF46" s="42">
        <f t="shared" si="20"/>
        <v>0.00044</v>
      </c>
      <c r="BH46" s="23">
        <f t="shared" si="21"/>
        <v>0</v>
      </c>
      <c r="BI46" s="23">
        <f t="shared" si="22"/>
        <v>0</v>
      </c>
      <c r="BJ46" s="23">
        <f t="shared" si="23"/>
        <v>0</v>
      </c>
      <c r="BK46" s="23" t="s">
        <v>762</v>
      </c>
      <c r="BL46" s="42">
        <v>722</v>
      </c>
    </row>
    <row r="47" spans="1:64" ht="12.75">
      <c r="A47" s="6" t="s">
        <v>35</v>
      </c>
      <c r="B47" s="15"/>
      <c r="C47" s="81" t="s">
        <v>249</v>
      </c>
      <c r="D47" s="15" t="s">
        <v>478</v>
      </c>
      <c r="E47" s="15" t="s">
        <v>679</v>
      </c>
      <c r="F47" s="23">
        <v>1</v>
      </c>
      <c r="G47" s="91">
        <v>0</v>
      </c>
      <c r="H47" s="23">
        <f t="shared" si="0"/>
        <v>0</v>
      </c>
      <c r="I47" s="23">
        <f t="shared" si="1"/>
        <v>0</v>
      </c>
      <c r="J47" s="23">
        <f t="shared" si="2"/>
        <v>0</v>
      </c>
      <c r="K47" s="23">
        <v>0.0058</v>
      </c>
      <c r="L47" s="23">
        <f t="shared" si="3"/>
        <v>0.0058</v>
      </c>
      <c r="M47" s="38" t="s">
        <v>706</v>
      </c>
      <c r="N47" s="40"/>
      <c r="Z47" s="42">
        <f t="shared" si="4"/>
        <v>0</v>
      </c>
      <c r="AB47" s="42">
        <f t="shared" si="5"/>
        <v>0</v>
      </c>
      <c r="AC47" s="42">
        <f t="shared" si="6"/>
        <v>0</v>
      </c>
      <c r="AD47" s="42">
        <f t="shared" si="7"/>
        <v>0</v>
      </c>
      <c r="AE47" s="42">
        <f t="shared" si="8"/>
        <v>0</v>
      </c>
      <c r="AF47" s="42">
        <f t="shared" si="9"/>
        <v>0</v>
      </c>
      <c r="AG47" s="42">
        <f t="shared" si="10"/>
        <v>0</v>
      </c>
      <c r="AH47" s="42">
        <f t="shared" si="11"/>
        <v>0</v>
      </c>
      <c r="AI47" s="32"/>
      <c r="AJ47" s="23">
        <f t="shared" si="12"/>
        <v>0</v>
      </c>
      <c r="AK47" s="23">
        <f t="shared" si="13"/>
        <v>0</v>
      </c>
      <c r="AL47" s="23">
        <f t="shared" si="14"/>
        <v>0</v>
      </c>
      <c r="AN47" s="42">
        <v>15</v>
      </c>
      <c r="AO47" s="42">
        <f>G47*1</f>
        <v>0</v>
      </c>
      <c r="AP47" s="42">
        <f>G47*(1-1)</f>
        <v>0</v>
      </c>
      <c r="AQ47" s="44" t="s">
        <v>13</v>
      </c>
      <c r="AV47" s="42">
        <f t="shared" si="15"/>
        <v>0</v>
      </c>
      <c r="AW47" s="42">
        <f t="shared" si="16"/>
        <v>0</v>
      </c>
      <c r="AX47" s="42">
        <f t="shared" si="17"/>
        <v>0</v>
      </c>
      <c r="AY47" s="45" t="s">
        <v>724</v>
      </c>
      <c r="AZ47" s="45" t="s">
        <v>749</v>
      </c>
      <c r="BA47" s="32" t="s">
        <v>756</v>
      </c>
      <c r="BC47" s="42">
        <f t="shared" si="18"/>
        <v>0</v>
      </c>
      <c r="BD47" s="42">
        <f t="shared" si="19"/>
        <v>0</v>
      </c>
      <c r="BE47" s="42">
        <v>0</v>
      </c>
      <c r="BF47" s="42">
        <f t="shared" si="20"/>
        <v>0.0058</v>
      </c>
      <c r="BH47" s="23">
        <f t="shared" si="21"/>
        <v>0</v>
      </c>
      <c r="BI47" s="23">
        <f t="shared" si="22"/>
        <v>0</v>
      </c>
      <c r="BJ47" s="23">
        <f t="shared" si="23"/>
        <v>0</v>
      </c>
      <c r="BK47" s="23" t="s">
        <v>762</v>
      </c>
      <c r="BL47" s="42">
        <v>722</v>
      </c>
    </row>
    <row r="48" spans="1:64" ht="12.75">
      <c r="A48" s="6" t="s">
        <v>36</v>
      </c>
      <c r="B48" s="15"/>
      <c r="C48" s="81" t="s">
        <v>823</v>
      </c>
      <c r="D48" s="15" t="s">
        <v>479</v>
      </c>
      <c r="E48" s="15" t="s">
        <v>679</v>
      </c>
      <c r="F48" s="23">
        <v>1</v>
      </c>
      <c r="G48" s="91">
        <v>0</v>
      </c>
      <c r="H48" s="23">
        <f t="shared" si="0"/>
        <v>0</v>
      </c>
      <c r="I48" s="23">
        <f t="shared" si="1"/>
        <v>0</v>
      </c>
      <c r="J48" s="23">
        <f t="shared" si="2"/>
        <v>0</v>
      </c>
      <c r="K48" s="23">
        <v>4E-05</v>
      </c>
      <c r="L48" s="23">
        <f t="shared" si="3"/>
        <v>4E-05</v>
      </c>
      <c r="M48" s="38"/>
      <c r="N48" s="40"/>
      <c r="Z48" s="42">
        <f t="shared" si="4"/>
        <v>0</v>
      </c>
      <c r="AB48" s="42">
        <f t="shared" si="5"/>
        <v>0</v>
      </c>
      <c r="AC48" s="42">
        <f t="shared" si="6"/>
        <v>0</v>
      </c>
      <c r="AD48" s="42">
        <f t="shared" si="7"/>
        <v>0</v>
      </c>
      <c r="AE48" s="42">
        <f t="shared" si="8"/>
        <v>0</v>
      </c>
      <c r="AF48" s="42">
        <f t="shared" si="9"/>
        <v>0</v>
      </c>
      <c r="AG48" s="42">
        <f t="shared" si="10"/>
        <v>0</v>
      </c>
      <c r="AH48" s="42">
        <f t="shared" si="11"/>
        <v>0</v>
      </c>
      <c r="AI48" s="32"/>
      <c r="AJ48" s="23">
        <f t="shared" si="12"/>
        <v>0</v>
      </c>
      <c r="AK48" s="23">
        <f t="shared" si="13"/>
        <v>0</v>
      </c>
      <c r="AL48" s="23">
        <f t="shared" si="14"/>
        <v>0</v>
      </c>
      <c r="AN48" s="42">
        <v>15</v>
      </c>
      <c r="AO48" s="42">
        <f>G48*1</f>
        <v>0</v>
      </c>
      <c r="AP48" s="42">
        <f>G48*(1-1)</f>
        <v>0</v>
      </c>
      <c r="AQ48" s="44" t="s">
        <v>13</v>
      </c>
      <c r="AV48" s="42">
        <f t="shared" si="15"/>
        <v>0</v>
      </c>
      <c r="AW48" s="42">
        <f t="shared" si="16"/>
        <v>0</v>
      </c>
      <c r="AX48" s="42">
        <f t="shared" si="17"/>
        <v>0</v>
      </c>
      <c r="AY48" s="45" t="s">
        <v>724</v>
      </c>
      <c r="AZ48" s="45" t="s">
        <v>749</v>
      </c>
      <c r="BA48" s="32" t="s">
        <v>756</v>
      </c>
      <c r="BC48" s="42">
        <f t="shared" si="18"/>
        <v>0</v>
      </c>
      <c r="BD48" s="42">
        <f t="shared" si="19"/>
        <v>0</v>
      </c>
      <c r="BE48" s="42">
        <v>0</v>
      </c>
      <c r="BF48" s="42">
        <f t="shared" si="20"/>
        <v>4E-05</v>
      </c>
      <c r="BH48" s="23">
        <f t="shared" si="21"/>
        <v>0</v>
      </c>
      <c r="BI48" s="23">
        <f t="shared" si="22"/>
        <v>0</v>
      </c>
      <c r="BJ48" s="23">
        <f t="shared" si="23"/>
        <v>0</v>
      </c>
      <c r="BK48" s="23" t="s">
        <v>762</v>
      </c>
      <c r="BL48" s="42">
        <v>722</v>
      </c>
    </row>
    <row r="49" spans="1:64" ht="12.75">
      <c r="A49" s="4" t="s">
        <v>37</v>
      </c>
      <c r="B49" s="13"/>
      <c r="C49" s="13" t="s">
        <v>250</v>
      </c>
      <c r="D49" s="13" t="s">
        <v>480</v>
      </c>
      <c r="E49" s="13" t="s">
        <v>683</v>
      </c>
      <c r="F49" s="22">
        <v>1</v>
      </c>
      <c r="G49" s="90">
        <v>0</v>
      </c>
      <c r="H49" s="22">
        <f t="shared" si="0"/>
        <v>0</v>
      </c>
      <c r="I49" s="22">
        <f t="shared" si="1"/>
        <v>0</v>
      </c>
      <c r="J49" s="22">
        <f t="shared" si="2"/>
        <v>0</v>
      </c>
      <c r="K49" s="22">
        <v>0.00053</v>
      </c>
      <c r="L49" s="22">
        <f t="shared" si="3"/>
        <v>0.00053</v>
      </c>
      <c r="M49" s="36" t="s">
        <v>706</v>
      </c>
      <c r="N49" s="40"/>
      <c r="Z49" s="42">
        <f t="shared" si="4"/>
        <v>0</v>
      </c>
      <c r="AB49" s="42">
        <f t="shared" si="5"/>
        <v>0</v>
      </c>
      <c r="AC49" s="42">
        <f t="shared" si="6"/>
        <v>0</v>
      </c>
      <c r="AD49" s="42">
        <f t="shared" si="7"/>
        <v>0</v>
      </c>
      <c r="AE49" s="42">
        <f t="shared" si="8"/>
        <v>0</v>
      </c>
      <c r="AF49" s="42">
        <f t="shared" si="9"/>
        <v>0</v>
      </c>
      <c r="AG49" s="42">
        <f t="shared" si="10"/>
        <v>0</v>
      </c>
      <c r="AH49" s="42">
        <f t="shared" si="11"/>
        <v>0</v>
      </c>
      <c r="AI49" s="32"/>
      <c r="AJ49" s="22">
        <f t="shared" si="12"/>
        <v>0</v>
      </c>
      <c r="AK49" s="22">
        <f t="shared" si="13"/>
        <v>0</v>
      </c>
      <c r="AL49" s="22">
        <f t="shared" si="14"/>
        <v>0</v>
      </c>
      <c r="AN49" s="42">
        <v>15</v>
      </c>
      <c r="AO49" s="42">
        <f>G49*0.476667670207733</f>
        <v>0</v>
      </c>
      <c r="AP49" s="42">
        <f>G49*(1-0.476667670207733)</f>
        <v>0</v>
      </c>
      <c r="AQ49" s="43" t="s">
        <v>13</v>
      </c>
      <c r="AV49" s="42">
        <f t="shared" si="15"/>
        <v>0</v>
      </c>
      <c r="AW49" s="42">
        <f t="shared" si="16"/>
        <v>0</v>
      </c>
      <c r="AX49" s="42">
        <f t="shared" si="17"/>
        <v>0</v>
      </c>
      <c r="AY49" s="45" t="s">
        <v>724</v>
      </c>
      <c r="AZ49" s="45" t="s">
        <v>749</v>
      </c>
      <c r="BA49" s="32" t="s">
        <v>756</v>
      </c>
      <c r="BC49" s="42">
        <f t="shared" si="18"/>
        <v>0</v>
      </c>
      <c r="BD49" s="42">
        <f t="shared" si="19"/>
        <v>0</v>
      </c>
      <c r="BE49" s="42">
        <v>0</v>
      </c>
      <c r="BF49" s="42">
        <f t="shared" si="20"/>
        <v>0.00053</v>
      </c>
      <c r="BH49" s="22">
        <f t="shared" si="21"/>
        <v>0</v>
      </c>
      <c r="BI49" s="22">
        <f t="shared" si="22"/>
        <v>0</v>
      </c>
      <c r="BJ49" s="22">
        <f t="shared" si="23"/>
        <v>0</v>
      </c>
      <c r="BK49" s="22" t="s">
        <v>761</v>
      </c>
      <c r="BL49" s="42">
        <v>722</v>
      </c>
    </row>
    <row r="50" spans="1:64" ht="25.5">
      <c r="A50" s="6" t="s">
        <v>38</v>
      </c>
      <c r="B50" s="15"/>
      <c r="C50" s="81" t="s">
        <v>262</v>
      </c>
      <c r="D50" s="80" t="s">
        <v>481</v>
      </c>
      <c r="E50" s="15" t="s">
        <v>679</v>
      </c>
      <c r="F50" s="23">
        <v>1</v>
      </c>
      <c r="G50" s="91">
        <v>0</v>
      </c>
      <c r="H50" s="23">
        <f t="shared" si="0"/>
        <v>0</v>
      </c>
      <c r="I50" s="23">
        <f t="shared" si="1"/>
        <v>0</v>
      </c>
      <c r="J50" s="23">
        <f t="shared" si="2"/>
        <v>0</v>
      </c>
      <c r="K50" s="23">
        <v>0.0021</v>
      </c>
      <c r="L50" s="23">
        <f t="shared" si="3"/>
        <v>0.0021</v>
      </c>
      <c r="M50" s="38"/>
      <c r="N50" s="40"/>
      <c r="Z50" s="42">
        <f t="shared" si="4"/>
        <v>0</v>
      </c>
      <c r="AB50" s="42">
        <f t="shared" si="5"/>
        <v>0</v>
      </c>
      <c r="AC50" s="42">
        <f t="shared" si="6"/>
        <v>0</v>
      </c>
      <c r="AD50" s="42">
        <f t="shared" si="7"/>
        <v>0</v>
      </c>
      <c r="AE50" s="42">
        <f t="shared" si="8"/>
        <v>0</v>
      </c>
      <c r="AF50" s="42">
        <f t="shared" si="9"/>
        <v>0</v>
      </c>
      <c r="AG50" s="42">
        <f t="shared" si="10"/>
        <v>0</v>
      </c>
      <c r="AH50" s="42">
        <f t="shared" si="11"/>
        <v>0</v>
      </c>
      <c r="AI50" s="32"/>
      <c r="AJ50" s="23">
        <f t="shared" si="12"/>
        <v>0</v>
      </c>
      <c r="AK50" s="23">
        <f t="shared" si="13"/>
        <v>0</v>
      </c>
      <c r="AL50" s="23">
        <f t="shared" si="14"/>
        <v>0</v>
      </c>
      <c r="AN50" s="42">
        <v>15</v>
      </c>
      <c r="AO50" s="42">
        <f>G50*1</f>
        <v>0</v>
      </c>
      <c r="AP50" s="42">
        <f>G50*(1-1)</f>
        <v>0</v>
      </c>
      <c r="AQ50" s="44" t="s">
        <v>13</v>
      </c>
      <c r="AV50" s="42">
        <f t="shared" si="15"/>
        <v>0</v>
      </c>
      <c r="AW50" s="42">
        <f t="shared" si="16"/>
        <v>0</v>
      </c>
      <c r="AX50" s="42">
        <f t="shared" si="17"/>
        <v>0</v>
      </c>
      <c r="AY50" s="45" t="s">
        <v>724</v>
      </c>
      <c r="AZ50" s="45" t="s">
        <v>749</v>
      </c>
      <c r="BA50" s="32" t="s">
        <v>756</v>
      </c>
      <c r="BC50" s="42">
        <f t="shared" si="18"/>
        <v>0</v>
      </c>
      <c r="BD50" s="42">
        <f t="shared" si="19"/>
        <v>0</v>
      </c>
      <c r="BE50" s="42">
        <v>0</v>
      </c>
      <c r="BF50" s="42">
        <f t="shared" si="20"/>
        <v>0.0021</v>
      </c>
      <c r="BH50" s="23">
        <f t="shared" si="21"/>
        <v>0</v>
      </c>
      <c r="BI50" s="23">
        <f t="shared" si="22"/>
        <v>0</v>
      </c>
      <c r="BJ50" s="23">
        <f t="shared" si="23"/>
        <v>0</v>
      </c>
      <c r="BK50" s="23" t="s">
        <v>762</v>
      </c>
      <c r="BL50" s="42">
        <v>722</v>
      </c>
    </row>
    <row r="51" spans="1:64" ht="12.75">
      <c r="A51" s="4" t="s">
        <v>39</v>
      </c>
      <c r="B51" s="13"/>
      <c r="C51" s="13" t="s">
        <v>251</v>
      </c>
      <c r="D51" s="13" t="s">
        <v>482</v>
      </c>
      <c r="E51" s="13" t="s">
        <v>683</v>
      </c>
      <c r="F51" s="22">
        <v>1</v>
      </c>
      <c r="G51" s="90">
        <v>0</v>
      </c>
      <c r="H51" s="22">
        <f t="shared" si="0"/>
        <v>0</v>
      </c>
      <c r="I51" s="22">
        <f t="shared" si="1"/>
        <v>0</v>
      </c>
      <c r="J51" s="22">
        <f t="shared" si="2"/>
        <v>0</v>
      </c>
      <c r="K51" s="22">
        <v>0</v>
      </c>
      <c r="L51" s="22">
        <f t="shared" si="3"/>
        <v>0</v>
      </c>
      <c r="M51" s="36" t="s">
        <v>706</v>
      </c>
      <c r="N51" s="40"/>
      <c r="Z51" s="42">
        <f t="shared" si="4"/>
        <v>0</v>
      </c>
      <c r="AB51" s="42">
        <f t="shared" si="5"/>
        <v>0</v>
      </c>
      <c r="AC51" s="42">
        <f t="shared" si="6"/>
        <v>0</v>
      </c>
      <c r="AD51" s="42">
        <f t="shared" si="7"/>
        <v>0</v>
      </c>
      <c r="AE51" s="42">
        <f t="shared" si="8"/>
        <v>0</v>
      </c>
      <c r="AF51" s="42">
        <f t="shared" si="9"/>
        <v>0</v>
      </c>
      <c r="AG51" s="42">
        <f t="shared" si="10"/>
        <v>0</v>
      </c>
      <c r="AH51" s="42">
        <f t="shared" si="11"/>
        <v>0</v>
      </c>
      <c r="AI51" s="32"/>
      <c r="AJ51" s="22">
        <f t="shared" si="12"/>
        <v>0</v>
      </c>
      <c r="AK51" s="22">
        <f t="shared" si="13"/>
        <v>0</v>
      </c>
      <c r="AL51" s="22">
        <f t="shared" si="14"/>
        <v>0</v>
      </c>
      <c r="AN51" s="42">
        <v>15</v>
      </c>
      <c r="AO51" s="42">
        <f>G51*0.212701149425287</f>
        <v>0</v>
      </c>
      <c r="AP51" s="42">
        <f>G51*(1-0.212701149425287)</f>
        <v>0</v>
      </c>
      <c r="AQ51" s="43" t="s">
        <v>13</v>
      </c>
      <c r="AV51" s="42">
        <f t="shared" si="15"/>
        <v>0</v>
      </c>
      <c r="AW51" s="42">
        <f t="shared" si="16"/>
        <v>0</v>
      </c>
      <c r="AX51" s="42">
        <f t="shared" si="17"/>
        <v>0</v>
      </c>
      <c r="AY51" s="45" t="s">
        <v>724</v>
      </c>
      <c r="AZ51" s="45" t="s">
        <v>749</v>
      </c>
      <c r="BA51" s="32" t="s">
        <v>756</v>
      </c>
      <c r="BC51" s="42">
        <f t="shared" si="18"/>
        <v>0</v>
      </c>
      <c r="BD51" s="42">
        <f t="shared" si="19"/>
        <v>0</v>
      </c>
      <c r="BE51" s="42">
        <v>0</v>
      </c>
      <c r="BF51" s="42">
        <f t="shared" si="20"/>
        <v>0</v>
      </c>
      <c r="BH51" s="22">
        <f t="shared" si="21"/>
        <v>0</v>
      </c>
      <c r="BI51" s="22">
        <f t="shared" si="22"/>
        <v>0</v>
      </c>
      <c r="BJ51" s="22">
        <f t="shared" si="23"/>
        <v>0</v>
      </c>
      <c r="BK51" s="22" t="s">
        <v>761</v>
      </c>
      <c r="BL51" s="42">
        <v>722</v>
      </c>
    </row>
    <row r="52" spans="1:64" ht="12.75">
      <c r="A52" s="4" t="s">
        <v>40</v>
      </c>
      <c r="B52" s="13"/>
      <c r="C52" s="13" t="s">
        <v>252</v>
      </c>
      <c r="D52" s="13" t="s">
        <v>483</v>
      </c>
      <c r="E52" s="13" t="s">
        <v>679</v>
      </c>
      <c r="F52" s="22">
        <v>1</v>
      </c>
      <c r="G52" s="90">
        <v>0</v>
      </c>
      <c r="H52" s="22">
        <f t="shared" si="0"/>
        <v>0</v>
      </c>
      <c r="I52" s="22">
        <f t="shared" si="1"/>
        <v>0</v>
      </c>
      <c r="J52" s="22">
        <f t="shared" si="2"/>
        <v>0</v>
      </c>
      <c r="K52" s="22">
        <v>0.00138</v>
      </c>
      <c r="L52" s="22">
        <f t="shared" si="3"/>
        <v>0.00138</v>
      </c>
      <c r="M52" s="36" t="s">
        <v>706</v>
      </c>
      <c r="N52" s="40"/>
      <c r="Z52" s="42">
        <f t="shared" si="4"/>
        <v>0</v>
      </c>
      <c r="AB52" s="42">
        <f t="shared" si="5"/>
        <v>0</v>
      </c>
      <c r="AC52" s="42">
        <f t="shared" si="6"/>
        <v>0</v>
      </c>
      <c r="AD52" s="42">
        <f t="shared" si="7"/>
        <v>0</v>
      </c>
      <c r="AE52" s="42">
        <f t="shared" si="8"/>
        <v>0</v>
      </c>
      <c r="AF52" s="42">
        <f t="shared" si="9"/>
        <v>0</v>
      </c>
      <c r="AG52" s="42">
        <f t="shared" si="10"/>
        <v>0</v>
      </c>
      <c r="AH52" s="42">
        <f t="shared" si="11"/>
        <v>0</v>
      </c>
      <c r="AI52" s="32"/>
      <c r="AJ52" s="22">
        <f t="shared" si="12"/>
        <v>0</v>
      </c>
      <c r="AK52" s="22">
        <f t="shared" si="13"/>
        <v>0</v>
      </c>
      <c r="AL52" s="22">
        <f t="shared" si="14"/>
        <v>0</v>
      </c>
      <c r="AN52" s="42">
        <v>15</v>
      </c>
      <c r="AO52" s="42">
        <f>G52*0.947107185176222</f>
        <v>0</v>
      </c>
      <c r="AP52" s="42">
        <f>G52*(1-0.947107185176222)</f>
        <v>0</v>
      </c>
      <c r="AQ52" s="43" t="s">
        <v>13</v>
      </c>
      <c r="AV52" s="42">
        <f t="shared" si="15"/>
        <v>0</v>
      </c>
      <c r="AW52" s="42">
        <f t="shared" si="16"/>
        <v>0</v>
      </c>
      <c r="AX52" s="42">
        <f t="shared" si="17"/>
        <v>0</v>
      </c>
      <c r="AY52" s="45" t="s">
        <v>724</v>
      </c>
      <c r="AZ52" s="45" t="s">
        <v>749</v>
      </c>
      <c r="BA52" s="32" t="s">
        <v>756</v>
      </c>
      <c r="BC52" s="42">
        <f t="shared" si="18"/>
        <v>0</v>
      </c>
      <c r="BD52" s="42">
        <f t="shared" si="19"/>
        <v>0</v>
      </c>
      <c r="BE52" s="42">
        <v>0</v>
      </c>
      <c r="BF52" s="42">
        <f t="shared" si="20"/>
        <v>0.00138</v>
      </c>
      <c r="BH52" s="22">
        <f t="shared" si="21"/>
        <v>0</v>
      </c>
      <c r="BI52" s="22">
        <f t="shared" si="22"/>
        <v>0</v>
      </c>
      <c r="BJ52" s="22">
        <f t="shared" si="23"/>
        <v>0</v>
      </c>
      <c r="BK52" s="22" t="s">
        <v>761</v>
      </c>
      <c r="BL52" s="42">
        <v>722</v>
      </c>
    </row>
    <row r="53" spans="1:64" ht="12.75">
      <c r="A53" s="4" t="s">
        <v>41</v>
      </c>
      <c r="B53" s="13"/>
      <c r="C53" s="13" t="s">
        <v>253</v>
      </c>
      <c r="D53" s="13" t="s">
        <v>484</v>
      </c>
      <c r="E53" s="13" t="s">
        <v>679</v>
      </c>
      <c r="F53" s="22">
        <v>1</v>
      </c>
      <c r="G53" s="90">
        <v>0</v>
      </c>
      <c r="H53" s="22">
        <f t="shared" si="0"/>
        <v>0</v>
      </c>
      <c r="I53" s="22">
        <f t="shared" si="1"/>
        <v>0</v>
      </c>
      <c r="J53" s="22">
        <f t="shared" si="2"/>
        <v>0</v>
      </c>
      <c r="K53" s="22">
        <v>0.00039</v>
      </c>
      <c r="L53" s="22">
        <f t="shared" si="3"/>
        <v>0.00039</v>
      </c>
      <c r="M53" s="36" t="s">
        <v>706</v>
      </c>
      <c r="N53" s="40"/>
      <c r="Z53" s="42">
        <f t="shared" si="4"/>
        <v>0</v>
      </c>
      <c r="AB53" s="42">
        <f t="shared" si="5"/>
        <v>0</v>
      </c>
      <c r="AC53" s="42">
        <f t="shared" si="6"/>
        <v>0</v>
      </c>
      <c r="AD53" s="42">
        <f t="shared" si="7"/>
        <v>0</v>
      </c>
      <c r="AE53" s="42">
        <f t="shared" si="8"/>
        <v>0</v>
      </c>
      <c r="AF53" s="42">
        <f t="shared" si="9"/>
        <v>0</v>
      </c>
      <c r="AG53" s="42">
        <f t="shared" si="10"/>
        <v>0</v>
      </c>
      <c r="AH53" s="42">
        <f t="shared" si="11"/>
        <v>0</v>
      </c>
      <c r="AI53" s="32"/>
      <c r="AJ53" s="22">
        <f t="shared" si="12"/>
        <v>0</v>
      </c>
      <c r="AK53" s="22">
        <f t="shared" si="13"/>
        <v>0</v>
      </c>
      <c r="AL53" s="22">
        <f t="shared" si="14"/>
        <v>0</v>
      </c>
      <c r="AN53" s="42">
        <v>15</v>
      </c>
      <c r="AO53" s="42">
        <f>G53*0.790125</f>
        <v>0</v>
      </c>
      <c r="AP53" s="42">
        <f>G53*(1-0.790125)</f>
        <v>0</v>
      </c>
      <c r="AQ53" s="43" t="s">
        <v>13</v>
      </c>
      <c r="AV53" s="42">
        <f t="shared" si="15"/>
        <v>0</v>
      </c>
      <c r="AW53" s="42">
        <f t="shared" si="16"/>
        <v>0</v>
      </c>
      <c r="AX53" s="42">
        <f t="shared" si="17"/>
        <v>0</v>
      </c>
      <c r="AY53" s="45" t="s">
        <v>724</v>
      </c>
      <c r="AZ53" s="45" t="s">
        <v>749</v>
      </c>
      <c r="BA53" s="32" t="s">
        <v>756</v>
      </c>
      <c r="BC53" s="42">
        <f t="shared" si="18"/>
        <v>0</v>
      </c>
      <c r="BD53" s="42">
        <f t="shared" si="19"/>
        <v>0</v>
      </c>
      <c r="BE53" s="42">
        <v>0</v>
      </c>
      <c r="BF53" s="42">
        <f t="shared" si="20"/>
        <v>0.00039</v>
      </c>
      <c r="BH53" s="22">
        <f t="shared" si="21"/>
        <v>0</v>
      </c>
      <c r="BI53" s="22">
        <f t="shared" si="22"/>
        <v>0</v>
      </c>
      <c r="BJ53" s="22">
        <f t="shared" si="23"/>
        <v>0</v>
      </c>
      <c r="BK53" s="22" t="s">
        <v>761</v>
      </c>
      <c r="BL53" s="42">
        <v>722</v>
      </c>
    </row>
    <row r="54" spans="1:64" ht="12.75">
      <c r="A54" s="4" t="s">
        <v>42</v>
      </c>
      <c r="B54" s="13"/>
      <c r="C54" s="13" t="s">
        <v>254</v>
      </c>
      <c r="D54" s="13" t="s">
        <v>485</v>
      </c>
      <c r="E54" s="13" t="s">
        <v>679</v>
      </c>
      <c r="F54" s="22">
        <v>1</v>
      </c>
      <c r="G54" s="90">
        <v>0</v>
      </c>
      <c r="H54" s="22">
        <f t="shared" si="0"/>
        <v>0</v>
      </c>
      <c r="I54" s="22">
        <f t="shared" si="1"/>
        <v>0</v>
      </c>
      <c r="J54" s="22">
        <f t="shared" si="2"/>
        <v>0</v>
      </c>
      <c r="K54" s="22">
        <v>0.00031</v>
      </c>
      <c r="L54" s="22">
        <f t="shared" si="3"/>
        <v>0.00031</v>
      </c>
      <c r="M54" s="36" t="s">
        <v>706</v>
      </c>
      <c r="N54" s="40"/>
      <c r="Z54" s="42">
        <f t="shared" si="4"/>
        <v>0</v>
      </c>
      <c r="AB54" s="42">
        <f t="shared" si="5"/>
        <v>0</v>
      </c>
      <c r="AC54" s="42">
        <f t="shared" si="6"/>
        <v>0</v>
      </c>
      <c r="AD54" s="42">
        <f t="shared" si="7"/>
        <v>0</v>
      </c>
      <c r="AE54" s="42">
        <f t="shared" si="8"/>
        <v>0</v>
      </c>
      <c r="AF54" s="42">
        <f t="shared" si="9"/>
        <v>0</v>
      </c>
      <c r="AG54" s="42">
        <f t="shared" si="10"/>
        <v>0</v>
      </c>
      <c r="AH54" s="42">
        <f t="shared" si="11"/>
        <v>0</v>
      </c>
      <c r="AI54" s="32"/>
      <c r="AJ54" s="22">
        <f t="shared" si="12"/>
        <v>0</v>
      </c>
      <c r="AK54" s="22">
        <f t="shared" si="13"/>
        <v>0</v>
      </c>
      <c r="AL54" s="22">
        <f t="shared" si="14"/>
        <v>0</v>
      </c>
      <c r="AN54" s="42">
        <v>15</v>
      </c>
      <c r="AO54" s="42">
        <f>G54*0.723241758241758</f>
        <v>0</v>
      </c>
      <c r="AP54" s="42">
        <f>G54*(1-0.723241758241758)</f>
        <v>0</v>
      </c>
      <c r="AQ54" s="43" t="s">
        <v>13</v>
      </c>
      <c r="AV54" s="42">
        <f t="shared" si="15"/>
        <v>0</v>
      </c>
      <c r="AW54" s="42">
        <f t="shared" si="16"/>
        <v>0</v>
      </c>
      <c r="AX54" s="42">
        <f t="shared" si="17"/>
        <v>0</v>
      </c>
      <c r="AY54" s="45" t="s">
        <v>724</v>
      </c>
      <c r="AZ54" s="45" t="s">
        <v>749</v>
      </c>
      <c r="BA54" s="32" t="s">
        <v>756</v>
      </c>
      <c r="BC54" s="42">
        <f t="shared" si="18"/>
        <v>0</v>
      </c>
      <c r="BD54" s="42">
        <f t="shared" si="19"/>
        <v>0</v>
      </c>
      <c r="BE54" s="42">
        <v>0</v>
      </c>
      <c r="BF54" s="42">
        <f t="shared" si="20"/>
        <v>0.00031</v>
      </c>
      <c r="BH54" s="22">
        <f t="shared" si="21"/>
        <v>0</v>
      </c>
      <c r="BI54" s="22">
        <f t="shared" si="22"/>
        <v>0</v>
      </c>
      <c r="BJ54" s="22">
        <f t="shared" si="23"/>
        <v>0</v>
      </c>
      <c r="BK54" s="22" t="s">
        <v>761</v>
      </c>
      <c r="BL54" s="42">
        <v>722</v>
      </c>
    </row>
    <row r="55" spans="1:64" ht="12.75">
      <c r="A55" s="4" t="s">
        <v>43</v>
      </c>
      <c r="B55" s="13"/>
      <c r="C55" s="13" t="s">
        <v>255</v>
      </c>
      <c r="D55" s="13" t="s">
        <v>486</v>
      </c>
      <c r="E55" s="13" t="s">
        <v>679</v>
      </c>
      <c r="F55" s="22">
        <v>3</v>
      </c>
      <c r="G55" s="90">
        <v>0</v>
      </c>
      <c r="H55" s="22">
        <f t="shared" si="0"/>
        <v>0</v>
      </c>
      <c r="I55" s="22">
        <f t="shared" si="1"/>
        <v>0</v>
      </c>
      <c r="J55" s="22">
        <f t="shared" si="2"/>
        <v>0</v>
      </c>
      <c r="K55" s="22">
        <v>0.00057</v>
      </c>
      <c r="L55" s="22">
        <f t="shared" si="3"/>
        <v>0.00171</v>
      </c>
      <c r="M55" s="36" t="s">
        <v>706</v>
      </c>
      <c r="N55" s="40"/>
      <c r="Z55" s="42">
        <f t="shared" si="4"/>
        <v>0</v>
      </c>
      <c r="AB55" s="42">
        <f t="shared" si="5"/>
        <v>0</v>
      </c>
      <c r="AC55" s="42">
        <f t="shared" si="6"/>
        <v>0</v>
      </c>
      <c r="AD55" s="42">
        <f t="shared" si="7"/>
        <v>0</v>
      </c>
      <c r="AE55" s="42">
        <f t="shared" si="8"/>
        <v>0</v>
      </c>
      <c r="AF55" s="42">
        <f t="shared" si="9"/>
        <v>0</v>
      </c>
      <c r="AG55" s="42">
        <f t="shared" si="10"/>
        <v>0</v>
      </c>
      <c r="AH55" s="42">
        <f t="shared" si="11"/>
        <v>0</v>
      </c>
      <c r="AI55" s="32"/>
      <c r="AJ55" s="22">
        <f t="shared" si="12"/>
        <v>0</v>
      </c>
      <c r="AK55" s="22">
        <f t="shared" si="13"/>
        <v>0</v>
      </c>
      <c r="AL55" s="22">
        <f t="shared" si="14"/>
        <v>0</v>
      </c>
      <c r="AN55" s="42">
        <v>15</v>
      </c>
      <c r="AO55" s="42">
        <f>G55*0.828460069255734</f>
        <v>0</v>
      </c>
      <c r="AP55" s="42">
        <f>G55*(1-0.828460069255734)</f>
        <v>0</v>
      </c>
      <c r="AQ55" s="43" t="s">
        <v>13</v>
      </c>
      <c r="AV55" s="42">
        <f t="shared" si="15"/>
        <v>0</v>
      </c>
      <c r="AW55" s="42">
        <f t="shared" si="16"/>
        <v>0</v>
      </c>
      <c r="AX55" s="42">
        <f t="shared" si="17"/>
        <v>0</v>
      </c>
      <c r="AY55" s="45" t="s">
        <v>724</v>
      </c>
      <c r="AZ55" s="45" t="s">
        <v>749</v>
      </c>
      <c r="BA55" s="32" t="s">
        <v>756</v>
      </c>
      <c r="BC55" s="42">
        <f t="shared" si="18"/>
        <v>0</v>
      </c>
      <c r="BD55" s="42">
        <f t="shared" si="19"/>
        <v>0</v>
      </c>
      <c r="BE55" s="42">
        <v>0</v>
      </c>
      <c r="BF55" s="42">
        <f t="shared" si="20"/>
        <v>0.00171</v>
      </c>
      <c r="BH55" s="22">
        <f t="shared" si="21"/>
        <v>0</v>
      </c>
      <c r="BI55" s="22">
        <f t="shared" si="22"/>
        <v>0</v>
      </c>
      <c r="BJ55" s="22">
        <f t="shared" si="23"/>
        <v>0</v>
      </c>
      <c r="BK55" s="22" t="s">
        <v>761</v>
      </c>
      <c r="BL55" s="42">
        <v>722</v>
      </c>
    </row>
    <row r="56" spans="1:64" ht="12.75">
      <c r="A56" s="4" t="s">
        <v>44</v>
      </c>
      <c r="B56" s="13"/>
      <c r="C56" s="13" t="s">
        <v>256</v>
      </c>
      <c r="D56" s="13" t="s">
        <v>487</v>
      </c>
      <c r="E56" s="13" t="s">
        <v>679</v>
      </c>
      <c r="F56" s="22">
        <v>1</v>
      </c>
      <c r="G56" s="90">
        <v>0</v>
      </c>
      <c r="H56" s="22">
        <f t="shared" si="0"/>
        <v>0</v>
      </c>
      <c r="I56" s="22">
        <f t="shared" si="1"/>
        <v>0</v>
      </c>
      <c r="J56" s="22">
        <f t="shared" si="2"/>
        <v>0</v>
      </c>
      <c r="K56" s="22">
        <v>0.00048</v>
      </c>
      <c r="L56" s="22">
        <f t="shared" si="3"/>
        <v>0.00048</v>
      </c>
      <c r="M56" s="36" t="s">
        <v>706</v>
      </c>
      <c r="N56" s="40"/>
      <c r="Z56" s="42">
        <f t="shared" si="4"/>
        <v>0</v>
      </c>
      <c r="AB56" s="42">
        <f t="shared" si="5"/>
        <v>0</v>
      </c>
      <c r="AC56" s="42">
        <f t="shared" si="6"/>
        <v>0</v>
      </c>
      <c r="AD56" s="42">
        <f t="shared" si="7"/>
        <v>0</v>
      </c>
      <c r="AE56" s="42">
        <f t="shared" si="8"/>
        <v>0</v>
      </c>
      <c r="AF56" s="42">
        <f t="shared" si="9"/>
        <v>0</v>
      </c>
      <c r="AG56" s="42">
        <f t="shared" si="10"/>
        <v>0</v>
      </c>
      <c r="AH56" s="42">
        <f t="shared" si="11"/>
        <v>0</v>
      </c>
      <c r="AI56" s="32"/>
      <c r="AJ56" s="22">
        <f t="shared" si="12"/>
        <v>0</v>
      </c>
      <c r="AK56" s="22">
        <f t="shared" si="13"/>
        <v>0</v>
      </c>
      <c r="AL56" s="22">
        <f t="shared" si="14"/>
        <v>0</v>
      </c>
      <c r="AN56" s="42">
        <v>15</v>
      </c>
      <c r="AO56" s="42">
        <f>G56*0.789175365942098</f>
        <v>0</v>
      </c>
      <c r="AP56" s="42">
        <f>G56*(1-0.789175365942098)</f>
        <v>0</v>
      </c>
      <c r="AQ56" s="43" t="s">
        <v>13</v>
      </c>
      <c r="AV56" s="42">
        <f t="shared" si="15"/>
        <v>0</v>
      </c>
      <c r="AW56" s="42">
        <f t="shared" si="16"/>
        <v>0</v>
      </c>
      <c r="AX56" s="42">
        <f t="shared" si="17"/>
        <v>0</v>
      </c>
      <c r="AY56" s="45" t="s">
        <v>724</v>
      </c>
      <c r="AZ56" s="45" t="s">
        <v>749</v>
      </c>
      <c r="BA56" s="32" t="s">
        <v>756</v>
      </c>
      <c r="BC56" s="42">
        <f t="shared" si="18"/>
        <v>0</v>
      </c>
      <c r="BD56" s="42">
        <f t="shared" si="19"/>
        <v>0</v>
      </c>
      <c r="BE56" s="42">
        <v>0</v>
      </c>
      <c r="BF56" s="42">
        <f t="shared" si="20"/>
        <v>0.00048</v>
      </c>
      <c r="BH56" s="22">
        <f t="shared" si="21"/>
        <v>0</v>
      </c>
      <c r="BI56" s="22">
        <f t="shared" si="22"/>
        <v>0</v>
      </c>
      <c r="BJ56" s="22">
        <f t="shared" si="23"/>
        <v>0</v>
      </c>
      <c r="BK56" s="22" t="s">
        <v>761</v>
      </c>
      <c r="BL56" s="42">
        <v>722</v>
      </c>
    </row>
    <row r="57" spans="1:64" ht="12.75">
      <c r="A57" s="4" t="s">
        <v>45</v>
      </c>
      <c r="B57" s="13"/>
      <c r="C57" s="13" t="s">
        <v>257</v>
      </c>
      <c r="D57" s="13" t="s">
        <v>488</v>
      </c>
      <c r="E57" s="13" t="s">
        <v>679</v>
      </c>
      <c r="F57" s="22">
        <v>1</v>
      </c>
      <c r="G57" s="90">
        <v>0</v>
      </c>
      <c r="H57" s="22">
        <f t="shared" si="0"/>
        <v>0</v>
      </c>
      <c r="I57" s="22">
        <f t="shared" si="1"/>
        <v>0</v>
      </c>
      <c r="J57" s="22">
        <f t="shared" si="2"/>
        <v>0</v>
      </c>
      <c r="K57" s="22">
        <v>0.0004</v>
      </c>
      <c r="L57" s="22">
        <f t="shared" si="3"/>
        <v>0.0004</v>
      </c>
      <c r="M57" s="36" t="s">
        <v>706</v>
      </c>
      <c r="N57" s="40"/>
      <c r="Z57" s="42">
        <f t="shared" si="4"/>
        <v>0</v>
      </c>
      <c r="AB57" s="42">
        <f t="shared" si="5"/>
        <v>0</v>
      </c>
      <c r="AC57" s="42">
        <f t="shared" si="6"/>
        <v>0</v>
      </c>
      <c r="AD57" s="42">
        <f t="shared" si="7"/>
        <v>0</v>
      </c>
      <c r="AE57" s="42">
        <f t="shared" si="8"/>
        <v>0</v>
      </c>
      <c r="AF57" s="42">
        <f t="shared" si="9"/>
        <v>0</v>
      </c>
      <c r="AG57" s="42">
        <f t="shared" si="10"/>
        <v>0</v>
      </c>
      <c r="AH57" s="42">
        <f t="shared" si="11"/>
        <v>0</v>
      </c>
      <c r="AI57" s="32"/>
      <c r="AJ57" s="22">
        <f t="shared" si="12"/>
        <v>0</v>
      </c>
      <c r="AK57" s="22">
        <f t="shared" si="13"/>
        <v>0</v>
      </c>
      <c r="AL57" s="22">
        <f t="shared" si="14"/>
        <v>0</v>
      </c>
      <c r="AN57" s="42">
        <v>15</v>
      </c>
      <c r="AO57" s="42">
        <f>G57*0.71010071942446</f>
        <v>0</v>
      </c>
      <c r="AP57" s="42">
        <f>G57*(1-0.71010071942446)</f>
        <v>0</v>
      </c>
      <c r="AQ57" s="43" t="s">
        <v>13</v>
      </c>
      <c r="AV57" s="42">
        <f t="shared" si="15"/>
        <v>0</v>
      </c>
      <c r="AW57" s="42">
        <f t="shared" si="16"/>
        <v>0</v>
      </c>
      <c r="AX57" s="42">
        <f t="shared" si="17"/>
        <v>0</v>
      </c>
      <c r="AY57" s="45" t="s">
        <v>724</v>
      </c>
      <c r="AZ57" s="45" t="s">
        <v>749</v>
      </c>
      <c r="BA57" s="32" t="s">
        <v>756</v>
      </c>
      <c r="BC57" s="42">
        <f t="shared" si="18"/>
        <v>0</v>
      </c>
      <c r="BD57" s="42">
        <f t="shared" si="19"/>
        <v>0</v>
      </c>
      <c r="BE57" s="42">
        <v>0</v>
      </c>
      <c r="BF57" s="42">
        <f t="shared" si="20"/>
        <v>0.0004</v>
      </c>
      <c r="BH57" s="22">
        <f t="shared" si="21"/>
        <v>0</v>
      </c>
      <c r="BI57" s="22">
        <f t="shared" si="22"/>
        <v>0</v>
      </c>
      <c r="BJ57" s="22">
        <f t="shared" si="23"/>
        <v>0</v>
      </c>
      <c r="BK57" s="22" t="s">
        <v>761</v>
      </c>
      <c r="BL57" s="42">
        <v>722</v>
      </c>
    </row>
    <row r="58" spans="1:64" ht="12.75">
      <c r="A58" s="4" t="s">
        <v>46</v>
      </c>
      <c r="B58" s="13"/>
      <c r="C58" s="13" t="s">
        <v>258</v>
      </c>
      <c r="D58" s="13" t="s">
        <v>489</v>
      </c>
      <c r="E58" s="13" t="s">
        <v>679</v>
      </c>
      <c r="F58" s="22">
        <v>3</v>
      </c>
      <c r="G58" s="90">
        <v>0</v>
      </c>
      <c r="H58" s="22">
        <f t="shared" si="0"/>
        <v>0</v>
      </c>
      <c r="I58" s="22">
        <f t="shared" si="1"/>
        <v>0</v>
      </c>
      <c r="J58" s="22">
        <f t="shared" si="2"/>
        <v>0</v>
      </c>
      <c r="K58" s="22">
        <v>0.00024</v>
      </c>
      <c r="L58" s="22">
        <f t="shared" si="3"/>
        <v>0.00072</v>
      </c>
      <c r="M58" s="36" t="s">
        <v>706</v>
      </c>
      <c r="N58" s="40"/>
      <c r="Z58" s="42">
        <f t="shared" si="4"/>
        <v>0</v>
      </c>
      <c r="AB58" s="42">
        <f t="shared" si="5"/>
        <v>0</v>
      </c>
      <c r="AC58" s="42">
        <f t="shared" si="6"/>
        <v>0</v>
      </c>
      <c r="AD58" s="42">
        <f t="shared" si="7"/>
        <v>0</v>
      </c>
      <c r="AE58" s="42">
        <f t="shared" si="8"/>
        <v>0</v>
      </c>
      <c r="AF58" s="42">
        <f t="shared" si="9"/>
        <v>0</v>
      </c>
      <c r="AG58" s="42">
        <f t="shared" si="10"/>
        <v>0</v>
      </c>
      <c r="AH58" s="42">
        <f t="shared" si="11"/>
        <v>0</v>
      </c>
      <c r="AI58" s="32"/>
      <c r="AJ58" s="22">
        <f t="shared" si="12"/>
        <v>0</v>
      </c>
      <c r="AK58" s="22">
        <f t="shared" si="13"/>
        <v>0</v>
      </c>
      <c r="AL58" s="22">
        <f t="shared" si="14"/>
        <v>0</v>
      </c>
      <c r="AN58" s="42">
        <v>15</v>
      </c>
      <c r="AO58" s="42">
        <f>G58*0.841852433281005</f>
        <v>0</v>
      </c>
      <c r="AP58" s="42">
        <f>G58*(1-0.841852433281005)</f>
        <v>0</v>
      </c>
      <c r="AQ58" s="43" t="s">
        <v>13</v>
      </c>
      <c r="AV58" s="42">
        <f t="shared" si="15"/>
        <v>0</v>
      </c>
      <c r="AW58" s="42">
        <f t="shared" si="16"/>
        <v>0</v>
      </c>
      <c r="AX58" s="42">
        <f t="shared" si="17"/>
        <v>0</v>
      </c>
      <c r="AY58" s="45" t="s">
        <v>724</v>
      </c>
      <c r="AZ58" s="45" t="s">
        <v>749</v>
      </c>
      <c r="BA58" s="32" t="s">
        <v>756</v>
      </c>
      <c r="BC58" s="42">
        <f t="shared" si="18"/>
        <v>0</v>
      </c>
      <c r="BD58" s="42">
        <f t="shared" si="19"/>
        <v>0</v>
      </c>
      <c r="BE58" s="42">
        <v>0</v>
      </c>
      <c r="BF58" s="42">
        <f t="shared" si="20"/>
        <v>0.00072</v>
      </c>
      <c r="BH58" s="22">
        <f t="shared" si="21"/>
        <v>0</v>
      </c>
      <c r="BI58" s="22">
        <f t="shared" si="22"/>
        <v>0</v>
      </c>
      <c r="BJ58" s="22">
        <f t="shared" si="23"/>
        <v>0</v>
      </c>
      <c r="BK58" s="22" t="s">
        <v>761</v>
      </c>
      <c r="BL58" s="42">
        <v>722</v>
      </c>
    </row>
    <row r="59" spans="1:64" ht="12.75">
      <c r="A59" s="4" t="s">
        <v>47</v>
      </c>
      <c r="B59" s="13"/>
      <c r="C59" s="13" t="s">
        <v>259</v>
      </c>
      <c r="D59" s="13" t="s">
        <v>490</v>
      </c>
      <c r="E59" s="13" t="s">
        <v>679</v>
      </c>
      <c r="F59" s="22">
        <v>2</v>
      </c>
      <c r="G59" s="90">
        <v>0</v>
      </c>
      <c r="H59" s="22">
        <f t="shared" si="0"/>
        <v>0</v>
      </c>
      <c r="I59" s="22">
        <f t="shared" si="1"/>
        <v>0</v>
      </c>
      <c r="J59" s="22">
        <f t="shared" si="2"/>
        <v>0</v>
      </c>
      <c r="K59" s="22">
        <v>0.00037</v>
      </c>
      <c r="L59" s="22">
        <f t="shared" si="3"/>
        <v>0.00074</v>
      </c>
      <c r="M59" s="36" t="s">
        <v>706</v>
      </c>
      <c r="N59" s="40"/>
      <c r="Z59" s="42">
        <f t="shared" si="4"/>
        <v>0</v>
      </c>
      <c r="AB59" s="42">
        <f t="shared" si="5"/>
        <v>0</v>
      </c>
      <c r="AC59" s="42">
        <f t="shared" si="6"/>
        <v>0</v>
      </c>
      <c r="AD59" s="42">
        <f t="shared" si="7"/>
        <v>0</v>
      </c>
      <c r="AE59" s="42">
        <f t="shared" si="8"/>
        <v>0</v>
      </c>
      <c r="AF59" s="42">
        <f t="shared" si="9"/>
        <v>0</v>
      </c>
      <c r="AG59" s="42">
        <f t="shared" si="10"/>
        <v>0</v>
      </c>
      <c r="AH59" s="42">
        <f t="shared" si="11"/>
        <v>0</v>
      </c>
      <c r="AI59" s="32"/>
      <c r="AJ59" s="22">
        <f t="shared" si="12"/>
        <v>0</v>
      </c>
      <c r="AK59" s="22">
        <f t="shared" si="13"/>
        <v>0</v>
      </c>
      <c r="AL59" s="22">
        <f t="shared" si="14"/>
        <v>0</v>
      </c>
      <c r="AN59" s="42">
        <v>15</v>
      </c>
      <c r="AO59" s="42">
        <f>G59*0.875173730776619</f>
        <v>0</v>
      </c>
      <c r="AP59" s="42">
        <f>G59*(1-0.875173730776619)</f>
        <v>0</v>
      </c>
      <c r="AQ59" s="43" t="s">
        <v>13</v>
      </c>
      <c r="AV59" s="42">
        <f t="shared" si="15"/>
        <v>0</v>
      </c>
      <c r="AW59" s="42">
        <f t="shared" si="16"/>
        <v>0</v>
      </c>
      <c r="AX59" s="42">
        <f t="shared" si="17"/>
        <v>0</v>
      </c>
      <c r="AY59" s="45" t="s">
        <v>724</v>
      </c>
      <c r="AZ59" s="45" t="s">
        <v>749</v>
      </c>
      <c r="BA59" s="32" t="s">
        <v>756</v>
      </c>
      <c r="BC59" s="42">
        <f t="shared" si="18"/>
        <v>0</v>
      </c>
      <c r="BD59" s="42">
        <f t="shared" si="19"/>
        <v>0</v>
      </c>
      <c r="BE59" s="42">
        <v>0</v>
      </c>
      <c r="BF59" s="42">
        <f t="shared" si="20"/>
        <v>0.00074</v>
      </c>
      <c r="BH59" s="22">
        <f t="shared" si="21"/>
        <v>0</v>
      </c>
      <c r="BI59" s="22">
        <f t="shared" si="22"/>
        <v>0</v>
      </c>
      <c r="BJ59" s="22">
        <f t="shared" si="23"/>
        <v>0</v>
      </c>
      <c r="BK59" s="22" t="s">
        <v>761</v>
      </c>
      <c r="BL59" s="42">
        <v>722</v>
      </c>
    </row>
    <row r="60" spans="1:64" ht="12.75">
      <c r="A60" s="4" t="s">
        <v>48</v>
      </c>
      <c r="B60" s="13"/>
      <c r="C60" s="13" t="s">
        <v>260</v>
      </c>
      <c r="D60" s="13" t="s">
        <v>491</v>
      </c>
      <c r="E60" s="13" t="s">
        <v>679</v>
      </c>
      <c r="F60" s="22">
        <v>1</v>
      </c>
      <c r="G60" s="90">
        <v>0</v>
      </c>
      <c r="H60" s="22">
        <f t="shared" si="0"/>
        <v>0</v>
      </c>
      <c r="I60" s="22">
        <f t="shared" si="1"/>
        <v>0</v>
      </c>
      <c r="J60" s="22">
        <f t="shared" si="2"/>
        <v>0</v>
      </c>
      <c r="K60" s="22">
        <v>0.00244</v>
      </c>
      <c r="L60" s="22">
        <f t="shared" si="3"/>
        <v>0.00244</v>
      </c>
      <c r="M60" s="36" t="s">
        <v>706</v>
      </c>
      <c r="N60" s="40"/>
      <c r="Z60" s="42">
        <f t="shared" si="4"/>
        <v>0</v>
      </c>
      <c r="AB60" s="42">
        <f t="shared" si="5"/>
        <v>0</v>
      </c>
      <c r="AC60" s="42">
        <f t="shared" si="6"/>
        <v>0</v>
      </c>
      <c r="AD60" s="42">
        <f t="shared" si="7"/>
        <v>0</v>
      </c>
      <c r="AE60" s="42">
        <f t="shared" si="8"/>
        <v>0</v>
      </c>
      <c r="AF60" s="42">
        <f t="shared" si="9"/>
        <v>0</v>
      </c>
      <c r="AG60" s="42">
        <f t="shared" si="10"/>
        <v>0</v>
      </c>
      <c r="AH60" s="42">
        <f t="shared" si="11"/>
        <v>0</v>
      </c>
      <c r="AI60" s="32"/>
      <c r="AJ60" s="22">
        <f t="shared" si="12"/>
        <v>0</v>
      </c>
      <c r="AK60" s="22">
        <f t="shared" si="13"/>
        <v>0</v>
      </c>
      <c r="AL60" s="22">
        <f t="shared" si="14"/>
        <v>0</v>
      </c>
      <c r="AN60" s="42">
        <v>15</v>
      </c>
      <c r="AO60" s="42">
        <f>G60*0.81447138700291</f>
        <v>0</v>
      </c>
      <c r="AP60" s="42">
        <f>G60*(1-0.81447138700291)</f>
        <v>0</v>
      </c>
      <c r="AQ60" s="43" t="s">
        <v>13</v>
      </c>
      <c r="AV60" s="42">
        <f t="shared" si="15"/>
        <v>0</v>
      </c>
      <c r="AW60" s="42">
        <f t="shared" si="16"/>
        <v>0</v>
      </c>
      <c r="AX60" s="42">
        <f t="shared" si="17"/>
        <v>0</v>
      </c>
      <c r="AY60" s="45" t="s">
        <v>724</v>
      </c>
      <c r="AZ60" s="45" t="s">
        <v>749</v>
      </c>
      <c r="BA60" s="32" t="s">
        <v>756</v>
      </c>
      <c r="BC60" s="42">
        <f t="shared" si="18"/>
        <v>0</v>
      </c>
      <c r="BD60" s="42">
        <f t="shared" si="19"/>
        <v>0</v>
      </c>
      <c r="BE60" s="42">
        <v>0</v>
      </c>
      <c r="BF60" s="42">
        <f t="shared" si="20"/>
        <v>0.00244</v>
      </c>
      <c r="BH60" s="22">
        <f t="shared" si="21"/>
        <v>0</v>
      </c>
      <c r="BI60" s="22">
        <f t="shared" si="22"/>
        <v>0</v>
      </c>
      <c r="BJ60" s="22">
        <f t="shared" si="23"/>
        <v>0</v>
      </c>
      <c r="BK60" s="22" t="s">
        <v>761</v>
      </c>
      <c r="BL60" s="42">
        <v>722</v>
      </c>
    </row>
    <row r="61" spans="1:64" ht="12.75">
      <c r="A61" s="6" t="s">
        <v>49</v>
      </c>
      <c r="B61" s="15"/>
      <c r="C61" s="15" t="s">
        <v>261</v>
      </c>
      <c r="D61" s="15" t="s">
        <v>492</v>
      </c>
      <c r="E61" s="15" t="s">
        <v>679</v>
      </c>
      <c r="F61" s="23">
        <v>1</v>
      </c>
      <c r="G61" s="91">
        <v>0</v>
      </c>
      <c r="H61" s="23">
        <f t="shared" si="0"/>
        <v>0</v>
      </c>
      <c r="I61" s="23">
        <f t="shared" si="1"/>
        <v>0</v>
      </c>
      <c r="J61" s="23">
        <f t="shared" si="2"/>
        <v>0</v>
      </c>
      <c r="K61" s="23">
        <v>0.001</v>
      </c>
      <c r="L61" s="23">
        <f t="shared" si="3"/>
        <v>0.001</v>
      </c>
      <c r="M61" s="38"/>
      <c r="N61" s="40"/>
      <c r="Z61" s="42">
        <f t="shared" si="4"/>
        <v>0</v>
      </c>
      <c r="AB61" s="42">
        <f t="shared" si="5"/>
        <v>0</v>
      </c>
      <c r="AC61" s="42">
        <f t="shared" si="6"/>
        <v>0</v>
      </c>
      <c r="AD61" s="42">
        <f t="shared" si="7"/>
        <v>0</v>
      </c>
      <c r="AE61" s="42">
        <f t="shared" si="8"/>
        <v>0</v>
      </c>
      <c r="AF61" s="42">
        <f t="shared" si="9"/>
        <v>0</v>
      </c>
      <c r="AG61" s="42">
        <f t="shared" si="10"/>
        <v>0</v>
      </c>
      <c r="AH61" s="42">
        <f t="shared" si="11"/>
        <v>0</v>
      </c>
      <c r="AI61" s="32"/>
      <c r="AJ61" s="23">
        <f t="shared" si="12"/>
        <v>0</v>
      </c>
      <c r="AK61" s="23">
        <f t="shared" si="13"/>
        <v>0</v>
      </c>
      <c r="AL61" s="23">
        <f t="shared" si="14"/>
        <v>0</v>
      </c>
      <c r="AN61" s="42">
        <v>15</v>
      </c>
      <c r="AO61" s="42">
        <f>G61*1</f>
        <v>0</v>
      </c>
      <c r="AP61" s="42">
        <f>G61*(1-1)</f>
        <v>0</v>
      </c>
      <c r="AQ61" s="44" t="s">
        <v>13</v>
      </c>
      <c r="AV61" s="42">
        <f t="shared" si="15"/>
        <v>0</v>
      </c>
      <c r="AW61" s="42">
        <f t="shared" si="16"/>
        <v>0</v>
      </c>
      <c r="AX61" s="42">
        <f t="shared" si="17"/>
        <v>0</v>
      </c>
      <c r="AY61" s="45" t="s">
        <v>724</v>
      </c>
      <c r="AZ61" s="45" t="s">
        <v>749</v>
      </c>
      <c r="BA61" s="32" t="s">
        <v>756</v>
      </c>
      <c r="BC61" s="42">
        <f t="shared" si="18"/>
        <v>0</v>
      </c>
      <c r="BD61" s="42">
        <f t="shared" si="19"/>
        <v>0</v>
      </c>
      <c r="BE61" s="42">
        <v>0</v>
      </c>
      <c r="BF61" s="42">
        <f t="shared" si="20"/>
        <v>0.001</v>
      </c>
      <c r="BH61" s="23">
        <f t="shared" si="21"/>
        <v>0</v>
      </c>
      <c r="BI61" s="23">
        <f t="shared" si="22"/>
        <v>0</v>
      </c>
      <c r="BJ61" s="23">
        <f t="shared" si="23"/>
        <v>0</v>
      </c>
      <c r="BK61" s="23" t="s">
        <v>762</v>
      </c>
      <c r="BL61" s="42">
        <v>722</v>
      </c>
    </row>
    <row r="62" spans="1:64" ht="12.75">
      <c r="A62" s="6" t="s">
        <v>50</v>
      </c>
      <c r="B62" s="15"/>
      <c r="C62" s="81" t="s">
        <v>266</v>
      </c>
      <c r="D62" s="15" t="s">
        <v>493</v>
      </c>
      <c r="E62" s="15" t="s">
        <v>679</v>
      </c>
      <c r="F62" s="23">
        <v>1</v>
      </c>
      <c r="G62" s="91">
        <v>0</v>
      </c>
      <c r="H62" s="23">
        <f t="shared" si="0"/>
        <v>0</v>
      </c>
      <c r="I62" s="23">
        <f t="shared" si="1"/>
        <v>0</v>
      </c>
      <c r="J62" s="23">
        <f t="shared" si="2"/>
        <v>0</v>
      </c>
      <c r="K62" s="23">
        <v>0.0004</v>
      </c>
      <c r="L62" s="23">
        <f t="shared" si="3"/>
        <v>0.0004</v>
      </c>
      <c r="M62" s="38"/>
      <c r="N62" s="40"/>
      <c r="Z62" s="42">
        <f t="shared" si="4"/>
        <v>0</v>
      </c>
      <c r="AB62" s="42">
        <f t="shared" si="5"/>
        <v>0</v>
      </c>
      <c r="AC62" s="42">
        <f t="shared" si="6"/>
        <v>0</v>
      </c>
      <c r="AD62" s="42">
        <f t="shared" si="7"/>
        <v>0</v>
      </c>
      <c r="AE62" s="42">
        <f t="shared" si="8"/>
        <v>0</v>
      </c>
      <c r="AF62" s="42">
        <f t="shared" si="9"/>
        <v>0</v>
      </c>
      <c r="AG62" s="42">
        <f t="shared" si="10"/>
        <v>0</v>
      </c>
      <c r="AH62" s="42">
        <f t="shared" si="11"/>
        <v>0</v>
      </c>
      <c r="AI62" s="32"/>
      <c r="AJ62" s="23">
        <f t="shared" si="12"/>
        <v>0</v>
      </c>
      <c r="AK62" s="23">
        <f t="shared" si="13"/>
        <v>0</v>
      </c>
      <c r="AL62" s="23">
        <f t="shared" si="14"/>
        <v>0</v>
      </c>
      <c r="AN62" s="42">
        <v>15</v>
      </c>
      <c r="AO62" s="42">
        <f>G62*1</f>
        <v>0</v>
      </c>
      <c r="AP62" s="42">
        <f>G62*(1-1)</f>
        <v>0</v>
      </c>
      <c r="AQ62" s="44" t="s">
        <v>13</v>
      </c>
      <c r="AV62" s="42">
        <f t="shared" si="15"/>
        <v>0</v>
      </c>
      <c r="AW62" s="42">
        <f t="shared" si="16"/>
        <v>0</v>
      </c>
      <c r="AX62" s="42">
        <f t="shared" si="17"/>
        <v>0</v>
      </c>
      <c r="AY62" s="45" t="s">
        <v>724</v>
      </c>
      <c r="AZ62" s="45" t="s">
        <v>749</v>
      </c>
      <c r="BA62" s="32" t="s">
        <v>756</v>
      </c>
      <c r="BC62" s="42">
        <f t="shared" si="18"/>
        <v>0</v>
      </c>
      <c r="BD62" s="42">
        <f t="shared" si="19"/>
        <v>0</v>
      </c>
      <c r="BE62" s="42">
        <v>0</v>
      </c>
      <c r="BF62" s="42">
        <f t="shared" si="20"/>
        <v>0.0004</v>
      </c>
      <c r="BH62" s="23">
        <f t="shared" si="21"/>
        <v>0</v>
      </c>
      <c r="BI62" s="23">
        <f t="shared" si="22"/>
        <v>0</v>
      </c>
      <c r="BJ62" s="23">
        <f t="shared" si="23"/>
        <v>0</v>
      </c>
      <c r="BK62" s="23" t="s">
        <v>762</v>
      </c>
      <c r="BL62" s="42">
        <v>722</v>
      </c>
    </row>
    <row r="63" spans="1:64" ht="12.75">
      <c r="A63" s="6" t="s">
        <v>51</v>
      </c>
      <c r="B63" s="15"/>
      <c r="C63" s="15" t="s">
        <v>263</v>
      </c>
      <c r="D63" s="15" t="s">
        <v>494</v>
      </c>
      <c r="E63" s="15" t="s">
        <v>679</v>
      </c>
      <c r="F63" s="23">
        <v>2</v>
      </c>
      <c r="G63" s="91">
        <v>0</v>
      </c>
      <c r="H63" s="23">
        <f t="shared" si="0"/>
        <v>0</v>
      </c>
      <c r="I63" s="23">
        <f t="shared" si="1"/>
        <v>0</v>
      </c>
      <c r="J63" s="23">
        <f t="shared" si="2"/>
        <v>0</v>
      </c>
      <c r="K63" s="23">
        <v>0.00019</v>
      </c>
      <c r="L63" s="23">
        <f t="shared" si="3"/>
        <v>0.00038</v>
      </c>
      <c r="M63" s="38" t="s">
        <v>706</v>
      </c>
      <c r="N63" s="40"/>
      <c r="Z63" s="42">
        <f t="shared" si="4"/>
        <v>0</v>
      </c>
      <c r="AB63" s="42">
        <f t="shared" si="5"/>
        <v>0</v>
      </c>
      <c r="AC63" s="42">
        <f t="shared" si="6"/>
        <v>0</v>
      </c>
      <c r="AD63" s="42">
        <f t="shared" si="7"/>
        <v>0</v>
      </c>
      <c r="AE63" s="42">
        <f t="shared" si="8"/>
        <v>0</v>
      </c>
      <c r="AF63" s="42">
        <f t="shared" si="9"/>
        <v>0</v>
      </c>
      <c r="AG63" s="42">
        <f t="shared" si="10"/>
        <v>0</v>
      </c>
      <c r="AH63" s="42">
        <f t="shared" si="11"/>
        <v>0</v>
      </c>
      <c r="AI63" s="32"/>
      <c r="AJ63" s="23">
        <f t="shared" si="12"/>
        <v>0</v>
      </c>
      <c r="AK63" s="23">
        <f t="shared" si="13"/>
        <v>0</v>
      </c>
      <c r="AL63" s="23">
        <f t="shared" si="14"/>
        <v>0</v>
      </c>
      <c r="AN63" s="42">
        <v>15</v>
      </c>
      <c r="AO63" s="42">
        <f>G63*1</f>
        <v>0</v>
      </c>
      <c r="AP63" s="42">
        <f>G63*(1-1)</f>
        <v>0</v>
      </c>
      <c r="AQ63" s="44" t="s">
        <v>13</v>
      </c>
      <c r="AV63" s="42">
        <f t="shared" si="15"/>
        <v>0</v>
      </c>
      <c r="AW63" s="42">
        <f t="shared" si="16"/>
        <v>0</v>
      </c>
      <c r="AX63" s="42">
        <f t="shared" si="17"/>
        <v>0</v>
      </c>
      <c r="AY63" s="45" t="s">
        <v>724</v>
      </c>
      <c r="AZ63" s="45" t="s">
        <v>749</v>
      </c>
      <c r="BA63" s="32" t="s">
        <v>756</v>
      </c>
      <c r="BC63" s="42">
        <f t="shared" si="18"/>
        <v>0</v>
      </c>
      <c r="BD63" s="42">
        <f t="shared" si="19"/>
        <v>0</v>
      </c>
      <c r="BE63" s="42">
        <v>0</v>
      </c>
      <c r="BF63" s="42">
        <f t="shared" si="20"/>
        <v>0.00038</v>
      </c>
      <c r="BH63" s="23">
        <f t="shared" si="21"/>
        <v>0</v>
      </c>
      <c r="BI63" s="23">
        <f t="shared" si="22"/>
        <v>0</v>
      </c>
      <c r="BJ63" s="23">
        <f t="shared" si="23"/>
        <v>0</v>
      </c>
      <c r="BK63" s="23" t="s">
        <v>762</v>
      </c>
      <c r="BL63" s="42">
        <v>722</v>
      </c>
    </row>
    <row r="64" spans="1:64" ht="12.75">
      <c r="A64" s="4" t="s">
        <v>52</v>
      </c>
      <c r="B64" s="13"/>
      <c r="C64" s="13" t="s">
        <v>264</v>
      </c>
      <c r="D64" s="13" t="s">
        <v>495</v>
      </c>
      <c r="E64" s="13" t="s">
        <v>681</v>
      </c>
      <c r="F64" s="22">
        <v>32</v>
      </c>
      <c r="G64" s="90">
        <v>0</v>
      </c>
      <c r="H64" s="22">
        <f t="shared" si="0"/>
        <v>0</v>
      </c>
      <c r="I64" s="22">
        <f t="shared" si="1"/>
        <v>0</v>
      </c>
      <c r="J64" s="22">
        <f t="shared" si="2"/>
        <v>0</v>
      </c>
      <c r="K64" s="22">
        <v>0</v>
      </c>
      <c r="L64" s="22">
        <f t="shared" si="3"/>
        <v>0</v>
      </c>
      <c r="M64" s="36" t="s">
        <v>706</v>
      </c>
      <c r="N64" s="40"/>
      <c r="Z64" s="42">
        <f t="shared" si="4"/>
        <v>0</v>
      </c>
      <c r="AB64" s="42">
        <f t="shared" si="5"/>
        <v>0</v>
      </c>
      <c r="AC64" s="42">
        <f t="shared" si="6"/>
        <v>0</v>
      </c>
      <c r="AD64" s="42">
        <f t="shared" si="7"/>
        <v>0</v>
      </c>
      <c r="AE64" s="42">
        <f t="shared" si="8"/>
        <v>0</v>
      </c>
      <c r="AF64" s="42">
        <f t="shared" si="9"/>
        <v>0</v>
      </c>
      <c r="AG64" s="42">
        <f t="shared" si="10"/>
        <v>0</v>
      </c>
      <c r="AH64" s="42">
        <f t="shared" si="11"/>
        <v>0</v>
      </c>
      <c r="AI64" s="32"/>
      <c r="AJ64" s="22">
        <f t="shared" si="12"/>
        <v>0</v>
      </c>
      <c r="AK64" s="22">
        <f t="shared" si="13"/>
        <v>0</v>
      </c>
      <c r="AL64" s="22">
        <f t="shared" si="14"/>
        <v>0</v>
      </c>
      <c r="AN64" s="42">
        <v>15</v>
      </c>
      <c r="AO64" s="42">
        <f>G64*0</f>
        <v>0</v>
      </c>
      <c r="AP64" s="42">
        <f>G64*(1-0)</f>
        <v>0</v>
      </c>
      <c r="AQ64" s="43" t="s">
        <v>8</v>
      </c>
      <c r="AV64" s="42">
        <f t="shared" si="15"/>
        <v>0</v>
      </c>
      <c r="AW64" s="42">
        <f t="shared" si="16"/>
        <v>0</v>
      </c>
      <c r="AX64" s="42">
        <f t="shared" si="17"/>
        <v>0</v>
      </c>
      <c r="AY64" s="45" t="s">
        <v>724</v>
      </c>
      <c r="AZ64" s="45" t="s">
        <v>749</v>
      </c>
      <c r="BA64" s="32" t="s">
        <v>756</v>
      </c>
      <c r="BC64" s="42">
        <f t="shared" si="18"/>
        <v>0</v>
      </c>
      <c r="BD64" s="42">
        <f t="shared" si="19"/>
        <v>0</v>
      </c>
      <c r="BE64" s="42">
        <v>0</v>
      </c>
      <c r="BF64" s="42">
        <f t="shared" si="20"/>
        <v>0</v>
      </c>
      <c r="BH64" s="22">
        <f t="shared" si="21"/>
        <v>0</v>
      </c>
      <c r="BI64" s="22">
        <f t="shared" si="22"/>
        <v>0</v>
      </c>
      <c r="BJ64" s="22">
        <f t="shared" si="23"/>
        <v>0</v>
      </c>
      <c r="BK64" s="22" t="s">
        <v>761</v>
      </c>
      <c r="BL64" s="42">
        <v>722</v>
      </c>
    </row>
    <row r="65" spans="1:64" ht="12.75">
      <c r="A65" s="4" t="s">
        <v>53</v>
      </c>
      <c r="B65" s="13"/>
      <c r="C65" s="13" t="s">
        <v>265</v>
      </c>
      <c r="D65" s="13" t="s">
        <v>496</v>
      </c>
      <c r="E65" s="13" t="s">
        <v>679</v>
      </c>
      <c r="F65" s="22">
        <v>3</v>
      </c>
      <c r="G65" s="90">
        <v>0</v>
      </c>
      <c r="H65" s="22">
        <f t="shared" si="0"/>
        <v>0</v>
      </c>
      <c r="I65" s="22">
        <f t="shared" si="1"/>
        <v>0</v>
      </c>
      <c r="J65" s="22">
        <f t="shared" si="2"/>
        <v>0</v>
      </c>
      <c r="K65" s="22">
        <v>4E-05</v>
      </c>
      <c r="L65" s="22">
        <f t="shared" si="3"/>
        <v>0.00012000000000000002</v>
      </c>
      <c r="M65" s="36" t="s">
        <v>706</v>
      </c>
      <c r="N65" s="40"/>
      <c r="Z65" s="42">
        <f t="shared" si="4"/>
        <v>0</v>
      </c>
      <c r="AB65" s="42">
        <f t="shared" si="5"/>
        <v>0</v>
      </c>
      <c r="AC65" s="42">
        <f t="shared" si="6"/>
        <v>0</v>
      </c>
      <c r="AD65" s="42">
        <f t="shared" si="7"/>
        <v>0</v>
      </c>
      <c r="AE65" s="42">
        <f t="shared" si="8"/>
        <v>0</v>
      </c>
      <c r="AF65" s="42">
        <f t="shared" si="9"/>
        <v>0</v>
      </c>
      <c r="AG65" s="42">
        <f t="shared" si="10"/>
        <v>0</v>
      </c>
      <c r="AH65" s="42">
        <f t="shared" si="11"/>
        <v>0</v>
      </c>
      <c r="AI65" s="32"/>
      <c r="AJ65" s="22">
        <f t="shared" si="12"/>
        <v>0</v>
      </c>
      <c r="AK65" s="22">
        <f t="shared" si="13"/>
        <v>0</v>
      </c>
      <c r="AL65" s="22">
        <f t="shared" si="14"/>
        <v>0</v>
      </c>
      <c r="AN65" s="42">
        <v>15</v>
      </c>
      <c r="AO65" s="42">
        <f>G65*0.302445302445302</f>
        <v>0</v>
      </c>
      <c r="AP65" s="42">
        <f>G65*(1-0.302445302445302)</f>
        <v>0</v>
      </c>
      <c r="AQ65" s="43" t="s">
        <v>13</v>
      </c>
      <c r="AV65" s="42">
        <f t="shared" si="15"/>
        <v>0</v>
      </c>
      <c r="AW65" s="42">
        <f t="shared" si="16"/>
        <v>0</v>
      </c>
      <c r="AX65" s="42">
        <f t="shared" si="17"/>
        <v>0</v>
      </c>
      <c r="AY65" s="45" t="s">
        <v>724</v>
      </c>
      <c r="AZ65" s="45" t="s">
        <v>749</v>
      </c>
      <c r="BA65" s="32" t="s">
        <v>756</v>
      </c>
      <c r="BC65" s="42">
        <f t="shared" si="18"/>
        <v>0</v>
      </c>
      <c r="BD65" s="42">
        <f t="shared" si="19"/>
        <v>0</v>
      </c>
      <c r="BE65" s="42">
        <v>0</v>
      </c>
      <c r="BF65" s="42">
        <f t="shared" si="20"/>
        <v>0.00012000000000000002</v>
      </c>
      <c r="BH65" s="22">
        <f t="shared" si="21"/>
        <v>0</v>
      </c>
      <c r="BI65" s="22">
        <f t="shared" si="22"/>
        <v>0</v>
      </c>
      <c r="BJ65" s="22">
        <f t="shared" si="23"/>
        <v>0</v>
      </c>
      <c r="BK65" s="22" t="s">
        <v>761</v>
      </c>
      <c r="BL65" s="42">
        <v>722</v>
      </c>
    </row>
    <row r="66" spans="1:64" ht="12.75">
      <c r="A66" s="4" t="s">
        <v>54</v>
      </c>
      <c r="B66" s="13"/>
      <c r="C66" s="88" t="s">
        <v>824</v>
      </c>
      <c r="D66" s="13" t="s">
        <v>497</v>
      </c>
      <c r="E66" s="88" t="s">
        <v>679</v>
      </c>
      <c r="F66" s="22">
        <v>1</v>
      </c>
      <c r="G66" s="90">
        <v>0</v>
      </c>
      <c r="H66" s="22">
        <f t="shared" si="0"/>
        <v>0</v>
      </c>
      <c r="I66" s="22">
        <f t="shared" si="1"/>
        <v>0</v>
      </c>
      <c r="J66" s="22">
        <f t="shared" si="2"/>
        <v>0</v>
      </c>
      <c r="K66" s="22">
        <v>0.0004</v>
      </c>
      <c r="L66" s="22">
        <f t="shared" si="3"/>
        <v>0.0004</v>
      </c>
      <c r="M66" s="36"/>
      <c r="N66" s="40"/>
      <c r="Z66" s="42">
        <f t="shared" si="4"/>
        <v>0</v>
      </c>
      <c r="AB66" s="42">
        <f t="shared" si="5"/>
        <v>0</v>
      </c>
      <c r="AC66" s="42">
        <f t="shared" si="6"/>
        <v>0</v>
      </c>
      <c r="AD66" s="42">
        <f t="shared" si="7"/>
        <v>0</v>
      </c>
      <c r="AE66" s="42">
        <f t="shared" si="8"/>
        <v>0</v>
      </c>
      <c r="AF66" s="42">
        <f t="shared" si="9"/>
        <v>0</v>
      </c>
      <c r="AG66" s="42">
        <f t="shared" si="10"/>
        <v>0</v>
      </c>
      <c r="AH66" s="42">
        <f t="shared" si="11"/>
        <v>0</v>
      </c>
      <c r="AI66" s="32"/>
      <c r="AJ66" s="22">
        <f t="shared" si="12"/>
        <v>0</v>
      </c>
      <c r="AK66" s="22">
        <f t="shared" si="13"/>
        <v>0</v>
      </c>
      <c r="AL66" s="22">
        <f t="shared" si="14"/>
        <v>0</v>
      </c>
      <c r="AN66" s="42">
        <v>15</v>
      </c>
      <c r="AO66" s="42">
        <f>G66*0</f>
        <v>0</v>
      </c>
      <c r="AP66" s="42">
        <f>G66*(1-0)</f>
        <v>0</v>
      </c>
      <c r="AQ66" s="43" t="s">
        <v>8</v>
      </c>
      <c r="AV66" s="42">
        <f t="shared" si="15"/>
        <v>0</v>
      </c>
      <c r="AW66" s="42">
        <f t="shared" si="16"/>
        <v>0</v>
      </c>
      <c r="AX66" s="42">
        <f t="shared" si="17"/>
        <v>0</v>
      </c>
      <c r="AY66" s="45" t="s">
        <v>724</v>
      </c>
      <c r="AZ66" s="45" t="s">
        <v>749</v>
      </c>
      <c r="BA66" s="32" t="s">
        <v>756</v>
      </c>
      <c r="BC66" s="42">
        <f t="shared" si="18"/>
        <v>0</v>
      </c>
      <c r="BD66" s="42">
        <f t="shared" si="19"/>
        <v>0</v>
      </c>
      <c r="BE66" s="42">
        <v>0</v>
      </c>
      <c r="BF66" s="42">
        <f t="shared" si="20"/>
        <v>0.0004</v>
      </c>
      <c r="BH66" s="22">
        <f t="shared" si="21"/>
        <v>0</v>
      </c>
      <c r="BI66" s="22">
        <f t="shared" si="22"/>
        <v>0</v>
      </c>
      <c r="BJ66" s="22">
        <f t="shared" si="23"/>
        <v>0</v>
      </c>
      <c r="BK66" s="22" t="s">
        <v>761</v>
      </c>
      <c r="BL66" s="42">
        <v>722</v>
      </c>
    </row>
    <row r="67" spans="1:47" ht="12.75">
      <c r="A67" s="5"/>
      <c r="B67" s="14"/>
      <c r="C67" s="14" t="s">
        <v>267</v>
      </c>
      <c r="D67" s="14" t="s">
        <v>498</v>
      </c>
      <c r="E67" s="20" t="s">
        <v>6</v>
      </c>
      <c r="F67" s="20" t="s">
        <v>6</v>
      </c>
      <c r="G67" s="20" t="s">
        <v>6</v>
      </c>
      <c r="H67" s="48">
        <f>SUM(H68:H84)</f>
        <v>0</v>
      </c>
      <c r="I67" s="48">
        <f>SUM(I68:I84)</f>
        <v>0</v>
      </c>
      <c r="J67" s="48">
        <f>SUM(J68:J84)</f>
        <v>0</v>
      </c>
      <c r="K67" s="32"/>
      <c r="L67" s="48">
        <f>SUM(L68:L84)</f>
        <v>0.18820999999999996</v>
      </c>
      <c r="M67" s="37"/>
      <c r="N67" s="40"/>
      <c r="AI67" s="32"/>
      <c r="AS67" s="48">
        <f>SUM(AJ68:AJ84)</f>
        <v>0</v>
      </c>
      <c r="AT67" s="48">
        <f>SUM(AK68:AK84)</f>
        <v>0</v>
      </c>
      <c r="AU67" s="48">
        <f>SUM(AL68:AL84)</f>
        <v>0</v>
      </c>
    </row>
    <row r="68" spans="1:64" ht="12.75">
      <c r="A68" s="4" t="s">
        <v>55</v>
      </c>
      <c r="B68" s="13"/>
      <c r="C68" s="13" t="s">
        <v>268</v>
      </c>
      <c r="D68" s="13" t="s">
        <v>499</v>
      </c>
      <c r="E68" s="13" t="s">
        <v>681</v>
      </c>
      <c r="F68" s="22">
        <v>7</v>
      </c>
      <c r="G68" s="90">
        <v>0</v>
      </c>
      <c r="H68" s="22">
        <f aca="true" t="shared" si="24" ref="H68:H84">F68*AO68</f>
        <v>0</v>
      </c>
      <c r="I68" s="22">
        <f aca="true" t="shared" si="25" ref="I68:I84">F68*AP68</f>
        <v>0</v>
      </c>
      <c r="J68" s="22">
        <f aca="true" t="shared" si="26" ref="J68:J84">F68*G68</f>
        <v>0</v>
      </c>
      <c r="K68" s="22">
        <v>0.00381</v>
      </c>
      <c r="L68" s="22">
        <f aca="true" t="shared" si="27" ref="L68:L84">F68*K68</f>
        <v>0.02667</v>
      </c>
      <c r="M68" s="36" t="s">
        <v>706</v>
      </c>
      <c r="N68" s="40"/>
      <c r="Z68" s="42">
        <f aca="true" t="shared" si="28" ref="Z68:Z84">IF(AQ68="5",BJ68,0)</f>
        <v>0</v>
      </c>
      <c r="AB68" s="42">
        <f aca="true" t="shared" si="29" ref="AB68:AB84">IF(AQ68="1",BH68,0)</f>
        <v>0</v>
      </c>
      <c r="AC68" s="42">
        <f aca="true" t="shared" si="30" ref="AC68:AC84">IF(AQ68="1",BI68,0)</f>
        <v>0</v>
      </c>
      <c r="AD68" s="42">
        <f aca="true" t="shared" si="31" ref="AD68:AD84">IF(AQ68="7",BH68,0)</f>
        <v>0</v>
      </c>
      <c r="AE68" s="42">
        <f aca="true" t="shared" si="32" ref="AE68:AE84">IF(AQ68="7",BI68,0)</f>
        <v>0</v>
      </c>
      <c r="AF68" s="42">
        <f aca="true" t="shared" si="33" ref="AF68:AF84">IF(AQ68="2",BH68,0)</f>
        <v>0</v>
      </c>
      <c r="AG68" s="42">
        <f aca="true" t="shared" si="34" ref="AG68:AG84">IF(AQ68="2",BI68,0)</f>
        <v>0</v>
      </c>
      <c r="AH68" s="42">
        <f aca="true" t="shared" si="35" ref="AH68:AH84">IF(AQ68="0",BJ68,0)</f>
        <v>0</v>
      </c>
      <c r="AI68" s="32"/>
      <c r="AJ68" s="22">
        <f aca="true" t="shared" si="36" ref="AJ68:AJ84">IF(AN68=0,J68,0)</f>
        <v>0</v>
      </c>
      <c r="AK68" s="22">
        <f aca="true" t="shared" si="37" ref="AK68:AK84">IF(AN68=15,J68,0)</f>
        <v>0</v>
      </c>
      <c r="AL68" s="22">
        <f aca="true" t="shared" si="38" ref="AL68:AL84">IF(AN68=21,J68,0)</f>
        <v>0</v>
      </c>
      <c r="AN68" s="42">
        <v>15</v>
      </c>
      <c r="AO68" s="42">
        <f>G68*0.863577235772358</f>
        <v>0</v>
      </c>
      <c r="AP68" s="42">
        <f>G68*(1-0.863577235772358)</f>
        <v>0</v>
      </c>
      <c r="AQ68" s="43" t="s">
        <v>13</v>
      </c>
      <c r="AV68" s="42">
        <f aca="true" t="shared" si="39" ref="AV68:AV84">AW68+AX68</f>
        <v>0</v>
      </c>
      <c r="AW68" s="42">
        <f aca="true" t="shared" si="40" ref="AW68:AW84">F68*AO68</f>
        <v>0</v>
      </c>
      <c r="AX68" s="42">
        <f aca="true" t="shared" si="41" ref="AX68:AX84">F68*AP68</f>
        <v>0</v>
      </c>
      <c r="AY68" s="45" t="s">
        <v>725</v>
      </c>
      <c r="AZ68" s="45" t="s">
        <v>749</v>
      </c>
      <c r="BA68" s="32" t="s">
        <v>756</v>
      </c>
      <c r="BC68" s="42">
        <f aca="true" t="shared" si="42" ref="BC68:BC84">AW68+AX68</f>
        <v>0</v>
      </c>
      <c r="BD68" s="42">
        <f aca="true" t="shared" si="43" ref="BD68:BD84">G68/(100-BE68)*100</f>
        <v>0</v>
      </c>
      <c r="BE68" s="42">
        <v>0</v>
      </c>
      <c r="BF68" s="42">
        <f aca="true" t="shared" si="44" ref="BF68:BF84">L68</f>
        <v>0.02667</v>
      </c>
      <c r="BH68" s="22">
        <f aca="true" t="shared" si="45" ref="BH68:BH84">F68*AO68</f>
        <v>0</v>
      </c>
      <c r="BI68" s="22">
        <f aca="true" t="shared" si="46" ref="BI68:BI84">F68*AP68</f>
        <v>0</v>
      </c>
      <c r="BJ68" s="22">
        <f aca="true" t="shared" si="47" ref="BJ68:BJ84">F68*G68</f>
        <v>0</v>
      </c>
      <c r="BK68" s="22" t="s">
        <v>761</v>
      </c>
      <c r="BL68" s="42">
        <v>723</v>
      </c>
    </row>
    <row r="69" spans="1:64" ht="12.75">
      <c r="A69" s="4" t="s">
        <v>56</v>
      </c>
      <c r="B69" s="13"/>
      <c r="C69" s="13" t="s">
        <v>269</v>
      </c>
      <c r="D69" s="13" t="s">
        <v>500</v>
      </c>
      <c r="E69" s="13" t="s">
        <v>679</v>
      </c>
      <c r="F69" s="22">
        <v>1</v>
      </c>
      <c r="G69" s="90">
        <v>0</v>
      </c>
      <c r="H69" s="22">
        <f t="shared" si="24"/>
        <v>0</v>
      </c>
      <c r="I69" s="22">
        <f t="shared" si="25"/>
        <v>0</v>
      </c>
      <c r="J69" s="22">
        <f t="shared" si="26"/>
        <v>0</v>
      </c>
      <c r="K69" s="22">
        <v>3E-05</v>
      </c>
      <c r="L69" s="22">
        <f t="shared" si="27"/>
        <v>3E-05</v>
      </c>
      <c r="M69" s="36" t="s">
        <v>706</v>
      </c>
      <c r="N69" s="40"/>
      <c r="Z69" s="42">
        <f t="shared" si="28"/>
        <v>0</v>
      </c>
      <c r="AB69" s="42">
        <f t="shared" si="29"/>
        <v>0</v>
      </c>
      <c r="AC69" s="42">
        <f t="shared" si="30"/>
        <v>0</v>
      </c>
      <c r="AD69" s="42">
        <f t="shared" si="31"/>
        <v>0</v>
      </c>
      <c r="AE69" s="42">
        <f t="shared" si="32"/>
        <v>0</v>
      </c>
      <c r="AF69" s="42">
        <f t="shared" si="33"/>
        <v>0</v>
      </c>
      <c r="AG69" s="42">
        <f t="shared" si="34"/>
        <v>0</v>
      </c>
      <c r="AH69" s="42">
        <f t="shared" si="35"/>
        <v>0</v>
      </c>
      <c r="AI69" s="32"/>
      <c r="AJ69" s="22">
        <f t="shared" si="36"/>
        <v>0</v>
      </c>
      <c r="AK69" s="22">
        <f t="shared" si="37"/>
        <v>0</v>
      </c>
      <c r="AL69" s="22">
        <f t="shared" si="38"/>
        <v>0</v>
      </c>
      <c r="AN69" s="42">
        <v>15</v>
      </c>
      <c r="AO69" s="42">
        <f>G69*0.0186397193570344</f>
        <v>0</v>
      </c>
      <c r="AP69" s="42">
        <f>G69*(1-0.0186397193570344)</f>
        <v>0</v>
      </c>
      <c r="AQ69" s="43" t="s">
        <v>13</v>
      </c>
      <c r="AV69" s="42">
        <f t="shared" si="39"/>
        <v>0</v>
      </c>
      <c r="AW69" s="42">
        <f t="shared" si="40"/>
        <v>0</v>
      </c>
      <c r="AX69" s="42">
        <f t="shared" si="41"/>
        <v>0</v>
      </c>
      <c r="AY69" s="45" t="s">
        <v>725</v>
      </c>
      <c r="AZ69" s="45" t="s">
        <v>749</v>
      </c>
      <c r="BA69" s="32" t="s">
        <v>756</v>
      </c>
      <c r="BC69" s="42">
        <f t="shared" si="42"/>
        <v>0</v>
      </c>
      <c r="BD69" s="42">
        <f t="shared" si="43"/>
        <v>0</v>
      </c>
      <c r="BE69" s="42">
        <v>0</v>
      </c>
      <c r="BF69" s="42">
        <f t="shared" si="44"/>
        <v>3E-05</v>
      </c>
      <c r="BH69" s="22">
        <f t="shared" si="45"/>
        <v>0</v>
      </c>
      <c r="BI69" s="22">
        <f t="shared" si="46"/>
        <v>0</v>
      </c>
      <c r="BJ69" s="22">
        <f t="shared" si="47"/>
        <v>0</v>
      </c>
      <c r="BK69" s="22" t="s">
        <v>761</v>
      </c>
      <c r="BL69" s="42">
        <v>723</v>
      </c>
    </row>
    <row r="70" spans="1:64" ht="12.75">
      <c r="A70" s="6" t="s">
        <v>57</v>
      </c>
      <c r="B70" s="15"/>
      <c r="C70" s="15" t="s">
        <v>270</v>
      </c>
      <c r="D70" s="15" t="s">
        <v>501</v>
      </c>
      <c r="E70" s="15" t="s">
        <v>679</v>
      </c>
      <c r="F70" s="23">
        <v>1</v>
      </c>
      <c r="G70" s="91">
        <v>0</v>
      </c>
      <c r="H70" s="23">
        <f t="shared" si="24"/>
        <v>0</v>
      </c>
      <c r="I70" s="23">
        <f t="shared" si="25"/>
        <v>0</v>
      </c>
      <c r="J70" s="23">
        <f t="shared" si="26"/>
        <v>0</v>
      </c>
      <c r="K70" s="23">
        <v>0.012</v>
      </c>
      <c r="L70" s="23">
        <f t="shared" si="27"/>
        <v>0.012</v>
      </c>
      <c r="M70" s="38" t="s">
        <v>707</v>
      </c>
      <c r="N70" s="40"/>
      <c r="Z70" s="42">
        <f t="shared" si="28"/>
        <v>0</v>
      </c>
      <c r="AB70" s="42">
        <f t="shared" si="29"/>
        <v>0</v>
      </c>
      <c r="AC70" s="42">
        <f t="shared" si="30"/>
        <v>0</v>
      </c>
      <c r="AD70" s="42">
        <f t="shared" si="31"/>
        <v>0</v>
      </c>
      <c r="AE70" s="42">
        <f t="shared" si="32"/>
        <v>0</v>
      </c>
      <c r="AF70" s="42">
        <f t="shared" si="33"/>
        <v>0</v>
      </c>
      <c r="AG70" s="42">
        <f t="shared" si="34"/>
        <v>0</v>
      </c>
      <c r="AH70" s="42">
        <f t="shared" si="35"/>
        <v>0</v>
      </c>
      <c r="AI70" s="32"/>
      <c r="AJ70" s="23">
        <f t="shared" si="36"/>
        <v>0</v>
      </c>
      <c r="AK70" s="23">
        <f t="shared" si="37"/>
        <v>0</v>
      </c>
      <c r="AL70" s="23">
        <f t="shared" si="38"/>
        <v>0</v>
      </c>
      <c r="AN70" s="42">
        <v>15</v>
      </c>
      <c r="AO70" s="42">
        <f>G70*1</f>
        <v>0</v>
      </c>
      <c r="AP70" s="42">
        <f>G70*(1-1)</f>
        <v>0</v>
      </c>
      <c r="AQ70" s="44" t="s">
        <v>13</v>
      </c>
      <c r="AV70" s="42">
        <f t="shared" si="39"/>
        <v>0</v>
      </c>
      <c r="AW70" s="42">
        <f t="shared" si="40"/>
        <v>0</v>
      </c>
      <c r="AX70" s="42">
        <f t="shared" si="41"/>
        <v>0</v>
      </c>
      <c r="AY70" s="45" t="s">
        <v>725</v>
      </c>
      <c r="AZ70" s="45" t="s">
        <v>749</v>
      </c>
      <c r="BA70" s="32" t="s">
        <v>756</v>
      </c>
      <c r="BC70" s="42">
        <f t="shared" si="42"/>
        <v>0</v>
      </c>
      <c r="BD70" s="42">
        <f t="shared" si="43"/>
        <v>0</v>
      </c>
      <c r="BE70" s="42">
        <v>0</v>
      </c>
      <c r="BF70" s="42">
        <f t="shared" si="44"/>
        <v>0.012</v>
      </c>
      <c r="BH70" s="23">
        <f t="shared" si="45"/>
        <v>0</v>
      </c>
      <c r="BI70" s="23">
        <f t="shared" si="46"/>
        <v>0</v>
      </c>
      <c r="BJ70" s="23">
        <f t="shared" si="47"/>
        <v>0</v>
      </c>
      <c r="BK70" s="23" t="s">
        <v>762</v>
      </c>
      <c r="BL70" s="42">
        <v>723</v>
      </c>
    </row>
    <row r="71" spans="1:64" ht="12.75">
      <c r="A71" s="4" t="s">
        <v>58</v>
      </c>
      <c r="B71" s="13"/>
      <c r="C71" s="13" t="s">
        <v>271</v>
      </c>
      <c r="D71" s="13" t="s">
        <v>502</v>
      </c>
      <c r="E71" s="13" t="s">
        <v>681</v>
      </c>
      <c r="F71" s="22">
        <v>2</v>
      </c>
      <c r="G71" s="90">
        <v>0</v>
      </c>
      <c r="H71" s="22">
        <f t="shared" si="24"/>
        <v>0</v>
      </c>
      <c r="I71" s="22">
        <f t="shared" si="25"/>
        <v>0</v>
      </c>
      <c r="J71" s="22">
        <f t="shared" si="26"/>
        <v>0</v>
      </c>
      <c r="K71" s="22">
        <v>0.01249</v>
      </c>
      <c r="L71" s="22">
        <f t="shared" si="27"/>
        <v>0.02498</v>
      </c>
      <c r="M71" s="36" t="s">
        <v>706</v>
      </c>
      <c r="N71" s="40"/>
      <c r="Z71" s="42">
        <f t="shared" si="28"/>
        <v>0</v>
      </c>
      <c r="AB71" s="42">
        <f t="shared" si="29"/>
        <v>0</v>
      </c>
      <c r="AC71" s="42">
        <f t="shared" si="30"/>
        <v>0</v>
      </c>
      <c r="AD71" s="42">
        <f t="shared" si="31"/>
        <v>0</v>
      </c>
      <c r="AE71" s="42">
        <f t="shared" si="32"/>
        <v>0</v>
      </c>
      <c r="AF71" s="42">
        <f t="shared" si="33"/>
        <v>0</v>
      </c>
      <c r="AG71" s="42">
        <f t="shared" si="34"/>
        <v>0</v>
      </c>
      <c r="AH71" s="42">
        <f t="shared" si="35"/>
        <v>0</v>
      </c>
      <c r="AI71" s="32"/>
      <c r="AJ71" s="22">
        <f t="shared" si="36"/>
        <v>0</v>
      </c>
      <c r="AK71" s="22">
        <f t="shared" si="37"/>
        <v>0</v>
      </c>
      <c r="AL71" s="22">
        <f t="shared" si="38"/>
        <v>0</v>
      </c>
      <c r="AN71" s="42">
        <v>15</v>
      </c>
      <c r="AO71" s="42">
        <f>G71*0.342444444444444</f>
        <v>0</v>
      </c>
      <c r="AP71" s="42">
        <f>G71*(1-0.342444444444444)</f>
        <v>0</v>
      </c>
      <c r="AQ71" s="43" t="s">
        <v>13</v>
      </c>
      <c r="AV71" s="42">
        <f t="shared" si="39"/>
        <v>0</v>
      </c>
      <c r="AW71" s="42">
        <f t="shared" si="40"/>
        <v>0</v>
      </c>
      <c r="AX71" s="42">
        <f t="shared" si="41"/>
        <v>0</v>
      </c>
      <c r="AY71" s="45" t="s">
        <v>725</v>
      </c>
      <c r="AZ71" s="45" t="s">
        <v>749</v>
      </c>
      <c r="BA71" s="32" t="s">
        <v>756</v>
      </c>
      <c r="BC71" s="42">
        <f t="shared" si="42"/>
        <v>0</v>
      </c>
      <c r="BD71" s="42">
        <f t="shared" si="43"/>
        <v>0</v>
      </c>
      <c r="BE71" s="42">
        <v>0</v>
      </c>
      <c r="BF71" s="42">
        <f t="shared" si="44"/>
        <v>0.02498</v>
      </c>
      <c r="BH71" s="22">
        <f t="shared" si="45"/>
        <v>0</v>
      </c>
      <c r="BI71" s="22">
        <f t="shared" si="46"/>
        <v>0</v>
      </c>
      <c r="BJ71" s="22">
        <f t="shared" si="47"/>
        <v>0</v>
      </c>
      <c r="BK71" s="22" t="s">
        <v>761</v>
      </c>
      <c r="BL71" s="42">
        <v>723</v>
      </c>
    </row>
    <row r="72" spans="1:64" ht="12.75">
      <c r="A72" s="4" t="s">
        <v>59</v>
      </c>
      <c r="B72" s="13"/>
      <c r="C72" s="13" t="s">
        <v>272</v>
      </c>
      <c r="D72" s="13" t="s">
        <v>503</v>
      </c>
      <c r="E72" s="13" t="s">
        <v>681</v>
      </c>
      <c r="F72" s="22">
        <v>2</v>
      </c>
      <c r="G72" s="90">
        <v>0</v>
      </c>
      <c r="H72" s="22">
        <f t="shared" si="24"/>
        <v>0</v>
      </c>
      <c r="I72" s="22">
        <f t="shared" si="25"/>
        <v>0</v>
      </c>
      <c r="J72" s="22">
        <f t="shared" si="26"/>
        <v>0</v>
      </c>
      <c r="K72" s="22">
        <v>0.0148</v>
      </c>
      <c r="L72" s="22">
        <f t="shared" si="27"/>
        <v>0.0296</v>
      </c>
      <c r="M72" s="36" t="s">
        <v>706</v>
      </c>
      <c r="N72" s="40"/>
      <c r="Z72" s="42">
        <f t="shared" si="28"/>
        <v>0</v>
      </c>
      <c r="AB72" s="42">
        <f t="shared" si="29"/>
        <v>0</v>
      </c>
      <c r="AC72" s="42">
        <f t="shared" si="30"/>
        <v>0</v>
      </c>
      <c r="AD72" s="42">
        <f t="shared" si="31"/>
        <v>0</v>
      </c>
      <c r="AE72" s="42">
        <f t="shared" si="32"/>
        <v>0</v>
      </c>
      <c r="AF72" s="42">
        <f t="shared" si="33"/>
        <v>0</v>
      </c>
      <c r="AG72" s="42">
        <f t="shared" si="34"/>
        <v>0</v>
      </c>
      <c r="AH72" s="42">
        <f t="shared" si="35"/>
        <v>0</v>
      </c>
      <c r="AI72" s="32"/>
      <c r="AJ72" s="22">
        <f t="shared" si="36"/>
        <v>0</v>
      </c>
      <c r="AK72" s="22">
        <f t="shared" si="37"/>
        <v>0</v>
      </c>
      <c r="AL72" s="22">
        <f t="shared" si="38"/>
        <v>0</v>
      </c>
      <c r="AN72" s="42">
        <v>15</v>
      </c>
      <c r="AO72" s="42">
        <f>G72*0.389</f>
        <v>0</v>
      </c>
      <c r="AP72" s="42">
        <f>G72*(1-0.389)</f>
        <v>0</v>
      </c>
      <c r="AQ72" s="43" t="s">
        <v>13</v>
      </c>
      <c r="AV72" s="42">
        <f t="shared" si="39"/>
        <v>0</v>
      </c>
      <c r="AW72" s="42">
        <f t="shared" si="40"/>
        <v>0</v>
      </c>
      <c r="AX72" s="42">
        <f t="shared" si="41"/>
        <v>0</v>
      </c>
      <c r="AY72" s="45" t="s">
        <v>725</v>
      </c>
      <c r="AZ72" s="45" t="s">
        <v>749</v>
      </c>
      <c r="BA72" s="32" t="s">
        <v>756</v>
      </c>
      <c r="BC72" s="42">
        <f t="shared" si="42"/>
        <v>0</v>
      </c>
      <c r="BD72" s="42">
        <f t="shared" si="43"/>
        <v>0</v>
      </c>
      <c r="BE72" s="42">
        <v>0</v>
      </c>
      <c r="BF72" s="42">
        <f t="shared" si="44"/>
        <v>0.0296</v>
      </c>
      <c r="BH72" s="22">
        <f t="shared" si="45"/>
        <v>0</v>
      </c>
      <c r="BI72" s="22">
        <f t="shared" si="46"/>
        <v>0</v>
      </c>
      <c r="BJ72" s="22">
        <f t="shared" si="47"/>
        <v>0</v>
      </c>
      <c r="BK72" s="22" t="s">
        <v>761</v>
      </c>
      <c r="BL72" s="42">
        <v>723</v>
      </c>
    </row>
    <row r="73" spans="1:64" ht="12.75">
      <c r="A73" s="4" t="s">
        <v>60</v>
      </c>
      <c r="B73" s="13"/>
      <c r="C73" s="13" t="s">
        <v>273</v>
      </c>
      <c r="D73" s="13" t="s">
        <v>504</v>
      </c>
      <c r="E73" s="13" t="s">
        <v>681</v>
      </c>
      <c r="F73" s="22">
        <v>6</v>
      </c>
      <c r="G73" s="90">
        <v>0</v>
      </c>
      <c r="H73" s="22">
        <f t="shared" si="24"/>
        <v>0</v>
      </c>
      <c r="I73" s="22">
        <f t="shared" si="25"/>
        <v>0</v>
      </c>
      <c r="J73" s="22">
        <f t="shared" si="26"/>
        <v>0</v>
      </c>
      <c r="K73" s="22">
        <v>0.00806</v>
      </c>
      <c r="L73" s="22">
        <f t="shared" si="27"/>
        <v>0.04836</v>
      </c>
      <c r="M73" s="36" t="s">
        <v>706</v>
      </c>
      <c r="N73" s="40"/>
      <c r="Z73" s="42">
        <f t="shared" si="28"/>
        <v>0</v>
      </c>
      <c r="AB73" s="42">
        <f t="shared" si="29"/>
        <v>0</v>
      </c>
      <c r="AC73" s="42">
        <f t="shared" si="30"/>
        <v>0</v>
      </c>
      <c r="AD73" s="42">
        <f t="shared" si="31"/>
        <v>0</v>
      </c>
      <c r="AE73" s="42">
        <f t="shared" si="32"/>
        <v>0</v>
      </c>
      <c r="AF73" s="42">
        <f t="shared" si="33"/>
        <v>0</v>
      </c>
      <c r="AG73" s="42">
        <f t="shared" si="34"/>
        <v>0</v>
      </c>
      <c r="AH73" s="42">
        <f t="shared" si="35"/>
        <v>0</v>
      </c>
      <c r="AI73" s="32"/>
      <c r="AJ73" s="22">
        <f t="shared" si="36"/>
        <v>0</v>
      </c>
      <c r="AK73" s="22">
        <f t="shared" si="37"/>
        <v>0</v>
      </c>
      <c r="AL73" s="22">
        <f t="shared" si="38"/>
        <v>0</v>
      </c>
      <c r="AN73" s="42">
        <v>15</v>
      </c>
      <c r="AO73" s="42">
        <f>G73*0.543724489795918</f>
        <v>0</v>
      </c>
      <c r="AP73" s="42">
        <f>G73*(1-0.543724489795918)</f>
        <v>0</v>
      </c>
      <c r="AQ73" s="43" t="s">
        <v>13</v>
      </c>
      <c r="AV73" s="42">
        <f t="shared" si="39"/>
        <v>0</v>
      </c>
      <c r="AW73" s="42">
        <f t="shared" si="40"/>
        <v>0</v>
      </c>
      <c r="AX73" s="42">
        <f t="shared" si="41"/>
        <v>0</v>
      </c>
      <c r="AY73" s="45" t="s">
        <v>725</v>
      </c>
      <c r="AZ73" s="45" t="s">
        <v>749</v>
      </c>
      <c r="BA73" s="32" t="s">
        <v>756</v>
      </c>
      <c r="BC73" s="42">
        <f t="shared" si="42"/>
        <v>0</v>
      </c>
      <c r="BD73" s="42">
        <f t="shared" si="43"/>
        <v>0</v>
      </c>
      <c r="BE73" s="42">
        <v>0</v>
      </c>
      <c r="BF73" s="42">
        <f t="shared" si="44"/>
        <v>0.04836</v>
      </c>
      <c r="BH73" s="22">
        <f t="shared" si="45"/>
        <v>0</v>
      </c>
      <c r="BI73" s="22">
        <f t="shared" si="46"/>
        <v>0</v>
      </c>
      <c r="BJ73" s="22">
        <f t="shared" si="47"/>
        <v>0</v>
      </c>
      <c r="BK73" s="22" t="s">
        <v>761</v>
      </c>
      <c r="BL73" s="42">
        <v>723</v>
      </c>
    </row>
    <row r="74" spans="1:64" ht="12.75">
      <c r="A74" s="4" t="s">
        <v>61</v>
      </c>
      <c r="B74" s="13"/>
      <c r="C74" s="13" t="s">
        <v>274</v>
      </c>
      <c r="D74" s="13" t="s">
        <v>505</v>
      </c>
      <c r="E74" s="13" t="s">
        <v>681</v>
      </c>
      <c r="F74" s="22">
        <v>1.5</v>
      </c>
      <c r="G74" s="90">
        <v>0</v>
      </c>
      <c r="H74" s="22">
        <f t="shared" si="24"/>
        <v>0</v>
      </c>
      <c r="I74" s="22">
        <f t="shared" si="25"/>
        <v>0</v>
      </c>
      <c r="J74" s="22">
        <f t="shared" si="26"/>
        <v>0</v>
      </c>
      <c r="K74" s="22">
        <v>0.0121</v>
      </c>
      <c r="L74" s="22">
        <f t="shared" si="27"/>
        <v>0.01815</v>
      </c>
      <c r="M74" s="36" t="s">
        <v>706</v>
      </c>
      <c r="N74" s="40"/>
      <c r="Z74" s="42">
        <f t="shared" si="28"/>
        <v>0</v>
      </c>
      <c r="AB74" s="42">
        <f t="shared" si="29"/>
        <v>0</v>
      </c>
      <c r="AC74" s="42">
        <f t="shared" si="30"/>
        <v>0</v>
      </c>
      <c r="AD74" s="42">
        <f t="shared" si="31"/>
        <v>0</v>
      </c>
      <c r="AE74" s="42">
        <f t="shared" si="32"/>
        <v>0</v>
      </c>
      <c r="AF74" s="42">
        <f t="shared" si="33"/>
        <v>0</v>
      </c>
      <c r="AG74" s="42">
        <f t="shared" si="34"/>
        <v>0</v>
      </c>
      <c r="AH74" s="42">
        <f t="shared" si="35"/>
        <v>0</v>
      </c>
      <c r="AI74" s="32"/>
      <c r="AJ74" s="22">
        <f t="shared" si="36"/>
        <v>0</v>
      </c>
      <c r="AK74" s="22">
        <f t="shared" si="37"/>
        <v>0</v>
      </c>
      <c r="AL74" s="22">
        <f t="shared" si="38"/>
        <v>0</v>
      </c>
      <c r="AN74" s="42">
        <v>15</v>
      </c>
      <c r="AO74" s="42">
        <f>G74*0.595238649592549</f>
        <v>0</v>
      </c>
      <c r="AP74" s="42">
        <f>G74*(1-0.595238649592549)</f>
        <v>0</v>
      </c>
      <c r="AQ74" s="43" t="s">
        <v>13</v>
      </c>
      <c r="AV74" s="42">
        <f t="shared" si="39"/>
        <v>0</v>
      </c>
      <c r="AW74" s="42">
        <f t="shared" si="40"/>
        <v>0</v>
      </c>
      <c r="AX74" s="42">
        <f t="shared" si="41"/>
        <v>0</v>
      </c>
      <c r="AY74" s="45" t="s">
        <v>725</v>
      </c>
      <c r="AZ74" s="45" t="s">
        <v>749</v>
      </c>
      <c r="BA74" s="32" t="s">
        <v>756</v>
      </c>
      <c r="BC74" s="42">
        <f t="shared" si="42"/>
        <v>0</v>
      </c>
      <c r="BD74" s="42">
        <f t="shared" si="43"/>
        <v>0</v>
      </c>
      <c r="BE74" s="42">
        <v>0</v>
      </c>
      <c r="BF74" s="42">
        <f t="shared" si="44"/>
        <v>0.01815</v>
      </c>
      <c r="BH74" s="22">
        <f t="shared" si="45"/>
        <v>0</v>
      </c>
      <c r="BI74" s="22">
        <f t="shared" si="46"/>
        <v>0</v>
      </c>
      <c r="BJ74" s="22">
        <f t="shared" si="47"/>
        <v>0</v>
      </c>
      <c r="BK74" s="22" t="s">
        <v>761</v>
      </c>
      <c r="BL74" s="42">
        <v>723</v>
      </c>
    </row>
    <row r="75" spans="1:64" ht="12.75">
      <c r="A75" s="4" t="s">
        <v>62</v>
      </c>
      <c r="B75" s="13"/>
      <c r="C75" s="13" t="s">
        <v>275</v>
      </c>
      <c r="D75" s="13" t="s">
        <v>506</v>
      </c>
      <c r="E75" s="13" t="s">
        <v>681</v>
      </c>
      <c r="F75" s="22">
        <v>1</v>
      </c>
      <c r="G75" s="90">
        <v>0</v>
      </c>
      <c r="H75" s="22">
        <f t="shared" si="24"/>
        <v>0</v>
      </c>
      <c r="I75" s="22">
        <f t="shared" si="25"/>
        <v>0</v>
      </c>
      <c r="J75" s="22">
        <f t="shared" si="26"/>
        <v>0</v>
      </c>
      <c r="K75" s="22">
        <v>0.02169</v>
      </c>
      <c r="L75" s="22">
        <f t="shared" si="27"/>
        <v>0.02169</v>
      </c>
      <c r="M75" s="36" t="s">
        <v>706</v>
      </c>
      <c r="N75" s="40"/>
      <c r="Z75" s="42">
        <f t="shared" si="28"/>
        <v>0</v>
      </c>
      <c r="AB75" s="42">
        <f t="shared" si="29"/>
        <v>0</v>
      </c>
      <c r="AC75" s="42">
        <f t="shared" si="30"/>
        <v>0</v>
      </c>
      <c r="AD75" s="42">
        <f t="shared" si="31"/>
        <v>0</v>
      </c>
      <c r="AE75" s="42">
        <f t="shared" si="32"/>
        <v>0</v>
      </c>
      <c r="AF75" s="42">
        <f t="shared" si="33"/>
        <v>0</v>
      </c>
      <c r="AG75" s="42">
        <f t="shared" si="34"/>
        <v>0</v>
      </c>
      <c r="AH75" s="42">
        <f t="shared" si="35"/>
        <v>0</v>
      </c>
      <c r="AI75" s="32"/>
      <c r="AJ75" s="22">
        <f t="shared" si="36"/>
        <v>0</v>
      </c>
      <c r="AK75" s="22">
        <f t="shared" si="37"/>
        <v>0</v>
      </c>
      <c r="AL75" s="22">
        <f t="shared" si="38"/>
        <v>0</v>
      </c>
      <c r="AN75" s="42">
        <v>15</v>
      </c>
      <c r="AO75" s="42">
        <f>G75*0.395823461167666</f>
        <v>0</v>
      </c>
      <c r="AP75" s="42">
        <f>G75*(1-0.395823461167666)</f>
        <v>0</v>
      </c>
      <c r="AQ75" s="43" t="s">
        <v>13</v>
      </c>
      <c r="AV75" s="42">
        <f t="shared" si="39"/>
        <v>0</v>
      </c>
      <c r="AW75" s="42">
        <f t="shared" si="40"/>
        <v>0</v>
      </c>
      <c r="AX75" s="42">
        <f t="shared" si="41"/>
        <v>0</v>
      </c>
      <c r="AY75" s="45" t="s">
        <v>725</v>
      </c>
      <c r="AZ75" s="45" t="s">
        <v>749</v>
      </c>
      <c r="BA75" s="32" t="s">
        <v>756</v>
      </c>
      <c r="BC75" s="42">
        <f t="shared" si="42"/>
        <v>0</v>
      </c>
      <c r="BD75" s="42">
        <f t="shared" si="43"/>
        <v>0</v>
      </c>
      <c r="BE75" s="42">
        <v>0</v>
      </c>
      <c r="BF75" s="42">
        <f t="shared" si="44"/>
        <v>0.02169</v>
      </c>
      <c r="BH75" s="22">
        <f t="shared" si="45"/>
        <v>0</v>
      </c>
      <c r="BI75" s="22">
        <f t="shared" si="46"/>
        <v>0</v>
      </c>
      <c r="BJ75" s="22">
        <f t="shared" si="47"/>
        <v>0</v>
      </c>
      <c r="BK75" s="22" t="s">
        <v>761</v>
      </c>
      <c r="BL75" s="42">
        <v>723</v>
      </c>
    </row>
    <row r="76" spans="1:64" ht="12.75">
      <c r="A76" s="4" t="s">
        <v>63</v>
      </c>
      <c r="B76" s="13"/>
      <c r="C76" s="13" t="s">
        <v>276</v>
      </c>
      <c r="D76" s="13" t="s">
        <v>507</v>
      </c>
      <c r="E76" s="13" t="s">
        <v>679</v>
      </c>
      <c r="F76" s="22">
        <v>1</v>
      </c>
      <c r="G76" s="90">
        <v>0</v>
      </c>
      <c r="H76" s="22">
        <f t="shared" si="24"/>
        <v>0</v>
      </c>
      <c r="I76" s="22">
        <f t="shared" si="25"/>
        <v>0</v>
      </c>
      <c r="J76" s="22">
        <f t="shared" si="26"/>
        <v>0</v>
      </c>
      <c r="K76" s="22">
        <v>0.00024</v>
      </c>
      <c r="L76" s="22">
        <f t="shared" si="27"/>
        <v>0.00024</v>
      </c>
      <c r="M76" s="36" t="s">
        <v>706</v>
      </c>
      <c r="N76" s="40"/>
      <c r="Z76" s="42">
        <f t="shared" si="28"/>
        <v>0</v>
      </c>
      <c r="AB76" s="42">
        <f t="shared" si="29"/>
        <v>0</v>
      </c>
      <c r="AC76" s="42">
        <f t="shared" si="30"/>
        <v>0</v>
      </c>
      <c r="AD76" s="42">
        <f t="shared" si="31"/>
        <v>0</v>
      </c>
      <c r="AE76" s="42">
        <f t="shared" si="32"/>
        <v>0</v>
      </c>
      <c r="AF76" s="42">
        <f t="shared" si="33"/>
        <v>0</v>
      </c>
      <c r="AG76" s="42">
        <f t="shared" si="34"/>
        <v>0</v>
      </c>
      <c r="AH76" s="42">
        <f t="shared" si="35"/>
        <v>0</v>
      </c>
      <c r="AI76" s="32"/>
      <c r="AJ76" s="22">
        <f t="shared" si="36"/>
        <v>0</v>
      </c>
      <c r="AK76" s="22">
        <f t="shared" si="37"/>
        <v>0</v>
      </c>
      <c r="AL76" s="22">
        <f t="shared" si="38"/>
        <v>0</v>
      </c>
      <c r="AN76" s="42">
        <v>15</v>
      </c>
      <c r="AO76" s="42">
        <f>G76*0.70828947368421</f>
        <v>0</v>
      </c>
      <c r="AP76" s="42">
        <f>G76*(1-0.70828947368421)</f>
        <v>0</v>
      </c>
      <c r="AQ76" s="43" t="s">
        <v>13</v>
      </c>
      <c r="AV76" s="42">
        <f t="shared" si="39"/>
        <v>0</v>
      </c>
      <c r="AW76" s="42">
        <f t="shared" si="40"/>
        <v>0</v>
      </c>
      <c r="AX76" s="42">
        <f t="shared" si="41"/>
        <v>0</v>
      </c>
      <c r="AY76" s="45" t="s">
        <v>725</v>
      </c>
      <c r="AZ76" s="45" t="s">
        <v>749</v>
      </c>
      <c r="BA76" s="32" t="s">
        <v>756</v>
      </c>
      <c r="BC76" s="42">
        <f t="shared" si="42"/>
        <v>0</v>
      </c>
      <c r="BD76" s="42">
        <f t="shared" si="43"/>
        <v>0</v>
      </c>
      <c r="BE76" s="42">
        <v>0</v>
      </c>
      <c r="BF76" s="42">
        <f t="shared" si="44"/>
        <v>0.00024</v>
      </c>
      <c r="BH76" s="22">
        <f t="shared" si="45"/>
        <v>0</v>
      </c>
      <c r="BI76" s="22">
        <f t="shared" si="46"/>
        <v>0</v>
      </c>
      <c r="BJ76" s="22">
        <f t="shared" si="47"/>
        <v>0</v>
      </c>
      <c r="BK76" s="22" t="s">
        <v>761</v>
      </c>
      <c r="BL76" s="42">
        <v>723</v>
      </c>
    </row>
    <row r="77" spans="1:64" ht="12.75">
      <c r="A77" s="4" t="s">
        <v>64</v>
      </c>
      <c r="B77" s="13"/>
      <c r="C77" s="13" t="s">
        <v>277</v>
      </c>
      <c r="D77" s="13" t="s">
        <v>508</v>
      </c>
      <c r="E77" s="13" t="s">
        <v>679</v>
      </c>
      <c r="F77" s="22">
        <v>2</v>
      </c>
      <c r="G77" s="90">
        <v>0</v>
      </c>
      <c r="H77" s="22">
        <f t="shared" si="24"/>
        <v>0</v>
      </c>
      <c r="I77" s="22">
        <f t="shared" si="25"/>
        <v>0</v>
      </c>
      <c r="J77" s="22">
        <f t="shared" si="26"/>
        <v>0</v>
      </c>
      <c r="K77" s="22">
        <v>0.00061</v>
      </c>
      <c r="L77" s="22">
        <f t="shared" si="27"/>
        <v>0.00122</v>
      </c>
      <c r="M77" s="36" t="s">
        <v>706</v>
      </c>
      <c r="N77" s="40"/>
      <c r="Z77" s="42">
        <f t="shared" si="28"/>
        <v>0</v>
      </c>
      <c r="AB77" s="42">
        <f t="shared" si="29"/>
        <v>0</v>
      </c>
      <c r="AC77" s="42">
        <f t="shared" si="30"/>
        <v>0</v>
      </c>
      <c r="AD77" s="42">
        <f t="shared" si="31"/>
        <v>0</v>
      </c>
      <c r="AE77" s="42">
        <f t="shared" si="32"/>
        <v>0</v>
      </c>
      <c r="AF77" s="42">
        <f t="shared" si="33"/>
        <v>0</v>
      </c>
      <c r="AG77" s="42">
        <f t="shared" si="34"/>
        <v>0</v>
      </c>
      <c r="AH77" s="42">
        <f t="shared" si="35"/>
        <v>0</v>
      </c>
      <c r="AI77" s="32"/>
      <c r="AJ77" s="22">
        <f t="shared" si="36"/>
        <v>0</v>
      </c>
      <c r="AK77" s="22">
        <f t="shared" si="37"/>
        <v>0</v>
      </c>
      <c r="AL77" s="22">
        <f t="shared" si="38"/>
        <v>0</v>
      </c>
      <c r="AN77" s="42">
        <v>15</v>
      </c>
      <c r="AO77" s="42">
        <f>G77*0.796917922948074</f>
        <v>0</v>
      </c>
      <c r="AP77" s="42">
        <f>G77*(1-0.796917922948074)</f>
        <v>0</v>
      </c>
      <c r="AQ77" s="43" t="s">
        <v>13</v>
      </c>
      <c r="AV77" s="42">
        <f t="shared" si="39"/>
        <v>0</v>
      </c>
      <c r="AW77" s="42">
        <f t="shared" si="40"/>
        <v>0</v>
      </c>
      <c r="AX77" s="42">
        <f t="shared" si="41"/>
        <v>0</v>
      </c>
      <c r="AY77" s="45" t="s">
        <v>725</v>
      </c>
      <c r="AZ77" s="45" t="s">
        <v>749</v>
      </c>
      <c r="BA77" s="32" t="s">
        <v>756</v>
      </c>
      <c r="BC77" s="42">
        <f t="shared" si="42"/>
        <v>0</v>
      </c>
      <c r="BD77" s="42">
        <f t="shared" si="43"/>
        <v>0</v>
      </c>
      <c r="BE77" s="42">
        <v>0</v>
      </c>
      <c r="BF77" s="42">
        <f t="shared" si="44"/>
        <v>0.00122</v>
      </c>
      <c r="BH77" s="22">
        <f t="shared" si="45"/>
        <v>0</v>
      </c>
      <c r="BI77" s="22">
        <f t="shared" si="46"/>
        <v>0</v>
      </c>
      <c r="BJ77" s="22">
        <f t="shared" si="47"/>
        <v>0</v>
      </c>
      <c r="BK77" s="22" t="s">
        <v>761</v>
      </c>
      <c r="BL77" s="42">
        <v>723</v>
      </c>
    </row>
    <row r="78" spans="1:64" ht="12.75">
      <c r="A78" s="4" t="s">
        <v>65</v>
      </c>
      <c r="B78" s="13"/>
      <c r="C78" s="13" t="s">
        <v>278</v>
      </c>
      <c r="D78" s="13" t="s">
        <v>509</v>
      </c>
      <c r="E78" s="13" t="s">
        <v>679</v>
      </c>
      <c r="F78" s="22">
        <v>1</v>
      </c>
      <c r="G78" s="90">
        <v>0</v>
      </c>
      <c r="H78" s="22">
        <f t="shared" si="24"/>
        <v>0</v>
      </c>
      <c r="I78" s="22">
        <f t="shared" si="25"/>
        <v>0</v>
      </c>
      <c r="J78" s="22">
        <f t="shared" si="26"/>
        <v>0</v>
      </c>
      <c r="K78" s="22">
        <v>0.0013</v>
      </c>
      <c r="L78" s="22">
        <f t="shared" si="27"/>
        <v>0.0013</v>
      </c>
      <c r="M78" s="36" t="s">
        <v>706</v>
      </c>
      <c r="N78" s="40"/>
      <c r="Z78" s="42">
        <f t="shared" si="28"/>
        <v>0</v>
      </c>
      <c r="AB78" s="42">
        <f t="shared" si="29"/>
        <v>0</v>
      </c>
      <c r="AC78" s="42">
        <f t="shared" si="30"/>
        <v>0</v>
      </c>
      <c r="AD78" s="42">
        <f t="shared" si="31"/>
        <v>0</v>
      </c>
      <c r="AE78" s="42">
        <f t="shared" si="32"/>
        <v>0</v>
      </c>
      <c r="AF78" s="42">
        <f t="shared" si="33"/>
        <v>0</v>
      </c>
      <c r="AG78" s="42">
        <f t="shared" si="34"/>
        <v>0</v>
      </c>
      <c r="AH78" s="42">
        <f t="shared" si="35"/>
        <v>0</v>
      </c>
      <c r="AI78" s="32"/>
      <c r="AJ78" s="22">
        <f t="shared" si="36"/>
        <v>0</v>
      </c>
      <c r="AK78" s="22">
        <f t="shared" si="37"/>
        <v>0</v>
      </c>
      <c r="AL78" s="22">
        <f t="shared" si="38"/>
        <v>0</v>
      </c>
      <c r="AN78" s="42">
        <v>15</v>
      </c>
      <c r="AO78" s="42">
        <f>G78*0.851574438435775</f>
        <v>0</v>
      </c>
      <c r="AP78" s="42">
        <f>G78*(1-0.851574438435775)</f>
        <v>0</v>
      </c>
      <c r="AQ78" s="43" t="s">
        <v>13</v>
      </c>
      <c r="AV78" s="42">
        <f t="shared" si="39"/>
        <v>0</v>
      </c>
      <c r="AW78" s="42">
        <f t="shared" si="40"/>
        <v>0</v>
      </c>
      <c r="AX78" s="42">
        <f t="shared" si="41"/>
        <v>0</v>
      </c>
      <c r="AY78" s="45" t="s">
        <v>725</v>
      </c>
      <c r="AZ78" s="45" t="s">
        <v>749</v>
      </c>
      <c r="BA78" s="32" t="s">
        <v>756</v>
      </c>
      <c r="BC78" s="42">
        <f t="shared" si="42"/>
        <v>0</v>
      </c>
      <c r="BD78" s="42">
        <f t="shared" si="43"/>
        <v>0</v>
      </c>
      <c r="BE78" s="42">
        <v>0</v>
      </c>
      <c r="BF78" s="42">
        <f t="shared" si="44"/>
        <v>0.0013</v>
      </c>
      <c r="BH78" s="22">
        <f t="shared" si="45"/>
        <v>0</v>
      </c>
      <c r="BI78" s="22">
        <f t="shared" si="46"/>
        <v>0</v>
      </c>
      <c r="BJ78" s="22">
        <f t="shared" si="47"/>
        <v>0</v>
      </c>
      <c r="BK78" s="22" t="s">
        <v>761</v>
      </c>
      <c r="BL78" s="42">
        <v>723</v>
      </c>
    </row>
    <row r="79" spans="1:64" ht="12.75">
      <c r="A79" s="4" t="s">
        <v>66</v>
      </c>
      <c r="B79" s="13"/>
      <c r="C79" s="13" t="s">
        <v>279</v>
      </c>
      <c r="D79" s="13" t="s">
        <v>510</v>
      </c>
      <c r="E79" s="13" t="s">
        <v>679</v>
      </c>
      <c r="F79" s="22">
        <v>1</v>
      </c>
      <c r="G79" s="90">
        <v>0</v>
      </c>
      <c r="H79" s="22">
        <f t="shared" si="24"/>
        <v>0</v>
      </c>
      <c r="I79" s="22">
        <f t="shared" si="25"/>
        <v>0</v>
      </c>
      <c r="J79" s="22">
        <f t="shared" si="26"/>
        <v>0</v>
      </c>
      <c r="K79" s="22">
        <v>0.0002</v>
      </c>
      <c r="L79" s="22">
        <f t="shared" si="27"/>
        <v>0.0002</v>
      </c>
      <c r="M79" s="36" t="s">
        <v>706</v>
      </c>
      <c r="N79" s="40"/>
      <c r="Z79" s="42">
        <f t="shared" si="28"/>
        <v>0</v>
      </c>
      <c r="AB79" s="42">
        <f t="shared" si="29"/>
        <v>0</v>
      </c>
      <c r="AC79" s="42">
        <f t="shared" si="30"/>
        <v>0</v>
      </c>
      <c r="AD79" s="42">
        <f t="shared" si="31"/>
        <v>0</v>
      </c>
      <c r="AE79" s="42">
        <f t="shared" si="32"/>
        <v>0</v>
      </c>
      <c r="AF79" s="42">
        <f t="shared" si="33"/>
        <v>0</v>
      </c>
      <c r="AG79" s="42">
        <f t="shared" si="34"/>
        <v>0</v>
      </c>
      <c r="AH79" s="42">
        <f t="shared" si="35"/>
        <v>0</v>
      </c>
      <c r="AI79" s="32"/>
      <c r="AJ79" s="22">
        <f t="shared" si="36"/>
        <v>0</v>
      </c>
      <c r="AK79" s="22">
        <f t="shared" si="37"/>
        <v>0</v>
      </c>
      <c r="AL79" s="22">
        <f t="shared" si="38"/>
        <v>0</v>
      </c>
      <c r="AN79" s="42">
        <v>15</v>
      </c>
      <c r="AO79" s="42">
        <f>G79*0.744503311258278</f>
        <v>0</v>
      </c>
      <c r="AP79" s="42">
        <f>G79*(1-0.744503311258278)</f>
        <v>0</v>
      </c>
      <c r="AQ79" s="43" t="s">
        <v>13</v>
      </c>
      <c r="AV79" s="42">
        <f t="shared" si="39"/>
        <v>0</v>
      </c>
      <c r="AW79" s="42">
        <f t="shared" si="40"/>
        <v>0</v>
      </c>
      <c r="AX79" s="42">
        <f t="shared" si="41"/>
        <v>0</v>
      </c>
      <c r="AY79" s="45" t="s">
        <v>725</v>
      </c>
      <c r="AZ79" s="45" t="s">
        <v>749</v>
      </c>
      <c r="BA79" s="32" t="s">
        <v>756</v>
      </c>
      <c r="BC79" s="42">
        <f t="shared" si="42"/>
        <v>0</v>
      </c>
      <c r="BD79" s="42">
        <f t="shared" si="43"/>
        <v>0</v>
      </c>
      <c r="BE79" s="42">
        <v>0</v>
      </c>
      <c r="BF79" s="42">
        <f t="shared" si="44"/>
        <v>0.0002</v>
      </c>
      <c r="BH79" s="22">
        <f t="shared" si="45"/>
        <v>0</v>
      </c>
      <c r="BI79" s="22">
        <f t="shared" si="46"/>
        <v>0</v>
      </c>
      <c r="BJ79" s="22">
        <f t="shared" si="47"/>
        <v>0</v>
      </c>
      <c r="BK79" s="22" t="s">
        <v>761</v>
      </c>
      <c r="BL79" s="42">
        <v>723</v>
      </c>
    </row>
    <row r="80" spans="1:64" ht="12.75">
      <c r="A80" s="4" t="s">
        <v>67</v>
      </c>
      <c r="B80" s="13"/>
      <c r="C80" s="13" t="s">
        <v>280</v>
      </c>
      <c r="D80" s="13" t="s">
        <v>511</v>
      </c>
      <c r="E80" s="13" t="s">
        <v>679</v>
      </c>
      <c r="F80" s="22">
        <v>1</v>
      </c>
      <c r="G80" s="90">
        <v>0</v>
      </c>
      <c r="H80" s="22">
        <f t="shared" si="24"/>
        <v>0</v>
      </c>
      <c r="I80" s="22">
        <f t="shared" si="25"/>
        <v>0</v>
      </c>
      <c r="J80" s="22">
        <f t="shared" si="26"/>
        <v>0</v>
      </c>
      <c r="K80" s="22">
        <v>0.00297</v>
      </c>
      <c r="L80" s="22">
        <f t="shared" si="27"/>
        <v>0.00297</v>
      </c>
      <c r="M80" s="36" t="s">
        <v>706</v>
      </c>
      <c r="N80" s="40"/>
      <c r="Z80" s="42">
        <f t="shared" si="28"/>
        <v>0</v>
      </c>
      <c r="AB80" s="42">
        <f t="shared" si="29"/>
        <v>0</v>
      </c>
      <c r="AC80" s="42">
        <f t="shared" si="30"/>
        <v>0</v>
      </c>
      <c r="AD80" s="42">
        <f t="shared" si="31"/>
        <v>0</v>
      </c>
      <c r="AE80" s="42">
        <f t="shared" si="32"/>
        <v>0</v>
      </c>
      <c r="AF80" s="42">
        <f t="shared" si="33"/>
        <v>0</v>
      </c>
      <c r="AG80" s="42">
        <f t="shared" si="34"/>
        <v>0</v>
      </c>
      <c r="AH80" s="42">
        <f t="shared" si="35"/>
        <v>0</v>
      </c>
      <c r="AI80" s="32"/>
      <c r="AJ80" s="22">
        <f t="shared" si="36"/>
        <v>0</v>
      </c>
      <c r="AK80" s="22">
        <f t="shared" si="37"/>
        <v>0</v>
      </c>
      <c r="AL80" s="22">
        <f t="shared" si="38"/>
        <v>0</v>
      </c>
      <c r="AN80" s="42">
        <v>15</v>
      </c>
      <c r="AO80" s="42">
        <f>G80*0.895409429280397</f>
        <v>0</v>
      </c>
      <c r="AP80" s="42">
        <f>G80*(1-0.895409429280397)</f>
        <v>0</v>
      </c>
      <c r="AQ80" s="43" t="s">
        <v>13</v>
      </c>
      <c r="AV80" s="42">
        <f t="shared" si="39"/>
        <v>0</v>
      </c>
      <c r="AW80" s="42">
        <f t="shared" si="40"/>
        <v>0</v>
      </c>
      <c r="AX80" s="42">
        <f t="shared" si="41"/>
        <v>0</v>
      </c>
      <c r="AY80" s="45" t="s">
        <v>725</v>
      </c>
      <c r="AZ80" s="45" t="s">
        <v>749</v>
      </c>
      <c r="BA80" s="32" t="s">
        <v>756</v>
      </c>
      <c r="BC80" s="42">
        <f t="shared" si="42"/>
        <v>0</v>
      </c>
      <c r="BD80" s="42">
        <f t="shared" si="43"/>
        <v>0</v>
      </c>
      <c r="BE80" s="42">
        <v>0</v>
      </c>
      <c r="BF80" s="42">
        <f t="shared" si="44"/>
        <v>0.00297</v>
      </c>
      <c r="BH80" s="22">
        <f t="shared" si="45"/>
        <v>0</v>
      </c>
      <c r="BI80" s="22">
        <f t="shared" si="46"/>
        <v>0</v>
      </c>
      <c r="BJ80" s="22">
        <f t="shared" si="47"/>
        <v>0</v>
      </c>
      <c r="BK80" s="22" t="s">
        <v>761</v>
      </c>
      <c r="BL80" s="42">
        <v>723</v>
      </c>
    </row>
    <row r="81" spans="1:64" ht="12.75">
      <c r="A81" s="6" t="s">
        <v>68</v>
      </c>
      <c r="B81" s="15"/>
      <c r="C81" s="81" t="s">
        <v>281</v>
      </c>
      <c r="D81" s="15" t="s">
        <v>512</v>
      </c>
      <c r="E81" s="15" t="s">
        <v>684</v>
      </c>
      <c r="F81" s="23">
        <v>1</v>
      </c>
      <c r="G81" s="91">
        <v>0</v>
      </c>
      <c r="H81" s="23">
        <f t="shared" si="24"/>
        <v>0</v>
      </c>
      <c r="I81" s="23">
        <f t="shared" si="25"/>
        <v>0</v>
      </c>
      <c r="J81" s="23">
        <f t="shared" si="26"/>
        <v>0</v>
      </c>
      <c r="K81" s="23">
        <v>0.0008</v>
      </c>
      <c r="L81" s="23">
        <f t="shared" si="27"/>
        <v>0.0008</v>
      </c>
      <c r="M81" s="38"/>
      <c r="N81" s="40"/>
      <c r="Z81" s="42">
        <f t="shared" si="28"/>
        <v>0</v>
      </c>
      <c r="AB81" s="42">
        <f t="shared" si="29"/>
        <v>0</v>
      </c>
      <c r="AC81" s="42">
        <f t="shared" si="30"/>
        <v>0</v>
      </c>
      <c r="AD81" s="42">
        <f t="shared" si="31"/>
        <v>0</v>
      </c>
      <c r="AE81" s="42">
        <f t="shared" si="32"/>
        <v>0</v>
      </c>
      <c r="AF81" s="42">
        <f t="shared" si="33"/>
        <v>0</v>
      </c>
      <c r="AG81" s="42">
        <f t="shared" si="34"/>
        <v>0</v>
      </c>
      <c r="AH81" s="42">
        <f t="shared" si="35"/>
        <v>0</v>
      </c>
      <c r="AI81" s="32"/>
      <c r="AJ81" s="23">
        <f t="shared" si="36"/>
        <v>0</v>
      </c>
      <c r="AK81" s="23">
        <f t="shared" si="37"/>
        <v>0</v>
      </c>
      <c r="AL81" s="23">
        <f t="shared" si="38"/>
        <v>0</v>
      </c>
      <c r="AN81" s="42">
        <v>15</v>
      </c>
      <c r="AO81" s="42">
        <f>G81*1</f>
        <v>0</v>
      </c>
      <c r="AP81" s="42">
        <f>G81*(1-1)</f>
        <v>0</v>
      </c>
      <c r="AQ81" s="44" t="s">
        <v>13</v>
      </c>
      <c r="AV81" s="42">
        <f t="shared" si="39"/>
        <v>0</v>
      </c>
      <c r="AW81" s="42">
        <f t="shared" si="40"/>
        <v>0</v>
      </c>
      <c r="AX81" s="42">
        <f t="shared" si="41"/>
        <v>0</v>
      </c>
      <c r="AY81" s="45" t="s">
        <v>725</v>
      </c>
      <c r="AZ81" s="45" t="s">
        <v>749</v>
      </c>
      <c r="BA81" s="32" t="s">
        <v>756</v>
      </c>
      <c r="BC81" s="42">
        <f t="shared" si="42"/>
        <v>0</v>
      </c>
      <c r="BD81" s="42">
        <f t="shared" si="43"/>
        <v>0</v>
      </c>
      <c r="BE81" s="42">
        <v>0</v>
      </c>
      <c r="BF81" s="42">
        <f t="shared" si="44"/>
        <v>0.0008</v>
      </c>
      <c r="BH81" s="23">
        <f t="shared" si="45"/>
        <v>0</v>
      </c>
      <c r="BI81" s="23">
        <f t="shared" si="46"/>
        <v>0</v>
      </c>
      <c r="BJ81" s="23">
        <f t="shared" si="47"/>
        <v>0</v>
      </c>
      <c r="BK81" s="23" t="s">
        <v>762</v>
      </c>
      <c r="BL81" s="42">
        <v>723</v>
      </c>
    </row>
    <row r="82" spans="1:64" ht="12.75">
      <c r="A82" s="4" t="s">
        <v>69</v>
      </c>
      <c r="B82" s="13"/>
      <c r="C82" s="88" t="s">
        <v>282</v>
      </c>
      <c r="D82" s="13" t="s">
        <v>513</v>
      </c>
      <c r="E82" s="13" t="s">
        <v>680</v>
      </c>
      <c r="F82" s="22">
        <v>1</v>
      </c>
      <c r="G82" s="90">
        <v>0</v>
      </c>
      <c r="H82" s="22">
        <f t="shared" si="24"/>
        <v>0</v>
      </c>
      <c r="I82" s="22">
        <f t="shared" si="25"/>
        <v>0</v>
      </c>
      <c r="J82" s="22">
        <f t="shared" si="26"/>
        <v>0</v>
      </c>
      <c r="K82" s="22">
        <v>0</v>
      </c>
      <c r="L82" s="22">
        <f t="shared" si="27"/>
        <v>0</v>
      </c>
      <c r="M82" s="36"/>
      <c r="N82" s="40"/>
      <c r="Z82" s="42">
        <f t="shared" si="28"/>
        <v>0</v>
      </c>
      <c r="AB82" s="42">
        <f t="shared" si="29"/>
        <v>0</v>
      </c>
      <c r="AC82" s="42">
        <f t="shared" si="30"/>
        <v>0</v>
      </c>
      <c r="AD82" s="42">
        <f t="shared" si="31"/>
        <v>0</v>
      </c>
      <c r="AE82" s="42">
        <f t="shared" si="32"/>
        <v>0</v>
      </c>
      <c r="AF82" s="42">
        <f t="shared" si="33"/>
        <v>0</v>
      </c>
      <c r="AG82" s="42">
        <f t="shared" si="34"/>
        <v>0</v>
      </c>
      <c r="AH82" s="42">
        <f t="shared" si="35"/>
        <v>0</v>
      </c>
      <c r="AI82" s="32"/>
      <c r="AJ82" s="22">
        <f t="shared" si="36"/>
        <v>0</v>
      </c>
      <c r="AK82" s="22">
        <f t="shared" si="37"/>
        <v>0</v>
      </c>
      <c r="AL82" s="22">
        <f t="shared" si="38"/>
        <v>0</v>
      </c>
      <c r="AN82" s="42">
        <v>15</v>
      </c>
      <c r="AO82" s="42">
        <f>G82*0.223880597014925</f>
        <v>0</v>
      </c>
      <c r="AP82" s="42">
        <f>G82*(1-0.223880597014925)</f>
        <v>0</v>
      </c>
      <c r="AQ82" s="43" t="s">
        <v>13</v>
      </c>
      <c r="AV82" s="42">
        <f t="shared" si="39"/>
        <v>0</v>
      </c>
      <c r="AW82" s="42">
        <f t="shared" si="40"/>
        <v>0</v>
      </c>
      <c r="AX82" s="42">
        <f t="shared" si="41"/>
        <v>0</v>
      </c>
      <c r="AY82" s="45" t="s">
        <v>725</v>
      </c>
      <c r="AZ82" s="45" t="s">
        <v>749</v>
      </c>
      <c r="BA82" s="32" t="s">
        <v>756</v>
      </c>
      <c r="BC82" s="42">
        <f t="shared" si="42"/>
        <v>0</v>
      </c>
      <c r="BD82" s="42">
        <f t="shared" si="43"/>
        <v>0</v>
      </c>
      <c r="BE82" s="42">
        <v>0</v>
      </c>
      <c r="BF82" s="42">
        <f t="shared" si="44"/>
        <v>0</v>
      </c>
      <c r="BH82" s="22">
        <f t="shared" si="45"/>
        <v>0</v>
      </c>
      <c r="BI82" s="22">
        <f t="shared" si="46"/>
        <v>0</v>
      </c>
      <c r="BJ82" s="22">
        <f t="shared" si="47"/>
        <v>0</v>
      </c>
      <c r="BK82" s="22" t="s">
        <v>761</v>
      </c>
      <c r="BL82" s="42">
        <v>723</v>
      </c>
    </row>
    <row r="83" spans="1:64" ht="25.5">
      <c r="A83" s="4" t="s">
        <v>70</v>
      </c>
      <c r="B83" s="13"/>
      <c r="C83" s="88" t="s">
        <v>820</v>
      </c>
      <c r="D83" s="89" t="s">
        <v>514</v>
      </c>
      <c r="E83" s="13" t="s">
        <v>681</v>
      </c>
      <c r="F83" s="22">
        <v>15</v>
      </c>
      <c r="G83" s="90">
        <v>0</v>
      </c>
      <c r="H83" s="22">
        <f t="shared" si="24"/>
        <v>0</v>
      </c>
      <c r="I83" s="22">
        <f t="shared" si="25"/>
        <v>0</v>
      </c>
      <c r="J83" s="22">
        <f t="shared" si="26"/>
        <v>0</v>
      </c>
      <c r="K83" s="22">
        <v>0</v>
      </c>
      <c r="L83" s="22">
        <f t="shared" si="27"/>
        <v>0</v>
      </c>
      <c r="M83" s="36"/>
      <c r="N83" s="40"/>
      <c r="Z83" s="42">
        <f t="shared" si="28"/>
        <v>0</v>
      </c>
      <c r="AB83" s="42">
        <f t="shared" si="29"/>
        <v>0</v>
      </c>
      <c r="AC83" s="42">
        <f t="shared" si="30"/>
        <v>0</v>
      </c>
      <c r="AD83" s="42">
        <f t="shared" si="31"/>
        <v>0</v>
      </c>
      <c r="AE83" s="42">
        <f t="shared" si="32"/>
        <v>0</v>
      </c>
      <c r="AF83" s="42">
        <f t="shared" si="33"/>
        <v>0</v>
      </c>
      <c r="AG83" s="42">
        <f t="shared" si="34"/>
        <v>0</v>
      </c>
      <c r="AH83" s="42">
        <f t="shared" si="35"/>
        <v>0</v>
      </c>
      <c r="AI83" s="32"/>
      <c r="AJ83" s="22">
        <f t="shared" si="36"/>
        <v>0</v>
      </c>
      <c r="AK83" s="22">
        <f t="shared" si="37"/>
        <v>0</v>
      </c>
      <c r="AL83" s="22">
        <f t="shared" si="38"/>
        <v>0</v>
      </c>
      <c r="AN83" s="42">
        <v>15</v>
      </c>
      <c r="AO83" s="42">
        <f>G83*0.633333333333333</f>
        <v>0</v>
      </c>
      <c r="AP83" s="42">
        <f>G83*(1-0.633333333333333)</f>
        <v>0</v>
      </c>
      <c r="AQ83" s="43" t="s">
        <v>13</v>
      </c>
      <c r="AV83" s="42">
        <f t="shared" si="39"/>
        <v>0</v>
      </c>
      <c r="AW83" s="42">
        <f t="shared" si="40"/>
        <v>0</v>
      </c>
      <c r="AX83" s="42">
        <f t="shared" si="41"/>
        <v>0</v>
      </c>
      <c r="AY83" s="45" t="s">
        <v>725</v>
      </c>
      <c r="AZ83" s="45" t="s">
        <v>749</v>
      </c>
      <c r="BA83" s="32" t="s">
        <v>756</v>
      </c>
      <c r="BC83" s="42">
        <f t="shared" si="42"/>
        <v>0</v>
      </c>
      <c r="BD83" s="42">
        <f t="shared" si="43"/>
        <v>0</v>
      </c>
      <c r="BE83" s="42">
        <v>0</v>
      </c>
      <c r="BF83" s="42">
        <f t="shared" si="44"/>
        <v>0</v>
      </c>
      <c r="BH83" s="22">
        <f t="shared" si="45"/>
        <v>0</v>
      </c>
      <c r="BI83" s="22">
        <f t="shared" si="46"/>
        <v>0</v>
      </c>
      <c r="BJ83" s="22">
        <f t="shared" si="47"/>
        <v>0</v>
      </c>
      <c r="BK83" s="22" t="s">
        <v>761</v>
      </c>
      <c r="BL83" s="42">
        <v>723</v>
      </c>
    </row>
    <row r="84" spans="1:64" ht="12.75">
      <c r="A84" s="6" t="s">
        <v>71</v>
      </c>
      <c r="B84" s="15"/>
      <c r="C84" s="81" t="s">
        <v>821</v>
      </c>
      <c r="D84" s="81" t="s">
        <v>819</v>
      </c>
      <c r="E84" s="15" t="s">
        <v>680</v>
      </c>
      <c r="F84" s="23">
        <v>1</v>
      </c>
      <c r="G84" s="91">
        <v>0</v>
      </c>
      <c r="H84" s="23">
        <f t="shared" si="24"/>
        <v>0</v>
      </c>
      <c r="I84" s="23">
        <f t="shared" si="25"/>
        <v>0</v>
      </c>
      <c r="J84" s="23">
        <f t="shared" si="26"/>
        <v>0</v>
      </c>
      <c r="K84" s="23">
        <v>0</v>
      </c>
      <c r="L84" s="23">
        <f t="shared" si="27"/>
        <v>0</v>
      </c>
      <c r="M84" s="38"/>
      <c r="N84" s="40"/>
      <c r="Z84" s="42">
        <f t="shared" si="28"/>
        <v>0</v>
      </c>
      <c r="AB84" s="42">
        <f t="shared" si="29"/>
        <v>0</v>
      </c>
      <c r="AC84" s="42">
        <f t="shared" si="30"/>
        <v>0</v>
      </c>
      <c r="AD84" s="42">
        <f t="shared" si="31"/>
        <v>0</v>
      </c>
      <c r="AE84" s="42">
        <f t="shared" si="32"/>
        <v>0</v>
      </c>
      <c r="AF84" s="42">
        <f t="shared" si="33"/>
        <v>0</v>
      </c>
      <c r="AG84" s="42">
        <f t="shared" si="34"/>
        <v>0</v>
      </c>
      <c r="AH84" s="42">
        <f t="shared" si="35"/>
        <v>0</v>
      </c>
      <c r="AI84" s="32"/>
      <c r="AJ84" s="23">
        <f t="shared" si="36"/>
        <v>0</v>
      </c>
      <c r="AK84" s="23">
        <f t="shared" si="37"/>
        <v>0</v>
      </c>
      <c r="AL84" s="23">
        <f t="shared" si="38"/>
        <v>0</v>
      </c>
      <c r="AN84" s="42">
        <v>15</v>
      </c>
      <c r="AO84" s="42">
        <f>G84*1</f>
        <v>0</v>
      </c>
      <c r="AP84" s="42">
        <f>G84*(1-1)</f>
        <v>0</v>
      </c>
      <c r="AQ84" s="44" t="s">
        <v>13</v>
      </c>
      <c r="AV84" s="42">
        <f t="shared" si="39"/>
        <v>0</v>
      </c>
      <c r="AW84" s="42">
        <f t="shared" si="40"/>
        <v>0</v>
      </c>
      <c r="AX84" s="42">
        <f t="shared" si="41"/>
        <v>0</v>
      </c>
      <c r="AY84" s="45" t="s">
        <v>725</v>
      </c>
      <c r="AZ84" s="45" t="s">
        <v>749</v>
      </c>
      <c r="BA84" s="32" t="s">
        <v>756</v>
      </c>
      <c r="BC84" s="42">
        <f t="shared" si="42"/>
        <v>0</v>
      </c>
      <c r="BD84" s="42">
        <f t="shared" si="43"/>
        <v>0</v>
      </c>
      <c r="BE84" s="42">
        <v>0</v>
      </c>
      <c r="BF84" s="42">
        <f t="shared" si="44"/>
        <v>0</v>
      </c>
      <c r="BH84" s="23">
        <f t="shared" si="45"/>
        <v>0</v>
      </c>
      <c r="BI84" s="23">
        <f t="shared" si="46"/>
        <v>0</v>
      </c>
      <c r="BJ84" s="23">
        <f t="shared" si="47"/>
        <v>0</v>
      </c>
      <c r="BK84" s="23" t="s">
        <v>762</v>
      </c>
      <c r="BL84" s="42">
        <v>723</v>
      </c>
    </row>
    <row r="85" spans="1:47" ht="12.75">
      <c r="A85" s="5"/>
      <c r="B85" s="14"/>
      <c r="C85" s="14" t="s">
        <v>283</v>
      </c>
      <c r="D85" s="14" t="s">
        <v>515</v>
      </c>
      <c r="E85" s="20" t="s">
        <v>6</v>
      </c>
      <c r="F85" s="20" t="s">
        <v>6</v>
      </c>
      <c r="G85" s="20" t="s">
        <v>6</v>
      </c>
      <c r="H85" s="48">
        <f>SUM(H86:H91)</f>
        <v>0</v>
      </c>
      <c r="I85" s="48">
        <f>SUM(I86:I91)</f>
        <v>0</v>
      </c>
      <c r="J85" s="48">
        <f>SUM(J86:J91)</f>
        <v>0</v>
      </c>
      <c r="K85" s="32"/>
      <c r="L85" s="48">
        <f>SUM(L86:L91)</f>
        <v>0.03454</v>
      </c>
      <c r="M85" s="37"/>
      <c r="N85" s="40"/>
      <c r="AI85" s="32"/>
      <c r="AS85" s="48">
        <f>SUM(AJ86:AJ91)</f>
        <v>0</v>
      </c>
      <c r="AT85" s="48">
        <f>SUM(AK86:AK91)</f>
        <v>0</v>
      </c>
      <c r="AU85" s="48">
        <f>SUM(AL86:AL91)</f>
        <v>0</v>
      </c>
    </row>
    <row r="86" spans="1:64" ht="12.75">
      <c r="A86" s="4" t="s">
        <v>72</v>
      </c>
      <c r="B86" s="13"/>
      <c r="C86" s="13" t="s">
        <v>284</v>
      </c>
      <c r="D86" s="13" t="s">
        <v>516</v>
      </c>
      <c r="E86" s="13" t="s">
        <v>679</v>
      </c>
      <c r="F86" s="22">
        <v>4</v>
      </c>
      <c r="G86" s="90">
        <v>0</v>
      </c>
      <c r="H86" s="22">
        <f aca="true" t="shared" si="48" ref="H86:H91">F86*AO86</f>
        <v>0</v>
      </c>
      <c r="I86" s="22">
        <f aca="true" t="shared" si="49" ref="I86:I91">F86*AP86</f>
        <v>0</v>
      </c>
      <c r="J86" s="22">
        <f aca="true" t="shared" si="50" ref="J86:J91">F86*G86</f>
        <v>0</v>
      </c>
      <c r="K86" s="22">
        <v>9E-05</v>
      </c>
      <c r="L86" s="22">
        <f aca="true" t="shared" si="51" ref="L86:L91">F86*K86</f>
        <v>0.00036</v>
      </c>
      <c r="M86" s="36" t="s">
        <v>706</v>
      </c>
      <c r="N86" s="40"/>
      <c r="Z86" s="42">
        <f aca="true" t="shared" si="52" ref="Z86:Z91">IF(AQ86="5",BJ86,0)</f>
        <v>0</v>
      </c>
      <c r="AB86" s="42">
        <f aca="true" t="shared" si="53" ref="AB86:AB91">IF(AQ86="1",BH86,0)</f>
        <v>0</v>
      </c>
      <c r="AC86" s="42">
        <f aca="true" t="shared" si="54" ref="AC86:AC91">IF(AQ86="1",BI86,0)</f>
        <v>0</v>
      </c>
      <c r="AD86" s="42">
        <f aca="true" t="shared" si="55" ref="AD86:AD91">IF(AQ86="7",BH86,0)</f>
        <v>0</v>
      </c>
      <c r="AE86" s="42">
        <f aca="true" t="shared" si="56" ref="AE86:AE91">IF(AQ86="7",BI86,0)</f>
        <v>0</v>
      </c>
      <c r="AF86" s="42">
        <f aca="true" t="shared" si="57" ref="AF86:AF91">IF(AQ86="2",BH86,0)</f>
        <v>0</v>
      </c>
      <c r="AG86" s="42">
        <f aca="true" t="shared" si="58" ref="AG86:AG91">IF(AQ86="2",BI86,0)</f>
        <v>0</v>
      </c>
      <c r="AH86" s="42">
        <f aca="true" t="shared" si="59" ref="AH86:AH91">IF(AQ86="0",BJ86,0)</f>
        <v>0</v>
      </c>
      <c r="AI86" s="32"/>
      <c r="AJ86" s="22">
        <f aca="true" t="shared" si="60" ref="AJ86:AJ91">IF(AN86=0,J86,0)</f>
        <v>0</v>
      </c>
      <c r="AK86" s="22">
        <f aca="true" t="shared" si="61" ref="AK86:AK91">IF(AN86=15,J86,0)</f>
        <v>0</v>
      </c>
      <c r="AL86" s="22">
        <f aca="true" t="shared" si="62" ref="AL86:AL91">IF(AN86=21,J86,0)</f>
        <v>0</v>
      </c>
      <c r="AN86" s="42">
        <v>15</v>
      </c>
      <c r="AO86" s="42">
        <f>G86*0.843123772102161</f>
        <v>0</v>
      </c>
      <c r="AP86" s="42">
        <f>G86*(1-0.843123772102161)</f>
        <v>0</v>
      </c>
      <c r="AQ86" s="43" t="s">
        <v>13</v>
      </c>
      <c r="AV86" s="42">
        <f aca="true" t="shared" si="63" ref="AV86:AV91">AW86+AX86</f>
        <v>0</v>
      </c>
      <c r="AW86" s="42">
        <f aca="true" t="shared" si="64" ref="AW86:AW91">F86*AO86</f>
        <v>0</v>
      </c>
      <c r="AX86" s="42">
        <f aca="true" t="shared" si="65" ref="AX86:AX91">F86*AP86</f>
        <v>0</v>
      </c>
      <c r="AY86" s="45" t="s">
        <v>726</v>
      </c>
      <c r="AZ86" s="45" t="s">
        <v>749</v>
      </c>
      <c r="BA86" s="32" t="s">
        <v>756</v>
      </c>
      <c r="BC86" s="42">
        <f aca="true" t="shared" si="66" ref="BC86:BC91">AW86+AX86</f>
        <v>0</v>
      </c>
      <c r="BD86" s="42">
        <f aca="true" t="shared" si="67" ref="BD86:BD91">G86/(100-BE86)*100</f>
        <v>0</v>
      </c>
      <c r="BE86" s="42">
        <v>0</v>
      </c>
      <c r="BF86" s="42">
        <f aca="true" t="shared" si="68" ref="BF86:BF91">L86</f>
        <v>0.00036</v>
      </c>
      <c r="BH86" s="22">
        <f aca="true" t="shared" si="69" ref="BH86:BH91">F86*AO86</f>
        <v>0</v>
      </c>
      <c r="BI86" s="22">
        <f aca="true" t="shared" si="70" ref="BI86:BI91">F86*AP86</f>
        <v>0</v>
      </c>
      <c r="BJ86" s="22">
        <f aca="true" t="shared" si="71" ref="BJ86:BJ91">F86*G86</f>
        <v>0</v>
      </c>
      <c r="BK86" s="22" t="s">
        <v>761</v>
      </c>
      <c r="BL86" s="42">
        <v>725</v>
      </c>
    </row>
    <row r="87" spans="1:64" ht="12.75">
      <c r="A87" s="6" t="s">
        <v>73</v>
      </c>
      <c r="B87" s="15"/>
      <c r="C87" s="15" t="s">
        <v>285</v>
      </c>
      <c r="D87" s="15" t="s">
        <v>517</v>
      </c>
      <c r="E87" s="15" t="s">
        <v>679</v>
      </c>
      <c r="F87" s="23">
        <v>1</v>
      </c>
      <c r="G87" s="91">
        <v>0</v>
      </c>
      <c r="H87" s="23">
        <f t="shared" si="48"/>
        <v>0</v>
      </c>
      <c r="I87" s="23">
        <f t="shared" si="49"/>
        <v>0</v>
      </c>
      <c r="J87" s="23">
        <f t="shared" si="50"/>
        <v>0</v>
      </c>
      <c r="K87" s="23">
        <v>0.0035</v>
      </c>
      <c r="L87" s="23">
        <f t="shared" si="51"/>
        <v>0.0035</v>
      </c>
      <c r="M87" s="38" t="s">
        <v>706</v>
      </c>
      <c r="N87" s="40"/>
      <c r="Z87" s="42">
        <f t="shared" si="52"/>
        <v>0</v>
      </c>
      <c r="AB87" s="42">
        <f t="shared" si="53"/>
        <v>0</v>
      </c>
      <c r="AC87" s="42">
        <f t="shared" si="54"/>
        <v>0</v>
      </c>
      <c r="AD87" s="42">
        <f t="shared" si="55"/>
        <v>0</v>
      </c>
      <c r="AE87" s="42">
        <f t="shared" si="56"/>
        <v>0</v>
      </c>
      <c r="AF87" s="42">
        <f t="shared" si="57"/>
        <v>0</v>
      </c>
      <c r="AG87" s="42">
        <f t="shared" si="58"/>
        <v>0</v>
      </c>
      <c r="AH87" s="42">
        <f t="shared" si="59"/>
        <v>0</v>
      </c>
      <c r="AI87" s="32"/>
      <c r="AJ87" s="23">
        <f t="shared" si="60"/>
        <v>0</v>
      </c>
      <c r="AK87" s="23">
        <f t="shared" si="61"/>
        <v>0</v>
      </c>
      <c r="AL87" s="23">
        <f t="shared" si="62"/>
        <v>0</v>
      </c>
      <c r="AN87" s="42">
        <v>15</v>
      </c>
      <c r="AO87" s="42">
        <f>G87*1</f>
        <v>0</v>
      </c>
      <c r="AP87" s="42">
        <f>G87*(1-1)</f>
        <v>0</v>
      </c>
      <c r="AQ87" s="44" t="s">
        <v>13</v>
      </c>
      <c r="AV87" s="42">
        <f t="shared" si="63"/>
        <v>0</v>
      </c>
      <c r="AW87" s="42">
        <f t="shared" si="64"/>
        <v>0</v>
      </c>
      <c r="AX87" s="42">
        <f t="shared" si="65"/>
        <v>0</v>
      </c>
      <c r="AY87" s="45" t="s">
        <v>726</v>
      </c>
      <c r="AZ87" s="45" t="s">
        <v>749</v>
      </c>
      <c r="BA87" s="32" t="s">
        <v>756</v>
      </c>
      <c r="BC87" s="42">
        <f t="shared" si="66"/>
        <v>0</v>
      </c>
      <c r="BD87" s="42">
        <f t="shared" si="67"/>
        <v>0</v>
      </c>
      <c r="BE87" s="42">
        <v>0</v>
      </c>
      <c r="BF87" s="42">
        <f t="shared" si="68"/>
        <v>0.0035</v>
      </c>
      <c r="BH87" s="23">
        <f t="shared" si="69"/>
        <v>0</v>
      </c>
      <c r="BI87" s="23">
        <f t="shared" si="70"/>
        <v>0</v>
      </c>
      <c r="BJ87" s="23">
        <f t="shared" si="71"/>
        <v>0</v>
      </c>
      <c r="BK87" s="23" t="s">
        <v>762</v>
      </c>
      <c r="BL87" s="42">
        <v>725</v>
      </c>
    </row>
    <row r="88" spans="1:64" ht="12.75">
      <c r="A88" s="4" t="s">
        <v>74</v>
      </c>
      <c r="B88" s="13"/>
      <c r="C88" s="13" t="s">
        <v>286</v>
      </c>
      <c r="D88" s="13" t="s">
        <v>518</v>
      </c>
      <c r="E88" s="13" t="s">
        <v>683</v>
      </c>
      <c r="F88" s="22">
        <v>1</v>
      </c>
      <c r="G88" s="90">
        <v>0</v>
      </c>
      <c r="H88" s="22">
        <f t="shared" si="48"/>
        <v>0</v>
      </c>
      <c r="I88" s="22">
        <f t="shared" si="49"/>
        <v>0</v>
      </c>
      <c r="J88" s="22">
        <f t="shared" si="50"/>
        <v>0</v>
      </c>
      <c r="K88" s="22">
        <v>0.01946</v>
      </c>
      <c r="L88" s="22">
        <f t="shared" si="51"/>
        <v>0.01946</v>
      </c>
      <c r="M88" s="36" t="s">
        <v>706</v>
      </c>
      <c r="N88" s="40"/>
      <c r="Z88" s="42">
        <f t="shared" si="52"/>
        <v>0</v>
      </c>
      <c r="AB88" s="42">
        <f t="shared" si="53"/>
        <v>0</v>
      </c>
      <c r="AC88" s="42">
        <f t="shared" si="54"/>
        <v>0</v>
      </c>
      <c r="AD88" s="42">
        <f t="shared" si="55"/>
        <v>0</v>
      </c>
      <c r="AE88" s="42">
        <f t="shared" si="56"/>
        <v>0</v>
      </c>
      <c r="AF88" s="42">
        <f t="shared" si="57"/>
        <v>0</v>
      </c>
      <c r="AG88" s="42">
        <f t="shared" si="58"/>
        <v>0</v>
      </c>
      <c r="AH88" s="42">
        <f t="shared" si="59"/>
        <v>0</v>
      </c>
      <c r="AI88" s="32"/>
      <c r="AJ88" s="22">
        <f t="shared" si="60"/>
        <v>0</v>
      </c>
      <c r="AK88" s="22">
        <f t="shared" si="61"/>
        <v>0</v>
      </c>
      <c r="AL88" s="22">
        <f t="shared" si="62"/>
        <v>0</v>
      </c>
      <c r="AN88" s="42">
        <v>15</v>
      </c>
      <c r="AO88" s="42">
        <f>G88*0</f>
        <v>0</v>
      </c>
      <c r="AP88" s="42">
        <f>G88*(1-0)</f>
        <v>0</v>
      </c>
      <c r="AQ88" s="43" t="s">
        <v>13</v>
      </c>
      <c r="AV88" s="42">
        <f t="shared" si="63"/>
        <v>0</v>
      </c>
      <c r="AW88" s="42">
        <f t="shared" si="64"/>
        <v>0</v>
      </c>
      <c r="AX88" s="42">
        <f t="shared" si="65"/>
        <v>0</v>
      </c>
      <c r="AY88" s="45" t="s">
        <v>726</v>
      </c>
      <c r="AZ88" s="45" t="s">
        <v>749</v>
      </c>
      <c r="BA88" s="32" t="s">
        <v>756</v>
      </c>
      <c r="BC88" s="42">
        <f t="shared" si="66"/>
        <v>0</v>
      </c>
      <c r="BD88" s="42">
        <f t="shared" si="67"/>
        <v>0</v>
      </c>
      <c r="BE88" s="42">
        <v>0</v>
      </c>
      <c r="BF88" s="42">
        <f t="shared" si="68"/>
        <v>0.01946</v>
      </c>
      <c r="BH88" s="22">
        <f t="shared" si="69"/>
        <v>0</v>
      </c>
      <c r="BI88" s="22">
        <f t="shared" si="70"/>
        <v>0</v>
      </c>
      <c r="BJ88" s="22">
        <f t="shared" si="71"/>
        <v>0</v>
      </c>
      <c r="BK88" s="22" t="s">
        <v>761</v>
      </c>
      <c r="BL88" s="42">
        <v>725</v>
      </c>
    </row>
    <row r="89" spans="1:64" ht="12.75">
      <c r="A89" s="4" t="s">
        <v>75</v>
      </c>
      <c r="B89" s="13"/>
      <c r="C89" s="13" t="s">
        <v>287</v>
      </c>
      <c r="D89" s="13" t="s">
        <v>519</v>
      </c>
      <c r="E89" s="13" t="s">
        <v>679</v>
      </c>
      <c r="F89" s="22">
        <v>1</v>
      </c>
      <c r="G89" s="90">
        <v>0</v>
      </c>
      <c r="H89" s="22">
        <f t="shared" si="48"/>
        <v>0</v>
      </c>
      <c r="I89" s="22">
        <f t="shared" si="49"/>
        <v>0</v>
      </c>
      <c r="J89" s="22">
        <f t="shared" si="50"/>
        <v>0</v>
      </c>
      <c r="K89" s="22">
        <v>0.01</v>
      </c>
      <c r="L89" s="22">
        <f t="shared" si="51"/>
        <v>0.01</v>
      </c>
      <c r="M89" s="36" t="s">
        <v>708</v>
      </c>
      <c r="N89" s="40"/>
      <c r="Z89" s="42">
        <f t="shared" si="52"/>
        <v>0</v>
      </c>
      <c r="AB89" s="42">
        <f t="shared" si="53"/>
        <v>0</v>
      </c>
      <c r="AC89" s="42">
        <f t="shared" si="54"/>
        <v>0</v>
      </c>
      <c r="AD89" s="42">
        <f t="shared" si="55"/>
        <v>0</v>
      </c>
      <c r="AE89" s="42">
        <f t="shared" si="56"/>
        <v>0</v>
      </c>
      <c r="AF89" s="42">
        <f t="shared" si="57"/>
        <v>0</v>
      </c>
      <c r="AG89" s="42">
        <f t="shared" si="58"/>
        <v>0</v>
      </c>
      <c r="AH89" s="42">
        <f t="shared" si="59"/>
        <v>0</v>
      </c>
      <c r="AI89" s="32"/>
      <c r="AJ89" s="22">
        <f t="shared" si="60"/>
        <v>0</v>
      </c>
      <c r="AK89" s="22">
        <f t="shared" si="61"/>
        <v>0</v>
      </c>
      <c r="AL89" s="22">
        <f t="shared" si="62"/>
        <v>0</v>
      </c>
      <c r="AN89" s="42">
        <v>15</v>
      </c>
      <c r="AO89" s="42">
        <f>G89*0</f>
        <v>0</v>
      </c>
      <c r="AP89" s="42">
        <f>G89*(1-0)</f>
        <v>0</v>
      </c>
      <c r="AQ89" s="43" t="s">
        <v>13</v>
      </c>
      <c r="AV89" s="42">
        <f t="shared" si="63"/>
        <v>0</v>
      </c>
      <c r="AW89" s="42">
        <f t="shared" si="64"/>
        <v>0</v>
      </c>
      <c r="AX89" s="42">
        <f t="shared" si="65"/>
        <v>0</v>
      </c>
      <c r="AY89" s="45" t="s">
        <v>726</v>
      </c>
      <c r="AZ89" s="45" t="s">
        <v>749</v>
      </c>
      <c r="BA89" s="32" t="s">
        <v>756</v>
      </c>
      <c r="BC89" s="42">
        <f t="shared" si="66"/>
        <v>0</v>
      </c>
      <c r="BD89" s="42">
        <f t="shared" si="67"/>
        <v>0</v>
      </c>
      <c r="BE89" s="42">
        <v>0</v>
      </c>
      <c r="BF89" s="42">
        <f t="shared" si="68"/>
        <v>0.01</v>
      </c>
      <c r="BH89" s="22">
        <f t="shared" si="69"/>
        <v>0</v>
      </c>
      <c r="BI89" s="22">
        <f t="shared" si="70"/>
        <v>0</v>
      </c>
      <c r="BJ89" s="22">
        <f t="shared" si="71"/>
        <v>0</v>
      </c>
      <c r="BK89" s="22" t="s">
        <v>761</v>
      </c>
      <c r="BL89" s="42">
        <v>725</v>
      </c>
    </row>
    <row r="90" spans="1:64" ht="12.75">
      <c r="A90" s="6" t="s">
        <v>76</v>
      </c>
      <c r="B90" s="15"/>
      <c r="C90" s="15" t="s">
        <v>288</v>
      </c>
      <c r="D90" s="15" t="s">
        <v>520</v>
      </c>
      <c r="E90" s="15" t="s">
        <v>679</v>
      </c>
      <c r="F90" s="23">
        <v>1</v>
      </c>
      <c r="G90" s="91">
        <v>0</v>
      </c>
      <c r="H90" s="23">
        <f t="shared" si="48"/>
        <v>0</v>
      </c>
      <c r="I90" s="23">
        <f t="shared" si="49"/>
        <v>0</v>
      </c>
      <c r="J90" s="23">
        <f t="shared" si="50"/>
        <v>0</v>
      </c>
      <c r="K90" s="23">
        <v>0.0011</v>
      </c>
      <c r="L90" s="23">
        <f t="shared" si="51"/>
        <v>0.0011</v>
      </c>
      <c r="M90" s="38" t="s">
        <v>706</v>
      </c>
      <c r="N90" s="40"/>
      <c r="Z90" s="42">
        <f t="shared" si="52"/>
        <v>0</v>
      </c>
      <c r="AB90" s="42">
        <f t="shared" si="53"/>
        <v>0</v>
      </c>
      <c r="AC90" s="42">
        <f t="shared" si="54"/>
        <v>0</v>
      </c>
      <c r="AD90" s="42">
        <f t="shared" si="55"/>
        <v>0</v>
      </c>
      <c r="AE90" s="42">
        <f t="shared" si="56"/>
        <v>0</v>
      </c>
      <c r="AF90" s="42">
        <f t="shared" si="57"/>
        <v>0</v>
      </c>
      <c r="AG90" s="42">
        <f t="shared" si="58"/>
        <v>0</v>
      </c>
      <c r="AH90" s="42">
        <f t="shared" si="59"/>
        <v>0</v>
      </c>
      <c r="AI90" s="32"/>
      <c r="AJ90" s="23">
        <f t="shared" si="60"/>
        <v>0</v>
      </c>
      <c r="AK90" s="23">
        <f t="shared" si="61"/>
        <v>0</v>
      </c>
      <c r="AL90" s="23">
        <f t="shared" si="62"/>
        <v>0</v>
      </c>
      <c r="AN90" s="42">
        <v>15</v>
      </c>
      <c r="AO90" s="42">
        <f>G90*1</f>
        <v>0</v>
      </c>
      <c r="AP90" s="42">
        <f>G90*(1-1)</f>
        <v>0</v>
      </c>
      <c r="AQ90" s="44" t="s">
        <v>13</v>
      </c>
      <c r="AV90" s="42">
        <f t="shared" si="63"/>
        <v>0</v>
      </c>
      <c r="AW90" s="42">
        <f t="shared" si="64"/>
        <v>0</v>
      </c>
      <c r="AX90" s="42">
        <f t="shared" si="65"/>
        <v>0</v>
      </c>
      <c r="AY90" s="45" t="s">
        <v>726</v>
      </c>
      <c r="AZ90" s="45" t="s">
        <v>749</v>
      </c>
      <c r="BA90" s="32" t="s">
        <v>756</v>
      </c>
      <c r="BC90" s="42">
        <f t="shared" si="66"/>
        <v>0</v>
      </c>
      <c r="BD90" s="42">
        <f t="shared" si="67"/>
        <v>0</v>
      </c>
      <c r="BE90" s="42">
        <v>0</v>
      </c>
      <c r="BF90" s="42">
        <f t="shared" si="68"/>
        <v>0.0011</v>
      </c>
      <c r="BH90" s="23">
        <f t="shared" si="69"/>
        <v>0</v>
      </c>
      <c r="BI90" s="23">
        <f t="shared" si="70"/>
        <v>0</v>
      </c>
      <c r="BJ90" s="23">
        <f t="shared" si="71"/>
        <v>0</v>
      </c>
      <c r="BK90" s="23" t="s">
        <v>762</v>
      </c>
      <c r="BL90" s="42">
        <v>725</v>
      </c>
    </row>
    <row r="91" spans="1:64" ht="12.75">
      <c r="A91" s="4" t="s">
        <v>77</v>
      </c>
      <c r="B91" s="13"/>
      <c r="C91" s="13" t="s">
        <v>289</v>
      </c>
      <c r="D91" s="13" t="s">
        <v>521</v>
      </c>
      <c r="E91" s="13" t="s">
        <v>679</v>
      </c>
      <c r="F91" s="22">
        <v>1</v>
      </c>
      <c r="G91" s="90">
        <v>0</v>
      </c>
      <c r="H91" s="22">
        <f t="shared" si="48"/>
        <v>0</v>
      </c>
      <c r="I91" s="22">
        <f t="shared" si="49"/>
        <v>0</v>
      </c>
      <c r="J91" s="22">
        <f t="shared" si="50"/>
        <v>0</v>
      </c>
      <c r="K91" s="22">
        <v>0.00012</v>
      </c>
      <c r="L91" s="22">
        <f t="shared" si="51"/>
        <v>0.00012</v>
      </c>
      <c r="M91" s="36" t="s">
        <v>706</v>
      </c>
      <c r="N91" s="40"/>
      <c r="Z91" s="42">
        <f t="shared" si="52"/>
        <v>0</v>
      </c>
      <c r="AB91" s="42">
        <f t="shared" si="53"/>
        <v>0</v>
      </c>
      <c r="AC91" s="42">
        <f t="shared" si="54"/>
        <v>0</v>
      </c>
      <c r="AD91" s="42">
        <f t="shared" si="55"/>
        <v>0</v>
      </c>
      <c r="AE91" s="42">
        <f t="shared" si="56"/>
        <v>0</v>
      </c>
      <c r="AF91" s="42">
        <f t="shared" si="57"/>
        <v>0</v>
      </c>
      <c r="AG91" s="42">
        <f t="shared" si="58"/>
        <v>0</v>
      </c>
      <c r="AH91" s="42">
        <f t="shared" si="59"/>
        <v>0</v>
      </c>
      <c r="AI91" s="32"/>
      <c r="AJ91" s="22">
        <f t="shared" si="60"/>
        <v>0</v>
      </c>
      <c r="AK91" s="22">
        <f t="shared" si="61"/>
        <v>0</v>
      </c>
      <c r="AL91" s="22">
        <f t="shared" si="62"/>
        <v>0</v>
      </c>
      <c r="AN91" s="42">
        <v>15</v>
      </c>
      <c r="AO91" s="42">
        <f>G91*0.184407901686679</f>
        <v>0</v>
      </c>
      <c r="AP91" s="42">
        <f>G91*(1-0.184407901686679)</f>
        <v>0</v>
      </c>
      <c r="AQ91" s="43" t="s">
        <v>13</v>
      </c>
      <c r="AV91" s="42">
        <f t="shared" si="63"/>
        <v>0</v>
      </c>
      <c r="AW91" s="42">
        <f t="shared" si="64"/>
        <v>0</v>
      </c>
      <c r="AX91" s="42">
        <f t="shared" si="65"/>
        <v>0</v>
      </c>
      <c r="AY91" s="45" t="s">
        <v>726</v>
      </c>
      <c r="AZ91" s="45" t="s">
        <v>749</v>
      </c>
      <c r="BA91" s="32" t="s">
        <v>756</v>
      </c>
      <c r="BC91" s="42">
        <f t="shared" si="66"/>
        <v>0</v>
      </c>
      <c r="BD91" s="42">
        <f t="shared" si="67"/>
        <v>0</v>
      </c>
      <c r="BE91" s="42">
        <v>0</v>
      </c>
      <c r="BF91" s="42">
        <f t="shared" si="68"/>
        <v>0.00012</v>
      </c>
      <c r="BH91" s="22">
        <f t="shared" si="69"/>
        <v>0</v>
      </c>
      <c r="BI91" s="22">
        <f t="shared" si="70"/>
        <v>0</v>
      </c>
      <c r="BJ91" s="22">
        <f t="shared" si="71"/>
        <v>0</v>
      </c>
      <c r="BK91" s="22" t="s">
        <v>761</v>
      </c>
      <c r="BL91" s="42">
        <v>725</v>
      </c>
    </row>
    <row r="92" spans="1:47" ht="12.75">
      <c r="A92" s="5"/>
      <c r="B92" s="14"/>
      <c r="C92" s="14" t="s">
        <v>290</v>
      </c>
      <c r="D92" s="14" t="s">
        <v>522</v>
      </c>
      <c r="E92" s="20" t="s">
        <v>6</v>
      </c>
      <c r="F92" s="20" t="s">
        <v>6</v>
      </c>
      <c r="G92" s="20" t="s">
        <v>6</v>
      </c>
      <c r="H92" s="48">
        <f>SUM(H93:H104)</f>
        <v>0</v>
      </c>
      <c r="I92" s="48">
        <f>SUM(I93:I104)</f>
        <v>0</v>
      </c>
      <c r="J92" s="48">
        <f>SUM(J93:J104)</f>
        <v>0</v>
      </c>
      <c r="K92" s="32"/>
      <c r="L92" s="48">
        <f>SUM(L93:L104)</f>
        <v>1.0472</v>
      </c>
      <c r="M92" s="37"/>
      <c r="N92" s="40"/>
      <c r="AI92" s="32"/>
      <c r="AS92" s="48">
        <f>SUM(AJ93:AJ104)</f>
        <v>0</v>
      </c>
      <c r="AT92" s="48">
        <f>SUM(AK93:AK104)</f>
        <v>0</v>
      </c>
      <c r="AU92" s="48">
        <f>SUM(AL93:AL104)</f>
        <v>0</v>
      </c>
    </row>
    <row r="93" spans="1:64" ht="12.75">
      <c r="A93" s="4" t="s">
        <v>78</v>
      </c>
      <c r="B93" s="13"/>
      <c r="C93" s="13" t="s">
        <v>291</v>
      </c>
      <c r="D93" s="13" t="s">
        <v>523</v>
      </c>
      <c r="E93" s="13" t="s">
        <v>679</v>
      </c>
      <c r="F93" s="22">
        <v>2</v>
      </c>
      <c r="G93" s="90">
        <v>0</v>
      </c>
      <c r="H93" s="22">
        <f aca="true" t="shared" si="72" ref="H93:H104">F93*AO93</f>
        <v>0</v>
      </c>
      <c r="I93" s="22">
        <f aca="true" t="shared" si="73" ref="I93:I104">F93*AP93</f>
        <v>0</v>
      </c>
      <c r="J93" s="22">
        <f aca="true" t="shared" si="74" ref="J93:J104">F93*G93</f>
        <v>0</v>
      </c>
      <c r="K93" s="22">
        <v>0.4251</v>
      </c>
      <c r="L93" s="22">
        <f aca="true" t="shared" si="75" ref="L93:L104">F93*K93</f>
        <v>0.8502</v>
      </c>
      <c r="M93" s="36" t="s">
        <v>706</v>
      </c>
      <c r="N93" s="40"/>
      <c r="Z93" s="42">
        <f aca="true" t="shared" si="76" ref="Z93:Z104">IF(AQ93="5",BJ93,0)</f>
        <v>0</v>
      </c>
      <c r="AB93" s="42">
        <f aca="true" t="shared" si="77" ref="AB93:AB104">IF(AQ93="1",BH93,0)</f>
        <v>0</v>
      </c>
      <c r="AC93" s="42">
        <f aca="true" t="shared" si="78" ref="AC93:AC104">IF(AQ93="1",BI93,0)</f>
        <v>0</v>
      </c>
      <c r="AD93" s="42">
        <f aca="true" t="shared" si="79" ref="AD93:AD104">IF(AQ93="7",BH93,0)</f>
        <v>0</v>
      </c>
      <c r="AE93" s="42">
        <f aca="true" t="shared" si="80" ref="AE93:AE104">IF(AQ93="7",BI93,0)</f>
        <v>0</v>
      </c>
      <c r="AF93" s="42">
        <f aca="true" t="shared" si="81" ref="AF93:AF104">IF(AQ93="2",BH93,0)</f>
        <v>0</v>
      </c>
      <c r="AG93" s="42">
        <f aca="true" t="shared" si="82" ref="AG93:AG104">IF(AQ93="2",BI93,0)</f>
        <v>0</v>
      </c>
      <c r="AH93" s="42">
        <f aca="true" t="shared" si="83" ref="AH93:AH104">IF(AQ93="0",BJ93,0)</f>
        <v>0</v>
      </c>
      <c r="AI93" s="32"/>
      <c r="AJ93" s="22">
        <f aca="true" t="shared" si="84" ref="AJ93:AJ104">IF(AN93=0,J93,0)</f>
        <v>0</v>
      </c>
      <c r="AK93" s="22">
        <f aca="true" t="shared" si="85" ref="AK93:AK104">IF(AN93=15,J93,0)</f>
        <v>0</v>
      </c>
      <c r="AL93" s="22">
        <f aca="true" t="shared" si="86" ref="AL93:AL104">IF(AN93=21,J93,0)</f>
        <v>0</v>
      </c>
      <c r="AN93" s="42">
        <v>15</v>
      </c>
      <c r="AO93" s="42">
        <f>G93*0.00386285714285714</f>
        <v>0</v>
      </c>
      <c r="AP93" s="42">
        <f>G93*(1-0.00386285714285714)</f>
        <v>0</v>
      </c>
      <c r="AQ93" s="43" t="s">
        <v>13</v>
      </c>
      <c r="AV93" s="42">
        <f aca="true" t="shared" si="87" ref="AV93:AV104">AW93+AX93</f>
        <v>0</v>
      </c>
      <c r="AW93" s="42">
        <f aca="true" t="shared" si="88" ref="AW93:AW104">F93*AO93</f>
        <v>0</v>
      </c>
      <c r="AX93" s="42">
        <f aca="true" t="shared" si="89" ref="AX93:AX104">F93*AP93</f>
        <v>0</v>
      </c>
      <c r="AY93" s="45" t="s">
        <v>727</v>
      </c>
      <c r="AZ93" s="45" t="s">
        <v>750</v>
      </c>
      <c r="BA93" s="32" t="s">
        <v>756</v>
      </c>
      <c r="BC93" s="42">
        <f aca="true" t="shared" si="90" ref="BC93:BC104">AW93+AX93</f>
        <v>0</v>
      </c>
      <c r="BD93" s="42">
        <f aca="true" t="shared" si="91" ref="BD93:BD104">G93/(100-BE93)*100</f>
        <v>0</v>
      </c>
      <c r="BE93" s="42">
        <v>0</v>
      </c>
      <c r="BF93" s="42">
        <f aca="true" t="shared" si="92" ref="BF93:BF104">L93</f>
        <v>0.8502</v>
      </c>
      <c r="BH93" s="22">
        <f aca="true" t="shared" si="93" ref="BH93:BH104">F93*AO93</f>
        <v>0</v>
      </c>
      <c r="BI93" s="22">
        <f aca="true" t="shared" si="94" ref="BI93:BI104">F93*AP93</f>
        <v>0</v>
      </c>
      <c r="BJ93" s="22">
        <f aca="true" t="shared" si="95" ref="BJ93:BJ104">F93*G93</f>
        <v>0</v>
      </c>
      <c r="BK93" s="22" t="s">
        <v>761</v>
      </c>
      <c r="BL93" s="42">
        <v>731</v>
      </c>
    </row>
    <row r="94" spans="1:64" ht="12.75">
      <c r="A94" s="4" t="s">
        <v>79</v>
      </c>
      <c r="B94" s="13"/>
      <c r="C94" s="13" t="s">
        <v>292</v>
      </c>
      <c r="D94" s="13" t="s">
        <v>524</v>
      </c>
      <c r="E94" s="13" t="s">
        <v>683</v>
      </c>
      <c r="F94" s="22">
        <v>2</v>
      </c>
      <c r="G94" s="90">
        <v>0</v>
      </c>
      <c r="H94" s="22">
        <f t="shared" si="72"/>
        <v>0</v>
      </c>
      <c r="I94" s="22">
        <f t="shared" si="73"/>
        <v>0</v>
      </c>
      <c r="J94" s="22">
        <f t="shared" si="74"/>
        <v>0</v>
      </c>
      <c r="K94" s="22">
        <v>0.0005</v>
      </c>
      <c r="L94" s="22">
        <f t="shared" si="75"/>
        <v>0.001</v>
      </c>
      <c r="M94" s="36" t="s">
        <v>706</v>
      </c>
      <c r="N94" s="40"/>
      <c r="Z94" s="42">
        <f t="shared" si="76"/>
        <v>0</v>
      </c>
      <c r="AB94" s="42">
        <f t="shared" si="77"/>
        <v>0</v>
      </c>
      <c r="AC94" s="42">
        <f t="shared" si="78"/>
        <v>0</v>
      </c>
      <c r="AD94" s="42">
        <f t="shared" si="79"/>
        <v>0</v>
      </c>
      <c r="AE94" s="42">
        <f t="shared" si="80"/>
        <v>0</v>
      </c>
      <c r="AF94" s="42">
        <f t="shared" si="81"/>
        <v>0</v>
      </c>
      <c r="AG94" s="42">
        <f t="shared" si="82"/>
        <v>0</v>
      </c>
      <c r="AH94" s="42">
        <f t="shared" si="83"/>
        <v>0</v>
      </c>
      <c r="AI94" s="32"/>
      <c r="AJ94" s="22">
        <f t="shared" si="84"/>
        <v>0</v>
      </c>
      <c r="AK94" s="22">
        <f t="shared" si="85"/>
        <v>0</v>
      </c>
      <c r="AL94" s="22">
        <f t="shared" si="86"/>
        <v>0</v>
      </c>
      <c r="AN94" s="42">
        <v>15</v>
      </c>
      <c r="AO94" s="42">
        <f>G94*0.0142062298603652</f>
        <v>0</v>
      </c>
      <c r="AP94" s="42">
        <f>G94*(1-0.0142062298603652)</f>
        <v>0</v>
      </c>
      <c r="AQ94" s="43" t="s">
        <v>13</v>
      </c>
      <c r="AV94" s="42">
        <f t="shared" si="87"/>
        <v>0</v>
      </c>
      <c r="AW94" s="42">
        <f t="shared" si="88"/>
        <v>0</v>
      </c>
      <c r="AX94" s="42">
        <f t="shared" si="89"/>
        <v>0</v>
      </c>
      <c r="AY94" s="45" t="s">
        <v>727</v>
      </c>
      <c r="AZ94" s="45" t="s">
        <v>750</v>
      </c>
      <c r="BA94" s="32" t="s">
        <v>756</v>
      </c>
      <c r="BC94" s="42">
        <f t="shared" si="90"/>
        <v>0</v>
      </c>
      <c r="BD94" s="42">
        <f t="shared" si="91"/>
        <v>0</v>
      </c>
      <c r="BE94" s="42">
        <v>0</v>
      </c>
      <c r="BF94" s="42">
        <f t="shared" si="92"/>
        <v>0.001</v>
      </c>
      <c r="BH94" s="22">
        <f t="shared" si="93"/>
        <v>0</v>
      </c>
      <c r="BI94" s="22">
        <f t="shared" si="94"/>
        <v>0</v>
      </c>
      <c r="BJ94" s="22">
        <f t="shared" si="95"/>
        <v>0</v>
      </c>
      <c r="BK94" s="22" t="s">
        <v>761</v>
      </c>
      <c r="BL94" s="42">
        <v>731</v>
      </c>
    </row>
    <row r="95" spans="1:64" ht="12.75">
      <c r="A95" s="6" t="s">
        <v>80</v>
      </c>
      <c r="B95" s="15"/>
      <c r="C95" s="15" t="s">
        <v>293</v>
      </c>
      <c r="D95" s="15" t="s">
        <v>525</v>
      </c>
      <c r="E95" s="15" t="s">
        <v>679</v>
      </c>
      <c r="F95" s="23">
        <v>2</v>
      </c>
      <c r="G95" s="91">
        <v>0</v>
      </c>
      <c r="H95" s="23">
        <f t="shared" si="72"/>
        <v>0</v>
      </c>
      <c r="I95" s="23">
        <f t="shared" si="73"/>
        <v>0</v>
      </c>
      <c r="J95" s="23">
        <f t="shared" si="74"/>
        <v>0</v>
      </c>
      <c r="K95" s="23">
        <v>0.076</v>
      </c>
      <c r="L95" s="23">
        <f t="shared" si="75"/>
        <v>0.152</v>
      </c>
      <c r="M95" s="38"/>
      <c r="N95" s="40"/>
      <c r="Z95" s="42">
        <f t="shared" si="76"/>
        <v>0</v>
      </c>
      <c r="AB95" s="42">
        <f t="shared" si="77"/>
        <v>0</v>
      </c>
      <c r="AC95" s="42">
        <f t="shared" si="78"/>
        <v>0</v>
      </c>
      <c r="AD95" s="42">
        <f t="shared" si="79"/>
        <v>0</v>
      </c>
      <c r="AE95" s="42">
        <f t="shared" si="80"/>
        <v>0</v>
      </c>
      <c r="AF95" s="42">
        <f t="shared" si="81"/>
        <v>0</v>
      </c>
      <c r="AG95" s="42">
        <f t="shared" si="82"/>
        <v>0</v>
      </c>
      <c r="AH95" s="42">
        <f t="shared" si="83"/>
        <v>0</v>
      </c>
      <c r="AI95" s="32"/>
      <c r="AJ95" s="23">
        <f t="shared" si="84"/>
        <v>0</v>
      </c>
      <c r="AK95" s="23">
        <f t="shared" si="85"/>
        <v>0</v>
      </c>
      <c r="AL95" s="23">
        <f t="shared" si="86"/>
        <v>0</v>
      </c>
      <c r="AN95" s="42">
        <v>15</v>
      </c>
      <c r="AO95" s="42">
        <f aca="true" t="shared" si="96" ref="AO95:AO104">G95*1</f>
        <v>0</v>
      </c>
      <c r="AP95" s="42">
        <f aca="true" t="shared" si="97" ref="AP95:AP104">G95*(1-1)</f>
        <v>0</v>
      </c>
      <c r="AQ95" s="44" t="s">
        <v>13</v>
      </c>
      <c r="AV95" s="42">
        <f t="shared" si="87"/>
        <v>0</v>
      </c>
      <c r="AW95" s="42">
        <f t="shared" si="88"/>
        <v>0</v>
      </c>
      <c r="AX95" s="42">
        <f t="shared" si="89"/>
        <v>0</v>
      </c>
      <c r="AY95" s="45" t="s">
        <v>727</v>
      </c>
      <c r="AZ95" s="45" t="s">
        <v>750</v>
      </c>
      <c r="BA95" s="32" t="s">
        <v>756</v>
      </c>
      <c r="BC95" s="42">
        <f t="shared" si="90"/>
        <v>0</v>
      </c>
      <c r="BD95" s="42">
        <f t="shared" si="91"/>
        <v>0</v>
      </c>
      <c r="BE95" s="42">
        <v>0</v>
      </c>
      <c r="BF95" s="42">
        <f t="shared" si="92"/>
        <v>0.152</v>
      </c>
      <c r="BH95" s="23">
        <f t="shared" si="93"/>
        <v>0</v>
      </c>
      <c r="BI95" s="23">
        <f t="shared" si="94"/>
        <v>0</v>
      </c>
      <c r="BJ95" s="23">
        <f t="shared" si="95"/>
        <v>0</v>
      </c>
      <c r="BK95" s="23" t="s">
        <v>762</v>
      </c>
      <c r="BL95" s="42">
        <v>731</v>
      </c>
    </row>
    <row r="96" spans="1:64" ht="12.75">
      <c r="A96" s="6" t="s">
        <v>81</v>
      </c>
      <c r="B96" s="15"/>
      <c r="C96" s="15" t="s">
        <v>294</v>
      </c>
      <c r="D96" s="15" t="s">
        <v>526</v>
      </c>
      <c r="E96" s="15" t="s">
        <v>680</v>
      </c>
      <c r="F96" s="23">
        <v>2</v>
      </c>
      <c r="G96" s="91">
        <v>0</v>
      </c>
      <c r="H96" s="23">
        <f t="shared" si="72"/>
        <v>0</v>
      </c>
      <c r="I96" s="23">
        <f t="shared" si="73"/>
        <v>0</v>
      </c>
      <c r="J96" s="23">
        <f t="shared" si="74"/>
        <v>0</v>
      </c>
      <c r="K96" s="23">
        <v>0</v>
      </c>
      <c r="L96" s="23">
        <f t="shared" si="75"/>
        <v>0</v>
      </c>
      <c r="M96" s="38"/>
      <c r="N96" s="40"/>
      <c r="Z96" s="42">
        <f t="shared" si="76"/>
        <v>0</v>
      </c>
      <c r="AB96" s="42">
        <f t="shared" si="77"/>
        <v>0</v>
      </c>
      <c r="AC96" s="42">
        <f t="shared" si="78"/>
        <v>0</v>
      </c>
      <c r="AD96" s="42">
        <f t="shared" si="79"/>
        <v>0</v>
      </c>
      <c r="AE96" s="42">
        <f t="shared" si="80"/>
        <v>0</v>
      </c>
      <c r="AF96" s="42">
        <f t="shared" si="81"/>
        <v>0</v>
      </c>
      <c r="AG96" s="42">
        <f t="shared" si="82"/>
        <v>0</v>
      </c>
      <c r="AH96" s="42">
        <f t="shared" si="83"/>
        <v>0</v>
      </c>
      <c r="AI96" s="32"/>
      <c r="AJ96" s="23">
        <f t="shared" si="84"/>
        <v>0</v>
      </c>
      <c r="AK96" s="23">
        <f t="shared" si="85"/>
        <v>0</v>
      </c>
      <c r="AL96" s="23">
        <f t="shared" si="86"/>
        <v>0</v>
      </c>
      <c r="AN96" s="42">
        <v>15</v>
      </c>
      <c r="AO96" s="42">
        <f t="shared" si="96"/>
        <v>0</v>
      </c>
      <c r="AP96" s="42">
        <f t="shared" si="97"/>
        <v>0</v>
      </c>
      <c r="AQ96" s="44" t="s">
        <v>13</v>
      </c>
      <c r="AV96" s="42">
        <f t="shared" si="87"/>
        <v>0</v>
      </c>
      <c r="AW96" s="42">
        <f t="shared" si="88"/>
        <v>0</v>
      </c>
      <c r="AX96" s="42">
        <f t="shared" si="89"/>
        <v>0</v>
      </c>
      <c r="AY96" s="45" t="s">
        <v>727</v>
      </c>
      <c r="AZ96" s="45" t="s">
        <v>750</v>
      </c>
      <c r="BA96" s="32" t="s">
        <v>756</v>
      </c>
      <c r="BC96" s="42">
        <f t="shared" si="90"/>
        <v>0</v>
      </c>
      <c r="BD96" s="42">
        <f t="shared" si="91"/>
        <v>0</v>
      </c>
      <c r="BE96" s="42">
        <v>0</v>
      </c>
      <c r="BF96" s="42">
        <f t="shared" si="92"/>
        <v>0</v>
      </c>
      <c r="BH96" s="23">
        <f t="shared" si="93"/>
        <v>0</v>
      </c>
      <c r="BI96" s="23">
        <f t="shared" si="94"/>
        <v>0</v>
      </c>
      <c r="BJ96" s="23">
        <f t="shared" si="95"/>
        <v>0</v>
      </c>
      <c r="BK96" s="23" t="s">
        <v>762</v>
      </c>
      <c r="BL96" s="42">
        <v>731</v>
      </c>
    </row>
    <row r="97" spans="1:64" ht="12.75">
      <c r="A97" s="6" t="s">
        <v>82</v>
      </c>
      <c r="B97" s="15"/>
      <c r="C97" s="15" t="s">
        <v>295</v>
      </c>
      <c r="D97" s="15" t="s">
        <v>527</v>
      </c>
      <c r="E97" s="15" t="s">
        <v>679</v>
      </c>
      <c r="F97" s="23">
        <v>2</v>
      </c>
      <c r="G97" s="91">
        <v>0</v>
      </c>
      <c r="H97" s="23">
        <f t="shared" si="72"/>
        <v>0</v>
      </c>
      <c r="I97" s="23">
        <f t="shared" si="73"/>
        <v>0</v>
      </c>
      <c r="J97" s="23">
        <f t="shared" si="74"/>
        <v>0</v>
      </c>
      <c r="K97" s="23">
        <v>0</v>
      </c>
      <c r="L97" s="23">
        <f t="shared" si="75"/>
        <v>0</v>
      </c>
      <c r="M97" s="38"/>
      <c r="N97" s="40"/>
      <c r="Z97" s="42">
        <f t="shared" si="76"/>
        <v>0</v>
      </c>
      <c r="AB97" s="42">
        <f t="shared" si="77"/>
        <v>0</v>
      </c>
      <c r="AC97" s="42">
        <f t="shared" si="78"/>
        <v>0</v>
      </c>
      <c r="AD97" s="42">
        <f t="shared" si="79"/>
        <v>0</v>
      </c>
      <c r="AE97" s="42">
        <f t="shared" si="80"/>
        <v>0</v>
      </c>
      <c r="AF97" s="42">
        <f t="shared" si="81"/>
        <v>0</v>
      </c>
      <c r="AG97" s="42">
        <f t="shared" si="82"/>
        <v>0</v>
      </c>
      <c r="AH97" s="42">
        <f t="shared" si="83"/>
        <v>0</v>
      </c>
      <c r="AI97" s="32"/>
      <c r="AJ97" s="23">
        <f t="shared" si="84"/>
        <v>0</v>
      </c>
      <c r="AK97" s="23">
        <f t="shared" si="85"/>
        <v>0</v>
      </c>
      <c r="AL97" s="23">
        <f t="shared" si="86"/>
        <v>0</v>
      </c>
      <c r="AN97" s="42">
        <v>15</v>
      </c>
      <c r="AO97" s="42">
        <f t="shared" si="96"/>
        <v>0</v>
      </c>
      <c r="AP97" s="42">
        <f t="shared" si="97"/>
        <v>0</v>
      </c>
      <c r="AQ97" s="44" t="s">
        <v>13</v>
      </c>
      <c r="AV97" s="42">
        <f t="shared" si="87"/>
        <v>0</v>
      </c>
      <c r="AW97" s="42">
        <f t="shared" si="88"/>
        <v>0</v>
      </c>
      <c r="AX97" s="42">
        <f t="shared" si="89"/>
        <v>0</v>
      </c>
      <c r="AY97" s="45" t="s">
        <v>727</v>
      </c>
      <c r="AZ97" s="45" t="s">
        <v>750</v>
      </c>
      <c r="BA97" s="32" t="s">
        <v>756</v>
      </c>
      <c r="BC97" s="42">
        <f t="shared" si="90"/>
        <v>0</v>
      </c>
      <c r="BD97" s="42">
        <f t="shared" si="91"/>
        <v>0</v>
      </c>
      <c r="BE97" s="42">
        <v>0</v>
      </c>
      <c r="BF97" s="42">
        <f t="shared" si="92"/>
        <v>0</v>
      </c>
      <c r="BH97" s="23">
        <f t="shared" si="93"/>
        <v>0</v>
      </c>
      <c r="BI97" s="23">
        <f t="shared" si="94"/>
        <v>0</v>
      </c>
      <c r="BJ97" s="23">
        <f t="shared" si="95"/>
        <v>0</v>
      </c>
      <c r="BK97" s="23" t="s">
        <v>762</v>
      </c>
      <c r="BL97" s="42">
        <v>731</v>
      </c>
    </row>
    <row r="98" spans="1:64" ht="12.75">
      <c r="A98" s="6" t="s">
        <v>83</v>
      </c>
      <c r="B98" s="15"/>
      <c r="C98" s="15" t="s">
        <v>296</v>
      </c>
      <c r="D98" s="15" t="s">
        <v>528</v>
      </c>
      <c r="E98" s="15" t="s">
        <v>679</v>
      </c>
      <c r="F98" s="23">
        <v>4</v>
      </c>
      <c r="G98" s="91">
        <v>0</v>
      </c>
      <c r="H98" s="23">
        <f t="shared" si="72"/>
        <v>0</v>
      </c>
      <c r="I98" s="23">
        <f t="shared" si="73"/>
        <v>0</v>
      </c>
      <c r="J98" s="23">
        <f t="shared" si="74"/>
        <v>0</v>
      </c>
      <c r="K98" s="23">
        <v>0</v>
      </c>
      <c r="L98" s="23">
        <f t="shared" si="75"/>
        <v>0</v>
      </c>
      <c r="M98" s="38"/>
      <c r="N98" s="40"/>
      <c r="Z98" s="42">
        <f t="shared" si="76"/>
        <v>0</v>
      </c>
      <c r="AB98" s="42">
        <f t="shared" si="77"/>
        <v>0</v>
      </c>
      <c r="AC98" s="42">
        <f t="shared" si="78"/>
        <v>0</v>
      </c>
      <c r="AD98" s="42">
        <f t="shared" si="79"/>
        <v>0</v>
      </c>
      <c r="AE98" s="42">
        <f t="shared" si="80"/>
        <v>0</v>
      </c>
      <c r="AF98" s="42">
        <f t="shared" si="81"/>
        <v>0</v>
      </c>
      <c r="AG98" s="42">
        <f t="shared" si="82"/>
        <v>0</v>
      </c>
      <c r="AH98" s="42">
        <f t="shared" si="83"/>
        <v>0</v>
      </c>
      <c r="AI98" s="32"/>
      <c r="AJ98" s="23">
        <f t="shared" si="84"/>
        <v>0</v>
      </c>
      <c r="AK98" s="23">
        <f t="shared" si="85"/>
        <v>0</v>
      </c>
      <c r="AL98" s="23">
        <f t="shared" si="86"/>
        <v>0</v>
      </c>
      <c r="AN98" s="42">
        <v>15</v>
      </c>
      <c r="AO98" s="42">
        <f t="shared" si="96"/>
        <v>0</v>
      </c>
      <c r="AP98" s="42">
        <f t="shared" si="97"/>
        <v>0</v>
      </c>
      <c r="AQ98" s="44" t="s">
        <v>13</v>
      </c>
      <c r="AV98" s="42">
        <f t="shared" si="87"/>
        <v>0</v>
      </c>
      <c r="AW98" s="42">
        <f t="shared" si="88"/>
        <v>0</v>
      </c>
      <c r="AX98" s="42">
        <f t="shared" si="89"/>
        <v>0</v>
      </c>
      <c r="AY98" s="45" t="s">
        <v>727</v>
      </c>
      <c r="AZ98" s="45" t="s">
        <v>750</v>
      </c>
      <c r="BA98" s="32" t="s">
        <v>756</v>
      </c>
      <c r="BC98" s="42">
        <f t="shared" si="90"/>
        <v>0</v>
      </c>
      <c r="BD98" s="42">
        <f t="shared" si="91"/>
        <v>0</v>
      </c>
      <c r="BE98" s="42">
        <v>0</v>
      </c>
      <c r="BF98" s="42">
        <f t="shared" si="92"/>
        <v>0</v>
      </c>
      <c r="BH98" s="23">
        <f t="shared" si="93"/>
        <v>0</v>
      </c>
      <c r="BI98" s="23">
        <f t="shared" si="94"/>
        <v>0</v>
      </c>
      <c r="BJ98" s="23">
        <f t="shared" si="95"/>
        <v>0</v>
      </c>
      <c r="BK98" s="23" t="s">
        <v>762</v>
      </c>
      <c r="BL98" s="42">
        <v>731</v>
      </c>
    </row>
    <row r="99" spans="1:64" ht="12.75">
      <c r="A99" s="6" t="s">
        <v>84</v>
      </c>
      <c r="B99" s="15"/>
      <c r="C99" s="15" t="s">
        <v>297</v>
      </c>
      <c r="D99" s="15" t="s">
        <v>529</v>
      </c>
      <c r="E99" s="15" t="s">
        <v>679</v>
      </c>
      <c r="F99" s="23">
        <v>2</v>
      </c>
      <c r="G99" s="91">
        <v>0</v>
      </c>
      <c r="H99" s="23">
        <f t="shared" si="72"/>
        <v>0</v>
      </c>
      <c r="I99" s="23">
        <f t="shared" si="73"/>
        <v>0</v>
      </c>
      <c r="J99" s="23">
        <f t="shared" si="74"/>
        <v>0</v>
      </c>
      <c r="K99" s="23">
        <v>0</v>
      </c>
      <c r="L99" s="23">
        <f t="shared" si="75"/>
        <v>0</v>
      </c>
      <c r="M99" s="38"/>
      <c r="N99" s="40"/>
      <c r="Z99" s="42">
        <f t="shared" si="76"/>
        <v>0</v>
      </c>
      <c r="AB99" s="42">
        <f t="shared" si="77"/>
        <v>0</v>
      </c>
      <c r="AC99" s="42">
        <f t="shared" si="78"/>
        <v>0</v>
      </c>
      <c r="AD99" s="42">
        <f t="shared" si="79"/>
        <v>0</v>
      </c>
      <c r="AE99" s="42">
        <f t="shared" si="80"/>
        <v>0</v>
      </c>
      <c r="AF99" s="42">
        <f t="shared" si="81"/>
        <v>0</v>
      </c>
      <c r="AG99" s="42">
        <f t="shared" si="82"/>
        <v>0</v>
      </c>
      <c r="AH99" s="42">
        <f t="shared" si="83"/>
        <v>0</v>
      </c>
      <c r="AI99" s="32"/>
      <c r="AJ99" s="23">
        <f t="shared" si="84"/>
        <v>0</v>
      </c>
      <c r="AK99" s="23">
        <f t="shared" si="85"/>
        <v>0</v>
      </c>
      <c r="AL99" s="23">
        <f t="shared" si="86"/>
        <v>0</v>
      </c>
      <c r="AN99" s="42">
        <v>15</v>
      </c>
      <c r="AO99" s="42">
        <f t="shared" si="96"/>
        <v>0</v>
      </c>
      <c r="AP99" s="42">
        <f t="shared" si="97"/>
        <v>0</v>
      </c>
      <c r="AQ99" s="44" t="s">
        <v>13</v>
      </c>
      <c r="AV99" s="42">
        <f t="shared" si="87"/>
        <v>0</v>
      </c>
      <c r="AW99" s="42">
        <f t="shared" si="88"/>
        <v>0</v>
      </c>
      <c r="AX99" s="42">
        <f t="shared" si="89"/>
        <v>0</v>
      </c>
      <c r="AY99" s="45" t="s">
        <v>727</v>
      </c>
      <c r="AZ99" s="45" t="s">
        <v>750</v>
      </c>
      <c r="BA99" s="32" t="s">
        <v>756</v>
      </c>
      <c r="BC99" s="42">
        <f t="shared" si="90"/>
        <v>0</v>
      </c>
      <c r="BD99" s="42">
        <f t="shared" si="91"/>
        <v>0</v>
      </c>
      <c r="BE99" s="42">
        <v>0</v>
      </c>
      <c r="BF99" s="42">
        <f t="shared" si="92"/>
        <v>0</v>
      </c>
      <c r="BH99" s="23">
        <f t="shared" si="93"/>
        <v>0</v>
      </c>
      <c r="BI99" s="23">
        <f t="shared" si="94"/>
        <v>0</v>
      </c>
      <c r="BJ99" s="23">
        <f t="shared" si="95"/>
        <v>0</v>
      </c>
      <c r="BK99" s="23" t="s">
        <v>762</v>
      </c>
      <c r="BL99" s="42">
        <v>731</v>
      </c>
    </row>
    <row r="100" spans="1:64" ht="12.75">
      <c r="A100" s="6" t="s">
        <v>85</v>
      </c>
      <c r="B100" s="15"/>
      <c r="C100" s="15" t="s">
        <v>298</v>
      </c>
      <c r="D100" s="15" t="s">
        <v>530</v>
      </c>
      <c r="E100" s="15" t="s">
        <v>680</v>
      </c>
      <c r="F100" s="23">
        <v>2</v>
      </c>
      <c r="G100" s="91">
        <v>0</v>
      </c>
      <c r="H100" s="23">
        <f t="shared" si="72"/>
        <v>0</v>
      </c>
      <c r="I100" s="23">
        <f t="shared" si="73"/>
        <v>0</v>
      </c>
      <c r="J100" s="23">
        <f t="shared" si="74"/>
        <v>0</v>
      </c>
      <c r="K100" s="23">
        <v>0</v>
      </c>
      <c r="L100" s="23">
        <f t="shared" si="75"/>
        <v>0</v>
      </c>
      <c r="M100" s="38"/>
      <c r="N100" s="40"/>
      <c r="Z100" s="42">
        <f t="shared" si="76"/>
        <v>0</v>
      </c>
      <c r="AB100" s="42">
        <f t="shared" si="77"/>
        <v>0</v>
      </c>
      <c r="AC100" s="42">
        <f t="shared" si="78"/>
        <v>0</v>
      </c>
      <c r="AD100" s="42">
        <f t="shared" si="79"/>
        <v>0</v>
      </c>
      <c r="AE100" s="42">
        <f t="shared" si="80"/>
        <v>0</v>
      </c>
      <c r="AF100" s="42">
        <f t="shared" si="81"/>
        <v>0</v>
      </c>
      <c r="AG100" s="42">
        <f t="shared" si="82"/>
        <v>0</v>
      </c>
      <c r="AH100" s="42">
        <f t="shared" si="83"/>
        <v>0</v>
      </c>
      <c r="AI100" s="32"/>
      <c r="AJ100" s="23">
        <f t="shared" si="84"/>
        <v>0</v>
      </c>
      <c r="AK100" s="23">
        <f t="shared" si="85"/>
        <v>0</v>
      </c>
      <c r="AL100" s="23">
        <f t="shared" si="86"/>
        <v>0</v>
      </c>
      <c r="AN100" s="42">
        <v>15</v>
      </c>
      <c r="AO100" s="42">
        <f t="shared" si="96"/>
        <v>0</v>
      </c>
      <c r="AP100" s="42">
        <f t="shared" si="97"/>
        <v>0</v>
      </c>
      <c r="AQ100" s="44" t="s">
        <v>13</v>
      </c>
      <c r="AV100" s="42">
        <f t="shared" si="87"/>
        <v>0</v>
      </c>
      <c r="AW100" s="42">
        <f t="shared" si="88"/>
        <v>0</v>
      </c>
      <c r="AX100" s="42">
        <f t="shared" si="89"/>
        <v>0</v>
      </c>
      <c r="AY100" s="45" t="s">
        <v>727</v>
      </c>
      <c r="AZ100" s="45" t="s">
        <v>750</v>
      </c>
      <c r="BA100" s="32" t="s">
        <v>756</v>
      </c>
      <c r="BC100" s="42">
        <f t="shared" si="90"/>
        <v>0</v>
      </c>
      <c r="BD100" s="42">
        <f t="shared" si="91"/>
        <v>0</v>
      </c>
      <c r="BE100" s="42">
        <v>0</v>
      </c>
      <c r="BF100" s="42">
        <f t="shared" si="92"/>
        <v>0</v>
      </c>
      <c r="BH100" s="23">
        <f t="shared" si="93"/>
        <v>0</v>
      </c>
      <c r="BI100" s="23">
        <f t="shared" si="94"/>
        <v>0</v>
      </c>
      <c r="BJ100" s="23">
        <f t="shared" si="95"/>
        <v>0</v>
      </c>
      <c r="BK100" s="23" t="s">
        <v>762</v>
      </c>
      <c r="BL100" s="42">
        <v>731</v>
      </c>
    </row>
    <row r="101" spans="1:64" ht="12.75">
      <c r="A101" s="6" t="s">
        <v>86</v>
      </c>
      <c r="B101" s="15"/>
      <c r="C101" s="15" t="s">
        <v>299</v>
      </c>
      <c r="D101" s="15" t="s">
        <v>531</v>
      </c>
      <c r="E101" s="15" t="s">
        <v>679</v>
      </c>
      <c r="F101" s="23">
        <v>2</v>
      </c>
      <c r="G101" s="91">
        <v>0</v>
      </c>
      <c r="H101" s="23">
        <f t="shared" si="72"/>
        <v>0</v>
      </c>
      <c r="I101" s="23">
        <f t="shared" si="73"/>
        <v>0</v>
      </c>
      <c r="J101" s="23">
        <f t="shared" si="74"/>
        <v>0</v>
      </c>
      <c r="K101" s="23">
        <v>0.022</v>
      </c>
      <c r="L101" s="23">
        <f t="shared" si="75"/>
        <v>0.044</v>
      </c>
      <c r="M101" s="38"/>
      <c r="N101" s="40"/>
      <c r="Z101" s="42">
        <f t="shared" si="76"/>
        <v>0</v>
      </c>
      <c r="AB101" s="42">
        <f t="shared" si="77"/>
        <v>0</v>
      </c>
      <c r="AC101" s="42">
        <f t="shared" si="78"/>
        <v>0</v>
      </c>
      <c r="AD101" s="42">
        <f t="shared" si="79"/>
        <v>0</v>
      </c>
      <c r="AE101" s="42">
        <f t="shared" si="80"/>
        <v>0</v>
      </c>
      <c r="AF101" s="42">
        <f t="shared" si="81"/>
        <v>0</v>
      </c>
      <c r="AG101" s="42">
        <f t="shared" si="82"/>
        <v>0</v>
      </c>
      <c r="AH101" s="42">
        <f t="shared" si="83"/>
        <v>0</v>
      </c>
      <c r="AI101" s="32"/>
      <c r="AJ101" s="23">
        <f t="shared" si="84"/>
        <v>0</v>
      </c>
      <c r="AK101" s="23">
        <f t="shared" si="85"/>
        <v>0</v>
      </c>
      <c r="AL101" s="23">
        <f t="shared" si="86"/>
        <v>0</v>
      </c>
      <c r="AN101" s="42">
        <v>15</v>
      </c>
      <c r="AO101" s="42">
        <f t="shared" si="96"/>
        <v>0</v>
      </c>
      <c r="AP101" s="42">
        <f t="shared" si="97"/>
        <v>0</v>
      </c>
      <c r="AQ101" s="44" t="s">
        <v>13</v>
      </c>
      <c r="AV101" s="42">
        <f t="shared" si="87"/>
        <v>0</v>
      </c>
      <c r="AW101" s="42">
        <f t="shared" si="88"/>
        <v>0</v>
      </c>
      <c r="AX101" s="42">
        <f t="shared" si="89"/>
        <v>0</v>
      </c>
      <c r="AY101" s="45" t="s">
        <v>727</v>
      </c>
      <c r="AZ101" s="45" t="s">
        <v>750</v>
      </c>
      <c r="BA101" s="32" t="s">
        <v>756</v>
      </c>
      <c r="BC101" s="42">
        <f t="shared" si="90"/>
        <v>0</v>
      </c>
      <c r="BD101" s="42">
        <f t="shared" si="91"/>
        <v>0</v>
      </c>
      <c r="BE101" s="42">
        <v>0</v>
      </c>
      <c r="BF101" s="42">
        <f t="shared" si="92"/>
        <v>0.044</v>
      </c>
      <c r="BH101" s="23">
        <f t="shared" si="93"/>
        <v>0</v>
      </c>
      <c r="BI101" s="23">
        <f t="shared" si="94"/>
        <v>0</v>
      </c>
      <c r="BJ101" s="23">
        <f t="shared" si="95"/>
        <v>0</v>
      </c>
      <c r="BK101" s="23" t="s">
        <v>762</v>
      </c>
      <c r="BL101" s="42">
        <v>731</v>
      </c>
    </row>
    <row r="102" spans="1:64" ht="12.75">
      <c r="A102" s="6" t="s">
        <v>87</v>
      </c>
      <c r="B102" s="15"/>
      <c r="C102" s="15" t="s">
        <v>300</v>
      </c>
      <c r="D102" s="15" t="s">
        <v>532</v>
      </c>
      <c r="E102" s="15" t="s">
        <v>685</v>
      </c>
      <c r="F102" s="23">
        <v>1</v>
      </c>
      <c r="G102" s="91">
        <v>0</v>
      </c>
      <c r="H102" s="23">
        <f t="shared" si="72"/>
        <v>0</v>
      </c>
      <c r="I102" s="23">
        <f t="shared" si="73"/>
        <v>0</v>
      </c>
      <c r="J102" s="23">
        <f t="shared" si="74"/>
        <v>0</v>
      </c>
      <c r="K102" s="23">
        <v>0</v>
      </c>
      <c r="L102" s="23">
        <f t="shared" si="75"/>
        <v>0</v>
      </c>
      <c r="M102" s="38"/>
      <c r="N102" s="40"/>
      <c r="Z102" s="42">
        <f t="shared" si="76"/>
        <v>0</v>
      </c>
      <c r="AB102" s="42">
        <f t="shared" si="77"/>
        <v>0</v>
      </c>
      <c r="AC102" s="42">
        <f t="shared" si="78"/>
        <v>0</v>
      </c>
      <c r="AD102" s="42">
        <f t="shared" si="79"/>
        <v>0</v>
      </c>
      <c r="AE102" s="42">
        <f t="shared" si="80"/>
        <v>0</v>
      </c>
      <c r="AF102" s="42">
        <f t="shared" si="81"/>
        <v>0</v>
      </c>
      <c r="AG102" s="42">
        <f t="shared" si="82"/>
        <v>0</v>
      </c>
      <c r="AH102" s="42">
        <f t="shared" si="83"/>
        <v>0</v>
      </c>
      <c r="AI102" s="32"/>
      <c r="AJ102" s="23">
        <f t="shared" si="84"/>
        <v>0</v>
      </c>
      <c r="AK102" s="23">
        <f t="shared" si="85"/>
        <v>0</v>
      </c>
      <c r="AL102" s="23">
        <f t="shared" si="86"/>
        <v>0</v>
      </c>
      <c r="AN102" s="42">
        <v>15</v>
      </c>
      <c r="AO102" s="42">
        <f t="shared" si="96"/>
        <v>0</v>
      </c>
      <c r="AP102" s="42">
        <f t="shared" si="97"/>
        <v>0</v>
      </c>
      <c r="AQ102" s="44" t="s">
        <v>13</v>
      </c>
      <c r="AV102" s="42">
        <f t="shared" si="87"/>
        <v>0</v>
      </c>
      <c r="AW102" s="42">
        <f t="shared" si="88"/>
        <v>0</v>
      </c>
      <c r="AX102" s="42">
        <f t="shared" si="89"/>
        <v>0</v>
      </c>
      <c r="AY102" s="45" t="s">
        <v>727</v>
      </c>
      <c r="AZ102" s="45" t="s">
        <v>750</v>
      </c>
      <c r="BA102" s="32" t="s">
        <v>756</v>
      </c>
      <c r="BC102" s="42">
        <f t="shared" si="90"/>
        <v>0</v>
      </c>
      <c r="BD102" s="42">
        <f t="shared" si="91"/>
        <v>0</v>
      </c>
      <c r="BE102" s="42">
        <v>0</v>
      </c>
      <c r="BF102" s="42">
        <f t="shared" si="92"/>
        <v>0</v>
      </c>
      <c r="BH102" s="23">
        <f t="shared" si="93"/>
        <v>0</v>
      </c>
      <c r="BI102" s="23">
        <f t="shared" si="94"/>
        <v>0</v>
      </c>
      <c r="BJ102" s="23">
        <f t="shared" si="95"/>
        <v>0</v>
      </c>
      <c r="BK102" s="23" t="s">
        <v>762</v>
      </c>
      <c r="BL102" s="42">
        <v>731</v>
      </c>
    </row>
    <row r="103" spans="1:64" ht="12.75">
      <c r="A103" s="6" t="s">
        <v>88</v>
      </c>
      <c r="B103" s="15"/>
      <c r="C103" s="15" t="s">
        <v>301</v>
      </c>
      <c r="D103" s="15" t="s">
        <v>533</v>
      </c>
      <c r="E103" s="15" t="s">
        <v>680</v>
      </c>
      <c r="F103" s="23">
        <v>1</v>
      </c>
      <c r="G103" s="91">
        <v>0</v>
      </c>
      <c r="H103" s="23">
        <f t="shared" si="72"/>
        <v>0</v>
      </c>
      <c r="I103" s="23">
        <f t="shared" si="73"/>
        <v>0</v>
      </c>
      <c r="J103" s="23">
        <f t="shared" si="74"/>
        <v>0</v>
      </c>
      <c r="K103" s="23">
        <v>0</v>
      </c>
      <c r="L103" s="23">
        <f t="shared" si="75"/>
        <v>0</v>
      </c>
      <c r="M103" s="38"/>
      <c r="N103" s="40"/>
      <c r="Z103" s="42">
        <f t="shared" si="76"/>
        <v>0</v>
      </c>
      <c r="AB103" s="42">
        <f t="shared" si="77"/>
        <v>0</v>
      </c>
      <c r="AC103" s="42">
        <f t="shared" si="78"/>
        <v>0</v>
      </c>
      <c r="AD103" s="42">
        <f t="shared" si="79"/>
        <v>0</v>
      </c>
      <c r="AE103" s="42">
        <f t="shared" si="80"/>
        <v>0</v>
      </c>
      <c r="AF103" s="42">
        <f t="shared" si="81"/>
        <v>0</v>
      </c>
      <c r="AG103" s="42">
        <f t="shared" si="82"/>
        <v>0</v>
      </c>
      <c r="AH103" s="42">
        <f t="shared" si="83"/>
        <v>0</v>
      </c>
      <c r="AI103" s="32"/>
      <c r="AJ103" s="23">
        <f t="shared" si="84"/>
        <v>0</v>
      </c>
      <c r="AK103" s="23">
        <f t="shared" si="85"/>
        <v>0</v>
      </c>
      <c r="AL103" s="23">
        <f t="shared" si="86"/>
        <v>0</v>
      </c>
      <c r="AN103" s="42">
        <v>15</v>
      </c>
      <c r="AO103" s="42">
        <f t="shared" si="96"/>
        <v>0</v>
      </c>
      <c r="AP103" s="42">
        <f t="shared" si="97"/>
        <v>0</v>
      </c>
      <c r="AQ103" s="44" t="s">
        <v>13</v>
      </c>
      <c r="AV103" s="42">
        <f t="shared" si="87"/>
        <v>0</v>
      </c>
      <c r="AW103" s="42">
        <f t="shared" si="88"/>
        <v>0</v>
      </c>
      <c r="AX103" s="42">
        <f t="shared" si="89"/>
        <v>0</v>
      </c>
      <c r="AY103" s="45" t="s">
        <v>727</v>
      </c>
      <c r="AZ103" s="45" t="s">
        <v>750</v>
      </c>
      <c r="BA103" s="32" t="s">
        <v>756</v>
      </c>
      <c r="BC103" s="42">
        <f t="shared" si="90"/>
        <v>0</v>
      </c>
      <c r="BD103" s="42">
        <f t="shared" si="91"/>
        <v>0</v>
      </c>
      <c r="BE103" s="42">
        <v>0</v>
      </c>
      <c r="BF103" s="42">
        <f t="shared" si="92"/>
        <v>0</v>
      </c>
      <c r="BH103" s="23">
        <f t="shared" si="93"/>
        <v>0</v>
      </c>
      <c r="BI103" s="23">
        <f t="shared" si="94"/>
        <v>0</v>
      </c>
      <c r="BJ103" s="23">
        <f t="shared" si="95"/>
        <v>0</v>
      </c>
      <c r="BK103" s="23" t="s">
        <v>762</v>
      </c>
      <c r="BL103" s="42">
        <v>731</v>
      </c>
    </row>
    <row r="104" spans="1:64" ht="12.75">
      <c r="A104" s="6" t="s">
        <v>89</v>
      </c>
      <c r="B104" s="15"/>
      <c r="C104" s="15" t="s">
        <v>302</v>
      </c>
      <c r="D104" s="15" t="s">
        <v>534</v>
      </c>
      <c r="E104" s="15" t="s">
        <v>680</v>
      </c>
      <c r="F104" s="23">
        <v>1</v>
      </c>
      <c r="G104" s="91">
        <v>0</v>
      </c>
      <c r="H104" s="23">
        <f t="shared" si="72"/>
        <v>0</v>
      </c>
      <c r="I104" s="23">
        <f t="shared" si="73"/>
        <v>0</v>
      </c>
      <c r="J104" s="23">
        <f t="shared" si="74"/>
        <v>0</v>
      </c>
      <c r="K104" s="23">
        <v>0</v>
      </c>
      <c r="L104" s="23">
        <f t="shared" si="75"/>
        <v>0</v>
      </c>
      <c r="M104" s="38"/>
      <c r="N104" s="40"/>
      <c r="Z104" s="42">
        <f t="shared" si="76"/>
        <v>0</v>
      </c>
      <c r="AB104" s="42">
        <f t="shared" si="77"/>
        <v>0</v>
      </c>
      <c r="AC104" s="42">
        <f t="shared" si="78"/>
        <v>0</v>
      </c>
      <c r="AD104" s="42">
        <f t="shared" si="79"/>
        <v>0</v>
      </c>
      <c r="AE104" s="42">
        <f t="shared" si="80"/>
        <v>0</v>
      </c>
      <c r="AF104" s="42">
        <f t="shared" si="81"/>
        <v>0</v>
      </c>
      <c r="AG104" s="42">
        <f t="shared" si="82"/>
        <v>0</v>
      </c>
      <c r="AH104" s="42">
        <f t="shared" si="83"/>
        <v>0</v>
      </c>
      <c r="AI104" s="32"/>
      <c r="AJ104" s="23">
        <f t="shared" si="84"/>
        <v>0</v>
      </c>
      <c r="AK104" s="23">
        <f t="shared" si="85"/>
        <v>0</v>
      </c>
      <c r="AL104" s="23">
        <f t="shared" si="86"/>
        <v>0</v>
      </c>
      <c r="AN104" s="42">
        <v>15</v>
      </c>
      <c r="AO104" s="42">
        <f t="shared" si="96"/>
        <v>0</v>
      </c>
      <c r="AP104" s="42">
        <f t="shared" si="97"/>
        <v>0</v>
      </c>
      <c r="AQ104" s="44" t="s">
        <v>13</v>
      </c>
      <c r="AV104" s="42">
        <f t="shared" si="87"/>
        <v>0</v>
      </c>
      <c r="AW104" s="42">
        <f t="shared" si="88"/>
        <v>0</v>
      </c>
      <c r="AX104" s="42">
        <f t="shared" si="89"/>
        <v>0</v>
      </c>
      <c r="AY104" s="45" t="s">
        <v>727</v>
      </c>
      <c r="AZ104" s="45" t="s">
        <v>750</v>
      </c>
      <c r="BA104" s="32" t="s">
        <v>756</v>
      </c>
      <c r="BC104" s="42">
        <f t="shared" si="90"/>
        <v>0</v>
      </c>
      <c r="BD104" s="42">
        <f t="shared" si="91"/>
        <v>0</v>
      </c>
      <c r="BE104" s="42">
        <v>0</v>
      </c>
      <c r="BF104" s="42">
        <f t="shared" si="92"/>
        <v>0</v>
      </c>
      <c r="BH104" s="23">
        <f t="shared" si="93"/>
        <v>0</v>
      </c>
      <c r="BI104" s="23">
        <f t="shared" si="94"/>
        <v>0</v>
      </c>
      <c r="BJ104" s="23">
        <f t="shared" si="95"/>
        <v>0</v>
      </c>
      <c r="BK104" s="23" t="s">
        <v>762</v>
      </c>
      <c r="BL104" s="42">
        <v>731</v>
      </c>
    </row>
    <row r="105" spans="1:47" ht="12.75">
      <c r="A105" s="5"/>
      <c r="B105" s="14"/>
      <c r="C105" s="14" t="s">
        <v>303</v>
      </c>
      <c r="D105" s="14" t="s">
        <v>535</v>
      </c>
      <c r="E105" s="20" t="s">
        <v>6</v>
      </c>
      <c r="F105" s="20" t="s">
        <v>6</v>
      </c>
      <c r="G105" s="20" t="s">
        <v>6</v>
      </c>
      <c r="H105" s="48">
        <f>SUM(H106:H119)</f>
        <v>0</v>
      </c>
      <c r="I105" s="48">
        <f>SUM(I106:I119)</f>
        <v>0</v>
      </c>
      <c r="J105" s="48">
        <f>SUM(J106:J119)</f>
        <v>0</v>
      </c>
      <c r="K105" s="32"/>
      <c r="L105" s="48">
        <f>SUM(L106:L119)</f>
        <v>0.27218000000000003</v>
      </c>
      <c r="M105" s="37"/>
      <c r="N105" s="40"/>
      <c r="AI105" s="32"/>
      <c r="AS105" s="48">
        <f>SUM(AJ106:AJ119)</f>
        <v>0</v>
      </c>
      <c r="AT105" s="48">
        <f>SUM(AK106:AK119)</f>
        <v>0</v>
      </c>
      <c r="AU105" s="48">
        <f>SUM(AL106:AL119)</f>
        <v>0</v>
      </c>
    </row>
    <row r="106" spans="1:64" ht="12.75">
      <c r="A106" s="4" t="s">
        <v>90</v>
      </c>
      <c r="B106" s="13"/>
      <c r="C106" s="13" t="s">
        <v>304</v>
      </c>
      <c r="D106" s="13" t="s">
        <v>536</v>
      </c>
      <c r="E106" s="13" t="s">
        <v>681</v>
      </c>
      <c r="F106" s="22">
        <v>1</v>
      </c>
      <c r="G106" s="90">
        <v>0</v>
      </c>
      <c r="H106" s="22">
        <f aca="true" t="shared" si="98" ref="H106:H119">F106*AO106</f>
        <v>0</v>
      </c>
      <c r="I106" s="22">
        <f aca="true" t="shared" si="99" ref="I106:I119">F106*AP106</f>
        <v>0</v>
      </c>
      <c r="J106" s="22">
        <f aca="true" t="shared" si="100" ref="J106:J119">F106*G106</f>
        <v>0</v>
      </c>
      <c r="K106" s="22">
        <v>0.07742</v>
      </c>
      <c r="L106" s="22">
        <f aca="true" t="shared" si="101" ref="L106:L119">F106*K106</f>
        <v>0.07742</v>
      </c>
      <c r="M106" s="36" t="s">
        <v>706</v>
      </c>
      <c r="N106" s="40"/>
      <c r="Z106" s="42">
        <f aca="true" t="shared" si="102" ref="Z106:Z119">IF(AQ106="5",BJ106,0)</f>
        <v>0</v>
      </c>
      <c r="AB106" s="42">
        <f aca="true" t="shared" si="103" ref="AB106:AB119">IF(AQ106="1",BH106,0)</f>
        <v>0</v>
      </c>
      <c r="AC106" s="42">
        <f aca="true" t="shared" si="104" ref="AC106:AC119">IF(AQ106="1",BI106,0)</f>
        <v>0</v>
      </c>
      <c r="AD106" s="42">
        <f aca="true" t="shared" si="105" ref="AD106:AD119">IF(AQ106="7",BH106,0)</f>
        <v>0</v>
      </c>
      <c r="AE106" s="42">
        <f aca="true" t="shared" si="106" ref="AE106:AE119">IF(AQ106="7",BI106,0)</f>
        <v>0</v>
      </c>
      <c r="AF106" s="42">
        <f aca="true" t="shared" si="107" ref="AF106:AF119">IF(AQ106="2",BH106,0)</f>
        <v>0</v>
      </c>
      <c r="AG106" s="42">
        <f aca="true" t="shared" si="108" ref="AG106:AG119">IF(AQ106="2",BI106,0)</f>
        <v>0</v>
      </c>
      <c r="AH106" s="42">
        <f aca="true" t="shared" si="109" ref="AH106:AH119">IF(AQ106="0",BJ106,0)</f>
        <v>0</v>
      </c>
      <c r="AI106" s="32"/>
      <c r="AJ106" s="22">
        <f aca="true" t="shared" si="110" ref="AJ106:AJ119">IF(AN106=0,J106,0)</f>
        <v>0</v>
      </c>
      <c r="AK106" s="22">
        <f aca="true" t="shared" si="111" ref="AK106:AK119">IF(AN106=15,J106,0)</f>
        <v>0</v>
      </c>
      <c r="AL106" s="22">
        <f aca="true" t="shared" si="112" ref="AL106:AL119">IF(AN106=21,J106,0)</f>
        <v>0</v>
      </c>
      <c r="AN106" s="42">
        <v>15</v>
      </c>
      <c r="AO106" s="42">
        <f>G106*0</f>
        <v>0</v>
      </c>
      <c r="AP106" s="42">
        <f>G106*(1-0)</f>
        <v>0</v>
      </c>
      <c r="AQ106" s="43" t="s">
        <v>13</v>
      </c>
      <c r="AV106" s="42">
        <f aca="true" t="shared" si="113" ref="AV106:AV119">AW106+AX106</f>
        <v>0</v>
      </c>
      <c r="AW106" s="42">
        <f aca="true" t="shared" si="114" ref="AW106:AW119">F106*AO106</f>
        <v>0</v>
      </c>
      <c r="AX106" s="42">
        <f aca="true" t="shared" si="115" ref="AX106:AX119">F106*AP106</f>
        <v>0</v>
      </c>
      <c r="AY106" s="45" t="s">
        <v>728</v>
      </c>
      <c r="AZ106" s="45" t="s">
        <v>750</v>
      </c>
      <c r="BA106" s="32" t="s">
        <v>756</v>
      </c>
      <c r="BC106" s="42">
        <f aca="true" t="shared" si="116" ref="BC106:BC119">AW106+AX106</f>
        <v>0</v>
      </c>
      <c r="BD106" s="42">
        <f aca="true" t="shared" si="117" ref="BD106:BD119">G106/(100-BE106)*100</f>
        <v>0</v>
      </c>
      <c r="BE106" s="42">
        <v>0</v>
      </c>
      <c r="BF106" s="42">
        <f aca="true" t="shared" si="118" ref="BF106:BF119">L106</f>
        <v>0.07742</v>
      </c>
      <c r="BH106" s="22">
        <f aca="true" t="shared" si="119" ref="BH106:BH119">F106*AO106</f>
        <v>0</v>
      </c>
      <c r="BI106" s="22">
        <f aca="true" t="shared" si="120" ref="BI106:BI119">F106*AP106</f>
        <v>0</v>
      </c>
      <c r="BJ106" s="22">
        <f aca="true" t="shared" si="121" ref="BJ106:BJ119">F106*G106</f>
        <v>0</v>
      </c>
      <c r="BK106" s="22" t="s">
        <v>761</v>
      </c>
      <c r="BL106" s="42">
        <v>732</v>
      </c>
    </row>
    <row r="107" spans="1:64" ht="12.75">
      <c r="A107" s="6" t="s">
        <v>91</v>
      </c>
      <c r="B107" s="15"/>
      <c r="C107" s="15" t="s">
        <v>305</v>
      </c>
      <c r="D107" s="15" t="s">
        <v>537</v>
      </c>
      <c r="E107" s="15" t="s">
        <v>679</v>
      </c>
      <c r="F107" s="23">
        <v>1</v>
      </c>
      <c r="G107" s="91">
        <v>0</v>
      </c>
      <c r="H107" s="23">
        <f t="shared" si="98"/>
        <v>0</v>
      </c>
      <c r="I107" s="23">
        <f t="shared" si="99"/>
        <v>0</v>
      </c>
      <c r="J107" s="23">
        <f t="shared" si="100"/>
        <v>0</v>
      </c>
      <c r="K107" s="23">
        <v>0.103</v>
      </c>
      <c r="L107" s="23">
        <f t="shared" si="101"/>
        <v>0.103</v>
      </c>
      <c r="M107" s="38"/>
      <c r="N107" s="40"/>
      <c r="Z107" s="42">
        <f t="shared" si="102"/>
        <v>0</v>
      </c>
      <c r="AB107" s="42">
        <f t="shared" si="103"/>
        <v>0</v>
      </c>
      <c r="AC107" s="42">
        <f t="shared" si="104"/>
        <v>0</v>
      </c>
      <c r="AD107" s="42">
        <f t="shared" si="105"/>
        <v>0</v>
      </c>
      <c r="AE107" s="42">
        <f t="shared" si="106"/>
        <v>0</v>
      </c>
      <c r="AF107" s="42">
        <f t="shared" si="107"/>
        <v>0</v>
      </c>
      <c r="AG107" s="42">
        <f t="shared" si="108"/>
        <v>0</v>
      </c>
      <c r="AH107" s="42">
        <f t="shared" si="109"/>
        <v>0</v>
      </c>
      <c r="AI107" s="32"/>
      <c r="AJ107" s="23">
        <f t="shared" si="110"/>
        <v>0</v>
      </c>
      <c r="AK107" s="23">
        <f t="shared" si="111"/>
        <v>0</v>
      </c>
      <c r="AL107" s="23">
        <f t="shared" si="112"/>
        <v>0</v>
      </c>
      <c r="AN107" s="42">
        <v>15</v>
      </c>
      <c r="AO107" s="42">
        <f>G107*1</f>
        <v>0</v>
      </c>
      <c r="AP107" s="42">
        <f>G107*(1-1)</f>
        <v>0</v>
      </c>
      <c r="AQ107" s="44" t="s">
        <v>13</v>
      </c>
      <c r="AV107" s="42">
        <f t="shared" si="113"/>
        <v>0</v>
      </c>
      <c r="AW107" s="42">
        <f t="shared" si="114"/>
        <v>0</v>
      </c>
      <c r="AX107" s="42">
        <f t="shared" si="115"/>
        <v>0</v>
      </c>
      <c r="AY107" s="45" t="s">
        <v>728</v>
      </c>
      <c r="AZ107" s="45" t="s">
        <v>750</v>
      </c>
      <c r="BA107" s="32" t="s">
        <v>756</v>
      </c>
      <c r="BC107" s="42">
        <f t="shared" si="116"/>
        <v>0</v>
      </c>
      <c r="BD107" s="42">
        <f t="shared" si="117"/>
        <v>0</v>
      </c>
      <c r="BE107" s="42">
        <v>0</v>
      </c>
      <c r="BF107" s="42">
        <f t="shared" si="118"/>
        <v>0.103</v>
      </c>
      <c r="BH107" s="23">
        <f t="shared" si="119"/>
        <v>0</v>
      </c>
      <c r="BI107" s="23">
        <f t="shared" si="120"/>
        <v>0</v>
      </c>
      <c r="BJ107" s="23">
        <f t="shared" si="121"/>
        <v>0</v>
      </c>
      <c r="BK107" s="23" t="s">
        <v>762</v>
      </c>
      <c r="BL107" s="42">
        <v>732</v>
      </c>
    </row>
    <row r="108" spans="1:64" ht="25.5">
      <c r="A108" s="6" t="s">
        <v>92</v>
      </c>
      <c r="B108" s="15"/>
      <c r="C108" s="15" t="s">
        <v>306</v>
      </c>
      <c r="D108" s="80" t="s">
        <v>538</v>
      </c>
      <c r="E108" s="15" t="s">
        <v>680</v>
      </c>
      <c r="F108" s="23">
        <v>1</v>
      </c>
      <c r="G108" s="91">
        <v>0</v>
      </c>
      <c r="H108" s="23">
        <f t="shared" si="98"/>
        <v>0</v>
      </c>
      <c r="I108" s="23">
        <f t="shared" si="99"/>
        <v>0</v>
      </c>
      <c r="J108" s="23">
        <f t="shared" si="100"/>
        <v>0</v>
      </c>
      <c r="K108" s="23">
        <v>0.02</v>
      </c>
      <c r="L108" s="23">
        <f t="shared" si="101"/>
        <v>0.02</v>
      </c>
      <c r="M108" s="38" t="s">
        <v>707</v>
      </c>
      <c r="N108" s="40"/>
      <c r="Z108" s="42">
        <f t="shared" si="102"/>
        <v>0</v>
      </c>
      <c r="AB108" s="42">
        <f t="shared" si="103"/>
        <v>0</v>
      </c>
      <c r="AC108" s="42">
        <f t="shared" si="104"/>
        <v>0</v>
      </c>
      <c r="AD108" s="42">
        <f t="shared" si="105"/>
        <v>0</v>
      </c>
      <c r="AE108" s="42">
        <f t="shared" si="106"/>
        <v>0</v>
      </c>
      <c r="AF108" s="42">
        <f t="shared" si="107"/>
        <v>0</v>
      </c>
      <c r="AG108" s="42">
        <f t="shared" si="108"/>
        <v>0</v>
      </c>
      <c r="AH108" s="42">
        <f t="shared" si="109"/>
        <v>0</v>
      </c>
      <c r="AI108" s="32"/>
      <c r="AJ108" s="23">
        <f t="shared" si="110"/>
        <v>0</v>
      </c>
      <c r="AK108" s="23">
        <f t="shared" si="111"/>
        <v>0</v>
      </c>
      <c r="AL108" s="23">
        <f t="shared" si="112"/>
        <v>0</v>
      </c>
      <c r="AN108" s="42">
        <v>15</v>
      </c>
      <c r="AO108" s="42">
        <f>G108*1</f>
        <v>0</v>
      </c>
      <c r="AP108" s="42">
        <f>G108*(1-1)</f>
        <v>0</v>
      </c>
      <c r="AQ108" s="44" t="s">
        <v>13</v>
      </c>
      <c r="AV108" s="42">
        <f t="shared" si="113"/>
        <v>0</v>
      </c>
      <c r="AW108" s="42">
        <f t="shared" si="114"/>
        <v>0</v>
      </c>
      <c r="AX108" s="42">
        <f t="shared" si="115"/>
        <v>0</v>
      </c>
      <c r="AY108" s="45" t="s">
        <v>728</v>
      </c>
      <c r="AZ108" s="45" t="s">
        <v>750</v>
      </c>
      <c r="BA108" s="32" t="s">
        <v>756</v>
      </c>
      <c r="BC108" s="42">
        <f t="shared" si="116"/>
        <v>0</v>
      </c>
      <c r="BD108" s="42">
        <f t="shared" si="117"/>
        <v>0</v>
      </c>
      <c r="BE108" s="42">
        <v>0</v>
      </c>
      <c r="BF108" s="42">
        <f t="shared" si="118"/>
        <v>0.02</v>
      </c>
      <c r="BH108" s="23">
        <f t="shared" si="119"/>
        <v>0</v>
      </c>
      <c r="BI108" s="23">
        <f t="shared" si="120"/>
        <v>0</v>
      </c>
      <c r="BJ108" s="23">
        <f t="shared" si="121"/>
        <v>0</v>
      </c>
      <c r="BK108" s="23" t="s">
        <v>762</v>
      </c>
      <c r="BL108" s="42">
        <v>732</v>
      </c>
    </row>
    <row r="109" spans="1:64" ht="12.75">
      <c r="A109" s="6" t="s">
        <v>93</v>
      </c>
      <c r="B109" s="15"/>
      <c r="C109" s="15" t="s">
        <v>307</v>
      </c>
      <c r="D109" s="15" t="s">
        <v>539</v>
      </c>
      <c r="E109" s="15" t="s">
        <v>686</v>
      </c>
      <c r="F109" s="23">
        <v>1</v>
      </c>
      <c r="G109" s="91">
        <v>0</v>
      </c>
      <c r="H109" s="23">
        <f t="shared" si="98"/>
        <v>0</v>
      </c>
      <c r="I109" s="23">
        <f t="shared" si="99"/>
        <v>0</v>
      </c>
      <c r="J109" s="23">
        <f t="shared" si="100"/>
        <v>0</v>
      </c>
      <c r="K109" s="23">
        <v>0.0045</v>
      </c>
      <c r="L109" s="23">
        <f t="shared" si="101"/>
        <v>0.0045</v>
      </c>
      <c r="M109" s="38" t="s">
        <v>707</v>
      </c>
      <c r="N109" s="40"/>
      <c r="Z109" s="42">
        <f t="shared" si="102"/>
        <v>0</v>
      </c>
      <c r="AB109" s="42">
        <f t="shared" si="103"/>
        <v>0</v>
      </c>
      <c r="AC109" s="42">
        <f t="shared" si="104"/>
        <v>0</v>
      </c>
      <c r="AD109" s="42">
        <f t="shared" si="105"/>
        <v>0</v>
      </c>
      <c r="AE109" s="42">
        <f t="shared" si="106"/>
        <v>0</v>
      </c>
      <c r="AF109" s="42">
        <f t="shared" si="107"/>
        <v>0</v>
      </c>
      <c r="AG109" s="42">
        <f t="shared" si="108"/>
        <v>0</v>
      </c>
      <c r="AH109" s="42">
        <f t="shared" si="109"/>
        <v>0</v>
      </c>
      <c r="AI109" s="32"/>
      <c r="AJ109" s="23">
        <f t="shared" si="110"/>
        <v>0</v>
      </c>
      <c r="AK109" s="23">
        <f t="shared" si="111"/>
        <v>0</v>
      </c>
      <c r="AL109" s="23">
        <f t="shared" si="112"/>
        <v>0</v>
      </c>
      <c r="AN109" s="42">
        <v>15</v>
      </c>
      <c r="AO109" s="42">
        <f>G109*1</f>
        <v>0</v>
      </c>
      <c r="AP109" s="42">
        <f>G109*(1-1)</f>
        <v>0</v>
      </c>
      <c r="AQ109" s="44" t="s">
        <v>13</v>
      </c>
      <c r="AV109" s="42">
        <f t="shared" si="113"/>
        <v>0</v>
      </c>
      <c r="AW109" s="42">
        <f t="shared" si="114"/>
        <v>0</v>
      </c>
      <c r="AX109" s="42">
        <f t="shared" si="115"/>
        <v>0</v>
      </c>
      <c r="AY109" s="45" t="s">
        <v>728</v>
      </c>
      <c r="AZ109" s="45" t="s">
        <v>750</v>
      </c>
      <c r="BA109" s="32" t="s">
        <v>756</v>
      </c>
      <c r="BC109" s="42">
        <f t="shared" si="116"/>
        <v>0</v>
      </c>
      <c r="BD109" s="42">
        <f t="shared" si="117"/>
        <v>0</v>
      </c>
      <c r="BE109" s="42">
        <v>0</v>
      </c>
      <c r="BF109" s="42">
        <f t="shared" si="118"/>
        <v>0.0045</v>
      </c>
      <c r="BH109" s="23">
        <f t="shared" si="119"/>
        <v>0</v>
      </c>
      <c r="BI109" s="23">
        <f t="shared" si="120"/>
        <v>0</v>
      </c>
      <c r="BJ109" s="23">
        <f t="shared" si="121"/>
        <v>0</v>
      </c>
      <c r="BK109" s="23" t="s">
        <v>762</v>
      </c>
      <c r="BL109" s="42">
        <v>732</v>
      </c>
    </row>
    <row r="110" spans="1:64" ht="12.75">
      <c r="A110" s="6" t="s">
        <v>94</v>
      </c>
      <c r="B110" s="15"/>
      <c r="C110" s="15" t="s">
        <v>308</v>
      </c>
      <c r="D110" s="15" t="s">
        <v>540</v>
      </c>
      <c r="E110" s="15" t="s">
        <v>686</v>
      </c>
      <c r="F110" s="23">
        <v>1</v>
      </c>
      <c r="G110" s="91">
        <v>0</v>
      </c>
      <c r="H110" s="23">
        <f t="shared" si="98"/>
        <v>0</v>
      </c>
      <c r="I110" s="23">
        <f t="shared" si="99"/>
        <v>0</v>
      </c>
      <c r="J110" s="23">
        <f t="shared" si="100"/>
        <v>0</v>
      </c>
      <c r="K110" s="23">
        <v>0.0045</v>
      </c>
      <c r="L110" s="23">
        <f t="shared" si="101"/>
        <v>0.0045</v>
      </c>
      <c r="M110" s="38" t="s">
        <v>707</v>
      </c>
      <c r="N110" s="40"/>
      <c r="Z110" s="42">
        <f t="shared" si="102"/>
        <v>0</v>
      </c>
      <c r="AB110" s="42">
        <f t="shared" si="103"/>
        <v>0</v>
      </c>
      <c r="AC110" s="42">
        <f t="shared" si="104"/>
        <v>0</v>
      </c>
      <c r="AD110" s="42">
        <f t="shared" si="105"/>
        <v>0</v>
      </c>
      <c r="AE110" s="42">
        <f t="shared" si="106"/>
        <v>0</v>
      </c>
      <c r="AF110" s="42">
        <f t="shared" si="107"/>
        <v>0</v>
      </c>
      <c r="AG110" s="42">
        <f t="shared" si="108"/>
        <v>0</v>
      </c>
      <c r="AH110" s="42">
        <f t="shared" si="109"/>
        <v>0</v>
      </c>
      <c r="AI110" s="32"/>
      <c r="AJ110" s="23">
        <f t="shared" si="110"/>
        <v>0</v>
      </c>
      <c r="AK110" s="23">
        <f t="shared" si="111"/>
        <v>0</v>
      </c>
      <c r="AL110" s="23">
        <f t="shared" si="112"/>
        <v>0</v>
      </c>
      <c r="AN110" s="42">
        <v>15</v>
      </c>
      <c r="AO110" s="42">
        <f>G110*1</f>
        <v>0</v>
      </c>
      <c r="AP110" s="42">
        <f>G110*(1-1)</f>
        <v>0</v>
      </c>
      <c r="AQ110" s="44" t="s">
        <v>13</v>
      </c>
      <c r="AV110" s="42">
        <f t="shared" si="113"/>
        <v>0</v>
      </c>
      <c r="AW110" s="42">
        <f t="shared" si="114"/>
        <v>0</v>
      </c>
      <c r="AX110" s="42">
        <f t="shared" si="115"/>
        <v>0</v>
      </c>
      <c r="AY110" s="45" t="s">
        <v>728</v>
      </c>
      <c r="AZ110" s="45" t="s">
        <v>750</v>
      </c>
      <c r="BA110" s="32" t="s">
        <v>756</v>
      </c>
      <c r="BC110" s="42">
        <f t="shared" si="116"/>
        <v>0</v>
      </c>
      <c r="BD110" s="42">
        <f t="shared" si="117"/>
        <v>0</v>
      </c>
      <c r="BE110" s="42">
        <v>0</v>
      </c>
      <c r="BF110" s="42">
        <f t="shared" si="118"/>
        <v>0.0045</v>
      </c>
      <c r="BH110" s="23">
        <f t="shared" si="119"/>
        <v>0</v>
      </c>
      <c r="BI110" s="23">
        <f t="shared" si="120"/>
        <v>0</v>
      </c>
      <c r="BJ110" s="23">
        <f t="shared" si="121"/>
        <v>0</v>
      </c>
      <c r="BK110" s="23" t="s">
        <v>762</v>
      </c>
      <c r="BL110" s="42">
        <v>732</v>
      </c>
    </row>
    <row r="111" spans="1:64" ht="12.75">
      <c r="A111" s="4" t="s">
        <v>95</v>
      </c>
      <c r="B111" s="13"/>
      <c r="C111" s="13" t="s">
        <v>309</v>
      </c>
      <c r="D111" s="13" t="s">
        <v>541</v>
      </c>
      <c r="E111" s="13" t="s">
        <v>683</v>
      </c>
      <c r="F111" s="22">
        <v>1</v>
      </c>
      <c r="G111" s="90">
        <v>0</v>
      </c>
      <c r="H111" s="22">
        <f t="shared" si="98"/>
        <v>0</v>
      </c>
      <c r="I111" s="22">
        <f t="shared" si="99"/>
        <v>0</v>
      </c>
      <c r="J111" s="22">
        <f t="shared" si="100"/>
        <v>0</v>
      </c>
      <c r="K111" s="22">
        <v>0.00476</v>
      </c>
      <c r="L111" s="22">
        <f t="shared" si="101"/>
        <v>0.00476</v>
      </c>
      <c r="M111" s="36" t="s">
        <v>706</v>
      </c>
      <c r="N111" s="40"/>
      <c r="Z111" s="42">
        <f t="shared" si="102"/>
        <v>0</v>
      </c>
      <c r="AB111" s="42">
        <f t="shared" si="103"/>
        <v>0</v>
      </c>
      <c r="AC111" s="42">
        <f t="shared" si="104"/>
        <v>0</v>
      </c>
      <c r="AD111" s="42">
        <f t="shared" si="105"/>
        <v>0</v>
      </c>
      <c r="AE111" s="42">
        <f t="shared" si="106"/>
        <v>0</v>
      </c>
      <c r="AF111" s="42">
        <f t="shared" si="107"/>
        <v>0</v>
      </c>
      <c r="AG111" s="42">
        <f t="shared" si="108"/>
        <v>0</v>
      </c>
      <c r="AH111" s="42">
        <f t="shared" si="109"/>
        <v>0</v>
      </c>
      <c r="AI111" s="32"/>
      <c r="AJ111" s="22">
        <f t="shared" si="110"/>
        <v>0</v>
      </c>
      <c r="AK111" s="22">
        <f t="shared" si="111"/>
        <v>0</v>
      </c>
      <c r="AL111" s="22">
        <f t="shared" si="112"/>
        <v>0</v>
      </c>
      <c r="AN111" s="42">
        <v>15</v>
      </c>
      <c r="AO111" s="42">
        <f>G111*0.161293199554069</f>
        <v>0</v>
      </c>
      <c r="AP111" s="42">
        <f>G111*(1-0.161293199554069)</f>
        <v>0</v>
      </c>
      <c r="AQ111" s="43" t="s">
        <v>13</v>
      </c>
      <c r="AV111" s="42">
        <f t="shared" si="113"/>
        <v>0</v>
      </c>
      <c r="AW111" s="42">
        <f t="shared" si="114"/>
        <v>0</v>
      </c>
      <c r="AX111" s="42">
        <f t="shared" si="115"/>
        <v>0</v>
      </c>
      <c r="AY111" s="45" t="s">
        <v>728</v>
      </c>
      <c r="AZ111" s="45" t="s">
        <v>750</v>
      </c>
      <c r="BA111" s="32" t="s">
        <v>756</v>
      </c>
      <c r="BC111" s="42">
        <f t="shared" si="116"/>
        <v>0</v>
      </c>
      <c r="BD111" s="42">
        <f t="shared" si="117"/>
        <v>0</v>
      </c>
      <c r="BE111" s="42">
        <v>0</v>
      </c>
      <c r="BF111" s="42">
        <f t="shared" si="118"/>
        <v>0.00476</v>
      </c>
      <c r="BH111" s="22">
        <f t="shared" si="119"/>
        <v>0</v>
      </c>
      <c r="BI111" s="22">
        <f t="shared" si="120"/>
        <v>0</v>
      </c>
      <c r="BJ111" s="22">
        <f t="shared" si="121"/>
        <v>0</v>
      </c>
      <c r="BK111" s="22" t="s">
        <v>761</v>
      </c>
      <c r="BL111" s="42">
        <v>732</v>
      </c>
    </row>
    <row r="112" spans="1:64" ht="12.75">
      <c r="A112" s="6" t="s">
        <v>96</v>
      </c>
      <c r="B112" s="15"/>
      <c r="C112" s="15" t="s">
        <v>310</v>
      </c>
      <c r="D112" s="15" t="s">
        <v>542</v>
      </c>
      <c r="E112" s="15" t="s">
        <v>679</v>
      </c>
      <c r="F112" s="23">
        <v>1</v>
      </c>
      <c r="G112" s="91">
        <v>0</v>
      </c>
      <c r="H112" s="23">
        <f t="shared" si="98"/>
        <v>0</v>
      </c>
      <c r="I112" s="23">
        <f t="shared" si="99"/>
        <v>0</v>
      </c>
      <c r="J112" s="23">
        <f t="shared" si="100"/>
        <v>0</v>
      </c>
      <c r="K112" s="23">
        <v>0.015</v>
      </c>
      <c r="L112" s="23">
        <f t="shared" si="101"/>
        <v>0.015</v>
      </c>
      <c r="M112" s="38" t="s">
        <v>706</v>
      </c>
      <c r="N112" s="40"/>
      <c r="Z112" s="42">
        <f t="shared" si="102"/>
        <v>0</v>
      </c>
      <c r="AB112" s="42">
        <f t="shared" si="103"/>
        <v>0</v>
      </c>
      <c r="AC112" s="42">
        <f t="shared" si="104"/>
        <v>0</v>
      </c>
      <c r="AD112" s="42">
        <f t="shared" si="105"/>
        <v>0</v>
      </c>
      <c r="AE112" s="42">
        <f t="shared" si="106"/>
        <v>0</v>
      </c>
      <c r="AF112" s="42">
        <f t="shared" si="107"/>
        <v>0</v>
      </c>
      <c r="AG112" s="42">
        <f t="shared" si="108"/>
        <v>0</v>
      </c>
      <c r="AH112" s="42">
        <f t="shared" si="109"/>
        <v>0</v>
      </c>
      <c r="AI112" s="32"/>
      <c r="AJ112" s="23">
        <f t="shared" si="110"/>
        <v>0</v>
      </c>
      <c r="AK112" s="23">
        <f t="shared" si="111"/>
        <v>0</v>
      </c>
      <c r="AL112" s="23">
        <f t="shared" si="112"/>
        <v>0</v>
      </c>
      <c r="AN112" s="42">
        <v>15</v>
      </c>
      <c r="AO112" s="42">
        <f aca="true" t="shared" si="122" ref="AO112:AO119">G112*1</f>
        <v>0</v>
      </c>
      <c r="AP112" s="42">
        <f aca="true" t="shared" si="123" ref="AP112:AP119">G112*(1-1)</f>
        <v>0</v>
      </c>
      <c r="AQ112" s="44" t="s">
        <v>13</v>
      </c>
      <c r="AV112" s="42">
        <f t="shared" si="113"/>
        <v>0</v>
      </c>
      <c r="AW112" s="42">
        <f t="shared" si="114"/>
        <v>0</v>
      </c>
      <c r="AX112" s="42">
        <f t="shared" si="115"/>
        <v>0</v>
      </c>
      <c r="AY112" s="45" t="s">
        <v>728</v>
      </c>
      <c r="AZ112" s="45" t="s">
        <v>750</v>
      </c>
      <c r="BA112" s="32" t="s">
        <v>756</v>
      </c>
      <c r="BC112" s="42">
        <f t="shared" si="116"/>
        <v>0</v>
      </c>
      <c r="BD112" s="42">
        <f t="shared" si="117"/>
        <v>0</v>
      </c>
      <c r="BE112" s="42">
        <v>0</v>
      </c>
      <c r="BF112" s="42">
        <f t="shared" si="118"/>
        <v>0.015</v>
      </c>
      <c r="BH112" s="23">
        <f t="shared" si="119"/>
        <v>0</v>
      </c>
      <c r="BI112" s="23">
        <f t="shared" si="120"/>
        <v>0</v>
      </c>
      <c r="BJ112" s="23">
        <f t="shared" si="121"/>
        <v>0</v>
      </c>
      <c r="BK112" s="23" t="s">
        <v>762</v>
      </c>
      <c r="BL112" s="42">
        <v>732</v>
      </c>
    </row>
    <row r="113" spans="1:64" ht="12.75">
      <c r="A113" s="6" t="s">
        <v>97</v>
      </c>
      <c r="B113" s="15"/>
      <c r="C113" s="15" t="s">
        <v>311</v>
      </c>
      <c r="D113" s="15" t="s">
        <v>543</v>
      </c>
      <c r="E113" s="15" t="s">
        <v>680</v>
      </c>
      <c r="F113" s="23">
        <v>1</v>
      </c>
      <c r="G113" s="91">
        <v>0</v>
      </c>
      <c r="H113" s="23">
        <f t="shared" si="98"/>
        <v>0</v>
      </c>
      <c r="I113" s="23">
        <f t="shared" si="99"/>
        <v>0</v>
      </c>
      <c r="J113" s="23">
        <f t="shared" si="100"/>
        <v>0</v>
      </c>
      <c r="K113" s="23">
        <v>0.001</v>
      </c>
      <c r="L113" s="23">
        <f t="shared" si="101"/>
        <v>0.001</v>
      </c>
      <c r="M113" s="38" t="s">
        <v>707</v>
      </c>
      <c r="N113" s="40"/>
      <c r="Z113" s="42">
        <f t="shared" si="102"/>
        <v>0</v>
      </c>
      <c r="AB113" s="42">
        <f t="shared" si="103"/>
        <v>0</v>
      </c>
      <c r="AC113" s="42">
        <f t="shared" si="104"/>
        <v>0</v>
      </c>
      <c r="AD113" s="42">
        <f t="shared" si="105"/>
        <v>0</v>
      </c>
      <c r="AE113" s="42">
        <f t="shared" si="106"/>
        <v>0</v>
      </c>
      <c r="AF113" s="42">
        <f t="shared" si="107"/>
        <v>0</v>
      </c>
      <c r="AG113" s="42">
        <f t="shared" si="108"/>
        <v>0</v>
      </c>
      <c r="AH113" s="42">
        <f t="shared" si="109"/>
        <v>0</v>
      </c>
      <c r="AI113" s="32"/>
      <c r="AJ113" s="23">
        <f t="shared" si="110"/>
        <v>0</v>
      </c>
      <c r="AK113" s="23">
        <f t="shared" si="111"/>
        <v>0</v>
      </c>
      <c r="AL113" s="23">
        <f t="shared" si="112"/>
        <v>0</v>
      </c>
      <c r="AN113" s="42">
        <v>15</v>
      </c>
      <c r="AO113" s="42">
        <f t="shared" si="122"/>
        <v>0</v>
      </c>
      <c r="AP113" s="42">
        <f t="shared" si="123"/>
        <v>0</v>
      </c>
      <c r="AQ113" s="44" t="s">
        <v>13</v>
      </c>
      <c r="AV113" s="42">
        <f t="shared" si="113"/>
        <v>0</v>
      </c>
      <c r="AW113" s="42">
        <f t="shared" si="114"/>
        <v>0</v>
      </c>
      <c r="AX113" s="42">
        <f t="shared" si="115"/>
        <v>0</v>
      </c>
      <c r="AY113" s="45" t="s">
        <v>728</v>
      </c>
      <c r="AZ113" s="45" t="s">
        <v>750</v>
      </c>
      <c r="BA113" s="32" t="s">
        <v>756</v>
      </c>
      <c r="BC113" s="42">
        <f t="shared" si="116"/>
        <v>0</v>
      </c>
      <c r="BD113" s="42">
        <f t="shared" si="117"/>
        <v>0</v>
      </c>
      <c r="BE113" s="42">
        <v>0</v>
      </c>
      <c r="BF113" s="42">
        <f t="shared" si="118"/>
        <v>0.001</v>
      </c>
      <c r="BH113" s="23">
        <f t="shared" si="119"/>
        <v>0</v>
      </c>
      <c r="BI113" s="23">
        <f t="shared" si="120"/>
        <v>0</v>
      </c>
      <c r="BJ113" s="23">
        <f t="shared" si="121"/>
        <v>0</v>
      </c>
      <c r="BK113" s="23" t="s">
        <v>762</v>
      </c>
      <c r="BL113" s="42">
        <v>732</v>
      </c>
    </row>
    <row r="114" spans="1:64" ht="12.75">
      <c r="A114" s="6" t="s">
        <v>98</v>
      </c>
      <c r="B114" s="15"/>
      <c r="C114" s="15" t="s">
        <v>312</v>
      </c>
      <c r="D114" s="15" t="s">
        <v>544</v>
      </c>
      <c r="E114" s="15" t="s">
        <v>679</v>
      </c>
      <c r="F114" s="23">
        <v>2</v>
      </c>
      <c r="G114" s="91">
        <v>0</v>
      </c>
      <c r="H114" s="23">
        <f t="shared" si="98"/>
        <v>0</v>
      </c>
      <c r="I114" s="23">
        <f t="shared" si="99"/>
        <v>0</v>
      </c>
      <c r="J114" s="23">
        <f t="shared" si="100"/>
        <v>0</v>
      </c>
      <c r="K114" s="23">
        <v>0.0015</v>
      </c>
      <c r="L114" s="23">
        <f t="shared" si="101"/>
        <v>0.003</v>
      </c>
      <c r="M114" s="38"/>
      <c r="N114" s="40"/>
      <c r="Z114" s="42">
        <f t="shared" si="102"/>
        <v>0</v>
      </c>
      <c r="AB114" s="42">
        <f t="shared" si="103"/>
        <v>0</v>
      </c>
      <c r="AC114" s="42">
        <f t="shared" si="104"/>
        <v>0</v>
      </c>
      <c r="AD114" s="42">
        <f t="shared" si="105"/>
        <v>0</v>
      </c>
      <c r="AE114" s="42">
        <f t="shared" si="106"/>
        <v>0</v>
      </c>
      <c r="AF114" s="42">
        <f t="shared" si="107"/>
        <v>0</v>
      </c>
      <c r="AG114" s="42">
        <f t="shared" si="108"/>
        <v>0</v>
      </c>
      <c r="AH114" s="42">
        <f t="shared" si="109"/>
        <v>0</v>
      </c>
      <c r="AI114" s="32"/>
      <c r="AJ114" s="23">
        <f t="shared" si="110"/>
        <v>0</v>
      </c>
      <c r="AK114" s="23">
        <f t="shared" si="111"/>
        <v>0</v>
      </c>
      <c r="AL114" s="23">
        <f t="shared" si="112"/>
        <v>0</v>
      </c>
      <c r="AN114" s="42">
        <v>15</v>
      </c>
      <c r="AO114" s="42">
        <f t="shared" si="122"/>
        <v>0</v>
      </c>
      <c r="AP114" s="42">
        <f t="shared" si="123"/>
        <v>0</v>
      </c>
      <c r="AQ114" s="44" t="s">
        <v>13</v>
      </c>
      <c r="AV114" s="42">
        <f t="shared" si="113"/>
        <v>0</v>
      </c>
      <c r="AW114" s="42">
        <f t="shared" si="114"/>
        <v>0</v>
      </c>
      <c r="AX114" s="42">
        <f t="shared" si="115"/>
        <v>0</v>
      </c>
      <c r="AY114" s="45" t="s">
        <v>728</v>
      </c>
      <c r="AZ114" s="45" t="s">
        <v>750</v>
      </c>
      <c r="BA114" s="32" t="s">
        <v>756</v>
      </c>
      <c r="BC114" s="42">
        <f t="shared" si="116"/>
        <v>0</v>
      </c>
      <c r="BD114" s="42">
        <f t="shared" si="117"/>
        <v>0</v>
      </c>
      <c r="BE114" s="42">
        <v>0</v>
      </c>
      <c r="BF114" s="42">
        <f t="shared" si="118"/>
        <v>0.003</v>
      </c>
      <c r="BH114" s="23">
        <f t="shared" si="119"/>
        <v>0</v>
      </c>
      <c r="BI114" s="23">
        <f t="shared" si="120"/>
        <v>0</v>
      </c>
      <c r="BJ114" s="23">
        <f t="shared" si="121"/>
        <v>0</v>
      </c>
      <c r="BK114" s="23" t="s">
        <v>762</v>
      </c>
      <c r="BL114" s="42">
        <v>732</v>
      </c>
    </row>
    <row r="115" spans="1:64" ht="12.75">
      <c r="A115" s="6" t="s">
        <v>99</v>
      </c>
      <c r="B115" s="15"/>
      <c r="C115" s="15" t="s">
        <v>313</v>
      </c>
      <c r="D115" s="15" t="s">
        <v>545</v>
      </c>
      <c r="E115" s="15" t="s">
        <v>680</v>
      </c>
      <c r="F115" s="23">
        <v>1</v>
      </c>
      <c r="G115" s="91">
        <v>0</v>
      </c>
      <c r="H115" s="23">
        <f t="shared" si="98"/>
        <v>0</v>
      </c>
      <c r="I115" s="23">
        <f t="shared" si="99"/>
        <v>0</v>
      </c>
      <c r="J115" s="23">
        <f t="shared" si="100"/>
        <v>0</v>
      </c>
      <c r="K115" s="23">
        <v>0.023</v>
      </c>
      <c r="L115" s="23">
        <f t="shared" si="101"/>
        <v>0.023</v>
      </c>
      <c r="M115" s="38"/>
      <c r="N115" s="40"/>
      <c r="Z115" s="42">
        <f t="shared" si="102"/>
        <v>0</v>
      </c>
      <c r="AB115" s="42">
        <f t="shared" si="103"/>
        <v>0</v>
      </c>
      <c r="AC115" s="42">
        <f t="shared" si="104"/>
        <v>0</v>
      </c>
      <c r="AD115" s="42">
        <f t="shared" si="105"/>
        <v>0</v>
      </c>
      <c r="AE115" s="42">
        <f t="shared" si="106"/>
        <v>0</v>
      </c>
      <c r="AF115" s="42">
        <f t="shared" si="107"/>
        <v>0</v>
      </c>
      <c r="AG115" s="42">
        <f t="shared" si="108"/>
        <v>0</v>
      </c>
      <c r="AH115" s="42">
        <f t="shared" si="109"/>
        <v>0</v>
      </c>
      <c r="AI115" s="32"/>
      <c r="AJ115" s="23">
        <f t="shared" si="110"/>
        <v>0</v>
      </c>
      <c r="AK115" s="23">
        <f t="shared" si="111"/>
        <v>0</v>
      </c>
      <c r="AL115" s="23">
        <f t="shared" si="112"/>
        <v>0</v>
      </c>
      <c r="AN115" s="42">
        <v>15</v>
      </c>
      <c r="AO115" s="42">
        <f t="shared" si="122"/>
        <v>0</v>
      </c>
      <c r="AP115" s="42">
        <f t="shared" si="123"/>
        <v>0</v>
      </c>
      <c r="AQ115" s="44" t="s">
        <v>13</v>
      </c>
      <c r="AV115" s="42">
        <f t="shared" si="113"/>
        <v>0</v>
      </c>
      <c r="AW115" s="42">
        <f t="shared" si="114"/>
        <v>0</v>
      </c>
      <c r="AX115" s="42">
        <f t="shared" si="115"/>
        <v>0</v>
      </c>
      <c r="AY115" s="45" t="s">
        <v>728</v>
      </c>
      <c r="AZ115" s="45" t="s">
        <v>750</v>
      </c>
      <c r="BA115" s="32" t="s">
        <v>756</v>
      </c>
      <c r="BC115" s="42">
        <f t="shared" si="116"/>
        <v>0</v>
      </c>
      <c r="BD115" s="42">
        <f t="shared" si="117"/>
        <v>0</v>
      </c>
      <c r="BE115" s="42">
        <v>0</v>
      </c>
      <c r="BF115" s="42">
        <f t="shared" si="118"/>
        <v>0.023</v>
      </c>
      <c r="BH115" s="23">
        <f t="shared" si="119"/>
        <v>0</v>
      </c>
      <c r="BI115" s="23">
        <f t="shared" si="120"/>
        <v>0</v>
      </c>
      <c r="BJ115" s="23">
        <f t="shared" si="121"/>
        <v>0</v>
      </c>
      <c r="BK115" s="23" t="s">
        <v>762</v>
      </c>
      <c r="BL115" s="42">
        <v>732</v>
      </c>
    </row>
    <row r="116" spans="1:64" ht="12.75">
      <c r="A116" s="6" t="s">
        <v>100</v>
      </c>
      <c r="B116" s="15"/>
      <c r="C116" s="15" t="s">
        <v>314</v>
      </c>
      <c r="D116" s="15" t="s">
        <v>546</v>
      </c>
      <c r="E116" s="15" t="s">
        <v>686</v>
      </c>
      <c r="F116" s="23">
        <v>3</v>
      </c>
      <c r="G116" s="91">
        <v>0</v>
      </c>
      <c r="H116" s="23">
        <f t="shared" si="98"/>
        <v>0</v>
      </c>
      <c r="I116" s="23">
        <f t="shared" si="99"/>
        <v>0</v>
      </c>
      <c r="J116" s="23">
        <f t="shared" si="100"/>
        <v>0</v>
      </c>
      <c r="K116" s="23">
        <v>0.002</v>
      </c>
      <c r="L116" s="23">
        <f t="shared" si="101"/>
        <v>0.006</v>
      </c>
      <c r="M116" s="38" t="s">
        <v>707</v>
      </c>
      <c r="N116" s="40"/>
      <c r="Z116" s="42">
        <f t="shared" si="102"/>
        <v>0</v>
      </c>
      <c r="AB116" s="42">
        <f t="shared" si="103"/>
        <v>0</v>
      </c>
      <c r="AC116" s="42">
        <f t="shared" si="104"/>
        <v>0</v>
      </c>
      <c r="AD116" s="42">
        <f t="shared" si="105"/>
        <v>0</v>
      </c>
      <c r="AE116" s="42">
        <f t="shared" si="106"/>
        <v>0</v>
      </c>
      <c r="AF116" s="42">
        <f t="shared" si="107"/>
        <v>0</v>
      </c>
      <c r="AG116" s="42">
        <f t="shared" si="108"/>
        <v>0</v>
      </c>
      <c r="AH116" s="42">
        <f t="shared" si="109"/>
        <v>0</v>
      </c>
      <c r="AI116" s="32"/>
      <c r="AJ116" s="23">
        <f t="shared" si="110"/>
        <v>0</v>
      </c>
      <c r="AK116" s="23">
        <f t="shared" si="111"/>
        <v>0</v>
      </c>
      <c r="AL116" s="23">
        <f t="shared" si="112"/>
        <v>0</v>
      </c>
      <c r="AN116" s="42">
        <v>15</v>
      </c>
      <c r="AO116" s="42">
        <f t="shared" si="122"/>
        <v>0</v>
      </c>
      <c r="AP116" s="42">
        <f t="shared" si="123"/>
        <v>0</v>
      </c>
      <c r="AQ116" s="44" t="s">
        <v>13</v>
      </c>
      <c r="AV116" s="42">
        <f t="shared" si="113"/>
        <v>0</v>
      </c>
      <c r="AW116" s="42">
        <f t="shared" si="114"/>
        <v>0</v>
      </c>
      <c r="AX116" s="42">
        <f t="shared" si="115"/>
        <v>0</v>
      </c>
      <c r="AY116" s="45" t="s">
        <v>728</v>
      </c>
      <c r="AZ116" s="45" t="s">
        <v>750</v>
      </c>
      <c r="BA116" s="32" t="s">
        <v>756</v>
      </c>
      <c r="BC116" s="42">
        <f t="shared" si="116"/>
        <v>0</v>
      </c>
      <c r="BD116" s="42">
        <f t="shared" si="117"/>
        <v>0</v>
      </c>
      <c r="BE116" s="42">
        <v>0</v>
      </c>
      <c r="BF116" s="42">
        <f t="shared" si="118"/>
        <v>0.006</v>
      </c>
      <c r="BH116" s="23">
        <f t="shared" si="119"/>
        <v>0</v>
      </c>
      <c r="BI116" s="23">
        <f t="shared" si="120"/>
        <v>0</v>
      </c>
      <c r="BJ116" s="23">
        <f t="shared" si="121"/>
        <v>0</v>
      </c>
      <c r="BK116" s="23" t="s">
        <v>762</v>
      </c>
      <c r="BL116" s="42">
        <v>732</v>
      </c>
    </row>
    <row r="117" spans="1:64" ht="12.75">
      <c r="A117" s="6" t="s">
        <v>101</v>
      </c>
      <c r="B117" s="15"/>
      <c r="C117" s="15" t="s">
        <v>315</v>
      </c>
      <c r="D117" s="15" t="s">
        <v>547</v>
      </c>
      <c r="E117" s="15" t="s">
        <v>679</v>
      </c>
      <c r="F117" s="23">
        <v>1</v>
      </c>
      <c r="G117" s="91">
        <v>0</v>
      </c>
      <c r="H117" s="23">
        <f t="shared" si="98"/>
        <v>0</v>
      </c>
      <c r="I117" s="23">
        <f t="shared" si="99"/>
        <v>0</v>
      </c>
      <c r="J117" s="23">
        <f t="shared" si="100"/>
        <v>0</v>
      </c>
      <c r="K117" s="23">
        <v>0.004</v>
      </c>
      <c r="L117" s="23">
        <f t="shared" si="101"/>
        <v>0.004</v>
      </c>
      <c r="M117" s="38" t="s">
        <v>707</v>
      </c>
      <c r="N117" s="40"/>
      <c r="Z117" s="42">
        <f t="shared" si="102"/>
        <v>0</v>
      </c>
      <c r="AB117" s="42">
        <f t="shared" si="103"/>
        <v>0</v>
      </c>
      <c r="AC117" s="42">
        <f t="shared" si="104"/>
        <v>0</v>
      </c>
      <c r="AD117" s="42">
        <f t="shared" si="105"/>
        <v>0</v>
      </c>
      <c r="AE117" s="42">
        <f t="shared" si="106"/>
        <v>0</v>
      </c>
      <c r="AF117" s="42">
        <f t="shared" si="107"/>
        <v>0</v>
      </c>
      <c r="AG117" s="42">
        <f t="shared" si="108"/>
        <v>0</v>
      </c>
      <c r="AH117" s="42">
        <f t="shared" si="109"/>
        <v>0</v>
      </c>
      <c r="AI117" s="32"/>
      <c r="AJ117" s="23">
        <f t="shared" si="110"/>
        <v>0</v>
      </c>
      <c r="AK117" s="23">
        <f t="shared" si="111"/>
        <v>0</v>
      </c>
      <c r="AL117" s="23">
        <f t="shared" si="112"/>
        <v>0</v>
      </c>
      <c r="AN117" s="42">
        <v>15</v>
      </c>
      <c r="AO117" s="42">
        <f t="shared" si="122"/>
        <v>0</v>
      </c>
      <c r="AP117" s="42">
        <f t="shared" si="123"/>
        <v>0</v>
      </c>
      <c r="AQ117" s="44" t="s">
        <v>13</v>
      </c>
      <c r="AV117" s="42">
        <f t="shared" si="113"/>
        <v>0</v>
      </c>
      <c r="AW117" s="42">
        <f t="shared" si="114"/>
        <v>0</v>
      </c>
      <c r="AX117" s="42">
        <f t="shared" si="115"/>
        <v>0</v>
      </c>
      <c r="AY117" s="45" t="s">
        <v>728</v>
      </c>
      <c r="AZ117" s="45" t="s">
        <v>750</v>
      </c>
      <c r="BA117" s="32" t="s">
        <v>756</v>
      </c>
      <c r="BC117" s="42">
        <f t="shared" si="116"/>
        <v>0</v>
      </c>
      <c r="BD117" s="42">
        <f t="shared" si="117"/>
        <v>0</v>
      </c>
      <c r="BE117" s="42">
        <v>0</v>
      </c>
      <c r="BF117" s="42">
        <f t="shared" si="118"/>
        <v>0.004</v>
      </c>
      <c r="BH117" s="23">
        <f t="shared" si="119"/>
        <v>0</v>
      </c>
      <c r="BI117" s="23">
        <f t="shared" si="120"/>
        <v>0</v>
      </c>
      <c r="BJ117" s="23">
        <f t="shared" si="121"/>
        <v>0</v>
      </c>
      <c r="BK117" s="23" t="s">
        <v>762</v>
      </c>
      <c r="BL117" s="42">
        <v>732</v>
      </c>
    </row>
    <row r="118" spans="1:64" ht="12.75">
      <c r="A118" s="6" t="s">
        <v>102</v>
      </c>
      <c r="B118" s="15"/>
      <c r="C118" s="15" t="s">
        <v>316</v>
      </c>
      <c r="D118" s="15" t="s">
        <v>548</v>
      </c>
      <c r="E118" s="15" t="s">
        <v>680</v>
      </c>
      <c r="F118" s="23">
        <v>1</v>
      </c>
      <c r="G118" s="91">
        <v>0</v>
      </c>
      <c r="H118" s="23">
        <f t="shared" si="98"/>
        <v>0</v>
      </c>
      <c r="I118" s="23">
        <f t="shared" si="99"/>
        <v>0</v>
      </c>
      <c r="J118" s="23">
        <f t="shared" si="100"/>
        <v>0</v>
      </c>
      <c r="K118" s="23">
        <v>0.003</v>
      </c>
      <c r="L118" s="23">
        <f t="shared" si="101"/>
        <v>0.003</v>
      </c>
      <c r="M118" s="38" t="s">
        <v>707</v>
      </c>
      <c r="N118" s="40"/>
      <c r="Z118" s="42">
        <f t="shared" si="102"/>
        <v>0</v>
      </c>
      <c r="AB118" s="42">
        <f t="shared" si="103"/>
        <v>0</v>
      </c>
      <c r="AC118" s="42">
        <f t="shared" si="104"/>
        <v>0</v>
      </c>
      <c r="AD118" s="42">
        <f t="shared" si="105"/>
        <v>0</v>
      </c>
      <c r="AE118" s="42">
        <f t="shared" si="106"/>
        <v>0</v>
      </c>
      <c r="AF118" s="42">
        <f t="shared" si="107"/>
        <v>0</v>
      </c>
      <c r="AG118" s="42">
        <f t="shared" si="108"/>
        <v>0</v>
      </c>
      <c r="AH118" s="42">
        <f t="shared" si="109"/>
        <v>0</v>
      </c>
      <c r="AI118" s="32"/>
      <c r="AJ118" s="23">
        <f t="shared" si="110"/>
        <v>0</v>
      </c>
      <c r="AK118" s="23">
        <f t="shared" si="111"/>
        <v>0</v>
      </c>
      <c r="AL118" s="23">
        <f t="shared" si="112"/>
        <v>0</v>
      </c>
      <c r="AN118" s="42">
        <v>15</v>
      </c>
      <c r="AO118" s="42">
        <f t="shared" si="122"/>
        <v>0</v>
      </c>
      <c r="AP118" s="42">
        <f t="shared" si="123"/>
        <v>0</v>
      </c>
      <c r="AQ118" s="44" t="s">
        <v>13</v>
      </c>
      <c r="AV118" s="42">
        <f t="shared" si="113"/>
        <v>0</v>
      </c>
      <c r="AW118" s="42">
        <f t="shared" si="114"/>
        <v>0</v>
      </c>
      <c r="AX118" s="42">
        <f t="shared" si="115"/>
        <v>0</v>
      </c>
      <c r="AY118" s="45" t="s">
        <v>728</v>
      </c>
      <c r="AZ118" s="45" t="s">
        <v>750</v>
      </c>
      <c r="BA118" s="32" t="s">
        <v>756</v>
      </c>
      <c r="BC118" s="42">
        <f t="shared" si="116"/>
        <v>0</v>
      </c>
      <c r="BD118" s="42">
        <f t="shared" si="117"/>
        <v>0</v>
      </c>
      <c r="BE118" s="42">
        <v>0</v>
      </c>
      <c r="BF118" s="42">
        <f t="shared" si="118"/>
        <v>0.003</v>
      </c>
      <c r="BH118" s="23">
        <f t="shared" si="119"/>
        <v>0</v>
      </c>
      <c r="BI118" s="23">
        <f t="shared" si="120"/>
        <v>0</v>
      </c>
      <c r="BJ118" s="23">
        <f t="shared" si="121"/>
        <v>0</v>
      </c>
      <c r="BK118" s="23" t="s">
        <v>762</v>
      </c>
      <c r="BL118" s="42">
        <v>732</v>
      </c>
    </row>
    <row r="119" spans="1:64" ht="12.75">
      <c r="A119" s="6" t="s">
        <v>103</v>
      </c>
      <c r="B119" s="15"/>
      <c r="C119" s="15" t="s">
        <v>317</v>
      </c>
      <c r="D119" s="15" t="s">
        <v>549</v>
      </c>
      <c r="E119" s="15" t="s">
        <v>679</v>
      </c>
      <c r="F119" s="23">
        <v>1</v>
      </c>
      <c r="G119" s="91">
        <v>0</v>
      </c>
      <c r="H119" s="23">
        <f t="shared" si="98"/>
        <v>0</v>
      </c>
      <c r="I119" s="23">
        <f t="shared" si="99"/>
        <v>0</v>
      </c>
      <c r="J119" s="23">
        <f t="shared" si="100"/>
        <v>0</v>
      </c>
      <c r="K119" s="23">
        <v>0.003</v>
      </c>
      <c r="L119" s="23">
        <f t="shared" si="101"/>
        <v>0.003</v>
      </c>
      <c r="M119" s="38" t="s">
        <v>707</v>
      </c>
      <c r="N119" s="40"/>
      <c r="Z119" s="42">
        <f t="shared" si="102"/>
        <v>0</v>
      </c>
      <c r="AB119" s="42">
        <f t="shared" si="103"/>
        <v>0</v>
      </c>
      <c r="AC119" s="42">
        <f t="shared" si="104"/>
        <v>0</v>
      </c>
      <c r="AD119" s="42">
        <f t="shared" si="105"/>
        <v>0</v>
      </c>
      <c r="AE119" s="42">
        <f t="shared" si="106"/>
        <v>0</v>
      </c>
      <c r="AF119" s="42">
        <f t="shared" si="107"/>
        <v>0</v>
      </c>
      <c r="AG119" s="42">
        <f t="shared" si="108"/>
        <v>0</v>
      </c>
      <c r="AH119" s="42">
        <f t="shared" si="109"/>
        <v>0</v>
      </c>
      <c r="AI119" s="32"/>
      <c r="AJ119" s="23">
        <f t="shared" si="110"/>
        <v>0</v>
      </c>
      <c r="AK119" s="23">
        <f t="shared" si="111"/>
        <v>0</v>
      </c>
      <c r="AL119" s="23">
        <f t="shared" si="112"/>
        <v>0</v>
      </c>
      <c r="AN119" s="42">
        <v>15</v>
      </c>
      <c r="AO119" s="42">
        <f t="shared" si="122"/>
        <v>0</v>
      </c>
      <c r="AP119" s="42">
        <f t="shared" si="123"/>
        <v>0</v>
      </c>
      <c r="AQ119" s="44" t="s">
        <v>13</v>
      </c>
      <c r="AV119" s="42">
        <f t="shared" si="113"/>
        <v>0</v>
      </c>
      <c r="AW119" s="42">
        <f t="shared" si="114"/>
        <v>0</v>
      </c>
      <c r="AX119" s="42">
        <f t="shared" si="115"/>
        <v>0</v>
      </c>
      <c r="AY119" s="45" t="s">
        <v>728</v>
      </c>
      <c r="AZ119" s="45" t="s">
        <v>750</v>
      </c>
      <c r="BA119" s="32" t="s">
        <v>756</v>
      </c>
      <c r="BC119" s="42">
        <f t="shared" si="116"/>
        <v>0</v>
      </c>
      <c r="BD119" s="42">
        <f t="shared" si="117"/>
        <v>0</v>
      </c>
      <c r="BE119" s="42">
        <v>0</v>
      </c>
      <c r="BF119" s="42">
        <f t="shared" si="118"/>
        <v>0.003</v>
      </c>
      <c r="BH119" s="23">
        <f t="shared" si="119"/>
        <v>0</v>
      </c>
      <c r="BI119" s="23">
        <f t="shared" si="120"/>
        <v>0</v>
      </c>
      <c r="BJ119" s="23">
        <f t="shared" si="121"/>
        <v>0</v>
      </c>
      <c r="BK119" s="23" t="s">
        <v>762</v>
      </c>
      <c r="BL119" s="42">
        <v>732</v>
      </c>
    </row>
    <row r="120" spans="1:47" ht="12.75">
      <c r="A120" s="5"/>
      <c r="B120" s="14"/>
      <c r="C120" s="14" t="s">
        <v>318</v>
      </c>
      <c r="D120" s="14" t="s">
        <v>550</v>
      </c>
      <c r="E120" s="20" t="s">
        <v>6</v>
      </c>
      <c r="F120" s="20" t="s">
        <v>6</v>
      </c>
      <c r="G120" s="20" t="s">
        <v>6</v>
      </c>
      <c r="H120" s="48">
        <f>SUM(H121:H128)</f>
        <v>0</v>
      </c>
      <c r="I120" s="48">
        <f>SUM(I121:I128)</f>
        <v>0</v>
      </c>
      <c r="J120" s="48">
        <f>SUM(J121:J128)</f>
        <v>0</v>
      </c>
      <c r="K120" s="32"/>
      <c r="L120" s="48">
        <f>SUM(L121:L128)</f>
        <v>0.13824000000000003</v>
      </c>
      <c r="M120" s="37"/>
      <c r="N120" s="40"/>
      <c r="AI120" s="32"/>
      <c r="AS120" s="48">
        <f>SUM(AJ121:AJ128)</f>
        <v>0</v>
      </c>
      <c r="AT120" s="48">
        <f>SUM(AK121:AK128)</f>
        <v>0</v>
      </c>
      <c r="AU120" s="48">
        <f>SUM(AL121:AL128)</f>
        <v>0</v>
      </c>
    </row>
    <row r="121" spans="1:64" ht="12.75">
      <c r="A121" s="4" t="s">
        <v>104</v>
      </c>
      <c r="B121" s="13"/>
      <c r="C121" s="13" t="s">
        <v>319</v>
      </c>
      <c r="D121" s="13" t="s">
        <v>551</v>
      </c>
      <c r="E121" s="13" t="s">
        <v>681</v>
      </c>
      <c r="F121" s="22">
        <v>20</v>
      </c>
      <c r="G121" s="90">
        <v>0</v>
      </c>
      <c r="H121" s="22">
        <f aca="true" t="shared" si="124" ref="H121:H128">F121*AO121</f>
        <v>0</v>
      </c>
      <c r="I121" s="22">
        <f aca="true" t="shared" si="125" ref="I121:I128">F121*AP121</f>
        <v>0</v>
      </c>
      <c r="J121" s="22">
        <f aca="true" t="shared" si="126" ref="J121:J128">F121*G121</f>
        <v>0</v>
      </c>
      <c r="K121" s="22">
        <v>0.00101</v>
      </c>
      <c r="L121" s="22">
        <f aca="true" t="shared" si="127" ref="L121:L128">F121*K121</f>
        <v>0.020200000000000003</v>
      </c>
      <c r="M121" s="36" t="s">
        <v>706</v>
      </c>
      <c r="N121" s="40"/>
      <c r="Z121" s="42">
        <f aca="true" t="shared" si="128" ref="Z121:Z128">IF(AQ121="5",BJ121,0)</f>
        <v>0</v>
      </c>
      <c r="AB121" s="42">
        <f aca="true" t="shared" si="129" ref="AB121:AB128">IF(AQ121="1",BH121,0)</f>
        <v>0</v>
      </c>
      <c r="AC121" s="42">
        <f aca="true" t="shared" si="130" ref="AC121:AC128">IF(AQ121="1",BI121,0)</f>
        <v>0</v>
      </c>
      <c r="AD121" s="42">
        <f aca="true" t="shared" si="131" ref="AD121:AD128">IF(AQ121="7",BH121,0)</f>
        <v>0</v>
      </c>
      <c r="AE121" s="42">
        <f aca="true" t="shared" si="132" ref="AE121:AE128">IF(AQ121="7",BI121,0)</f>
        <v>0</v>
      </c>
      <c r="AF121" s="42">
        <f aca="true" t="shared" si="133" ref="AF121:AF128">IF(AQ121="2",BH121,0)</f>
        <v>0</v>
      </c>
      <c r="AG121" s="42">
        <f aca="true" t="shared" si="134" ref="AG121:AG128">IF(AQ121="2",BI121,0)</f>
        <v>0</v>
      </c>
      <c r="AH121" s="42">
        <f aca="true" t="shared" si="135" ref="AH121:AH128">IF(AQ121="0",BJ121,0)</f>
        <v>0</v>
      </c>
      <c r="AI121" s="32"/>
      <c r="AJ121" s="22">
        <f aca="true" t="shared" si="136" ref="AJ121:AJ128">IF(AN121=0,J121,0)</f>
        <v>0</v>
      </c>
      <c r="AK121" s="22">
        <f aca="true" t="shared" si="137" ref="AK121:AK128">IF(AN121=15,J121,0)</f>
        <v>0</v>
      </c>
      <c r="AL121" s="22">
        <f aca="true" t="shared" si="138" ref="AL121:AL128">IF(AN121=21,J121,0)</f>
        <v>0</v>
      </c>
      <c r="AN121" s="42">
        <v>15</v>
      </c>
      <c r="AO121" s="42">
        <f>G121*0.631298557158713</f>
        <v>0</v>
      </c>
      <c r="AP121" s="42">
        <f>G121*(1-0.631298557158713)</f>
        <v>0</v>
      </c>
      <c r="AQ121" s="43" t="s">
        <v>13</v>
      </c>
      <c r="AV121" s="42">
        <f aca="true" t="shared" si="139" ref="AV121:AV128">AW121+AX121</f>
        <v>0</v>
      </c>
      <c r="AW121" s="42">
        <f aca="true" t="shared" si="140" ref="AW121:AW128">F121*AO121</f>
        <v>0</v>
      </c>
      <c r="AX121" s="42">
        <f aca="true" t="shared" si="141" ref="AX121:AX128">F121*AP121</f>
        <v>0</v>
      </c>
      <c r="AY121" s="45" t="s">
        <v>729</v>
      </c>
      <c r="AZ121" s="45" t="s">
        <v>750</v>
      </c>
      <c r="BA121" s="32" t="s">
        <v>756</v>
      </c>
      <c r="BC121" s="42">
        <f aca="true" t="shared" si="142" ref="BC121:BC128">AW121+AX121</f>
        <v>0</v>
      </c>
      <c r="BD121" s="42">
        <f aca="true" t="shared" si="143" ref="BD121:BD128">G121/(100-BE121)*100</f>
        <v>0</v>
      </c>
      <c r="BE121" s="42">
        <v>0</v>
      </c>
      <c r="BF121" s="42">
        <f aca="true" t="shared" si="144" ref="BF121:BF128">L121</f>
        <v>0.020200000000000003</v>
      </c>
      <c r="BH121" s="22">
        <f aca="true" t="shared" si="145" ref="BH121:BH128">F121*AO121</f>
        <v>0</v>
      </c>
      <c r="BI121" s="22">
        <f aca="true" t="shared" si="146" ref="BI121:BI128">F121*AP121</f>
        <v>0</v>
      </c>
      <c r="BJ121" s="22">
        <f aca="true" t="shared" si="147" ref="BJ121:BJ128">F121*G121</f>
        <v>0</v>
      </c>
      <c r="BK121" s="22" t="s">
        <v>761</v>
      </c>
      <c r="BL121" s="42">
        <v>733</v>
      </c>
    </row>
    <row r="122" spans="1:64" ht="12.75">
      <c r="A122" s="4" t="s">
        <v>105</v>
      </c>
      <c r="B122" s="13"/>
      <c r="C122" s="13" t="s">
        <v>320</v>
      </c>
      <c r="D122" s="13" t="s">
        <v>552</v>
      </c>
      <c r="E122" s="13" t="s">
        <v>681</v>
      </c>
      <c r="F122" s="22">
        <v>20</v>
      </c>
      <c r="G122" s="90">
        <v>0</v>
      </c>
      <c r="H122" s="22">
        <f t="shared" si="124"/>
        <v>0</v>
      </c>
      <c r="I122" s="22">
        <f t="shared" si="125"/>
        <v>0</v>
      </c>
      <c r="J122" s="22">
        <f t="shared" si="126"/>
        <v>0</v>
      </c>
      <c r="K122" s="22">
        <v>0.0016</v>
      </c>
      <c r="L122" s="22">
        <f t="shared" si="127"/>
        <v>0.032</v>
      </c>
      <c r="M122" s="36" t="s">
        <v>706</v>
      </c>
      <c r="N122" s="40"/>
      <c r="Z122" s="42">
        <f t="shared" si="128"/>
        <v>0</v>
      </c>
      <c r="AB122" s="42">
        <f t="shared" si="129"/>
        <v>0</v>
      </c>
      <c r="AC122" s="42">
        <f t="shared" si="130"/>
        <v>0</v>
      </c>
      <c r="AD122" s="42">
        <f t="shared" si="131"/>
        <v>0</v>
      </c>
      <c r="AE122" s="42">
        <f t="shared" si="132"/>
        <v>0</v>
      </c>
      <c r="AF122" s="42">
        <f t="shared" si="133"/>
        <v>0</v>
      </c>
      <c r="AG122" s="42">
        <f t="shared" si="134"/>
        <v>0</v>
      </c>
      <c r="AH122" s="42">
        <f t="shared" si="135"/>
        <v>0</v>
      </c>
      <c r="AI122" s="32"/>
      <c r="AJ122" s="22">
        <f t="shared" si="136"/>
        <v>0</v>
      </c>
      <c r="AK122" s="22">
        <f t="shared" si="137"/>
        <v>0</v>
      </c>
      <c r="AL122" s="22">
        <f t="shared" si="138"/>
        <v>0</v>
      </c>
      <c r="AN122" s="42">
        <v>15</v>
      </c>
      <c r="AO122" s="42">
        <f>G122*0.712454695222405</f>
        <v>0</v>
      </c>
      <c r="AP122" s="42">
        <f>G122*(1-0.712454695222405)</f>
        <v>0</v>
      </c>
      <c r="AQ122" s="43" t="s">
        <v>13</v>
      </c>
      <c r="AV122" s="42">
        <f t="shared" si="139"/>
        <v>0</v>
      </c>
      <c r="AW122" s="42">
        <f t="shared" si="140"/>
        <v>0</v>
      </c>
      <c r="AX122" s="42">
        <f t="shared" si="141"/>
        <v>0</v>
      </c>
      <c r="AY122" s="45" t="s">
        <v>729</v>
      </c>
      <c r="AZ122" s="45" t="s">
        <v>750</v>
      </c>
      <c r="BA122" s="32" t="s">
        <v>756</v>
      </c>
      <c r="BC122" s="42">
        <f t="shared" si="142"/>
        <v>0</v>
      </c>
      <c r="BD122" s="42">
        <f t="shared" si="143"/>
        <v>0</v>
      </c>
      <c r="BE122" s="42">
        <v>0</v>
      </c>
      <c r="BF122" s="42">
        <f t="shared" si="144"/>
        <v>0.032</v>
      </c>
      <c r="BH122" s="22">
        <f t="shared" si="145"/>
        <v>0</v>
      </c>
      <c r="BI122" s="22">
        <f t="shared" si="146"/>
        <v>0</v>
      </c>
      <c r="BJ122" s="22">
        <f t="shared" si="147"/>
        <v>0</v>
      </c>
      <c r="BK122" s="22" t="s">
        <v>761</v>
      </c>
      <c r="BL122" s="42">
        <v>733</v>
      </c>
    </row>
    <row r="123" spans="1:64" ht="12.75">
      <c r="A123" s="4" t="s">
        <v>106</v>
      </c>
      <c r="B123" s="13"/>
      <c r="C123" s="13" t="s">
        <v>321</v>
      </c>
      <c r="D123" s="13" t="s">
        <v>553</v>
      </c>
      <c r="E123" s="13" t="s">
        <v>681</v>
      </c>
      <c r="F123" s="22">
        <v>20</v>
      </c>
      <c r="G123" s="90">
        <v>0</v>
      </c>
      <c r="H123" s="22">
        <f t="shared" si="124"/>
        <v>0</v>
      </c>
      <c r="I123" s="22">
        <f t="shared" si="125"/>
        <v>0</v>
      </c>
      <c r="J123" s="22">
        <f t="shared" si="126"/>
        <v>0</v>
      </c>
      <c r="K123" s="22">
        <v>0.00196</v>
      </c>
      <c r="L123" s="22">
        <f t="shared" si="127"/>
        <v>0.0392</v>
      </c>
      <c r="M123" s="36" t="s">
        <v>706</v>
      </c>
      <c r="N123" s="40"/>
      <c r="Z123" s="42">
        <f t="shared" si="128"/>
        <v>0</v>
      </c>
      <c r="AB123" s="42">
        <f t="shared" si="129"/>
        <v>0</v>
      </c>
      <c r="AC123" s="42">
        <f t="shared" si="130"/>
        <v>0</v>
      </c>
      <c r="AD123" s="42">
        <f t="shared" si="131"/>
        <v>0</v>
      </c>
      <c r="AE123" s="42">
        <f t="shared" si="132"/>
        <v>0</v>
      </c>
      <c r="AF123" s="42">
        <f t="shared" si="133"/>
        <v>0</v>
      </c>
      <c r="AG123" s="42">
        <f t="shared" si="134"/>
        <v>0</v>
      </c>
      <c r="AH123" s="42">
        <f t="shared" si="135"/>
        <v>0</v>
      </c>
      <c r="AI123" s="32"/>
      <c r="AJ123" s="22">
        <f t="shared" si="136"/>
        <v>0</v>
      </c>
      <c r="AK123" s="22">
        <f t="shared" si="137"/>
        <v>0</v>
      </c>
      <c r="AL123" s="22">
        <f t="shared" si="138"/>
        <v>0</v>
      </c>
      <c r="AN123" s="42">
        <v>15</v>
      </c>
      <c r="AO123" s="42">
        <f>G123*0.782401392111369</f>
        <v>0</v>
      </c>
      <c r="AP123" s="42">
        <f>G123*(1-0.782401392111369)</f>
        <v>0</v>
      </c>
      <c r="AQ123" s="43" t="s">
        <v>13</v>
      </c>
      <c r="AV123" s="42">
        <f t="shared" si="139"/>
        <v>0</v>
      </c>
      <c r="AW123" s="42">
        <f t="shared" si="140"/>
        <v>0</v>
      </c>
      <c r="AX123" s="42">
        <f t="shared" si="141"/>
        <v>0</v>
      </c>
      <c r="AY123" s="45" t="s">
        <v>729</v>
      </c>
      <c r="AZ123" s="45" t="s">
        <v>750</v>
      </c>
      <c r="BA123" s="32" t="s">
        <v>756</v>
      </c>
      <c r="BC123" s="42">
        <f t="shared" si="142"/>
        <v>0</v>
      </c>
      <c r="BD123" s="42">
        <f t="shared" si="143"/>
        <v>0</v>
      </c>
      <c r="BE123" s="42">
        <v>0</v>
      </c>
      <c r="BF123" s="42">
        <f t="shared" si="144"/>
        <v>0.0392</v>
      </c>
      <c r="BH123" s="22">
        <f t="shared" si="145"/>
        <v>0</v>
      </c>
      <c r="BI123" s="22">
        <f t="shared" si="146"/>
        <v>0</v>
      </c>
      <c r="BJ123" s="22">
        <f t="shared" si="147"/>
        <v>0</v>
      </c>
      <c r="BK123" s="22" t="s">
        <v>761</v>
      </c>
      <c r="BL123" s="42">
        <v>733</v>
      </c>
    </row>
    <row r="124" spans="1:64" ht="12.75">
      <c r="A124" s="4" t="s">
        <v>107</v>
      </c>
      <c r="B124" s="13"/>
      <c r="C124" s="13" t="s">
        <v>322</v>
      </c>
      <c r="D124" s="13" t="s">
        <v>554</v>
      </c>
      <c r="E124" s="13" t="s">
        <v>681</v>
      </c>
      <c r="F124" s="22">
        <v>18</v>
      </c>
      <c r="G124" s="90">
        <v>0</v>
      </c>
      <c r="H124" s="22">
        <f t="shared" si="124"/>
        <v>0</v>
      </c>
      <c r="I124" s="22">
        <f t="shared" si="125"/>
        <v>0</v>
      </c>
      <c r="J124" s="22">
        <f t="shared" si="126"/>
        <v>0</v>
      </c>
      <c r="K124" s="22">
        <v>0.00231</v>
      </c>
      <c r="L124" s="22">
        <f t="shared" si="127"/>
        <v>0.04158</v>
      </c>
      <c r="M124" s="36" t="s">
        <v>706</v>
      </c>
      <c r="N124" s="40"/>
      <c r="Z124" s="42">
        <f t="shared" si="128"/>
        <v>0</v>
      </c>
      <c r="AB124" s="42">
        <f t="shared" si="129"/>
        <v>0</v>
      </c>
      <c r="AC124" s="42">
        <f t="shared" si="130"/>
        <v>0</v>
      </c>
      <c r="AD124" s="42">
        <f t="shared" si="131"/>
        <v>0</v>
      </c>
      <c r="AE124" s="42">
        <f t="shared" si="132"/>
        <v>0</v>
      </c>
      <c r="AF124" s="42">
        <f t="shared" si="133"/>
        <v>0</v>
      </c>
      <c r="AG124" s="42">
        <f t="shared" si="134"/>
        <v>0</v>
      </c>
      <c r="AH124" s="42">
        <f t="shared" si="135"/>
        <v>0</v>
      </c>
      <c r="AI124" s="32"/>
      <c r="AJ124" s="22">
        <f t="shared" si="136"/>
        <v>0</v>
      </c>
      <c r="AK124" s="22">
        <f t="shared" si="137"/>
        <v>0</v>
      </c>
      <c r="AL124" s="22">
        <f t="shared" si="138"/>
        <v>0</v>
      </c>
      <c r="AN124" s="42">
        <v>15</v>
      </c>
      <c r="AO124" s="42">
        <f>G124*0.798750457321363</f>
        <v>0</v>
      </c>
      <c r="AP124" s="42">
        <f>G124*(1-0.798750457321363)</f>
        <v>0</v>
      </c>
      <c r="AQ124" s="43" t="s">
        <v>13</v>
      </c>
      <c r="AV124" s="42">
        <f t="shared" si="139"/>
        <v>0</v>
      </c>
      <c r="AW124" s="42">
        <f t="shared" si="140"/>
        <v>0</v>
      </c>
      <c r="AX124" s="42">
        <f t="shared" si="141"/>
        <v>0</v>
      </c>
      <c r="AY124" s="45" t="s">
        <v>729</v>
      </c>
      <c r="AZ124" s="45" t="s">
        <v>750</v>
      </c>
      <c r="BA124" s="32" t="s">
        <v>756</v>
      </c>
      <c r="BC124" s="42">
        <f t="shared" si="142"/>
        <v>0</v>
      </c>
      <c r="BD124" s="42">
        <f t="shared" si="143"/>
        <v>0</v>
      </c>
      <c r="BE124" s="42">
        <v>0</v>
      </c>
      <c r="BF124" s="42">
        <f t="shared" si="144"/>
        <v>0.04158</v>
      </c>
      <c r="BH124" s="22">
        <f t="shared" si="145"/>
        <v>0</v>
      </c>
      <c r="BI124" s="22">
        <f t="shared" si="146"/>
        <v>0</v>
      </c>
      <c r="BJ124" s="22">
        <f t="shared" si="147"/>
        <v>0</v>
      </c>
      <c r="BK124" s="22" t="s">
        <v>761</v>
      </c>
      <c r="BL124" s="42">
        <v>733</v>
      </c>
    </row>
    <row r="125" spans="1:64" ht="12.75">
      <c r="A125" s="4" t="s">
        <v>108</v>
      </c>
      <c r="B125" s="13"/>
      <c r="C125" s="13" t="s">
        <v>246</v>
      </c>
      <c r="D125" s="13" t="s">
        <v>474</v>
      </c>
      <c r="E125" s="13" t="s">
        <v>681</v>
      </c>
      <c r="F125" s="22">
        <v>20</v>
      </c>
      <c r="G125" s="90">
        <v>0</v>
      </c>
      <c r="H125" s="22">
        <f t="shared" si="124"/>
        <v>0</v>
      </c>
      <c r="I125" s="22">
        <f t="shared" si="125"/>
        <v>0</v>
      </c>
      <c r="J125" s="22">
        <f t="shared" si="126"/>
        <v>0</v>
      </c>
      <c r="K125" s="22">
        <v>5E-05</v>
      </c>
      <c r="L125" s="22">
        <f t="shared" si="127"/>
        <v>0.001</v>
      </c>
      <c r="M125" s="36" t="s">
        <v>706</v>
      </c>
      <c r="N125" s="40"/>
      <c r="Z125" s="42">
        <f t="shared" si="128"/>
        <v>0</v>
      </c>
      <c r="AB125" s="42">
        <f t="shared" si="129"/>
        <v>0</v>
      </c>
      <c r="AC125" s="42">
        <f t="shared" si="130"/>
        <v>0</v>
      </c>
      <c r="AD125" s="42">
        <f t="shared" si="131"/>
        <v>0</v>
      </c>
      <c r="AE125" s="42">
        <f t="shared" si="132"/>
        <v>0</v>
      </c>
      <c r="AF125" s="42">
        <f t="shared" si="133"/>
        <v>0</v>
      </c>
      <c r="AG125" s="42">
        <f t="shared" si="134"/>
        <v>0</v>
      </c>
      <c r="AH125" s="42">
        <f t="shared" si="135"/>
        <v>0</v>
      </c>
      <c r="AI125" s="32"/>
      <c r="AJ125" s="22">
        <f t="shared" si="136"/>
        <v>0</v>
      </c>
      <c r="AK125" s="22">
        <f t="shared" si="137"/>
        <v>0</v>
      </c>
      <c r="AL125" s="22">
        <f t="shared" si="138"/>
        <v>0</v>
      </c>
      <c r="AN125" s="42">
        <v>15</v>
      </c>
      <c r="AO125" s="42">
        <f>G125*0.433465346534653</f>
        <v>0</v>
      </c>
      <c r="AP125" s="42">
        <f>G125*(1-0.433465346534653)</f>
        <v>0</v>
      </c>
      <c r="AQ125" s="43" t="s">
        <v>13</v>
      </c>
      <c r="AV125" s="42">
        <f t="shared" si="139"/>
        <v>0</v>
      </c>
      <c r="AW125" s="42">
        <f t="shared" si="140"/>
        <v>0</v>
      </c>
      <c r="AX125" s="42">
        <f t="shared" si="141"/>
        <v>0</v>
      </c>
      <c r="AY125" s="45" t="s">
        <v>729</v>
      </c>
      <c r="AZ125" s="45" t="s">
        <v>750</v>
      </c>
      <c r="BA125" s="32" t="s">
        <v>756</v>
      </c>
      <c r="BC125" s="42">
        <f t="shared" si="142"/>
        <v>0</v>
      </c>
      <c r="BD125" s="42">
        <f t="shared" si="143"/>
        <v>0</v>
      </c>
      <c r="BE125" s="42">
        <v>0</v>
      </c>
      <c r="BF125" s="42">
        <f t="shared" si="144"/>
        <v>0.001</v>
      </c>
      <c r="BH125" s="22">
        <f t="shared" si="145"/>
        <v>0</v>
      </c>
      <c r="BI125" s="22">
        <f t="shared" si="146"/>
        <v>0</v>
      </c>
      <c r="BJ125" s="22">
        <f t="shared" si="147"/>
        <v>0</v>
      </c>
      <c r="BK125" s="22" t="s">
        <v>761</v>
      </c>
      <c r="BL125" s="42">
        <v>733</v>
      </c>
    </row>
    <row r="126" spans="1:64" ht="12.75">
      <c r="A126" s="4" t="s">
        <v>109</v>
      </c>
      <c r="B126" s="13"/>
      <c r="C126" s="13" t="s">
        <v>323</v>
      </c>
      <c r="D126" s="13" t="s">
        <v>474</v>
      </c>
      <c r="E126" s="13" t="s">
        <v>681</v>
      </c>
      <c r="F126" s="22">
        <v>20</v>
      </c>
      <c r="G126" s="90">
        <v>0</v>
      </c>
      <c r="H126" s="22">
        <f t="shared" si="124"/>
        <v>0</v>
      </c>
      <c r="I126" s="22">
        <f t="shared" si="125"/>
        <v>0</v>
      </c>
      <c r="J126" s="22">
        <f t="shared" si="126"/>
        <v>0</v>
      </c>
      <c r="K126" s="22">
        <v>8E-05</v>
      </c>
      <c r="L126" s="22">
        <f t="shared" si="127"/>
        <v>0.0016</v>
      </c>
      <c r="M126" s="36" t="s">
        <v>706</v>
      </c>
      <c r="N126" s="40"/>
      <c r="Z126" s="42">
        <f t="shared" si="128"/>
        <v>0</v>
      </c>
      <c r="AB126" s="42">
        <f t="shared" si="129"/>
        <v>0</v>
      </c>
      <c r="AC126" s="42">
        <f t="shared" si="130"/>
        <v>0</v>
      </c>
      <c r="AD126" s="42">
        <f t="shared" si="131"/>
        <v>0</v>
      </c>
      <c r="AE126" s="42">
        <f t="shared" si="132"/>
        <v>0</v>
      </c>
      <c r="AF126" s="42">
        <f t="shared" si="133"/>
        <v>0</v>
      </c>
      <c r="AG126" s="42">
        <f t="shared" si="134"/>
        <v>0</v>
      </c>
      <c r="AH126" s="42">
        <f t="shared" si="135"/>
        <v>0</v>
      </c>
      <c r="AI126" s="32"/>
      <c r="AJ126" s="22">
        <f t="shared" si="136"/>
        <v>0</v>
      </c>
      <c r="AK126" s="22">
        <f t="shared" si="137"/>
        <v>0</v>
      </c>
      <c r="AL126" s="22">
        <f t="shared" si="138"/>
        <v>0</v>
      </c>
      <c r="AN126" s="42">
        <v>15</v>
      </c>
      <c r="AO126" s="42">
        <f>G126*0.465233644859813</f>
        <v>0</v>
      </c>
      <c r="AP126" s="42">
        <f>G126*(1-0.465233644859813)</f>
        <v>0</v>
      </c>
      <c r="AQ126" s="43" t="s">
        <v>13</v>
      </c>
      <c r="AV126" s="42">
        <f t="shared" si="139"/>
        <v>0</v>
      </c>
      <c r="AW126" s="42">
        <f t="shared" si="140"/>
        <v>0</v>
      </c>
      <c r="AX126" s="42">
        <f t="shared" si="141"/>
        <v>0</v>
      </c>
      <c r="AY126" s="45" t="s">
        <v>729</v>
      </c>
      <c r="AZ126" s="45" t="s">
        <v>750</v>
      </c>
      <c r="BA126" s="32" t="s">
        <v>756</v>
      </c>
      <c r="BC126" s="42">
        <f t="shared" si="142"/>
        <v>0</v>
      </c>
      <c r="BD126" s="42">
        <f t="shared" si="143"/>
        <v>0</v>
      </c>
      <c r="BE126" s="42">
        <v>0</v>
      </c>
      <c r="BF126" s="42">
        <f t="shared" si="144"/>
        <v>0.0016</v>
      </c>
      <c r="BH126" s="22">
        <f t="shared" si="145"/>
        <v>0</v>
      </c>
      <c r="BI126" s="22">
        <f t="shared" si="146"/>
        <v>0</v>
      </c>
      <c r="BJ126" s="22">
        <f t="shared" si="147"/>
        <v>0</v>
      </c>
      <c r="BK126" s="22" t="s">
        <v>761</v>
      </c>
      <c r="BL126" s="42">
        <v>733</v>
      </c>
    </row>
    <row r="127" spans="1:64" ht="12.75">
      <c r="A127" s="4" t="s">
        <v>110</v>
      </c>
      <c r="B127" s="13"/>
      <c r="C127" s="13" t="s">
        <v>324</v>
      </c>
      <c r="D127" s="13" t="s">
        <v>474</v>
      </c>
      <c r="E127" s="13" t="s">
        <v>681</v>
      </c>
      <c r="F127" s="22">
        <v>20</v>
      </c>
      <c r="G127" s="90">
        <v>0</v>
      </c>
      <c r="H127" s="22">
        <f t="shared" si="124"/>
        <v>0</v>
      </c>
      <c r="I127" s="22">
        <f t="shared" si="125"/>
        <v>0</v>
      </c>
      <c r="J127" s="22">
        <f t="shared" si="126"/>
        <v>0</v>
      </c>
      <c r="K127" s="22">
        <v>7E-05</v>
      </c>
      <c r="L127" s="22">
        <f t="shared" si="127"/>
        <v>0.0013999999999999998</v>
      </c>
      <c r="M127" s="36" t="s">
        <v>706</v>
      </c>
      <c r="N127" s="40"/>
      <c r="Z127" s="42">
        <f t="shared" si="128"/>
        <v>0</v>
      </c>
      <c r="AB127" s="42">
        <f t="shared" si="129"/>
        <v>0</v>
      </c>
      <c r="AC127" s="42">
        <f t="shared" si="130"/>
        <v>0</v>
      </c>
      <c r="AD127" s="42">
        <f t="shared" si="131"/>
        <v>0</v>
      </c>
      <c r="AE127" s="42">
        <f t="shared" si="132"/>
        <v>0</v>
      </c>
      <c r="AF127" s="42">
        <f t="shared" si="133"/>
        <v>0</v>
      </c>
      <c r="AG127" s="42">
        <f t="shared" si="134"/>
        <v>0</v>
      </c>
      <c r="AH127" s="42">
        <f t="shared" si="135"/>
        <v>0</v>
      </c>
      <c r="AI127" s="32"/>
      <c r="AJ127" s="22">
        <f t="shared" si="136"/>
        <v>0</v>
      </c>
      <c r="AK127" s="22">
        <f t="shared" si="137"/>
        <v>0</v>
      </c>
      <c r="AL127" s="22">
        <f t="shared" si="138"/>
        <v>0</v>
      </c>
      <c r="AN127" s="42">
        <v>15</v>
      </c>
      <c r="AO127" s="42">
        <f>G127*0.483648881239243</f>
        <v>0</v>
      </c>
      <c r="AP127" s="42">
        <f>G127*(1-0.483648881239243)</f>
        <v>0</v>
      </c>
      <c r="AQ127" s="43" t="s">
        <v>13</v>
      </c>
      <c r="AV127" s="42">
        <f t="shared" si="139"/>
        <v>0</v>
      </c>
      <c r="AW127" s="42">
        <f t="shared" si="140"/>
        <v>0</v>
      </c>
      <c r="AX127" s="42">
        <f t="shared" si="141"/>
        <v>0</v>
      </c>
      <c r="AY127" s="45" t="s">
        <v>729</v>
      </c>
      <c r="AZ127" s="45" t="s">
        <v>750</v>
      </c>
      <c r="BA127" s="32" t="s">
        <v>756</v>
      </c>
      <c r="BC127" s="42">
        <f t="shared" si="142"/>
        <v>0</v>
      </c>
      <c r="BD127" s="42">
        <f t="shared" si="143"/>
        <v>0</v>
      </c>
      <c r="BE127" s="42">
        <v>0</v>
      </c>
      <c r="BF127" s="42">
        <f t="shared" si="144"/>
        <v>0.0013999999999999998</v>
      </c>
      <c r="BH127" s="22">
        <f t="shared" si="145"/>
        <v>0</v>
      </c>
      <c r="BI127" s="22">
        <f t="shared" si="146"/>
        <v>0</v>
      </c>
      <c r="BJ127" s="22">
        <f t="shared" si="147"/>
        <v>0</v>
      </c>
      <c r="BK127" s="22" t="s">
        <v>761</v>
      </c>
      <c r="BL127" s="42">
        <v>733</v>
      </c>
    </row>
    <row r="128" spans="1:64" ht="12.75">
      <c r="A128" s="4" t="s">
        <v>111</v>
      </c>
      <c r="B128" s="13"/>
      <c r="C128" s="13" t="s">
        <v>324</v>
      </c>
      <c r="D128" s="13" t="s">
        <v>474</v>
      </c>
      <c r="E128" s="13" t="s">
        <v>681</v>
      </c>
      <c r="F128" s="22">
        <v>18</v>
      </c>
      <c r="G128" s="90">
        <v>0</v>
      </c>
      <c r="H128" s="22">
        <f t="shared" si="124"/>
        <v>0</v>
      </c>
      <c r="I128" s="22">
        <f t="shared" si="125"/>
        <v>0</v>
      </c>
      <c r="J128" s="22">
        <f t="shared" si="126"/>
        <v>0</v>
      </c>
      <c r="K128" s="22">
        <v>7E-05</v>
      </c>
      <c r="L128" s="22">
        <f t="shared" si="127"/>
        <v>0.0012599999999999998</v>
      </c>
      <c r="M128" s="36" t="s">
        <v>706</v>
      </c>
      <c r="N128" s="40"/>
      <c r="Z128" s="42">
        <f t="shared" si="128"/>
        <v>0</v>
      </c>
      <c r="AB128" s="42">
        <f t="shared" si="129"/>
        <v>0</v>
      </c>
      <c r="AC128" s="42">
        <f t="shared" si="130"/>
        <v>0</v>
      </c>
      <c r="AD128" s="42">
        <f t="shared" si="131"/>
        <v>0</v>
      </c>
      <c r="AE128" s="42">
        <f t="shared" si="132"/>
        <v>0</v>
      </c>
      <c r="AF128" s="42">
        <f t="shared" si="133"/>
        <v>0</v>
      </c>
      <c r="AG128" s="42">
        <f t="shared" si="134"/>
        <v>0</v>
      </c>
      <c r="AH128" s="42">
        <f t="shared" si="135"/>
        <v>0</v>
      </c>
      <c r="AI128" s="32"/>
      <c r="AJ128" s="22">
        <f t="shared" si="136"/>
        <v>0</v>
      </c>
      <c r="AK128" s="22">
        <f t="shared" si="137"/>
        <v>0</v>
      </c>
      <c r="AL128" s="22">
        <f t="shared" si="138"/>
        <v>0</v>
      </c>
      <c r="AN128" s="42">
        <v>15</v>
      </c>
      <c r="AO128" s="42">
        <f>G128*0.483648881239243</f>
        <v>0</v>
      </c>
      <c r="AP128" s="42">
        <f>G128*(1-0.483648881239243)</f>
        <v>0</v>
      </c>
      <c r="AQ128" s="43" t="s">
        <v>13</v>
      </c>
      <c r="AV128" s="42">
        <f t="shared" si="139"/>
        <v>0</v>
      </c>
      <c r="AW128" s="42">
        <f t="shared" si="140"/>
        <v>0</v>
      </c>
      <c r="AX128" s="42">
        <f t="shared" si="141"/>
        <v>0</v>
      </c>
      <c r="AY128" s="45" t="s">
        <v>729</v>
      </c>
      <c r="AZ128" s="45" t="s">
        <v>750</v>
      </c>
      <c r="BA128" s="32" t="s">
        <v>756</v>
      </c>
      <c r="BC128" s="42">
        <f t="shared" si="142"/>
        <v>0</v>
      </c>
      <c r="BD128" s="42">
        <f t="shared" si="143"/>
        <v>0</v>
      </c>
      <c r="BE128" s="42">
        <v>0</v>
      </c>
      <c r="BF128" s="42">
        <f t="shared" si="144"/>
        <v>0.0012599999999999998</v>
      </c>
      <c r="BH128" s="22">
        <f t="shared" si="145"/>
        <v>0</v>
      </c>
      <c r="BI128" s="22">
        <f t="shared" si="146"/>
        <v>0</v>
      </c>
      <c r="BJ128" s="22">
        <f t="shared" si="147"/>
        <v>0</v>
      </c>
      <c r="BK128" s="22" t="s">
        <v>761</v>
      </c>
      <c r="BL128" s="42">
        <v>733</v>
      </c>
    </row>
    <row r="129" spans="1:47" ht="12.75">
      <c r="A129" s="5"/>
      <c r="B129" s="14"/>
      <c r="C129" s="14" t="s">
        <v>325</v>
      </c>
      <c r="D129" s="14" t="s">
        <v>555</v>
      </c>
      <c r="E129" s="20" t="s">
        <v>6</v>
      </c>
      <c r="F129" s="20" t="s">
        <v>6</v>
      </c>
      <c r="G129" s="20" t="s">
        <v>6</v>
      </c>
      <c r="H129" s="48">
        <f>SUM(H130:H155)</f>
        <v>0</v>
      </c>
      <c r="I129" s="48">
        <f>SUM(I130:I155)</f>
        <v>0</v>
      </c>
      <c r="J129" s="48">
        <f>SUM(J130:J155)</f>
        <v>0</v>
      </c>
      <c r="K129" s="32"/>
      <c r="L129" s="48">
        <f>SUM(L130:L155)</f>
        <v>0.03543</v>
      </c>
      <c r="M129" s="37"/>
      <c r="N129" s="40"/>
      <c r="AI129" s="32"/>
      <c r="AS129" s="48">
        <f>SUM(AJ130:AJ155)</f>
        <v>0</v>
      </c>
      <c r="AT129" s="48">
        <f>SUM(AK130:AK155)</f>
        <v>0</v>
      </c>
      <c r="AU129" s="48">
        <f>SUM(AL130:AL155)</f>
        <v>0</v>
      </c>
    </row>
    <row r="130" spans="1:64" ht="12.75">
      <c r="A130" s="4" t="s">
        <v>112</v>
      </c>
      <c r="B130" s="13"/>
      <c r="C130" s="13" t="s">
        <v>326</v>
      </c>
      <c r="D130" s="13" t="s">
        <v>556</v>
      </c>
      <c r="E130" s="13" t="s">
        <v>679</v>
      </c>
      <c r="F130" s="22">
        <v>1</v>
      </c>
      <c r="G130" s="90">
        <v>0</v>
      </c>
      <c r="H130" s="22">
        <f aca="true" t="shared" si="148" ref="H130:H155">F130*AO130</f>
        <v>0</v>
      </c>
      <c r="I130" s="22">
        <f aca="true" t="shared" si="149" ref="I130:I155">F130*AP130</f>
        <v>0</v>
      </c>
      <c r="J130" s="22">
        <f aca="true" t="shared" si="150" ref="J130:J155">F130*G130</f>
        <v>0</v>
      </c>
      <c r="K130" s="22">
        <v>0.0008</v>
      </c>
      <c r="L130" s="22">
        <f aca="true" t="shared" si="151" ref="L130:L155">F130*K130</f>
        <v>0.0008</v>
      </c>
      <c r="M130" s="36" t="s">
        <v>706</v>
      </c>
      <c r="N130" s="40"/>
      <c r="Z130" s="42">
        <f aca="true" t="shared" si="152" ref="Z130:Z155">IF(AQ130="5",BJ130,0)</f>
        <v>0</v>
      </c>
      <c r="AB130" s="42">
        <f aca="true" t="shared" si="153" ref="AB130:AB155">IF(AQ130="1",BH130,0)</f>
        <v>0</v>
      </c>
      <c r="AC130" s="42">
        <f aca="true" t="shared" si="154" ref="AC130:AC155">IF(AQ130="1",BI130,0)</f>
        <v>0</v>
      </c>
      <c r="AD130" s="42">
        <f aca="true" t="shared" si="155" ref="AD130:AD155">IF(AQ130="7",BH130,0)</f>
        <v>0</v>
      </c>
      <c r="AE130" s="42">
        <f aca="true" t="shared" si="156" ref="AE130:AE155">IF(AQ130="7",BI130,0)</f>
        <v>0</v>
      </c>
      <c r="AF130" s="42">
        <f aca="true" t="shared" si="157" ref="AF130:AF155">IF(AQ130="2",BH130,0)</f>
        <v>0</v>
      </c>
      <c r="AG130" s="42">
        <f aca="true" t="shared" si="158" ref="AG130:AG155">IF(AQ130="2",BI130,0)</f>
        <v>0</v>
      </c>
      <c r="AH130" s="42">
        <f aca="true" t="shared" si="159" ref="AH130:AH155">IF(AQ130="0",BJ130,0)</f>
        <v>0</v>
      </c>
      <c r="AI130" s="32"/>
      <c r="AJ130" s="22">
        <f aca="true" t="shared" si="160" ref="AJ130:AJ155">IF(AN130=0,J130,0)</f>
        <v>0</v>
      </c>
      <c r="AK130" s="22">
        <f aca="true" t="shared" si="161" ref="AK130:AK155">IF(AN130=15,J130,0)</f>
        <v>0</v>
      </c>
      <c r="AL130" s="22">
        <f aca="true" t="shared" si="162" ref="AL130:AL155">IF(AN130=21,J130,0)</f>
        <v>0</v>
      </c>
      <c r="AN130" s="42">
        <v>15</v>
      </c>
      <c r="AO130" s="42">
        <f>G130*0.866799116997793</f>
        <v>0</v>
      </c>
      <c r="AP130" s="42">
        <f>G130*(1-0.866799116997793)</f>
        <v>0</v>
      </c>
      <c r="AQ130" s="43" t="s">
        <v>13</v>
      </c>
      <c r="AV130" s="42">
        <f aca="true" t="shared" si="163" ref="AV130:AV155">AW130+AX130</f>
        <v>0</v>
      </c>
      <c r="AW130" s="42">
        <f aca="true" t="shared" si="164" ref="AW130:AW155">F130*AO130</f>
        <v>0</v>
      </c>
      <c r="AX130" s="42">
        <f aca="true" t="shared" si="165" ref="AX130:AX155">F130*AP130</f>
        <v>0</v>
      </c>
      <c r="AY130" s="45" t="s">
        <v>730</v>
      </c>
      <c r="AZ130" s="45" t="s">
        <v>750</v>
      </c>
      <c r="BA130" s="32" t="s">
        <v>756</v>
      </c>
      <c r="BC130" s="42">
        <f aca="true" t="shared" si="166" ref="BC130:BC155">AW130+AX130</f>
        <v>0</v>
      </c>
      <c r="BD130" s="42">
        <f aca="true" t="shared" si="167" ref="BD130:BD155">G130/(100-BE130)*100</f>
        <v>0</v>
      </c>
      <c r="BE130" s="42">
        <v>0</v>
      </c>
      <c r="BF130" s="42">
        <f aca="true" t="shared" si="168" ref="BF130:BF155">L130</f>
        <v>0.0008</v>
      </c>
      <c r="BH130" s="22">
        <f aca="true" t="shared" si="169" ref="BH130:BH155">F130*AO130</f>
        <v>0</v>
      </c>
      <c r="BI130" s="22">
        <f aca="true" t="shared" si="170" ref="BI130:BI155">F130*AP130</f>
        <v>0</v>
      </c>
      <c r="BJ130" s="22">
        <f aca="true" t="shared" si="171" ref="BJ130:BJ155">F130*G130</f>
        <v>0</v>
      </c>
      <c r="BK130" s="22" t="s">
        <v>761</v>
      </c>
      <c r="BL130" s="42">
        <v>734</v>
      </c>
    </row>
    <row r="131" spans="1:64" ht="12.75">
      <c r="A131" s="4" t="s">
        <v>113</v>
      </c>
      <c r="B131" s="13"/>
      <c r="C131" s="13" t="s">
        <v>280</v>
      </c>
      <c r="D131" s="13" t="s">
        <v>557</v>
      </c>
      <c r="E131" s="13" t="s">
        <v>679</v>
      </c>
      <c r="F131" s="22">
        <v>1</v>
      </c>
      <c r="G131" s="90">
        <v>0</v>
      </c>
      <c r="H131" s="22">
        <f t="shared" si="148"/>
        <v>0</v>
      </c>
      <c r="I131" s="22">
        <f t="shared" si="149"/>
        <v>0</v>
      </c>
      <c r="J131" s="22">
        <f t="shared" si="150"/>
        <v>0</v>
      </c>
      <c r="K131" s="22">
        <v>0.00297</v>
      </c>
      <c r="L131" s="22">
        <f t="shared" si="151"/>
        <v>0.00297</v>
      </c>
      <c r="M131" s="36" t="s">
        <v>706</v>
      </c>
      <c r="N131" s="40"/>
      <c r="Z131" s="42">
        <f t="shared" si="152"/>
        <v>0</v>
      </c>
      <c r="AB131" s="42">
        <f t="shared" si="153"/>
        <v>0</v>
      </c>
      <c r="AC131" s="42">
        <f t="shared" si="154"/>
        <v>0</v>
      </c>
      <c r="AD131" s="42">
        <f t="shared" si="155"/>
        <v>0</v>
      </c>
      <c r="AE131" s="42">
        <f t="shared" si="156"/>
        <v>0</v>
      </c>
      <c r="AF131" s="42">
        <f t="shared" si="157"/>
        <v>0</v>
      </c>
      <c r="AG131" s="42">
        <f t="shared" si="158"/>
        <v>0</v>
      </c>
      <c r="AH131" s="42">
        <f t="shared" si="159"/>
        <v>0</v>
      </c>
      <c r="AI131" s="32"/>
      <c r="AJ131" s="22">
        <f t="shared" si="160"/>
        <v>0</v>
      </c>
      <c r="AK131" s="22">
        <f t="shared" si="161"/>
        <v>0</v>
      </c>
      <c r="AL131" s="22">
        <f t="shared" si="162"/>
        <v>0</v>
      </c>
      <c r="AN131" s="42">
        <v>15</v>
      </c>
      <c r="AO131" s="42">
        <f>G131*0.895409429280397</f>
        <v>0</v>
      </c>
      <c r="AP131" s="42">
        <f>G131*(1-0.895409429280397)</f>
        <v>0</v>
      </c>
      <c r="AQ131" s="43" t="s">
        <v>13</v>
      </c>
      <c r="AV131" s="42">
        <f t="shared" si="163"/>
        <v>0</v>
      </c>
      <c r="AW131" s="42">
        <f t="shared" si="164"/>
        <v>0</v>
      </c>
      <c r="AX131" s="42">
        <f t="shared" si="165"/>
        <v>0</v>
      </c>
      <c r="AY131" s="45" t="s">
        <v>730</v>
      </c>
      <c r="AZ131" s="45" t="s">
        <v>750</v>
      </c>
      <c r="BA131" s="32" t="s">
        <v>756</v>
      </c>
      <c r="BC131" s="42">
        <f t="shared" si="166"/>
        <v>0</v>
      </c>
      <c r="BD131" s="42">
        <f t="shared" si="167"/>
        <v>0</v>
      </c>
      <c r="BE131" s="42">
        <v>0</v>
      </c>
      <c r="BF131" s="42">
        <f t="shared" si="168"/>
        <v>0.00297</v>
      </c>
      <c r="BH131" s="22">
        <f t="shared" si="169"/>
        <v>0</v>
      </c>
      <c r="BI131" s="22">
        <f t="shared" si="170"/>
        <v>0</v>
      </c>
      <c r="BJ131" s="22">
        <f t="shared" si="171"/>
        <v>0</v>
      </c>
      <c r="BK131" s="22" t="s">
        <v>761</v>
      </c>
      <c r="BL131" s="42">
        <v>734</v>
      </c>
    </row>
    <row r="132" spans="1:64" ht="12.75">
      <c r="A132" s="4" t="s">
        <v>114</v>
      </c>
      <c r="B132" s="13"/>
      <c r="C132" s="13" t="s">
        <v>327</v>
      </c>
      <c r="D132" s="13" t="s">
        <v>558</v>
      </c>
      <c r="E132" s="13" t="s">
        <v>679</v>
      </c>
      <c r="F132" s="22">
        <v>2</v>
      </c>
      <c r="G132" s="90">
        <v>0</v>
      </c>
      <c r="H132" s="22">
        <f t="shared" si="148"/>
        <v>0</v>
      </c>
      <c r="I132" s="22">
        <f t="shared" si="149"/>
        <v>0</v>
      </c>
      <c r="J132" s="22">
        <f t="shared" si="150"/>
        <v>0</v>
      </c>
      <c r="K132" s="22">
        <v>0.00116</v>
      </c>
      <c r="L132" s="22">
        <f t="shared" si="151"/>
        <v>0.00232</v>
      </c>
      <c r="M132" s="36" t="s">
        <v>706</v>
      </c>
      <c r="N132" s="40"/>
      <c r="Z132" s="42">
        <f t="shared" si="152"/>
        <v>0</v>
      </c>
      <c r="AB132" s="42">
        <f t="shared" si="153"/>
        <v>0</v>
      </c>
      <c r="AC132" s="42">
        <f t="shared" si="154"/>
        <v>0</v>
      </c>
      <c r="AD132" s="42">
        <f t="shared" si="155"/>
        <v>0</v>
      </c>
      <c r="AE132" s="42">
        <f t="shared" si="156"/>
        <v>0</v>
      </c>
      <c r="AF132" s="42">
        <f t="shared" si="157"/>
        <v>0</v>
      </c>
      <c r="AG132" s="42">
        <f t="shared" si="158"/>
        <v>0</v>
      </c>
      <c r="AH132" s="42">
        <f t="shared" si="159"/>
        <v>0</v>
      </c>
      <c r="AI132" s="32"/>
      <c r="AJ132" s="22">
        <f t="shared" si="160"/>
        <v>0</v>
      </c>
      <c r="AK132" s="22">
        <f t="shared" si="161"/>
        <v>0</v>
      </c>
      <c r="AL132" s="22">
        <f t="shared" si="162"/>
        <v>0</v>
      </c>
      <c r="AN132" s="42">
        <v>15</v>
      </c>
      <c r="AO132" s="42">
        <f>G132*0.93365125316068</f>
        <v>0</v>
      </c>
      <c r="AP132" s="42">
        <f>G132*(1-0.93365125316068)</f>
        <v>0</v>
      </c>
      <c r="AQ132" s="43" t="s">
        <v>13</v>
      </c>
      <c r="AV132" s="42">
        <f t="shared" si="163"/>
        <v>0</v>
      </c>
      <c r="AW132" s="42">
        <f t="shared" si="164"/>
        <v>0</v>
      </c>
      <c r="AX132" s="42">
        <f t="shared" si="165"/>
        <v>0</v>
      </c>
      <c r="AY132" s="45" t="s">
        <v>730</v>
      </c>
      <c r="AZ132" s="45" t="s">
        <v>750</v>
      </c>
      <c r="BA132" s="32" t="s">
        <v>756</v>
      </c>
      <c r="BC132" s="42">
        <f t="shared" si="166"/>
        <v>0</v>
      </c>
      <c r="BD132" s="42">
        <f t="shared" si="167"/>
        <v>0</v>
      </c>
      <c r="BE132" s="42">
        <v>0</v>
      </c>
      <c r="BF132" s="42">
        <f t="shared" si="168"/>
        <v>0.00232</v>
      </c>
      <c r="BH132" s="22">
        <f t="shared" si="169"/>
        <v>0</v>
      </c>
      <c r="BI132" s="22">
        <f t="shared" si="170"/>
        <v>0</v>
      </c>
      <c r="BJ132" s="22">
        <f t="shared" si="171"/>
        <v>0</v>
      </c>
      <c r="BK132" s="22" t="s">
        <v>761</v>
      </c>
      <c r="BL132" s="42">
        <v>734</v>
      </c>
    </row>
    <row r="133" spans="1:64" ht="12.75">
      <c r="A133" s="4" t="s">
        <v>115</v>
      </c>
      <c r="B133" s="13"/>
      <c r="C133" s="13" t="s">
        <v>328</v>
      </c>
      <c r="D133" s="13" t="s">
        <v>559</v>
      </c>
      <c r="E133" s="13" t="s">
        <v>679</v>
      </c>
      <c r="F133" s="22">
        <v>1</v>
      </c>
      <c r="G133" s="90">
        <v>0</v>
      </c>
      <c r="H133" s="22">
        <f t="shared" si="148"/>
        <v>0</v>
      </c>
      <c r="I133" s="22">
        <f t="shared" si="149"/>
        <v>0</v>
      </c>
      <c r="J133" s="22">
        <f t="shared" si="150"/>
        <v>0</v>
      </c>
      <c r="K133" s="22">
        <v>0.0028</v>
      </c>
      <c r="L133" s="22">
        <f t="shared" si="151"/>
        <v>0.0028</v>
      </c>
      <c r="M133" s="36" t="s">
        <v>706</v>
      </c>
      <c r="N133" s="40"/>
      <c r="Z133" s="42">
        <f t="shared" si="152"/>
        <v>0</v>
      </c>
      <c r="AB133" s="42">
        <f t="shared" si="153"/>
        <v>0</v>
      </c>
      <c r="AC133" s="42">
        <f t="shared" si="154"/>
        <v>0</v>
      </c>
      <c r="AD133" s="42">
        <f t="shared" si="155"/>
        <v>0</v>
      </c>
      <c r="AE133" s="42">
        <f t="shared" si="156"/>
        <v>0</v>
      </c>
      <c r="AF133" s="42">
        <f t="shared" si="157"/>
        <v>0</v>
      </c>
      <c r="AG133" s="42">
        <f t="shared" si="158"/>
        <v>0</v>
      </c>
      <c r="AH133" s="42">
        <f t="shared" si="159"/>
        <v>0</v>
      </c>
      <c r="AI133" s="32"/>
      <c r="AJ133" s="22">
        <f t="shared" si="160"/>
        <v>0</v>
      </c>
      <c r="AK133" s="22">
        <f t="shared" si="161"/>
        <v>0</v>
      </c>
      <c r="AL133" s="22">
        <f t="shared" si="162"/>
        <v>0</v>
      </c>
      <c r="AN133" s="42">
        <v>15</v>
      </c>
      <c r="AO133" s="42">
        <f>G133*0.955394255874674</f>
        <v>0</v>
      </c>
      <c r="AP133" s="42">
        <f>G133*(1-0.955394255874674)</f>
        <v>0</v>
      </c>
      <c r="AQ133" s="43" t="s">
        <v>13</v>
      </c>
      <c r="AV133" s="42">
        <f t="shared" si="163"/>
        <v>0</v>
      </c>
      <c r="AW133" s="42">
        <f t="shared" si="164"/>
        <v>0</v>
      </c>
      <c r="AX133" s="42">
        <f t="shared" si="165"/>
        <v>0</v>
      </c>
      <c r="AY133" s="45" t="s">
        <v>730</v>
      </c>
      <c r="AZ133" s="45" t="s">
        <v>750</v>
      </c>
      <c r="BA133" s="32" t="s">
        <v>756</v>
      </c>
      <c r="BC133" s="42">
        <f t="shared" si="166"/>
        <v>0</v>
      </c>
      <c r="BD133" s="42">
        <f t="shared" si="167"/>
        <v>0</v>
      </c>
      <c r="BE133" s="42">
        <v>0</v>
      </c>
      <c r="BF133" s="42">
        <f t="shared" si="168"/>
        <v>0.0028</v>
      </c>
      <c r="BH133" s="22">
        <f t="shared" si="169"/>
        <v>0</v>
      </c>
      <c r="BI133" s="22">
        <f t="shared" si="170"/>
        <v>0</v>
      </c>
      <c r="BJ133" s="22">
        <f t="shared" si="171"/>
        <v>0</v>
      </c>
      <c r="BK133" s="22" t="s">
        <v>761</v>
      </c>
      <c r="BL133" s="42">
        <v>734</v>
      </c>
    </row>
    <row r="134" spans="1:64" ht="12.75">
      <c r="A134" s="4" t="s">
        <v>116</v>
      </c>
      <c r="B134" s="13"/>
      <c r="C134" s="13" t="s">
        <v>329</v>
      </c>
      <c r="D134" s="13" t="s">
        <v>560</v>
      </c>
      <c r="E134" s="13" t="s">
        <v>679</v>
      </c>
      <c r="F134" s="22">
        <v>2</v>
      </c>
      <c r="G134" s="90">
        <v>0</v>
      </c>
      <c r="H134" s="22">
        <f t="shared" si="148"/>
        <v>0</v>
      </c>
      <c r="I134" s="22">
        <f t="shared" si="149"/>
        <v>0</v>
      </c>
      <c r="J134" s="22">
        <f t="shared" si="150"/>
        <v>0</v>
      </c>
      <c r="K134" s="22">
        <v>0.00185</v>
      </c>
      <c r="L134" s="22">
        <f t="shared" si="151"/>
        <v>0.0037</v>
      </c>
      <c r="M134" s="36" t="s">
        <v>706</v>
      </c>
      <c r="N134" s="40"/>
      <c r="Z134" s="42">
        <f t="shared" si="152"/>
        <v>0</v>
      </c>
      <c r="AB134" s="42">
        <f t="shared" si="153"/>
        <v>0</v>
      </c>
      <c r="AC134" s="42">
        <f t="shared" si="154"/>
        <v>0</v>
      </c>
      <c r="AD134" s="42">
        <f t="shared" si="155"/>
        <v>0</v>
      </c>
      <c r="AE134" s="42">
        <f t="shared" si="156"/>
        <v>0</v>
      </c>
      <c r="AF134" s="42">
        <f t="shared" si="157"/>
        <v>0</v>
      </c>
      <c r="AG134" s="42">
        <f t="shared" si="158"/>
        <v>0</v>
      </c>
      <c r="AH134" s="42">
        <f t="shared" si="159"/>
        <v>0</v>
      </c>
      <c r="AI134" s="32"/>
      <c r="AJ134" s="22">
        <f t="shared" si="160"/>
        <v>0</v>
      </c>
      <c r="AK134" s="22">
        <f t="shared" si="161"/>
        <v>0</v>
      </c>
      <c r="AL134" s="22">
        <f t="shared" si="162"/>
        <v>0</v>
      </c>
      <c r="AN134" s="42">
        <v>15</v>
      </c>
      <c r="AO134" s="42">
        <f>G134*0.94794454097598</f>
        <v>0</v>
      </c>
      <c r="AP134" s="42">
        <f>G134*(1-0.94794454097598)</f>
        <v>0</v>
      </c>
      <c r="AQ134" s="43" t="s">
        <v>13</v>
      </c>
      <c r="AV134" s="42">
        <f t="shared" si="163"/>
        <v>0</v>
      </c>
      <c r="AW134" s="42">
        <f t="shared" si="164"/>
        <v>0</v>
      </c>
      <c r="AX134" s="42">
        <f t="shared" si="165"/>
        <v>0</v>
      </c>
      <c r="AY134" s="45" t="s">
        <v>730</v>
      </c>
      <c r="AZ134" s="45" t="s">
        <v>750</v>
      </c>
      <c r="BA134" s="32" t="s">
        <v>756</v>
      </c>
      <c r="BC134" s="42">
        <f t="shared" si="166"/>
        <v>0</v>
      </c>
      <c r="BD134" s="42">
        <f t="shared" si="167"/>
        <v>0</v>
      </c>
      <c r="BE134" s="42">
        <v>0</v>
      </c>
      <c r="BF134" s="42">
        <f t="shared" si="168"/>
        <v>0.0037</v>
      </c>
      <c r="BH134" s="22">
        <f t="shared" si="169"/>
        <v>0</v>
      </c>
      <c r="BI134" s="22">
        <f t="shared" si="170"/>
        <v>0</v>
      </c>
      <c r="BJ134" s="22">
        <f t="shared" si="171"/>
        <v>0</v>
      </c>
      <c r="BK134" s="22" t="s">
        <v>761</v>
      </c>
      <c r="BL134" s="42">
        <v>734</v>
      </c>
    </row>
    <row r="135" spans="1:64" ht="12.75">
      <c r="A135" s="6" t="s">
        <v>117</v>
      </c>
      <c r="B135" s="15"/>
      <c r="C135" s="15" t="s">
        <v>330</v>
      </c>
      <c r="D135" s="15" t="s">
        <v>561</v>
      </c>
      <c r="E135" s="15" t="s">
        <v>679</v>
      </c>
      <c r="F135" s="23">
        <v>1</v>
      </c>
      <c r="G135" s="91">
        <v>0</v>
      </c>
      <c r="H135" s="23">
        <f t="shared" si="148"/>
        <v>0</v>
      </c>
      <c r="I135" s="23">
        <f t="shared" si="149"/>
        <v>0</v>
      </c>
      <c r="J135" s="23">
        <f t="shared" si="150"/>
        <v>0</v>
      </c>
      <c r="K135" s="23">
        <v>0.00075</v>
      </c>
      <c r="L135" s="23">
        <f t="shared" si="151"/>
        <v>0.00075</v>
      </c>
      <c r="M135" s="38" t="s">
        <v>707</v>
      </c>
      <c r="N135" s="40"/>
      <c r="Z135" s="42">
        <f t="shared" si="152"/>
        <v>0</v>
      </c>
      <c r="AB135" s="42">
        <f t="shared" si="153"/>
        <v>0</v>
      </c>
      <c r="AC135" s="42">
        <f t="shared" si="154"/>
        <v>0</v>
      </c>
      <c r="AD135" s="42">
        <f t="shared" si="155"/>
        <v>0</v>
      </c>
      <c r="AE135" s="42">
        <f t="shared" si="156"/>
        <v>0</v>
      </c>
      <c r="AF135" s="42">
        <f t="shared" si="157"/>
        <v>0</v>
      </c>
      <c r="AG135" s="42">
        <f t="shared" si="158"/>
        <v>0</v>
      </c>
      <c r="AH135" s="42">
        <f t="shared" si="159"/>
        <v>0</v>
      </c>
      <c r="AI135" s="32"/>
      <c r="AJ135" s="23">
        <f t="shared" si="160"/>
        <v>0</v>
      </c>
      <c r="AK135" s="23">
        <f t="shared" si="161"/>
        <v>0</v>
      </c>
      <c r="AL135" s="23">
        <f t="shared" si="162"/>
        <v>0</v>
      </c>
      <c r="AN135" s="42">
        <v>15</v>
      </c>
      <c r="AO135" s="42">
        <f aca="true" t="shared" si="172" ref="AO135:AO145">G135*1</f>
        <v>0</v>
      </c>
      <c r="AP135" s="42">
        <f aca="true" t="shared" si="173" ref="AP135:AP145">G135*(1-1)</f>
        <v>0</v>
      </c>
      <c r="AQ135" s="44" t="s">
        <v>13</v>
      </c>
      <c r="AV135" s="42">
        <f t="shared" si="163"/>
        <v>0</v>
      </c>
      <c r="AW135" s="42">
        <f t="shared" si="164"/>
        <v>0</v>
      </c>
      <c r="AX135" s="42">
        <f t="shared" si="165"/>
        <v>0</v>
      </c>
      <c r="AY135" s="45" t="s">
        <v>730</v>
      </c>
      <c r="AZ135" s="45" t="s">
        <v>750</v>
      </c>
      <c r="BA135" s="32" t="s">
        <v>756</v>
      </c>
      <c r="BC135" s="42">
        <f t="shared" si="166"/>
        <v>0</v>
      </c>
      <c r="BD135" s="42">
        <f t="shared" si="167"/>
        <v>0</v>
      </c>
      <c r="BE135" s="42">
        <v>0</v>
      </c>
      <c r="BF135" s="42">
        <f t="shared" si="168"/>
        <v>0.00075</v>
      </c>
      <c r="BH135" s="23">
        <f t="shared" si="169"/>
        <v>0</v>
      </c>
      <c r="BI135" s="23">
        <f t="shared" si="170"/>
        <v>0</v>
      </c>
      <c r="BJ135" s="23">
        <f t="shared" si="171"/>
        <v>0</v>
      </c>
      <c r="BK135" s="23" t="s">
        <v>762</v>
      </c>
      <c r="BL135" s="42">
        <v>734</v>
      </c>
    </row>
    <row r="136" spans="1:64" ht="12.75">
      <c r="A136" s="6" t="s">
        <v>118</v>
      </c>
      <c r="B136" s="15"/>
      <c r="C136" s="15" t="s">
        <v>331</v>
      </c>
      <c r="D136" s="15" t="s">
        <v>562</v>
      </c>
      <c r="E136" s="15" t="s">
        <v>679</v>
      </c>
      <c r="F136" s="23">
        <v>1</v>
      </c>
      <c r="G136" s="91">
        <v>0</v>
      </c>
      <c r="H136" s="23">
        <f t="shared" si="148"/>
        <v>0</v>
      </c>
      <c r="I136" s="23">
        <f t="shared" si="149"/>
        <v>0</v>
      </c>
      <c r="J136" s="23">
        <f t="shared" si="150"/>
        <v>0</v>
      </c>
      <c r="K136" s="23">
        <v>0.00075</v>
      </c>
      <c r="L136" s="23">
        <f t="shared" si="151"/>
        <v>0.00075</v>
      </c>
      <c r="M136" s="38" t="s">
        <v>707</v>
      </c>
      <c r="N136" s="40"/>
      <c r="Z136" s="42">
        <f t="shared" si="152"/>
        <v>0</v>
      </c>
      <c r="AB136" s="42">
        <f t="shared" si="153"/>
        <v>0</v>
      </c>
      <c r="AC136" s="42">
        <f t="shared" si="154"/>
        <v>0</v>
      </c>
      <c r="AD136" s="42">
        <f t="shared" si="155"/>
        <v>0</v>
      </c>
      <c r="AE136" s="42">
        <f t="shared" si="156"/>
        <v>0</v>
      </c>
      <c r="AF136" s="42">
        <f t="shared" si="157"/>
        <v>0</v>
      </c>
      <c r="AG136" s="42">
        <f t="shared" si="158"/>
        <v>0</v>
      </c>
      <c r="AH136" s="42">
        <f t="shared" si="159"/>
        <v>0</v>
      </c>
      <c r="AI136" s="32"/>
      <c r="AJ136" s="23">
        <f t="shared" si="160"/>
        <v>0</v>
      </c>
      <c r="AK136" s="23">
        <f t="shared" si="161"/>
        <v>0</v>
      </c>
      <c r="AL136" s="23">
        <f t="shared" si="162"/>
        <v>0</v>
      </c>
      <c r="AN136" s="42">
        <v>15</v>
      </c>
      <c r="AO136" s="42">
        <f t="shared" si="172"/>
        <v>0</v>
      </c>
      <c r="AP136" s="42">
        <f t="shared" si="173"/>
        <v>0</v>
      </c>
      <c r="AQ136" s="44" t="s">
        <v>13</v>
      </c>
      <c r="AV136" s="42">
        <f t="shared" si="163"/>
        <v>0</v>
      </c>
      <c r="AW136" s="42">
        <f t="shared" si="164"/>
        <v>0</v>
      </c>
      <c r="AX136" s="42">
        <f t="shared" si="165"/>
        <v>0</v>
      </c>
      <c r="AY136" s="45" t="s">
        <v>730</v>
      </c>
      <c r="AZ136" s="45" t="s">
        <v>750</v>
      </c>
      <c r="BA136" s="32" t="s">
        <v>756</v>
      </c>
      <c r="BC136" s="42">
        <f t="shared" si="166"/>
        <v>0</v>
      </c>
      <c r="BD136" s="42">
        <f t="shared" si="167"/>
        <v>0</v>
      </c>
      <c r="BE136" s="42">
        <v>0</v>
      </c>
      <c r="BF136" s="42">
        <f t="shared" si="168"/>
        <v>0.00075</v>
      </c>
      <c r="BH136" s="23">
        <f t="shared" si="169"/>
        <v>0</v>
      </c>
      <c r="BI136" s="23">
        <f t="shared" si="170"/>
        <v>0</v>
      </c>
      <c r="BJ136" s="23">
        <f t="shared" si="171"/>
        <v>0</v>
      </c>
      <c r="BK136" s="23" t="s">
        <v>762</v>
      </c>
      <c r="BL136" s="42">
        <v>734</v>
      </c>
    </row>
    <row r="137" spans="1:64" ht="12.75">
      <c r="A137" s="6" t="s">
        <v>119</v>
      </c>
      <c r="B137" s="15"/>
      <c r="C137" s="15" t="s">
        <v>332</v>
      </c>
      <c r="D137" s="15" t="s">
        <v>563</v>
      </c>
      <c r="E137" s="15" t="s">
        <v>679</v>
      </c>
      <c r="F137" s="23">
        <v>1</v>
      </c>
      <c r="G137" s="91">
        <v>0</v>
      </c>
      <c r="H137" s="23">
        <f t="shared" si="148"/>
        <v>0</v>
      </c>
      <c r="I137" s="23">
        <f t="shared" si="149"/>
        <v>0</v>
      </c>
      <c r="J137" s="23">
        <f t="shared" si="150"/>
        <v>0</v>
      </c>
      <c r="K137" s="23">
        <v>0.00075</v>
      </c>
      <c r="L137" s="23">
        <f t="shared" si="151"/>
        <v>0.00075</v>
      </c>
      <c r="M137" s="38" t="s">
        <v>707</v>
      </c>
      <c r="N137" s="40"/>
      <c r="Z137" s="42">
        <f t="shared" si="152"/>
        <v>0</v>
      </c>
      <c r="AB137" s="42">
        <f t="shared" si="153"/>
        <v>0</v>
      </c>
      <c r="AC137" s="42">
        <f t="shared" si="154"/>
        <v>0</v>
      </c>
      <c r="AD137" s="42">
        <f t="shared" si="155"/>
        <v>0</v>
      </c>
      <c r="AE137" s="42">
        <f t="shared" si="156"/>
        <v>0</v>
      </c>
      <c r="AF137" s="42">
        <f t="shared" si="157"/>
        <v>0</v>
      </c>
      <c r="AG137" s="42">
        <f t="shared" si="158"/>
        <v>0</v>
      </c>
      <c r="AH137" s="42">
        <f t="shared" si="159"/>
        <v>0</v>
      </c>
      <c r="AI137" s="32"/>
      <c r="AJ137" s="23">
        <f t="shared" si="160"/>
        <v>0</v>
      </c>
      <c r="AK137" s="23">
        <f t="shared" si="161"/>
        <v>0</v>
      </c>
      <c r="AL137" s="23">
        <f t="shared" si="162"/>
        <v>0</v>
      </c>
      <c r="AN137" s="42">
        <v>15</v>
      </c>
      <c r="AO137" s="42">
        <f t="shared" si="172"/>
        <v>0</v>
      </c>
      <c r="AP137" s="42">
        <f t="shared" si="173"/>
        <v>0</v>
      </c>
      <c r="AQ137" s="44" t="s">
        <v>13</v>
      </c>
      <c r="AV137" s="42">
        <f t="shared" si="163"/>
        <v>0</v>
      </c>
      <c r="AW137" s="42">
        <f t="shared" si="164"/>
        <v>0</v>
      </c>
      <c r="AX137" s="42">
        <f t="shared" si="165"/>
        <v>0</v>
      </c>
      <c r="AY137" s="45" t="s">
        <v>730</v>
      </c>
      <c r="AZ137" s="45" t="s">
        <v>750</v>
      </c>
      <c r="BA137" s="32" t="s">
        <v>756</v>
      </c>
      <c r="BC137" s="42">
        <f t="shared" si="166"/>
        <v>0</v>
      </c>
      <c r="BD137" s="42">
        <f t="shared" si="167"/>
        <v>0</v>
      </c>
      <c r="BE137" s="42">
        <v>0</v>
      </c>
      <c r="BF137" s="42">
        <f t="shared" si="168"/>
        <v>0.00075</v>
      </c>
      <c r="BH137" s="23">
        <f t="shared" si="169"/>
        <v>0</v>
      </c>
      <c r="BI137" s="23">
        <f t="shared" si="170"/>
        <v>0</v>
      </c>
      <c r="BJ137" s="23">
        <f t="shared" si="171"/>
        <v>0</v>
      </c>
      <c r="BK137" s="23" t="s">
        <v>762</v>
      </c>
      <c r="BL137" s="42">
        <v>734</v>
      </c>
    </row>
    <row r="138" spans="1:64" ht="12.75">
      <c r="A138" s="6" t="s">
        <v>120</v>
      </c>
      <c r="B138" s="15"/>
      <c r="C138" s="15" t="s">
        <v>333</v>
      </c>
      <c r="D138" s="15" t="s">
        <v>564</v>
      </c>
      <c r="E138" s="15" t="s">
        <v>679</v>
      </c>
      <c r="F138" s="23">
        <v>2</v>
      </c>
      <c r="G138" s="91">
        <v>0</v>
      </c>
      <c r="H138" s="23">
        <f t="shared" si="148"/>
        <v>0</v>
      </c>
      <c r="I138" s="23">
        <f t="shared" si="149"/>
        <v>0</v>
      </c>
      <c r="J138" s="23">
        <f t="shared" si="150"/>
        <v>0</v>
      </c>
      <c r="K138" s="23">
        <v>0</v>
      </c>
      <c r="L138" s="23">
        <f t="shared" si="151"/>
        <v>0</v>
      </c>
      <c r="M138" s="38"/>
      <c r="N138" s="40"/>
      <c r="Z138" s="42">
        <f t="shared" si="152"/>
        <v>0</v>
      </c>
      <c r="AB138" s="42">
        <f t="shared" si="153"/>
        <v>0</v>
      </c>
      <c r="AC138" s="42">
        <f t="shared" si="154"/>
        <v>0</v>
      </c>
      <c r="AD138" s="42">
        <f t="shared" si="155"/>
        <v>0</v>
      </c>
      <c r="AE138" s="42">
        <f t="shared" si="156"/>
        <v>0</v>
      </c>
      <c r="AF138" s="42">
        <f t="shared" si="157"/>
        <v>0</v>
      </c>
      <c r="AG138" s="42">
        <f t="shared" si="158"/>
        <v>0</v>
      </c>
      <c r="AH138" s="42">
        <f t="shared" si="159"/>
        <v>0</v>
      </c>
      <c r="AI138" s="32"/>
      <c r="AJ138" s="23">
        <f t="shared" si="160"/>
        <v>0</v>
      </c>
      <c r="AK138" s="23">
        <f t="shared" si="161"/>
        <v>0</v>
      </c>
      <c r="AL138" s="23">
        <f t="shared" si="162"/>
        <v>0</v>
      </c>
      <c r="AN138" s="42">
        <v>15</v>
      </c>
      <c r="AO138" s="42">
        <f t="shared" si="172"/>
        <v>0</v>
      </c>
      <c r="AP138" s="42">
        <f t="shared" si="173"/>
        <v>0</v>
      </c>
      <c r="AQ138" s="44" t="s">
        <v>13</v>
      </c>
      <c r="AV138" s="42">
        <f t="shared" si="163"/>
        <v>0</v>
      </c>
      <c r="AW138" s="42">
        <f t="shared" si="164"/>
        <v>0</v>
      </c>
      <c r="AX138" s="42">
        <f t="shared" si="165"/>
        <v>0</v>
      </c>
      <c r="AY138" s="45" t="s">
        <v>730</v>
      </c>
      <c r="AZ138" s="45" t="s">
        <v>750</v>
      </c>
      <c r="BA138" s="32" t="s">
        <v>756</v>
      </c>
      <c r="BC138" s="42">
        <f t="shared" si="166"/>
        <v>0</v>
      </c>
      <c r="BD138" s="42">
        <f t="shared" si="167"/>
        <v>0</v>
      </c>
      <c r="BE138" s="42">
        <v>0</v>
      </c>
      <c r="BF138" s="42">
        <f t="shared" si="168"/>
        <v>0</v>
      </c>
      <c r="BH138" s="23">
        <f t="shared" si="169"/>
        <v>0</v>
      </c>
      <c r="BI138" s="23">
        <f t="shared" si="170"/>
        <v>0</v>
      </c>
      <c r="BJ138" s="23">
        <f t="shared" si="171"/>
        <v>0</v>
      </c>
      <c r="BK138" s="23" t="s">
        <v>762</v>
      </c>
      <c r="BL138" s="42">
        <v>734</v>
      </c>
    </row>
    <row r="139" spans="1:64" ht="12.75">
      <c r="A139" s="6" t="s">
        <v>121</v>
      </c>
      <c r="B139" s="15"/>
      <c r="C139" s="15" t="s">
        <v>334</v>
      </c>
      <c r="D139" s="15" t="s">
        <v>565</v>
      </c>
      <c r="E139" s="15" t="s">
        <v>686</v>
      </c>
      <c r="F139" s="23">
        <v>3</v>
      </c>
      <c r="G139" s="91">
        <v>0</v>
      </c>
      <c r="H139" s="23">
        <f t="shared" si="148"/>
        <v>0</v>
      </c>
      <c r="I139" s="23">
        <f t="shared" si="149"/>
        <v>0</v>
      </c>
      <c r="J139" s="23">
        <f t="shared" si="150"/>
        <v>0</v>
      </c>
      <c r="K139" s="23">
        <v>0.00015</v>
      </c>
      <c r="L139" s="23">
        <f t="shared" si="151"/>
        <v>0.00045</v>
      </c>
      <c r="M139" s="38" t="s">
        <v>706</v>
      </c>
      <c r="N139" s="40"/>
      <c r="Z139" s="42">
        <f t="shared" si="152"/>
        <v>0</v>
      </c>
      <c r="AB139" s="42">
        <f t="shared" si="153"/>
        <v>0</v>
      </c>
      <c r="AC139" s="42">
        <f t="shared" si="154"/>
        <v>0</v>
      </c>
      <c r="AD139" s="42">
        <f t="shared" si="155"/>
        <v>0</v>
      </c>
      <c r="AE139" s="42">
        <f t="shared" si="156"/>
        <v>0</v>
      </c>
      <c r="AF139" s="42">
        <f t="shared" si="157"/>
        <v>0</v>
      </c>
      <c r="AG139" s="42">
        <f t="shared" si="158"/>
        <v>0</v>
      </c>
      <c r="AH139" s="42">
        <f t="shared" si="159"/>
        <v>0</v>
      </c>
      <c r="AI139" s="32"/>
      <c r="AJ139" s="23">
        <f t="shared" si="160"/>
        <v>0</v>
      </c>
      <c r="AK139" s="23">
        <f t="shared" si="161"/>
        <v>0</v>
      </c>
      <c r="AL139" s="23">
        <f t="shared" si="162"/>
        <v>0</v>
      </c>
      <c r="AN139" s="42">
        <v>15</v>
      </c>
      <c r="AO139" s="42">
        <f t="shared" si="172"/>
        <v>0</v>
      </c>
      <c r="AP139" s="42">
        <f t="shared" si="173"/>
        <v>0</v>
      </c>
      <c r="AQ139" s="44" t="s">
        <v>13</v>
      </c>
      <c r="AV139" s="42">
        <f t="shared" si="163"/>
        <v>0</v>
      </c>
      <c r="AW139" s="42">
        <f t="shared" si="164"/>
        <v>0</v>
      </c>
      <c r="AX139" s="42">
        <f t="shared" si="165"/>
        <v>0</v>
      </c>
      <c r="AY139" s="45" t="s">
        <v>730</v>
      </c>
      <c r="AZ139" s="45" t="s">
        <v>750</v>
      </c>
      <c r="BA139" s="32" t="s">
        <v>756</v>
      </c>
      <c r="BC139" s="42">
        <f t="shared" si="166"/>
        <v>0</v>
      </c>
      <c r="BD139" s="42">
        <f t="shared" si="167"/>
        <v>0</v>
      </c>
      <c r="BE139" s="42">
        <v>0</v>
      </c>
      <c r="BF139" s="42">
        <f t="shared" si="168"/>
        <v>0.00045</v>
      </c>
      <c r="BH139" s="23">
        <f t="shared" si="169"/>
        <v>0</v>
      </c>
      <c r="BI139" s="23">
        <f t="shared" si="170"/>
        <v>0</v>
      </c>
      <c r="BJ139" s="23">
        <f t="shared" si="171"/>
        <v>0</v>
      </c>
      <c r="BK139" s="23" t="s">
        <v>762</v>
      </c>
      <c r="BL139" s="42">
        <v>734</v>
      </c>
    </row>
    <row r="140" spans="1:64" ht="12.75">
      <c r="A140" s="6" t="s">
        <v>122</v>
      </c>
      <c r="B140" s="15"/>
      <c r="C140" s="15" t="s">
        <v>335</v>
      </c>
      <c r="D140" s="15" t="s">
        <v>566</v>
      </c>
      <c r="E140" s="15" t="s">
        <v>686</v>
      </c>
      <c r="F140" s="23">
        <v>3</v>
      </c>
      <c r="G140" s="91">
        <v>0</v>
      </c>
      <c r="H140" s="23">
        <f t="shared" si="148"/>
        <v>0</v>
      </c>
      <c r="I140" s="23">
        <f t="shared" si="149"/>
        <v>0</v>
      </c>
      <c r="J140" s="23">
        <f t="shared" si="150"/>
        <v>0</v>
      </c>
      <c r="K140" s="23">
        <v>0.00027</v>
      </c>
      <c r="L140" s="23">
        <f t="shared" si="151"/>
        <v>0.00081</v>
      </c>
      <c r="M140" s="38" t="s">
        <v>706</v>
      </c>
      <c r="N140" s="40"/>
      <c r="Z140" s="42">
        <f t="shared" si="152"/>
        <v>0</v>
      </c>
      <c r="AB140" s="42">
        <f t="shared" si="153"/>
        <v>0</v>
      </c>
      <c r="AC140" s="42">
        <f t="shared" si="154"/>
        <v>0</v>
      </c>
      <c r="AD140" s="42">
        <f t="shared" si="155"/>
        <v>0</v>
      </c>
      <c r="AE140" s="42">
        <f t="shared" si="156"/>
        <v>0</v>
      </c>
      <c r="AF140" s="42">
        <f t="shared" si="157"/>
        <v>0</v>
      </c>
      <c r="AG140" s="42">
        <f t="shared" si="158"/>
        <v>0</v>
      </c>
      <c r="AH140" s="42">
        <f t="shared" si="159"/>
        <v>0</v>
      </c>
      <c r="AI140" s="32"/>
      <c r="AJ140" s="23">
        <f t="shared" si="160"/>
        <v>0</v>
      </c>
      <c r="AK140" s="23">
        <f t="shared" si="161"/>
        <v>0</v>
      </c>
      <c r="AL140" s="23">
        <f t="shared" si="162"/>
        <v>0</v>
      </c>
      <c r="AN140" s="42">
        <v>15</v>
      </c>
      <c r="AO140" s="42">
        <f t="shared" si="172"/>
        <v>0</v>
      </c>
      <c r="AP140" s="42">
        <f t="shared" si="173"/>
        <v>0</v>
      </c>
      <c r="AQ140" s="44" t="s">
        <v>13</v>
      </c>
      <c r="AV140" s="42">
        <f t="shared" si="163"/>
        <v>0</v>
      </c>
      <c r="AW140" s="42">
        <f t="shared" si="164"/>
        <v>0</v>
      </c>
      <c r="AX140" s="42">
        <f t="shared" si="165"/>
        <v>0</v>
      </c>
      <c r="AY140" s="45" t="s">
        <v>730</v>
      </c>
      <c r="AZ140" s="45" t="s">
        <v>750</v>
      </c>
      <c r="BA140" s="32" t="s">
        <v>756</v>
      </c>
      <c r="BC140" s="42">
        <f t="shared" si="166"/>
        <v>0</v>
      </c>
      <c r="BD140" s="42">
        <f t="shared" si="167"/>
        <v>0</v>
      </c>
      <c r="BE140" s="42">
        <v>0</v>
      </c>
      <c r="BF140" s="42">
        <f t="shared" si="168"/>
        <v>0.00081</v>
      </c>
      <c r="BH140" s="23">
        <f t="shared" si="169"/>
        <v>0</v>
      </c>
      <c r="BI140" s="23">
        <f t="shared" si="170"/>
        <v>0</v>
      </c>
      <c r="BJ140" s="23">
        <f t="shared" si="171"/>
        <v>0</v>
      </c>
      <c r="BK140" s="23" t="s">
        <v>762</v>
      </c>
      <c r="BL140" s="42">
        <v>734</v>
      </c>
    </row>
    <row r="141" spans="1:64" ht="12.75">
      <c r="A141" s="6" t="s">
        <v>123</v>
      </c>
      <c r="B141" s="15"/>
      <c r="C141" s="15" t="s">
        <v>336</v>
      </c>
      <c r="D141" s="15" t="s">
        <v>567</v>
      </c>
      <c r="E141" s="15" t="s">
        <v>679</v>
      </c>
      <c r="F141" s="23">
        <v>1</v>
      </c>
      <c r="G141" s="91">
        <v>0</v>
      </c>
      <c r="H141" s="23">
        <f t="shared" si="148"/>
        <v>0</v>
      </c>
      <c r="I141" s="23">
        <f t="shared" si="149"/>
        <v>0</v>
      </c>
      <c r="J141" s="23">
        <f t="shared" si="150"/>
        <v>0</v>
      </c>
      <c r="K141" s="23">
        <v>0</v>
      </c>
      <c r="L141" s="23">
        <f t="shared" si="151"/>
        <v>0</v>
      </c>
      <c r="M141" s="38"/>
      <c r="N141" s="40"/>
      <c r="Z141" s="42">
        <f t="shared" si="152"/>
        <v>0</v>
      </c>
      <c r="AB141" s="42">
        <f t="shared" si="153"/>
        <v>0</v>
      </c>
      <c r="AC141" s="42">
        <f t="shared" si="154"/>
        <v>0</v>
      </c>
      <c r="AD141" s="42">
        <f t="shared" si="155"/>
        <v>0</v>
      </c>
      <c r="AE141" s="42">
        <f t="shared" si="156"/>
        <v>0</v>
      </c>
      <c r="AF141" s="42">
        <f t="shared" si="157"/>
        <v>0</v>
      </c>
      <c r="AG141" s="42">
        <f t="shared" si="158"/>
        <v>0</v>
      </c>
      <c r="AH141" s="42">
        <f t="shared" si="159"/>
        <v>0</v>
      </c>
      <c r="AI141" s="32"/>
      <c r="AJ141" s="23">
        <f t="shared" si="160"/>
        <v>0</v>
      </c>
      <c r="AK141" s="23">
        <f t="shared" si="161"/>
        <v>0</v>
      </c>
      <c r="AL141" s="23">
        <f t="shared" si="162"/>
        <v>0</v>
      </c>
      <c r="AN141" s="42">
        <v>15</v>
      </c>
      <c r="AO141" s="42">
        <f t="shared" si="172"/>
        <v>0</v>
      </c>
      <c r="AP141" s="42">
        <f t="shared" si="173"/>
        <v>0</v>
      </c>
      <c r="AQ141" s="44" t="s">
        <v>13</v>
      </c>
      <c r="AV141" s="42">
        <f t="shared" si="163"/>
        <v>0</v>
      </c>
      <c r="AW141" s="42">
        <f t="shared" si="164"/>
        <v>0</v>
      </c>
      <c r="AX141" s="42">
        <f t="shared" si="165"/>
        <v>0</v>
      </c>
      <c r="AY141" s="45" t="s">
        <v>730</v>
      </c>
      <c r="AZ141" s="45" t="s">
        <v>750</v>
      </c>
      <c r="BA141" s="32" t="s">
        <v>756</v>
      </c>
      <c r="BC141" s="42">
        <f t="shared" si="166"/>
        <v>0</v>
      </c>
      <c r="BD141" s="42">
        <f t="shared" si="167"/>
        <v>0</v>
      </c>
      <c r="BE141" s="42">
        <v>0</v>
      </c>
      <c r="BF141" s="42">
        <f t="shared" si="168"/>
        <v>0</v>
      </c>
      <c r="BH141" s="23">
        <f t="shared" si="169"/>
        <v>0</v>
      </c>
      <c r="BI141" s="23">
        <f t="shared" si="170"/>
        <v>0</v>
      </c>
      <c r="BJ141" s="23">
        <f t="shared" si="171"/>
        <v>0</v>
      </c>
      <c r="BK141" s="23" t="s">
        <v>762</v>
      </c>
      <c r="BL141" s="42">
        <v>734</v>
      </c>
    </row>
    <row r="142" spans="1:64" ht="12.75">
      <c r="A142" s="6" t="s">
        <v>124</v>
      </c>
      <c r="B142" s="15"/>
      <c r="C142" s="15" t="s">
        <v>337</v>
      </c>
      <c r="D142" s="15" t="s">
        <v>568</v>
      </c>
      <c r="E142" s="15" t="s">
        <v>679</v>
      </c>
      <c r="F142" s="23">
        <v>1</v>
      </c>
      <c r="G142" s="91">
        <v>0</v>
      </c>
      <c r="H142" s="23">
        <f t="shared" si="148"/>
        <v>0</v>
      </c>
      <c r="I142" s="23">
        <f t="shared" si="149"/>
        <v>0</v>
      </c>
      <c r="J142" s="23">
        <f t="shared" si="150"/>
        <v>0</v>
      </c>
      <c r="K142" s="23">
        <v>0</v>
      </c>
      <c r="L142" s="23">
        <f t="shared" si="151"/>
        <v>0</v>
      </c>
      <c r="M142" s="38"/>
      <c r="N142" s="40"/>
      <c r="Z142" s="42">
        <f t="shared" si="152"/>
        <v>0</v>
      </c>
      <c r="AB142" s="42">
        <f t="shared" si="153"/>
        <v>0</v>
      </c>
      <c r="AC142" s="42">
        <f t="shared" si="154"/>
        <v>0</v>
      </c>
      <c r="AD142" s="42">
        <f t="shared" si="155"/>
        <v>0</v>
      </c>
      <c r="AE142" s="42">
        <f t="shared" si="156"/>
        <v>0</v>
      </c>
      <c r="AF142" s="42">
        <f t="shared" si="157"/>
        <v>0</v>
      </c>
      <c r="AG142" s="42">
        <f t="shared" si="158"/>
        <v>0</v>
      </c>
      <c r="AH142" s="42">
        <f t="shared" si="159"/>
        <v>0</v>
      </c>
      <c r="AI142" s="32"/>
      <c r="AJ142" s="23">
        <f t="shared" si="160"/>
        <v>0</v>
      </c>
      <c r="AK142" s="23">
        <f t="shared" si="161"/>
        <v>0</v>
      </c>
      <c r="AL142" s="23">
        <f t="shared" si="162"/>
        <v>0</v>
      </c>
      <c r="AN142" s="42">
        <v>15</v>
      </c>
      <c r="AO142" s="42">
        <f t="shared" si="172"/>
        <v>0</v>
      </c>
      <c r="AP142" s="42">
        <f t="shared" si="173"/>
        <v>0</v>
      </c>
      <c r="AQ142" s="44" t="s">
        <v>13</v>
      </c>
      <c r="AV142" s="42">
        <f t="shared" si="163"/>
        <v>0</v>
      </c>
      <c r="AW142" s="42">
        <f t="shared" si="164"/>
        <v>0</v>
      </c>
      <c r="AX142" s="42">
        <f t="shared" si="165"/>
        <v>0</v>
      </c>
      <c r="AY142" s="45" t="s">
        <v>730</v>
      </c>
      <c r="AZ142" s="45" t="s">
        <v>750</v>
      </c>
      <c r="BA142" s="32" t="s">
        <v>756</v>
      </c>
      <c r="BC142" s="42">
        <f t="shared" si="166"/>
        <v>0</v>
      </c>
      <c r="BD142" s="42">
        <f t="shared" si="167"/>
        <v>0</v>
      </c>
      <c r="BE142" s="42">
        <v>0</v>
      </c>
      <c r="BF142" s="42">
        <f t="shared" si="168"/>
        <v>0</v>
      </c>
      <c r="BH142" s="23">
        <f t="shared" si="169"/>
        <v>0</v>
      </c>
      <c r="BI142" s="23">
        <f t="shared" si="170"/>
        <v>0</v>
      </c>
      <c r="BJ142" s="23">
        <f t="shared" si="171"/>
        <v>0</v>
      </c>
      <c r="BK142" s="23" t="s">
        <v>762</v>
      </c>
      <c r="BL142" s="42">
        <v>734</v>
      </c>
    </row>
    <row r="143" spans="1:64" ht="12.75">
      <c r="A143" s="6" t="s">
        <v>125</v>
      </c>
      <c r="B143" s="15"/>
      <c r="C143" s="15" t="s">
        <v>338</v>
      </c>
      <c r="D143" s="15" t="s">
        <v>569</v>
      </c>
      <c r="E143" s="15" t="s">
        <v>679</v>
      </c>
      <c r="F143" s="23">
        <v>8</v>
      </c>
      <c r="G143" s="91">
        <v>0</v>
      </c>
      <c r="H143" s="23">
        <f t="shared" si="148"/>
        <v>0</v>
      </c>
      <c r="I143" s="23">
        <f t="shared" si="149"/>
        <v>0</v>
      </c>
      <c r="J143" s="23">
        <f t="shared" si="150"/>
        <v>0</v>
      </c>
      <c r="K143" s="23">
        <v>0.00061</v>
      </c>
      <c r="L143" s="23">
        <f t="shared" si="151"/>
        <v>0.00488</v>
      </c>
      <c r="M143" s="38" t="s">
        <v>706</v>
      </c>
      <c r="N143" s="40"/>
      <c r="Z143" s="42">
        <f t="shared" si="152"/>
        <v>0</v>
      </c>
      <c r="AB143" s="42">
        <f t="shared" si="153"/>
        <v>0</v>
      </c>
      <c r="AC143" s="42">
        <f t="shared" si="154"/>
        <v>0</v>
      </c>
      <c r="AD143" s="42">
        <f t="shared" si="155"/>
        <v>0</v>
      </c>
      <c r="AE143" s="42">
        <f t="shared" si="156"/>
        <v>0</v>
      </c>
      <c r="AF143" s="42">
        <f t="shared" si="157"/>
        <v>0</v>
      </c>
      <c r="AG143" s="42">
        <f t="shared" si="158"/>
        <v>0</v>
      </c>
      <c r="AH143" s="42">
        <f t="shared" si="159"/>
        <v>0</v>
      </c>
      <c r="AI143" s="32"/>
      <c r="AJ143" s="23">
        <f t="shared" si="160"/>
        <v>0</v>
      </c>
      <c r="AK143" s="23">
        <f t="shared" si="161"/>
        <v>0</v>
      </c>
      <c r="AL143" s="23">
        <f t="shared" si="162"/>
        <v>0</v>
      </c>
      <c r="AN143" s="42">
        <v>15</v>
      </c>
      <c r="AO143" s="42">
        <f t="shared" si="172"/>
        <v>0</v>
      </c>
      <c r="AP143" s="42">
        <f t="shared" si="173"/>
        <v>0</v>
      </c>
      <c r="AQ143" s="44" t="s">
        <v>13</v>
      </c>
      <c r="AV143" s="42">
        <f t="shared" si="163"/>
        <v>0</v>
      </c>
      <c r="AW143" s="42">
        <f t="shared" si="164"/>
        <v>0</v>
      </c>
      <c r="AX143" s="42">
        <f t="shared" si="165"/>
        <v>0</v>
      </c>
      <c r="AY143" s="45" t="s">
        <v>730</v>
      </c>
      <c r="AZ143" s="45" t="s">
        <v>750</v>
      </c>
      <c r="BA143" s="32" t="s">
        <v>756</v>
      </c>
      <c r="BC143" s="42">
        <f t="shared" si="166"/>
        <v>0</v>
      </c>
      <c r="BD143" s="42">
        <f t="shared" si="167"/>
        <v>0</v>
      </c>
      <c r="BE143" s="42">
        <v>0</v>
      </c>
      <c r="BF143" s="42">
        <f t="shared" si="168"/>
        <v>0.00488</v>
      </c>
      <c r="BH143" s="23">
        <f t="shared" si="169"/>
        <v>0</v>
      </c>
      <c r="BI143" s="23">
        <f t="shared" si="170"/>
        <v>0</v>
      </c>
      <c r="BJ143" s="23">
        <f t="shared" si="171"/>
        <v>0</v>
      </c>
      <c r="BK143" s="23" t="s">
        <v>762</v>
      </c>
      <c r="BL143" s="42">
        <v>734</v>
      </c>
    </row>
    <row r="144" spans="1:64" ht="12.75">
      <c r="A144" s="6" t="s">
        <v>126</v>
      </c>
      <c r="B144" s="15"/>
      <c r="C144" s="15" t="s">
        <v>339</v>
      </c>
      <c r="D144" s="15" t="s">
        <v>570</v>
      </c>
      <c r="E144" s="15" t="s">
        <v>679</v>
      </c>
      <c r="F144" s="23">
        <v>5</v>
      </c>
      <c r="G144" s="91">
        <v>0</v>
      </c>
      <c r="H144" s="23">
        <f t="shared" si="148"/>
        <v>0</v>
      </c>
      <c r="I144" s="23">
        <f t="shared" si="149"/>
        <v>0</v>
      </c>
      <c r="J144" s="23">
        <f t="shared" si="150"/>
        <v>0</v>
      </c>
      <c r="K144" s="23">
        <v>0.00089</v>
      </c>
      <c r="L144" s="23">
        <f t="shared" si="151"/>
        <v>0.00445</v>
      </c>
      <c r="M144" s="38" t="s">
        <v>706</v>
      </c>
      <c r="N144" s="40"/>
      <c r="Z144" s="42">
        <f t="shared" si="152"/>
        <v>0</v>
      </c>
      <c r="AB144" s="42">
        <f t="shared" si="153"/>
        <v>0</v>
      </c>
      <c r="AC144" s="42">
        <f t="shared" si="154"/>
        <v>0</v>
      </c>
      <c r="AD144" s="42">
        <f t="shared" si="155"/>
        <v>0</v>
      </c>
      <c r="AE144" s="42">
        <f t="shared" si="156"/>
        <v>0</v>
      </c>
      <c r="AF144" s="42">
        <f t="shared" si="157"/>
        <v>0</v>
      </c>
      <c r="AG144" s="42">
        <f t="shared" si="158"/>
        <v>0</v>
      </c>
      <c r="AH144" s="42">
        <f t="shared" si="159"/>
        <v>0</v>
      </c>
      <c r="AI144" s="32"/>
      <c r="AJ144" s="23">
        <f t="shared" si="160"/>
        <v>0</v>
      </c>
      <c r="AK144" s="23">
        <f t="shared" si="161"/>
        <v>0</v>
      </c>
      <c r="AL144" s="23">
        <f t="shared" si="162"/>
        <v>0</v>
      </c>
      <c r="AN144" s="42">
        <v>15</v>
      </c>
      <c r="AO144" s="42">
        <f t="shared" si="172"/>
        <v>0</v>
      </c>
      <c r="AP144" s="42">
        <f t="shared" si="173"/>
        <v>0</v>
      </c>
      <c r="AQ144" s="44" t="s">
        <v>13</v>
      </c>
      <c r="AV144" s="42">
        <f t="shared" si="163"/>
        <v>0</v>
      </c>
      <c r="AW144" s="42">
        <f t="shared" si="164"/>
        <v>0</v>
      </c>
      <c r="AX144" s="42">
        <f t="shared" si="165"/>
        <v>0</v>
      </c>
      <c r="AY144" s="45" t="s">
        <v>730</v>
      </c>
      <c r="AZ144" s="45" t="s">
        <v>750</v>
      </c>
      <c r="BA144" s="32" t="s">
        <v>756</v>
      </c>
      <c r="BC144" s="42">
        <f t="shared" si="166"/>
        <v>0</v>
      </c>
      <c r="BD144" s="42">
        <f t="shared" si="167"/>
        <v>0</v>
      </c>
      <c r="BE144" s="42">
        <v>0</v>
      </c>
      <c r="BF144" s="42">
        <f t="shared" si="168"/>
        <v>0.00445</v>
      </c>
      <c r="BH144" s="23">
        <f t="shared" si="169"/>
        <v>0</v>
      </c>
      <c r="BI144" s="23">
        <f t="shared" si="170"/>
        <v>0</v>
      </c>
      <c r="BJ144" s="23">
        <f t="shared" si="171"/>
        <v>0</v>
      </c>
      <c r="BK144" s="23" t="s">
        <v>762</v>
      </c>
      <c r="BL144" s="42">
        <v>734</v>
      </c>
    </row>
    <row r="145" spans="1:64" ht="12.75">
      <c r="A145" s="6" t="s">
        <v>127</v>
      </c>
      <c r="B145" s="15"/>
      <c r="C145" s="15" t="s">
        <v>340</v>
      </c>
      <c r="D145" s="15" t="s">
        <v>571</v>
      </c>
      <c r="E145" s="15" t="s">
        <v>679</v>
      </c>
      <c r="F145" s="23">
        <v>1</v>
      </c>
      <c r="G145" s="91">
        <v>0</v>
      </c>
      <c r="H145" s="23">
        <f t="shared" si="148"/>
        <v>0</v>
      </c>
      <c r="I145" s="23">
        <f t="shared" si="149"/>
        <v>0</v>
      </c>
      <c r="J145" s="23">
        <f t="shared" si="150"/>
        <v>0</v>
      </c>
      <c r="K145" s="23">
        <v>0.0013</v>
      </c>
      <c r="L145" s="23">
        <f t="shared" si="151"/>
        <v>0.0013</v>
      </c>
      <c r="M145" s="38" t="s">
        <v>706</v>
      </c>
      <c r="N145" s="40"/>
      <c r="Z145" s="42">
        <f t="shared" si="152"/>
        <v>0</v>
      </c>
      <c r="AB145" s="42">
        <f t="shared" si="153"/>
        <v>0</v>
      </c>
      <c r="AC145" s="42">
        <f t="shared" si="154"/>
        <v>0</v>
      </c>
      <c r="AD145" s="42">
        <f t="shared" si="155"/>
        <v>0</v>
      </c>
      <c r="AE145" s="42">
        <f t="shared" si="156"/>
        <v>0</v>
      </c>
      <c r="AF145" s="42">
        <f t="shared" si="157"/>
        <v>0</v>
      </c>
      <c r="AG145" s="42">
        <f t="shared" si="158"/>
        <v>0</v>
      </c>
      <c r="AH145" s="42">
        <f t="shared" si="159"/>
        <v>0</v>
      </c>
      <c r="AI145" s="32"/>
      <c r="AJ145" s="23">
        <f t="shared" si="160"/>
        <v>0</v>
      </c>
      <c r="AK145" s="23">
        <f t="shared" si="161"/>
        <v>0</v>
      </c>
      <c r="AL145" s="23">
        <f t="shared" si="162"/>
        <v>0</v>
      </c>
      <c r="AN145" s="42">
        <v>15</v>
      </c>
      <c r="AO145" s="42">
        <f t="shared" si="172"/>
        <v>0</v>
      </c>
      <c r="AP145" s="42">
        <f t="shared" si="173"/>
        <v>0</v>
      </c>
      <c r="AQ145" s="44" t="s">
        <v>13</v>
      </c>
      <c r="AV145" s="42">
        <f t="shared" si="163"/>
        <v>0</v>
      </c>
      <c r="AW145" s="42">
        <f t="shared" si="164"/>
        <v>0</v>
      </c>
      <c r="AX145" s="42">
        <f t="shared" si="165"/>
        <v>0</v>
      </c>
      <c r="AY145" s="45" t="s">
        <v>730</v>
      </c>
      <c r="AZ145" s="45" t="s">
        <v>750</v>
      </c>
      <c r="BA145" s="32" t="s">
        <v>756</v>
      </c>
      <c r="BC145" s="42">
        <f t="shared" si="166"/>
        <v>0</v>
      </c>
      <c r="BD145" s="42">
        <f t="shared" si="167"/>
        <v>0</v>
      </c>
      <c r="BE145" s="42">
        <v>0</v>
      </c>
      <c r="BF145" s="42">
        <f t="shared" si="168"/>
        <v>0.0013</v>
      </c>
      <c r="BH145" s="23">
        <f t="shared" si="169"/>
        <v>0</v>
      </c>
      <c r="BI145" s="23">
        <f t="shared" si="170"/>
        <v>0</v>
      </c>
      <c r="BJ145" s="23">
        <f t="shared" si="171"/>
        <v>0</v>
      </c>
      <c r="BK145" s="23" t="s">
        <v>762</v>
      </c>
      <c r="BL145" s="42">
        <v>734</v>
      </c>
    </row>
    <row r="146" spans="1:64" ht="12.75">
      <c r="A146" s="4" t="s">
        <v>128</v>
      </c>
      <c r="B146" s="13"/>
      <c r="C146" s="13" t="s">
        <v>341</v>
      </c>
      <c r="D146" s="13" t="s">
        <v>572</v>
      </c>
      <c r="E146" s="13" t="s">
        <v>679</v>
      </c>
      <c r="F146" s="22">
        <v>2</v>
      </c>
      <c r="G146" s="90">
        <v>0</v>
      </c>
      <c r="H146" s="22">
        <f t="shared" si="148"/>
        <v>0</v>
      </c>
      <c r="I146" s="22">
        <f t="shared" si="149"/>
        <v>0</v>
      </c>
      <c r="J146" s="22">
        <f t="shared" si="150"/>
        <v>0</v>
      </c>
      <c r="K146" s="22">
        <v>0</v>
      </c>
      <c r="L146" s="22">
        <f t="shared" si="151"/>
        <v>0</v>
      </c>
      <c r="M146" s="36" t="s">
        <v>706</v>
      </c>
      <c r="N146" s="40"/>
      <c r="Z146" s="42">
        <f t="shared" si="152"/>
        <v>0</v>
      </c>
      <c r="AB146" s="42">
        <f t="shared" si="153"/>
        <v>0</v>
      </c>
      <c r="AC146" s="42">
        <f t="shared" si="154"/>
        <v>0</v>
      </c>
      <c r="AD146" s="42">
        <f t="shared" si="155"/>
        <v>0</v>
      </c>
      <c r="AE146" s="42">
        <f t="shared" si="156"/>
        <v>0</v>
      </c>
      <c r="AF146" s="42">
        <f t="shared" si="157"/>
        <v>0</v>
      </c>
      <c r="AG146" s="42">
        <f t="shared" si="158"/>
        <v>0</v>
      </c>
      <c r="AH146" s="42">
        <f t="shared" si="159"/>
        <v>0</v>
      </c>
      <c r="AI146" s="32"/>
      <c r="AJ146" s="22">
        <f t="shared" si="160"/>
        <v>0</v>
      </c>
      <c r="AK146" s="22">
        <f t="shared" si="161"/>
        <v>0</v>
      </c>
      <c r="AL146" s="22">
        <f t="shared" si="162"/>
        <v>0</v>
      </c>
      <c r="AN146" s="42">
        <v>15</v>
      </c>
      <c r="AO146" s="42">
        <f>G146*0.0427578325873726</f>
        <v>0</v>
      </c>
      <c r="AP146" s="42">
        <f>G146*(1-0.0427578325873726)</f>
        <v>0</v>
      </c>
      <c r="AQ146" s="43" t="s">
        <v>13</v>
      </c>
      <c r="AV146" s="42">
        <f t="shared" si="163"/>
        <v>0</v>
      </c>
      <c r="AW146" s="42">
        <f t="shared" si="164"/>
        <v>0</v>
      </c>
      <c r="AX146" s="42">
        <f t="shared" si="165"/>
        <v>0</v>
      </c>
      <c r="AY146" s="45" t="s">
        <v>730</v>
      </c>
      <c r="AZ146" s="45" t="s">
        <v>750</v>
      </c>
      <c r="BA146" s="32" t="s">
        <v>756</v>
      </c>
      <c r="BC146" s="42">
        <f t="shared" si="166"/>
        <v>0</v>
      </c>
      <c r="BD146" s="42">
        <f t="shared" si="167"/>
        <v>0</v>
      </c>
      <c r="BE146" s="42">
        <v>0</v>
      </c>
      <c r="BF146" s="42">
        <f t="shared" si="168"/>
        <v>0</v>
      </c>
      <c r="BH146" s="22">
        <f t="shared" si="169"/>
        <v>0</v>
      </c>
      <c r="BI146" s="22">
        <f t="shared" si="170"/>
        <v>0</v>
      </c>
      <c r="BJ146" s="22">
        <f t="shared" si="171"/>
        <v>0</v>
      </c>
      <c r="BK146" s="22" t="s">
        <v>761</v>
      </c>
      <c r="BL146" s="42">
        <v>734</v>
      </c>
    </row>
    <row r="147" spans="1:64" ht="12.75">
      <c r="A147" s="4" t="s">
        <v>129</v>
      </c>
      <c r="B147" s="13"/>
      <c r="C147" s="13" t="s">
        <v>342</v>
      </c>
      <c r="D147" s="13" t="s">
        <v>573</v>
      </c>
      <c r="E147" s="13" t="s">
        <v>679</v>
      </c>
      <c r="F147" s="22">
        <v>9</v>
      </c>
      <c r="G147" s="90">
        <v>0</v>
      </c>
      <c r="H147" s="22">
        <f t="shared" si="148"/>
        <v>0</v>
      </c>
      <c r="I147" s="22">
        <f t="shared" si="149"/>
        <v>0</v>
      </c>
      <c r="J147" s="22">
        <f t="shared" si="150"/>
        <v>0</v>
      </c>
      <c r="K147" s="22">
        <v>0</v>
      </c>
      <c r="L147" s="22">
        <f t="shared" si="151"/>
        <v>0</v>
      </c>
      <c r="M147" s="36" t="s">
        <v>706</v>
      </c>
      <c r="N147" s="40"/>
      <c r="Z147" s="42">
        <f t="shared" si="152"/>
        <v>0</v>
      </c>
      <c r="AB147" s="42">
        <f t="shared" si="153"/>
        <v>0</v>
      </c>
      <c r="AC147" s="42">
        <f t="shared" si="154"/>
        <v>0</v>
      </c>
      <c r="AD147" s="42">
        <f t="shared" si="155"/>
        <v>0</v>
      </c>
      <c r="AE147" s="42">
        <f t="shared" si="156"/>
        <v>0</v>
      </c>
      <c r="AF147" s="42">
        <f t="shared" si="157"/>
        <v>0</v>
      </c>
      <c r="AG147" s="42">
        <f t="shared" si="158"/>
        <v>0</v>
      </c>
      <c r="AH147" s="42">
        <f t="shared" si="159"/>
        <v>0</v>
      </c>
      <c r="AI147" s="32"/>
      <c r="AJ147" s="22">
        <f t="shared" si="160"/>
        <v>0</v>
      </c>
      <c r="AK147" s="22">
        <f t="shared" si="161"/>
        <v>0</v>
      </c>
      <c r="AL147" s="22">
        <f t="shared" si="162"/>
        <v>0</v>
      </c>
      <c r="AN147" s="42">
        <v>15</v>
      </c>
      <c r="AO147" s="42">
        <f>G147*0.0576117616890333</f>
        <v>0</v>
      </c>
      <c r="AP147" s="42">
        <f>G147*(1-0.0576117616890333)</f>
        <v>0</v>
      </c>
      <c r="AQ147" s="43" t="s">
        <v>13</v>
      </c>
      <c r="AV147" s="42">
        <f t="shared" si="163"/>
        <v>0</v>
      </c>
      <c r="AW147" s="42">
        <f t="shared" si="164"/>
        <v>0</v>
      </c>
      <c r="AX147" s="42">
        <f t="shared" si="165"/>
        <v>0</v>
      </c>
      <c r="AY147" s="45" t="s">
        <v>730</v>
      </c>
      <c r="AZ147" s="45" t="s">
        <v>750</v>
      </c>
      <c r="BA147" s="32" t="s">
        <v>756</v>
      </c>
      <c r="BC147" s="42">
        <f t="shared" si="166"/>
        <v>0</v>
      </c>
      <c r="BD147" s="42">
        <f t="shared" si="167"/>
        <v>0</v>
      </c>
      <c r="BE147" s="42">
        <v>0</v>
      </c>
      <c r="BF147" s="42">
        <f t="shared" si="168"/>
        <v>0</v>
      </c>
      <c r="BH147" s="22">
        <f t="shared" si="169"/>
        <v>0</v>
      </c>
      <c r="BI147" s="22">
        <f t="shared" si="170"/>
        <v>0</v>
      </c>
      <c r="BJ147" s="22">
        <f t="shared" si="171"/>
        <v>0</v>
      </c>
      <c r="BK147" s="22" t="s">
        <v>761</v>
      </c>
      <c r="BL147" s="42">
        <v>734</v>
      </c>
    </row>
    <row r="148" spans="1:64" ht="12.75">
      <c r="A148" s="4" t="s">
        <v>130</v>
      </c>
      <c r="B148" s="13"/>
      <c r="C148" s="13" t="s">
        <v>343</v>
      </c>
      <c r="D148" s="13" t="s">
        <v>574</v>
      </c>
      <c r="E148" s="13" t="s">
        <v>679</v>
      </c>
      <c r="F148" s="22">
        <v>6</v>
      </c>
      <c r="G148" s="90">
        <v>0</v>
      </c>
      <c r="H148" s="22">
        <f t="shared" si="148"/>
        <v>0</v>
      </c>
      <c r="I148" s="22">
        <f t="shared" si="149"/>
        <v>0</v>
      </c>
      <c r="J148" s="22">
        <f t="shared" si="150"/>
        <v>0</v>
      </c>
      <c r="K148" s="22">
        <v>0</v>
      </c>
      <c r="L148" s="22">
        <f t="shared" si="151"/>
        <v>0</v>
      </c>
      <c r="M148" s="36" t="s">
        <v>706</v>
      </c>
      <c r="N148" s="40"/>
      <c r="Z148" s="42">
        <f t="shared" si="152"/>
        <v>0</v>
      </c>
      <c r="AB148" s="42">
        <f t="shared" si="153"/>
        <v>0</v>
      </c>
      <c r="AC148" s="42">
        <f t="shared" si="154"/>
        <v>0</v>
      </c>
      <c r="AD148" s="42">
        <f t="shared" si="155"/>
        <v>0</v>
      </c>
      <c r="AE148" s="42">
        <f t="shared" si="156"/>
        <v>0</v>
      </c>
      <c r="AF148" s="42">
        <f t="shared" si="157"/>
        <v>0</v>
      </c>
      <c r="AG148" s="42">
        <f t="shared" si="158"/>
        <v>0</v>
      </c>
      <c r="AH148" s="42">
        <f t="shared" si="159"/>
        <v>0</v>
      </c>
      <c r="AI148" s="32"/>
      <c r="AJ148" s="22">
        <f t="shared" si="160"/>
        <v>0</v>
      </c>
      <c r="AK148" s="22">
        <f t="shared" si="161"/>
        <v>0</v>
      </c>
      <c r="AL148" s="22">
        <f t="shared" si="162"/>
        <v>0</v>
      </c>
      <c r="AN148" s="42">
        <v>15</v>
      </c>
      <c r="AO148" s="42">
        <f>G148*0.0643010752688172</f>
        <v>0</v>
      </c>
      <c r="AP148" s="42">
        <f>G148*(1-0.0643010752688172)</f>
        <v>0</v>
      </c>
      <c r="AQ148" s="43" t="s">
        <v>13</v>
      </c>
      <c r="AV148" s="42">
        <f t="shared" si="163"/>
        <v>0</v>
      </c>
      <c r="AW148" s="42">
        <f t="shared" si="164"/>
        <v>0</v>
      </c>
      <c r="AX148" s="42">
        <f t="shared" si="165"/>
        <v>0</v>
      </c>
      <c r="AY148" s="45" t="s">
        <v>730</v>
      </c>
      <c r="AZ148" s="45" t="s">
        <v>750</v>
      </c>
      <c r="BA148" s="32" t="s">
        <v>756</v>
      </c>
      <c r="BC148" s="42">
        <f t="shared" si="166"/>
        <v>0</v>
      </c>
      <c r="BD148" s="42">
        <f t="shared" si="167"/>
        <v>0</v>
      </c>
      <c r="BE148" s="42">
        <v>0</v>
      </c>
      <c r="BF148" s="42">
        <f t="shared" si="168"/>
        <v>0</v>
      </c>
      <c r="BH148" s="22">
        <f t="shared" si="169"/>
        <v>0</v>
      </c>
      <c r="BI148" s="22">
        <f t="shared" si="170"/>
        <v>0</v>
      </c>
      <c r="BJ148" s="22">
        <f t="shared" si="171"/>
        <v>0</v>
      </c>
      <c r="BK148" s="22" t="s">
        <v>761</v>
      </c>
      <c r="BL148" s="42">
        <v>734</v>
      </c>
    </row>
    <row r="149" spans="1:64" ht="12.75">
      <c r="A149" s="4" t="s">
        <v>131</v>
      </c>
      <c r="B149" s="13"/>
      <c r="C149" s="13" t="s">
        <v>344</v>
      </c>
      <c r="D149" s="13" t="s">
        <v>575</v>
      </c>
      <c r="E149" s="13" t="s">
        <v>679</v>
      </c>
      <c r="F149" s="22">
        <v>1</v>
      </c>
      <c r="G149" s="90">
        <v>0</v>
      </c>
      <c r="H149" s="22">
        <f t="shared" si="148"/>
        <v>0</v>
      </c>
      <c r="I149" s="22">
        <f t="shared" si="149"/>
        <v>0</v>
      </c>
      <c r="J149" s="22">
        <f t="shared" si="150"/>
        <v>0</v>
      </c>
      <c r="K149" s="22">
        <v>0</v>
      </c>
      <c r="L149" s="22">
        <f t="shared" si="151"/>
        <v>0</v>
      </c>
      <c r="M149" s="36" t="s">
        <v>706</v>
      </c>
      <c r="N149" s="40"/>
      <c r="Z149" s="42">
        <f t="shared" si="152"/>
        <v>0</v>
      </c>
      <c r="AB149" s="42">
        <f t="shared" si="153"/>
        <v>0</v>
      </c>
      <c r="AC149" s="42">
        <f t="shared" si="154"/>
        <v>0</v>
      </c>
      <c r="AD149" s="42">
        <f t="shared" si="155"/>
        <v>0</v>
      </c>
      <c r="AE149" s="42">
        <f t="shared" si="156"/>
        <v>0</v>
      </c>
      <c r="AF149" s="42">
        <f t="shared" si="157"/>
        <v>0</v>
      </c>
      <c r="AG149" s="42">
        <f t="shared" si="158"/>
        <v>0</v>
      </c>
      <c r="AH149" s="42">
        <f t="shared" si="159"/>
        <v>0</v>
      </c>
      <c r="AI149" s="32"/>
      <c r="AJ149" s="22">
        <f t="shared" si="160"/>
        <v>0</v>
      </c>
      <c r="AK149" s="22">
        <f t="shared" si="161"/>
        <v>0</v>
      </c>
      <c r="AL149" s="22">
        <f t="shared" si="162"/>
        <v>0</v>
      </c>
      <c r="AN149" s="42">
        <v>15</v>
      </c>
      <c r="AO149" s="42">
        <f>G149*0.0676127335488466</f>
        <v>0</v>
      </c>
      <c r="AP149" s="42">
        <f>G149*(1-0.0676127335488466)</f>
        <v>0</v>
      </c>
      <c r="AQ149" s="43" t="s">
        <v>13</v>
      </c>
      <c r="AV149" s="42">
        <f t="shared" si="163"/>
        <v>0</v>
      </c>
      <c r="AW149" s="42">
        <f t="shared" si="164"/>
        <v>0</v>
      </c>
      <c r="AX149" s="42">
        <f t="shared" si="165"/>
        <v>0</v>
      </c>
      <c r="AY149" s="45" t="s">
        <v>730</v>
      </c>
      <c r="AZ149" s="45" t="s">
        <v>750</v>
      </c>
      <c r="BA149" s="32" t="s">
        <v>756</v>
      </c>
      <c r="BC149" s="42">
        <f t="shared" si="166"/>
        <v>0</v>
      </c>
      <c r="BD149" s="42">
        <f t="shared" si="167"/>
        <v>0</v>
      </c>
      <c r="BE149" s="42">
        <v>0</v>
      </c>
      <c r="BF149" s="42">
        <f t="shared" si="168"/>
        <v>0</v>
      </c>
      <c r="BH149" s="22">
        <f t="shared" si="169"/>
        <v>0</v>
      </c>
      <c r="BI149" s="22">
        <f t="shared" si="170"/>
        <v>0</v>
      </c>
      <c r="BJ149" s="22">
        <f t="shared" si="171"/>
        <v>0</v>
      </c>
      <c r="BK149" s="22" t="s">
        <v>761</v>
      </c>
      <c r="BL149" s="42">
        <v>734</v>
      </c>
    </row>
    <row r="150" spans="1:64" ht="12.75">
      <c r="A150" s="4" t="s">
        <v>132</v>
      </c>
      <c r="B150" s="13"/>
      <c r="C150" s="13" t="s">
        <v>345</v>
      </c>
      <c r="D150" s="13" t="s">
        <v>576</v>
      </c>
      <c r="E150" s="13" t="s">
        <v>679</v>
      </c>
      <c r="F150" s="22">
        <v>2</v>
      </c>
      <c r="G150" s="90">
        <v>0</v>
      </c>
      <c r="H150" s="22">
        <f t="shared" si="148"/>
        <v>0</v>
      </c>
      <c r="I150" s="22">
        <f t="shared" si="149"/>
        <v>0</v>
      </c>
      <c r="J150" s="22">
        <f t="shared" si="150"/>
        <v>0</v>
      </c>
      <c r="K150" s="22">
        <v>0</v>
      </c>
      <c r="L150" s="22">
        <f t="shared" si="151"/>
        <v>0</v>
      </c>
      <c r="M150" s="36" t="s">
        <v>706</v>
      </c>
      <c r="N150" s="40"/>
      <c r="Z150" s="42">
        <f t="shared" si="152"/>
        <v>0</v>
      </c>
      <c r="AB150" s="42">
        <f t="shared" si="153"/>
        <v>0</v>
      </c>
      <c r="AC150" s="42">
        <f t="shared" si="154"/>
        <v>0</v>
      </c>
      <c r="AD150" s="42">
        <f t="shared" si="155"/>
        <v>0</v>
      </c>
      <c r="AE150" s="42">
        <f t="shared" si="156"/>
        <v>0</v>
      </c>
      <c r="AF150" s="42">
        <f t="shared" si="157"/>
        <v>0</v>
      </c>
      <c r="AG150" s="42">
        <f t="shared" si="158"/>
        <v>0</v>
      </c>
      <c r="AH150" s="42">
        <f t="shared" si="159"/>
        <v>0</v>
      </c>
      <c r="AI150" s="32"/>
      <c r="AJ150" s="22">
        <f t="shared" si="160"/>
        <v>0</v>
      </c>
      <c r="AK150" s="22">
        <f t="shared" si="161"/>
        <v>0</v>
      </c>
      <c r="AL150" s="22">
        <f t="shared" si="162"/>
        <v>0</v>
      </c>
      <c r="AN150" s="42">
        <v>15</v>
      </c>
      <c r="AO150" s="42">
        <f>G150*0.067109634551495</f>
        <v>0</v>
      </c>
      <c r="AP150" s="42">
        <f>G150*(1-0.067109634551495)</f>
        <v>0</v>
      </c>
      <c r="AQ150" s="43" t="s">
        <v>13</v>
      </c>
      <c r="AV150" s="42">
        <f t="shared" si="163"/>
        <v>0</v>
      </c>
      <c r="AW150" s="42">
        <f t="shared" si="164"/>
        <v>0</v>
      </c>
      <c r="AX150" s="42">
        <f t="shared" si="165"/>
        <v>0</v>
      </c>
      <c r="AY150" s="45" t="s">
        <v>730</v>
      </c>
      <c r="AZ150" s="45" t="s">
        <v>750</v>
      </c>
      <c r="BA150" s="32" t="s">
        <v>756</v>
      </c>
      <c r="BC150" s="42">
        <f t="shared" si="166"/>
        <v>0</v>
      </c>
      <c r="BD150" s="42">
        <f t="shared" si="167"/>
        <v>0</v>
      </c>
      <c r="BE150" s="42">
        <v>0</v>
      </c>
      <c r="BF150" s="42">
        <f t="shared" si="168"/>
        <v>0</v>
      </c>
      <c r="BH150" s="22">
        <f t="shared" si="169"/>
        <v>0</v>
      </c>
      <c r="BI150" s="22">
        <f t="shared" si="170"/>
        <v>0</v>
      </c>
      <c r="BJ150" s="22">
        <f t="shared" si="171"/>
        <v>0</v>
      </c>
      <c r="BK150" s="22" t="s">
        <v>761</v>
      </c>
      <c r="BL150" s="42">
        <v>734</v>
      </c>
    </row>
    <row r="151" spans="1:64" ht="12.75">
      <c r="A151" s="4" t="s">
        <v>133</v>
      </c>
      <c r="B151" s="13"/>
      <c r="C151" s="13" t="s">
        <v>346</v>
      </c>
      <c r="D151" s="13" t="s">
        <v>577</v>
      </c>
      <c r="E151" s="13" t="s">
        <v>679</v>
      </c>
      <c r="F151" s="22">
        <v>1</v>
      </c>
      <c r="G151" s="90">
        <v>0</v>
      </c>
      <c r="H151" s="22">
        <f t="shared" si="148"/>
        <v>0</v>
      </c>
      <c r="I151" s="22">
        <f t="shared" si="149"/>
        <v>0</v>
      </c>
      <c r="J151" s="22">
        <f t="shared" si="150"/>
        <v>0</v>
      </c>
      <c r="K151" s="22">
        <v>0</v>
      </c>
      <c r="L151" s="22">
        <f t="shared" si="151"/>
        <v>0</v>
      </c>
      <c r="M151" s="36" t="s">
        <v>706</v>
      </c>
      <c r="N151" s="40"/>
      <c r="Z151" s="42">
        <f t="shared" si="152"/>
        <v>0</v>
      </c>
      <c r="AB151" s="42">
        <f t="shared" si="153"/>
        <v>0</v>
      </c>
      <c r="AC151" s="42">
        <f t="shared" si="154"/>
        <v>0</v>
      </c>
      <c r="AD151" s="42">
        <f t="shared" si="155"/>
        <v>0</v>
      </c>
      <c r="AE151" s="42">
        <f t="shared" si="156"/>
        <v>0</v>
      </c>
      <c r="AF151" s="42">
        <f t="shared" si="157"/>
        <v>0</v>
      </c>
      <c r="AG151" s="42">
        <f t="shared" si="158"/>
        <v>0</v>
      </c>
      <c r="AH151" s="42">
        <f t="shared" si="159"/>
        <v>0</v>
      </c>
      <c r="AI151" s="32"/>
      <c r="AJ151" s="22">
        <f t="shared" si="160"/>
        <v>0</v>
      </c>
      <c r="AK151" s="22">
        <f t="shared" si="161"/>
        <v>0</v>
      </c>
      <c r="AL151" s="22">
        <f t="shared" si="162"/>
        <v>0</v>
      </c>
      <c r="AN151" s="42">
        <v>15</v>
      </c>
      <c r="AO151" s="42">
        <f>G151*0.0752556008715571</f>
        <v>0</v>
      </c>
      <c r="AP151" s="42">
        <f>G151*(1-0.0752556008715571)</f>
        <v>0</v>
      </c>
      <c r="AQ151" s="43" t="s">
        <v>13</v>
      </c>
      <c r="AV151" s="42">
        <f t="shared" si="163"/>
        <v>0</v>
      </c>
      <c r="AW151" s="42">
        <f t="shared" si="164"/>
        <v>0</v>
      </c>
      <c r="AX151" s="42">
        <f t="shared" si="165"/>
        <v>0</v>
      </c>
      <c r="AY151" s="45" t="s">
        <v>730</v>
      </c>
      <c r="AZ151" s="45" t="s">
        <v>750</v>
      </c>
      <c r="BA151" s="32" t="s">
        <v>756</v>
      </c>
      <c r="BC151" s="42">
        <f t="shared" si="166"/>
        <v>0</v>
      </c>
      <c r="BD151" s="42">
        <f t="shared" si="167"/>
        <v>0</v>
      </c>
      <c r="BE151" s="42">
        <v>0</v>
      </c>
      <c r="BF151" s="42">
        <f t="shared" si="168"/>
        <v>0</v>
      </c>
      <c r="BH151" s="22">
        <f t="shared" si="169"/>
        <v>0</v>
      </c>
      <c r="BI151" s="22">
        <f t="shared" si="170"/>
        <v>0</v>
      </c>
      <c r="BJ151" s="22">
        <f t="shared" si="171"/>
        <v>0</v>
      </c>
      <c r="BK151" s="22" t="s">
        <v>761</v>
      </c>
      <c r="BL151" s="42">
        <v>734</v>
      </c>
    </row>
    <row r="152" spans="1:64" ht="12.75">
      <c r="A152" s="4" t="s">
        <v>134</v>
      </c>
      <c r="B152" s="13"/>
      <c r="C152" s="13" t="s">
        <v>347</v>
      </c>
      <c r="D152" s="13" t="s">
        <v>578</v>
      </c>
      <c r="E152" s="13" t="s">
        <v>679</v>
      </c>
      <c r="F152" s="22">
        <v>10</v>
      </c>
      <c r="G152" s="90">
        <v>0</v>
      </c>
      <c r="H152" s="22">
        <f t="shared" si="148"/>
        <v>0</v>
      </c>
      <c r="I152" s="22">
        <f t="shared" si="149"/>
        <v>0</v>
      </c>
      <c r="J152" s="22">
        <f t="shared" si="150"/>
        <v>0</v>
      </c>
      <c r="K152" s="22">
        <v>0</v>
      </c>
      <c r="L152" s="22">
        <f t="shared" si="151"/>
        <v>0</v>
      </c>
      <c r="M152" s="36" t="s">
        <v>706</v>
      </c>
      <c r="N152" s="40"/>
      <c r="Z152" s="42">
        <f t="shared" si="152"/>
        <v>0</v>
      </c>
      <c r="AB152" s="42">
        <f t="shared" si="153"/>
        <v>0</v>
      </c>
      <c r="AC152" s="42">
        <f t="shared" si="154"/>
        <v>0</v>
      </c>
      <c r="AD152" s="42">
        <f t="shared" si="155"/>
        <v>0</v>
      </c>
      <c r="AE152" s="42">
        <f t="shared" si="156"/>
        <v>0</v>
      </c>
      <c r="AF152" s="42">
        <f t="shared" si="157"/>
        <v>0</v>
      </c>
      <c r="AG152" s="42">
        <f t="shared" si="158"/>
        <v>0</v>
      </c>
      <c r="AH152" s="42">
        <f t="shared" si="159"/>
        <v>0</v>
      </c>
      <c r="AI152" s="32"/>
      <c r="AJ152" s="22">
        <f t="shared" si="160"/>
        <v>0</v>
      </c>
      <c r="AK152" s="22">
        <f t="shared" si="161"/>
        <v>0</v>
      </c>
      <c r="AL152" s="22">
        <f t="shared" si="162"/>
        <v>0</v>
      </c>
      <c r="AN152" s="42">
        <v>15</v>
      </c>
      <c r="AO152" s="42">
        <f>G152*0.0633723123349679</f>
        <v>0</v>
      </c>
      <c r="AP152" s="42">
        <f>G152*(1-0.0633723123349679)</f>
        <v>0</v>
      </c>
      <c r="AQ152" s="43" t="s">
        <v>13</v>
      </c>
      <c r="AV152" s="42">
        <f t="shared" si="163"/>
        <v>0</v>
      </c>
      <c r="AW152" s="42">
        <f t="shared" si="164"/>
        <v>0</v>
      </c>
      <c r="AX152" s="42">
        <f t="shared" si="165"/>
        <v>0</v>
      </c>
      <c r="AY152" s="45" t="s">
        <v>730</v>
      </c>
      <c r="AZ152" s="45" t="s">
        <v>750</v>
      </c>
      <c r="BA152" s="32" t="s">
        <v>756</v>
      </c>
      <c r="BC152" s="42">
        <f t="shared" si="166"/>
        <v>0</v>
      </c>
      <c r="BD152" s="42">
        <f t="shared" si="167"/>
        <v>0</v>
      </c>
      <c r="BE152" s="42">
        <v>0</v>
      </c>
      <c r="BF152" s="42">
        <f t="shared" si="168"/>
        <v>0</v>
      </c>
      <c r="BH152" s="22">
        <f t="shared" si="169"/>
        <v>0</v>
      </c>
      <c r="BI152" s="22">
        <f t="shared" si="170"/>
        <v>0</v>
      </c>
      <c r="BJ152" s="22">
        <f t="shared" si="171"/>
        <v>0</v>
      </c>
      <c r="BK152" s="22" t="s">
        <v>761</v>
      </c>
      <c r="BL152" s="42">
        <v>734</v>
      </c>
    </row>
    <row r="153" spans="1:64" ht="12.75">
      <c r="A153" s="6" t="s">
        <v>135</v>
      </c>
      <c r="B153" s="15"/>
      <c r="C153" s="15" t="s">
        <v>348</v>
      </c>
      <c r="D153" s="15" t="s">
        <v>579</v>
      </c>
      <c r="E153" s="15" t="s">
        <v>679</v>
      </c>
      <c r="F153" s="23">
        <v>10</v>
      </c>
      <c r="G153" s="91">
        <v>0</v>
      </c>
      <c r="H153" s="23">
        <f t="shared" si="148"/>
        <v>0</v>
      </c>
      <c r="I153" s="23">
        <f t="shared" si="149"/>
        <v>0</v>
      </c>
      <c r="J153" s="23">
        <f t="shared" si="150"/>
        <v>0</v>
      </c>
      <c r="K153" s="23">
        <v>0.0003</v>
      </c>
      <c r="L153" s="23">
        <f t="shared" si="151"/>
        <v>0.0029999999999999996</v>
      </c>
      <c r="M153" s="38" t="s">
        <v>706</v>
      </c>
      <c r="N153" s="40"/>
      <c r="Z153" s="42">
        <f t="shared" si="152"/>
        <v>0</v>
      </c>
      <c r="AB153" s="42">
        <f t="shared" si="153"/>
        <v>0</v>
      </c>
      <c r="AC153" s="42">
        <f t="shared" si="154"/>
        <v>0</v>
      </c>
      <c r="AD153" s="42">
        <f t="shared" si="155"/>
        <v>0</v>
      </c>
      <c r="AE153" s="42">
        <f t="shared" si="156"/>
        <v>0</v>
      </c>
      <c r="AF153" s="42">
        <f t="shared" si="157"/>
        <v>0</v>
      </c>
      <c r="AG153" s="42">
        <f t="shared" si="158"/>
        <v>0</v>
      </c>
      <c r="AH153" s="42">
        <f t="shared" si="159"/>
        <v>0</v>
      </c>
      <c r="AI153" s="32"/>
      <c r="AJ153" s="23">
        <f t="shared" si="160"/>
        <v>0</v>
      </c>
      <c r="AK153" s="23">
        <f t="shared" si="161"/>
        <v>0</v>
      </c>
      <c r="AL153" s="23">
        <f t="shared" si="162"/>
        <v>0</v>
      </c>
      <c r="AN153" s="42">
        <v>15</v>
      </c>
      <c r="AO153" s="42">
        <f>G153*1</f>
        <v>0</v>
      </c>
      <c r="AP153" s="42">
        <f>G153*(1-1)</f>
        <v>0</v>
      </c>
      <c r="AQ153" s="44" t="s">
        <v>13</v>
      </c>
      <c r="AV153" s="42">
        <f t="shared" si="163"/>
        <v>0</v>
      </c>
      <c r="AW153" s="42">
        <f t="shared" si="164"/>
        <v>0</v>
      </c>
      <c r="AX153" s="42">
        <f t="shared" si="165"/>
        <v>0</v>
      </c>
      <c r="AY153" s="45" t="s">
        <v>730</v>
      </c>
      <c r="AZ153" s="45" t="s">
        <v>750</v>
      </c>
      <c r="BA153" s="32" t="s">
        <v>756</v>
      </c>
      <c r="BC153" s="42">
        <f t="shared" si="166"/>
        <v>0</v>
      </c>
      <c r="BD153" s="42">
        <f t="shared" si="167"/>
        <v>0</v>
      </c>
      <c r="BE153" s="42">
        <v>0</v>
      </c>
      <c r="BF153" s="42">
        <f t="shared" si="168"/>
        <v>0.0029999999999999996</v>
      </c>
      <c r="BH153" s="23">
        <f t="shared" si="169"/>
        <v>0</v>
      </c>
      <c r="BI153" s="23">
        <f t="shared" si="170"/>
        <v>0</v>
      </c>
      <c r="BJ153" s="23">
        <f t="shared" si="171"/>
        <v>0</v>
      </c>
      <c r="BK153" s="23" t="s">
        <v>762</v>
      </c>
      <c r="BL153" s="42">
        <v>734</v>
      </c>
    </row>
    <row r="154" spans="1:64" ht="12.75">
      <c r="A154" s="4" t="s">
        <v>136</v>
      </c>
      <c r="B154" s="13"/>
      <c r="C154" s="13" t="s">
        <v>349</v>
      </c>
      <c r="D154" s="13" t="s">
        <v>580</v>
      </c>
      <c r="E154" s="13" t="s">
        <v>679</v>
      </c>
      <c r="F154" s="22">
        <v>6</v>
      </c>
      <c r="G154" s="90">
        <v>0</v>
      </c>
      <c r="H154" s="22">
        <f t="shared" si="148"/>
        <v>0</v>
      </c>
      <c r="I154" s="22">
        <f t="shared" si="149"/>
        <v>0</v>
      </c>
      <c r="J154" s="22">
        <f t="shared" si="150"/>
        <v>0</v>
      </c>
      <c r="K154" s="22">
        <v>0.00053</v>
      </c>
      <c r="L154" s="22">
        <f t="shared" si="151"/>
        <v>0.0031799999999999997</v>
      </c>
      <c r="M154" s="36" t="s">
        <v>706</v>
      </c>
      <c r="N154" s="40"/>
      <c r="Z154" s="42">
        <f t="shared" si="152"/>
        <v>0</v>
      </c>
      <c r="AB154" s="42">
        <f t="shared" si="153"/>
        <v>0</v>
      </c>
      <c r="AC154" s="42">
        <f t="shared" si="154"/>
        <v>0</v>
      </c>
      <c r="AD154" s="42">
        <f t="shared" si="155"/>
        <v>0</v>
      </c>
      <c r="AE154" s="42">
        <f t="shared" si="156"/>
        <v>0</v>
      </c>
      <c r="AF154" s="42">
        <f t="shared" si="157"/>
        <v>0</v>
      </c>
      <c r="AG154" s="42">
        <f t="shared" si="158"/>
        <v>0</v>
      </c>
      <c r="AH154" s="42">
        <f t="shared" si="159"/>
        <v>0</v>
      </c>
      <c r="AI154" s="32"/>
      <c r="AJ154" s="22">
        <f t="shared" si="160"/>
        <v>0</v>
      </c>
      <c r="AK154" s="22">
        <f t="shared" si="161"/>
        <v>0</v>
      </c>
      <c r="AL154" s="22">
        <f t="shared" si="162"/>
        <v>0</v>
      </c>
      <c r="AN154" s="42">
        <v>15</v>
      </c>
      <c r="AO154" s="42">
        <f>G154*0.563657325709983</f>
        <v>0</v>
      </c>
      <c r="AP154" s="42">
        <f>G154*(1-0.563657325709983)</f>
        <v>0</v>
      </c>
      <c r="AQ154" s="43" t="s">
        <v>13</v>
      </c>
      <c r="AV154" s="42">
        <f t="shared" si="163"/>
        <v>0</v>
      </c>
      <c r="AW154" s="42">
        <f t="shared" si="164"/>
        <v>0</v>
      </c>
      <c r="AX154" s="42">
        <f t="shared" si="165"/>
        <v>0</v>
      </c>
      <c r="AY154" s="45" t="s">
        <v>730</v>
      </c>
      <c r="AZ154" s="45" t="s">
        <v>750</v>
      </c>
      <c r="BA154" s="32" t="s">
        <v>756</v>
      </c>
      <c r="BC154" s="42">
        <f t="shared" si="166"/>
        <v>0</v>
      </c>
      <c r="BD154" s="42">
        <f t="shared" si="167"/>
        <v>0</v>
      </c>
      <c r="BE154" s="42">
        <v>0</v>
      </c>
      <c r="BF154" s="42">
        <f t="shared" si="168"/>
        <v>0.0031799999999999997</v>
      </c>
      <c r="BH154" s="22">
        <f t="shared" si="169"/>
        <v>0</v>
      </c>
      <c r="BI154" s="22">
        <f t="shared" si="170"/>
        <v>0</v>
      </c>
      <c r="BJ154" s="22">
        <f t="shared" si="171"/>
        <v>0</v>
      </c>
      <c r="BK154" s="22" t="s">
        <v>761</v>
      </c>
      <c r="BL154" s="42">
        <v>734</v>
      </c>
    </row>
    <row r="155" spans="1:64" ht="12.75">
      <c r="A155" s="4" t="s">
        <v>137</v>
      </c>
      <c r="B155" s="13"/>
      <c r="C155" s="13" t="s">
        <v>350</v>
      </c>
      <c r="D155" s="13" t="s">
        <v>581</v>
      </c>
      <c r="E155" s="13" t="s">
        <v>679</v>
      </c>
      <c r="F155" s="22">
        <v>4</v>
      </c>
      <c r="G155" s="90">
        <v>0</v>
      </c>
      <c r="H155" s="22">
        <f t="shared" si="148"/>
        <v>0</v>
      </c>
      <c r="I155" s="22">
        <f t="shared" si="149"/>
        <v>0</v>
      </c>
      <c r="J155" s="22">
        <f t="shared" si="150"/>
        <v>0</v>
      </c>
      <c r="K155" s="22">
        <v>0.00063</v>
      </c>
      <c r="L155" s="22">
        <f t="shared" si="151"/>
        <v>0.00252</v>
      </c>
      <c r="M155" s="36" t="s">
        <v>706</v>
      </c>
      <c r="N155" s="40"/>
      <c r="Z155" s="42">
        <f t="shared" si="152"/>
        <v>0</v>
      </c>
      <c r="AB155" s="42">
        <f t="shared" si="153"/>
        <v>0</v>
      </c>
      <c r="AC155" s="42">
        <f t="shared" si="154"/>
        <v>0</v>
      </c>
      <c r="AD155" s="42">
        <f t="shared" si="155"/>
        <v>0</v>
      </c>
      <c r="AE155" s="42">
        <f t="shared" si="156"/>
        <v>0</v>
      </c>
      <c r="AF155" s="42">
        <f t="shared" si="157"/>
        <v>0</v>
      </c>
      <c r="AG155" s="42">
        <f t="shared" si="158"/>
        <v>0</v>
      </c>
      <c r="AH155" s="42">
        <f t="shared" si="159"/>
        <v>0</v>
      </c>
      <c r="AI155" s="32"/>
      <c r="AJ155" s="22">
        <f t="shared" si="160"/>
        <v>0</v>
      </c>
      <c r="AK155" s="22">
        <f t="shared" si="161"/>
        <v>0</v>
      </c>
      <c r="AL155" s="22">
        <f t="shared" si="162"/>
        <v>0</v>
      </c>
      <c r="AN155" s="42">
        <v>15</v>
      </c>
      <c r="AO155" s="42">
        <f>G155*0.588355419413554</f>
        <v>0</v>
      </c>
      <c r="AP155" s="42">
        <f>G155*(1-0.588355419413554)</f>
        <v>0</v>
      </c>
      <c r="AQ155" s="43" t="s">
        <v>13</v>
      </c>
      <c r="AV155" s="42">
        <f t="shared" si="163"/>
        <v>0</v>
      </c>
      <c r="AW155" s="42">
        <f t="shared" si="164"/>
        <v>0</v>
      </c>
      <c r="AX155" s="42">
        <f t="shared" si="165"/>
        <v>0</v>
      </c>
      <c r="AY155" s="45" t="s">
        <v>730</v>
      </c>
      <c r="AZ155" s="45" t="s">
        <v>750</v>
      </c>
      <c r="BA155" s="32" t="s">
        <v>756</v>
      </c>
      <c r="BC155" s="42">
        <f t="shared" si="166"/>
        <v>0</v>
      </c>
      <c r="BD155" s="42">
        <f t="shared" si="167"/>
        <v>0</v>
      </c>
      <c r="BE155" s="42">
        <v>0</v>
      </c>
      <c r="BF155" s="42">
        <f t="shared" si="168"/>
        <v>0.00252</v>
      </c>
      <c r="BH155" s="22">
        <f t="shared" si="169"/>
        <v>0</v>
      </c>
      <c r="BI155" s="22">
        <f t="shared" si="170"/>
        <v>0</v>
      </c>
      <c r="BJ155" s="22">
        <f t="shared" si="171"/>
        <v>0</v>
      </c>
      <c r="BK155" s="22" t="s">
        <v>761</v>
      </c>
      <c r="BL155" s="42">
        <v>734</v>
      </c>
    </row>
    <row r="156" spans="1:47" ht="12.75">
      <c r="A156" s="5"/>
      <c r="B156" s="14"/>
      <c r="C156" s="14" t="s">
        <v>351</v>
      </c>
      <c r="D156" s="14" t="s">
        <v>582</v>
      </c>
      <c r="E156" s="20" t="s">
        <v>6</v>
      </c>
      <c r="F156" s="20" t="s">
        <v>6</v>
      </c>
      <c r="G156" s="20" t="s">
        <v>6</v>
      </c>
      <c r="H156" s="48">
        <f>SUM(H157:H157)</f>
        <v>0</v>
      </c>
      <c r="I156" s="48">
        <f>SUM(I157:I157)</f>
        <v>0</v>
      </c>
      <c r="J156" s="48">
        <f>SUM(J157:J157)</f>
        <v>0</v>
      </c>
      <c r="K156" s="32"/>
      <c r="L156" s="48">
        <f>SUM(L157:L157)</f>
        <v>0.00162</v>
      </c>
      <c r="M156" s="37"/>
      <c r="N156" s="40"/>
      <c r="AI156" s="32"/>
      <c r="AS156" s="48">
        <f>SUM(AJ157:AJ157)</f>
        <v>0</v>
      </c>
      <c r="AT156" s="48">
        <f>SUM(AK157:AK157)</f>
        <v>0</v>
      </c>
      <c r="AU156" s="48">
        <f>SUM(AL157:AL157)</f>
        <v>0</v>
      </c>
    </row>
    <row r="157" spans="1:64" ht="12.75">
      <c r="A157" s="4" t="s">
        <v>138</v>
      </c>
      <c r="B157" s="13"/>
      <c r="C157" s="13" t="s">
        <v>352</v>
      </c>
      <c r="D157" s="13" t="s">
        <v>583</v>
      </c>
      <c r="E157" s="13" t="s">
        <v>679</v>
      </c>
      <c r="F157" s="22">
        <v>1</v>
      </c>
      <c r="G157" s="90">
        <v>0</v>
      </c>
      <c r="H157" s="22">
        <f>F157*AO157</f>
        <v>0</v>
      </c>
      <c r="I157" s="22">
        <f>F157*AP157</f>
        <v>0</v>
      </c>
      <c r="J157" s="22">
        <f>F157*G157</f>
        <v>0</v>
      </c>
      <c r="K157" s="22">
        <v>0.00162</v>
      </c>
      <c r="L157" s="22">
        <f>F157*K157</f>
        <v>0.00162</v>
      </c>
      <c r="M157" s="36" t="s">
        <v>706</v>
      </c>
      <c r="N157" s="40"/>
      <c r="Z157" s="42">
        <f>IF(AQ157="5",BJ157,0)</f>
        <v>0</v>
      </c>
      <c r="AB157" s="42">
        <f>IF(AQ157="1",BH157,0)</f>
        <v>0</v>
      </c>
      <c r="AC157" s="42">
        <f>IF(AQ157="1",BI157,0)</f>
        <v>0</v>
      </c>
      <c r="AD157" s="42">
        <f>IF(AQ157="7",BH157,0)</f>
        <v>0</v>
      </c>
      <c r="AE157" s="42">
        <f>IF(AQ157="7",BI157,0)</f>
        <v>0</v>
      </c>
      <c r="AF157" s="42">
        <f>IF(AQ157="2",BH157,0)</f>
        <v>0</v>
      </c>
      <c r="AG157" s="42">
        <f>IF(AQ157="2",BI157,0)</f>
        <v>0</v>
      </c>
      <c r="AH157" s="42">
        <f>IF(AQ157="0",BJ157,0)</f>
        <v>0</v>
      </c>
      <c r="AI157" s="32"/>
      <c r="AJ157" s="22">
        <f>IF(AN157=0,J157,0)</f>
        <v>0</v>
      </c>
      <c r="AK157" s="22">
        <f>IF(AN157=15,J157,0)</f>
        <v>0</v>
      </c>
      <c r="AL157" s="22">
        <f>IF(AN157=21,J157,0)</f>
        <v>0</v>
      </c>
      <c r="AN157" s="42">
        <v>15</v>
      </c>
      <c r="AO157" s="42">
        <f>G157*0.173896412600978</f>
        <v>0</v>
      </c>
      <c r="AP157" s="42">
        <f>G157*(1-0.173896412600978)</f>
        <v>0</v>
      </c>
      <c r="AQ157" s="43" t="s">
        <v>13</v>
      </c>
      <c r="AV157" s="42">
        <f>AW157+AX157</f>
        <v>0</v>
      </c>
      <c r="AW157" s="42">
        <f>F157*AO157</f>
        <v>0</v>
      </c>
      <c r="AX157" s="42">
        <f>F157*AP157</f>
        <v>0</v>
      </c>
      <c r="AY157" s="45" t="s">
        <v>731</v>
      </c>
      <c r="AZ157" s="45" t="s">
        <v>751</v>
      </c>
      <c r="BA157" s="32" t="s">
        <v>756</v>
      </c>
      <c r="BC157" s="42">
        <f>AW157+AX157</f>
        <v>0</v>
      </c>
      <c r="BD157" s="42">
        <f>G157/(100-BE157)*100</f>
        <v>0</v>
      </c>
      <c r="BE157" s="42">
        <v>0</v>
      </c>
      <c r="BF157" s="42">
        <f>L157</f>
        <v>0.00162</v>
      </c>
      <c r="BH157" s="22">
        <f>F157*AO157</f>
        <v>0</v>
      </c>
      <c r="BI157" s="22">
        <f>F157*AP157</f>
        <v>0</v>
      </c>
      <c r="BJ157" s="22">
        <f>F157*G157</f>
        <v>0</v>
      </c>
      <c r="BK157" s="22" t="s">
        <v>761</v>
      </c>
      <c r="BL157" s="42">
        <v>766</v>
      </c>
    </row>
    <row r="158" spans="1:47" ht="12.75">
      <c r="A158" s="5"/>
      <c r="B158" s="14"/>
      <c r="C158" s="14" t="s">
        <v>353</v>
      </c>
      <c r="D158" s="14" t="s">
        <v>584</v>
      </c>
      <c r="E158" s="20" t="s">
        <v>6</v>
      </c>
      <c r="F158" s="20" t="s">
        <v>6</v>
      </c>
      <c r="G158" s="20" t="s">
        <v>6</v>
      </c>
      <c r="H158" s="48">
        <f>SUM(H159:H159)</f>
        <v>0</v>
      </c>
      <c r="I158" s="48">
        <f>SUM(I159:I159)</f>
        <v>0</v>
      </c>
      <c r="J158" s="48">
        <f>SUM(J159:J159)</f>
        <v>0</v>
      </c>
      <c r="K158" s="32"/>
      <c r="L158" s="48">
        <f>SUM(L159:L159)</f>
        <v>0</v>
      </c>
      <c r="M158" s="37"/>
      <c r="N158" s="40"/>
      <c r="AI158" s="32"/>
      <c r="AS158" s="48">
        <f>SUM(AJ159:AJ159)</f>
        <v>0</v>
      </c>
      <c r="AT158" s="48">
        <f>SUM(AK159:AK159)</f>
        <v>0</v>
      </c>
      <c r="AU158" s="48">
        <f>SUM(AL159:AL159)</f>
        <v>0</v>
      </c>
    </row>
    <row r="159" spans="1:64" ht="12.75">
      <c r="A159" s="4" t="s">
        <v>139</v>
      </c>
      <c r="B159" s="13"/>
      <c r="C159" s="13" t="s">
        <v>354</v>
      </c>
      <c r="D159" s="13" t="s">
        <v>585</v>
      </c>
      <c r="E159" s="13" t="s">
        <v>679</v>
      </c>
      <c r="F159" s="22">
        <v>1</v>
      </c>
      <c r="G159" s="90">
        <v>0</v>
      </c>
      <c r="H159" s="22">
        <f>F159*AO159</f>
        <v>0</v>
      </c>
      <c r="I159" s="22">
        <f>F159*AP159</f>
        <v>0</v>
      </c>
      <c r="J159" s="22">
        <f>F159*G159</f>
        <v>0</v>
      </c>
      <c r="K159" s="22">
        <v>0</v>
      </c>
      <c r="L159" s="22">
        <f>F159*K159</f>
        <v>0</v>
      </c>
      <c r="M159" s="36" t="s">
        <v>706</v>
      </c>
      <c r="N159" s="40"/>
      <c r="Z159" s="42">
        <f>IF(AQ159="5",BJ159,0)</f>
        <v>0</v>
      </c>
      <c r="AB159" s="42">
        <f>IF(AQ159="1",BH159,0)</f>
        <v>0</v>
      </c>
      <c r="AC159" s="42">
        <f>IF(AQ159="1",BI159,0)</f>
        <v>0</v>
      </c>
      <c r="AD159" s="42">
        <f>IF(AQ159="7",BH159,0)</f>
        <v>0</v>
      </c>
      <c r="AE159" s="42">
        <f>IF(AQ159="7",BI159,0)</f>
        <v>0</v>
      </c>
      <c r="AF159" s="42">
        <f>IF(AQ159="2",BH159,0)</f>
        <v>0</v>
      </c>
      <c r="AG159" s="42">
        <f>IF(AQ159="2",BI159,0)</f>
        <v>0</v>
      </c>
      <c r="AH159" s="42">
        <f>IF(AQ159="0",BJ159,0)</f>
        <v>0</v>
      </c>
      <c r="AI159" s="32"/>
      <c r="AJ159" s="22">
        <f>IF(AN159=0,J159,0)</f>
        <v>0</v>
      </c>
      <c r="AK159" s="22">
        <f>IF(AN159=15,J159,0)</f>
        <v>0</v>
      </c>
      <c r="AL159" s="22">
        <f>IF(AN159=21,J159,0)</f>
        <v>0</v>
      </c>
      <c r="AN159" s="42">
        <v>15</v>
      </c>
      <c r="AO159" s="42">
        <f>G159*0</f>
        <v>0</v>
      </c>
      <c r="AP159" s="42">
        <f>G159*(1-0)</f>
        <v>0</v>
      </c>
      <c r="AQ159" s="43" t="s">
        <v>13</v>
      </c>
      <c r="AV159" s="42">
        <f>AW159+AX159</f>
        <v>0</v>
      </c>
      <c r="AW159" s="42">
        <f>F159*AO159</f>
        <v>0</v>
      </c>
      <c r="AX159" s="42">
        <f>F159*AP159</f>
        <v>0</v>
      </c>
      <c r="AY159" s="45" t="s">
        <v>732</v>
      </c>
      <c r="AZ159" s="45" t="s">
        <v>751</v>
      </c>
      <c r="BA159" s="32" t="s">
        <v>756</v>
      </c>
      <c r="BC159" s="42">
        <f>AW159+AX159</f>
        <v>0</v>
      </c>
      <c r="BD159" s="42">
        <f>G159/(100-BE159)*100</f>
        <v>0</v>
      </c>
      <c r="BE159" s="42">
        <v>0</v>
      </c>
      <c r="BF159" s="42">
        <f>L159</f>
        <v>0</v>
      </c>
      <c r="BH159" s="22">
        <f>F159*AO159</f>
        <v>0</v>
      </c>
      <c r="BI159" s="22">
        <f>F159*AP159</f>
        <v>0</v>
      </c>
      <c r="BJ159" s="22">
        <f>F159*G159</f>
        <v>0</v>
      </c>
      <c r="BK159" s="22" t="s">
        <v>761</v>
      </c>
      <c r="BL159" s="42">
        <v>767</v>
      </c>
    </row>
    <row r="160" spans="1:47" ht="12.75">
      <c r="A160" s="5"/>
      <c r="B160" s="14"/>
      <c r="C160" s="14" t="s">
        <v>355</v>
      </c>
      <c r="D160" s="14" t="s">
        <v>586</v>
      </c>
      <c r="E160" s="20" t="s">
        <v>6</v>
      </c>
      <c r="F160" s="20" t="s">
        <v>6</v>
      </c>
      <c r="G160" s="20" t="s">
        <v>6</v>
      </c>
      <c r="H160" s="48">
        <f>SUM(H161:H167)</f>
        <v>0</v>
      </c>
      <c r="I160" s="48">
        <f>SUM(I161:I167)</f>
        <v>0</v>
      </c>
      <c r="J160" s="48">
        <f>SUM(J161:J167)</f>
        <v>0</v>
      </c>
      <c r="K160" s="32"/>
      <c r="L160" s="48">
        <f>SUM(L161:L167)</f>
        <v>0</v>
      </c>
      <c r="M160" s="37"/>
      <c r="N160" s="40"/>
      <c r="AI160" s="32"/>
      <c r="AS160" s="48">
        <f>SUM(AJ161:AJ167)</f>
        <v>0</v>
      </c>
      <c r="AT160" s="48">
        <f>SUM(AK161:AK167)</f>
        <v>0</v>
      </c>
      <c r="AU160" s="48">
        <f>SUM(AL161:AL167)</f>
        <v>0</v>
      </c>
    </row>
    <row r="161" spans="1:64" ht="12.75">
      <c r="A161" s="4" t="s">
        <v>140</v>
      </c>
      <c r="B161" s="13"/>
      <c r="C161" s="13" t="s">
        <v>356</v>
      </c>
      <c r="D161" s="13" t="s">
        <v>587</v>
      </c>
      <c r="E161" s="13" t="s">
        <v>682</v>
      </c>
      <c r="F161" s="22">
        <v>23.5</v>
      </c>
      <c r="G161" s="90">
        <v>0</v>
      </c>
      <c r="H161" s="22">
        <f aca="true" t="shared" si="174" ref="H161:H167">F161*AO161</f>
        <v>0</v>
      </c>
      <c r="I161" s="22">
        <f aca="true" t="shared" si="175" ref="I161:I167">F161*AP161</f>
        <v>0</v>
      </c>
      <c r="J161" s="22">
        <f aca="true" t="shared" si="176" ref="J161:J167">F161*G161</f>
        <v>0</v>
      </c>
      <c r="K161" s="22">
        <v>0</v>
      </c>
      <c r="L161" s="22">
        <f aca="true" t="shared" si="177" ref="L161:L167">F161*K161</f>
        <v>0</v>
      </c>
      <c r="M161" s="36" t="s">
        <v>706</v>
      </c>
      <c r="N161" s="40"/>
      <c r="Z161" s="42">
        <f aca="true" t="shared" si="178" ref="Z161:Z167">IF(AQ161="5",BJ161,0)</f>
        <v>0</v>
      </c>
      <c r="AB161" s="42">
        <f aca="true" t="shared" si="179" ref="AB161:AB167">IF(AQ161="1",BH161,0)</f>
        <v>0</v>
      </c>
      <c r="AC161" s="42">
        <f aca="true" t="shared" si="180" ref="AC161:AC167">IF(AQ161="1",BI161,0)</f>
        <v>0</v>
      </c>
      <c r="AD161" s="42">
        <f aca="true" t="shared" si="181" ref="AD161:AD167">IF(AQ161="7",BH161,0)</f>
        <v>0</v>
      </c>
      <c r="AE161" s="42">
        <f aca="true" t="shared" si="182" ref="AE161:AE167">IF(AQ161="7",BI161,0)</f>
        <v>0</v>
      </c>
      <c r="AF161" s="42">
        <f aca="true" t="shared" si="183" ref="AF161:AF167">IF(AQ161="2",BH161,0)</f>
        <v>0</v>
      </c>
      <c r="AG161" s="42">
        <f aca="true" t="shared" si="184" ref="AG161:AG167">IF(AQ161="2",BI161,0)</f>
        <v>0</v>
      </c>
      <c r="AH161" s="42">
        <f aca="true" t="shared" si="185" ref="AH161:AH167">IF(AQ161="0",BJ161,0)</f>
        <v>0</v>
      </c>
      <c r="AI161" s="32"/>
      <c r="AJ161" s="22">
        <f aca="true" t="shared" si="186" ref="AJ161:AJ167">IF(AN161=0,J161,0)</f>
        <v>0</v>
      </c>
      <c r="AK161" s="22">
        <f aca="true" t="shared" si="187" ref="AK161:AK167">IF(AN161=15,J161,0)</f>
        <v>0</v>
      </c>
      <c r="AL161" s="22">
        <f aca="true" t="shared" si="188" ref="AL161:AL167">IF(AN161=21,J161,0)</f>
        <v>0</v>
      </c>
      <c r="AN161" s="42">
        <v>15</v>
      </c>
      <c r="AO161" s="42">
        <f aca="true" t="shared" si="189" ref="AO161:AO167">G161*0</f>
        <v>0</v>
      </c>
      <c r="AP161" s="42">
        <f aca="true" t="shared" si="190" ref="AP161:AP167">G161*(1-0)</f>
        <v>0</v>
      </c>
      <c r="AQ161" s="43" t="s">
        <v>13</v>
      </c>
      <c r="AV161" s="42">
        <f aca="true" t="shared" si="191" ref="AV161:AV167">AW161+AX161</f>
        <v>0</v>
      </c>
      <c r="AW161" s="42">
        <f aca="true" t="shared" si="192" ref="AW161:AW167">F161*AO161</f>
        <v>0</v>
      </c>
      <c r="AX161" s="42">
        <f aca="true" t="shared" si="193" ref="AX161:AX167">F161*AP161</f>
        <v>0</v>
      </c>
      <c r="AY161" s="45" t="s">
        <v>733</v>
      </c>
      <c r="AZ161" s="45" t="s">
        <v>752</v>
      </c>
      <c r="BA161" s="32" t="s">
        <v>756</v>
      </c>
      <c r="BC161" s="42">
        <f aca="true" t="shared" si="194" ref="BC161:BC167">AW161+AX161</f>
        <v>0</v>
      </c>
      <c r="BD161" s="42">
        <f aca="true" t="shared" si="195" ref="BD161:BD167">G161/(100-BE161)*100</f>
        <v>0</v>
      </c>
      <c r="BE161" s="42">
        <v>0</v>
      </c>
      <c r="BF161" s="42">
        <f aca="true" t="shared" si="196" ref="BF161:BF167">L161</f>
        <v>0</v>
      </c>
      <c r="BH161" s="22">
        <f aca="true" t="shared" si="197" ref="BH161:BH167">F161*AO161</f>
        <v>0</v>
      </c>
      <c r="BI161" s="22">
        <f aca="true" t="shared" si="198" ref="BI161:BI167">F161*AP161</f>
        <v>0</v>
      </c>
      <c r="BJ161" s="22">
        <f aca="true" t="shared" si="199" ref="BJ161:BJ167">F161*G161</f>
        <v>0</v>
      </c>
      <c r="BK161" s="22" t="s">
        <v>761</v>
      </c>
      <c r="BL161" s="42">
        <v>771</v>
      </c>
    </row>
    <row r="162" spans="1:64" ht="12.75">
      <c r="A162" s="4" t="s">
        <v>141</v>
      </c>
      <c r="B162" s="13"/>
      <c r="C162" s="13" t="s">
        <v>357</v>
      </c>
      <c r="D162" s="13" t="s">
        <v>588</v>
      </c>
      <c r="E162" s="13" t="s">
        <v>682</v>
      </c>
      <c r="F162" s="22">
        <v>23.5</v>
      </c>
      <c r="G162" s="90">
        <v>0</v>
      </c>
      <c r="H162" s="22">
        <f t="shared" si="174"/>
        <v>0</v>
      </c>
      <c r="I162" s="22">
        <f t="shared" si="175"/>
        <v>0</v>
      </c>
      <c r="J162" s="22">
        <f t="shared" si="176"/>
        <v>0</v>
      </c>
      <c r="K162" s="22">
        <v>0</v>
      </c>
      <c r="L162" s="22">
        <f t="shared" si="177"/>
        <v>0</v>
      </c>
      <c r="M162" s="36" t="s">
        <v>706</v>
      </c>
      <c r="N162" s="40"/>
      <c r="Z162" s="42">
        <f t="shared" si="178"/>
        <v>0</v>
      </c>
      <c r="AB162" s="42">
        <f t="shared" si="179"/>
        <v>0</v>
      </c>
      <c r="AC162" s="42">
        <f t="shared" si="180"/>
        <v>0</v>
      </c>
      <c r="AD162" s="42">
        <f t="shared" si="181"/>
        <v>0</v>
      </c>
      <c r="AE162" s="42">
        <f t="shared" si="182"/>
        <v>0</v>
      </c>
      <c r="AF162" s="42">
        <f t="shared" si="183"/>
        <v>0</v>
      </c>
      <c r="AG162" s="42">
        <f t="shared" si="184"/>
        <v>0</v>
      </c>
      <c r="AH162" s="42">
        <f t="shared" si="185"/>
        <v>0</v>
      </c>
      <c r="AI162" s="32"/>
      <c r="AJ162" s="22">
        <f t="shared" si="186"/>
        <v>0</v>
      </c>
      <c r="AK162" s="22">
        <f t="shared" si="187"/>
        <v>0</v>
      </c>
      <c r="AL162" s="22">
        <f t="shared" si="188"/>
        <v>0</v>
      </c>
      <c r="AN162" s="42">
        <v>15</v>
      </c>
      <c r="AO162" s="42">
        <f t="shared" si="189"/>
        <v>0</v>
      </c>
      <c r="AP162" s="42">
        <f t="shared" si="190"/>
        <v>0</v>
      </c>
      <c r="AQ162" s="43" t="s">
        <v>13</v>
      </c>
      <c r="AV162" s="42">
        <f t="shared" si="191"/>
        <v>0</v>
      </c>
      <c r="AW162" s="42">
        <f t="shared" si="192"/>
        <v>0</v>
      </c>
      <c r="AX162" s="42">
        <f t="shared" si="193"/>
        <v>0</v>
      </c>
      <c r="AY162" s="45" t="s">
        <v>733</v>
      </c>
      <c r="AZ162" s="45" t="s">
        <v>752</v>
      </c>
      <c r="BA162" s="32" t="s">
        <v>756</v>
      </c>
      <c r="BC162" s="42">
        <f t="shared" si="194"/>
        <v>0</v>
      </c>
      <c r="BD162" s="42">
        <f t="shared" si="195"/>
        <v>0</v>
      </c>
      <c r="BE162" s="42">
        <v>0</v>
      </c>
      <c r="BF162" s="42">
        <f t="shared" si="196"/>
        <v>0</v>
      </c>
      <c r="BH162" s="22">
        <f t="shared" si="197"/>
        <v>0</v>
      </c>
      <c r="BI162" s="22">
        <f t="shared" si="198"/>
        <v>0</v>
      </c>
      <c r="BJ162" s="22">
        <f t="shared" si="199"/>
        <v>0</v>
      </c>
      <c r="BK162" s="22" t="s">
        <v>761</v>
      </c>
      <c r="BL162" s="42">
        <v>771</v>
      </c>
    </row>
    <row r="163" spans="1:64" ht="12.75">
      <c r="A163" s="4" t="s">
        <v>142</v>
      </c>
      <c r="B163" s="13"/>
      <c r="C163" s="13" t="s">
        <v>358</v>
      </c>
      <c r="D163" s="13" t="s">
        <v>589</v>
      </c>
      <c r="E163" s="13" t="s">
        <v>682</v>
      </c>
      <c r="F163" s="22">
        <v>23.5</v>
      </c>
      <c r="G163" s="90">
        <v>0</v>
      </c>
      <c r="H163" s="22">
        <f t="shared" si="174"/>
        <v>0</v>
      </c>
      <c r="I163" s="22">
        <f t="shared" si="175"/>
        <v>0</v>
      </c>
      <c r="J163" s="22">
        <f t="shared" si="176"/>
        <v>0</v>
      </c>
      <c r="K163" s="22">
        <v>0</v>
      </c>
      <c r="L163" s="22">
        <f t="shared" si="177"/>
        <v>0</v>
      </c>
      <c r="M163" s="36" t="s">
        <v>706</v>
      </c>
      <c r="N163" s="40"/>
      <c r="Z163" s="42">
        <f t="shared" si="178"/>
        <v>0</v>
      </c>
      <c r="AB163" s="42">
        <f t="shared" si="179"/>
        <v>0</v>
      </c>
      <c r="AC163" s="42">
        <f t="shared" si="180"/>
        <v>0</v>
      </c>
      <c r="AD163" s="42">
        <f t="shared" si="181"/>
        <v>0</v>
      </c>
      <c r="AE163" s="42">
        <f t="shared" si="182"/>
        <v>0</v>
      </c>
      <c r="AF163" s="42">
        <f t="shared" si="183"/>
        <v>0</v>
      </c>
      <c r="AG163" s="42">
        <f t="shared" si="184"/>
        <v>0</v>
      </c>
      <c r="AH163" s="42">
        <f t="shared" si="185"/>
        <v>0</v>
      </c>
      <c r="AI163" s="32"/>
      <c r="AJ163" s="22">
        <f t="shared" si="186"/>
        <v>0</v>
      </c>
      <c r="AK163" s="22">
        <f t="shared" si="187"/>
        <v>0</v>
      </c>
      <c r="AL163" s="22">
        <f t="shared" si="188"/>
        <v>0</v>
      </c>
      <c r="AN163" s="42">
        <v>15</v>
      </c>
      <c r="AO163" s="42">
        <f t="shared" si="189"/>
        <v>0</v>
      </c>
      <c r="AP163" s="42">
        <f t="shared" si="190"/>
        <v>0</v>
      </c>
      <c r="AQ163" s="43" t="s">
        <v>13</v>
      </c>
      <c r="AV163" s="42">
        <f t="shared" si="191"/>
        <v>0</v>
      </c>
      <c r="AW163" s="42">
        <f t="shared" si="192"/>
        <v>0</v>
      </c>
      <c r="AX163" s="42">
        <f t="shared" si="193"/>
        <v>0</v>
      </c>
      <c r="AY163" s="45" t="s">
        <v>733</v>
      </c>
      <c r="AZ163" s="45" t="s">
        <v>752</v>
      </c>
      <c r="BA163" s="32" t="s">
        <v>756</v>
      </c>
      <c r="BC163" s="42">
        <f t="shared" si="194"/>
        <v>0</v>
      </c>
      <c r="BD163" s="42">
        <f t="shared" si="195"/>
        <v>0</v>
      </c>
      <c r="BE163" s="42">
        <v>0</v>
      </c>
      <c r="BF163" s="42">
        <f t="shared" si="196"/>
        <v>0</v>
      </c>
      <c r="BH163" s="22">
        <f t="shared" si="197"/>
        <v>0</v>
      </c>
      <c r="BI163" s="22">
        <f t="shared" si="198"/>
        <v>0</v>
      </c>
      <c r="BJ163" s="22">
        <f t="shared" si="199"/>
        <v>0</v>
      </c>
      <c r="BK163" s="22" t="s">
        <v>761</v>
      </c>
      <c r="BL163" s="42">
        <v>771</v>
      </c>
    </row>
    <row r="164" spans="1:64" ht="12.75">
      <c r="A164" s="4" t="s">
        <v>143</v>
      </c>
      <c r="B164" s="13"/>
      <c r="C164" s="13" t="s">
        <v>359</v>
      </c>
      <c r="D164" s="13" t="s">
        <v>590</v>
      </c>
      <c r="E164" s="13" t="s">
        <v>681</v>
      </c>
      <c r="F164" s="22">
        <v>2.5</v>
      </c>
      <c r="G164" s="90">
        <v>0</v>
      </c>
      <c r="H164" s="22">
        <f t="shared" si="174"/>
        <v>0</v>
      </c>
      <c r="I164" s="22">
        <f t="shared" si="175"/>
        <v>0</v>
      </c>
      <c r="J164" s="22">
        <f t="shared" si="176"/>
        <v>0</v>
      </c>
      <c r="K164" s="22">
        <v>0</v>
      </c>
      <c r="L164" s="22">
        <f t="shared" si="177"/>
        <v>0</v>
      </c>
      <c r="M164" s="36" t="s">
        <v>706</v>
      </c>
      <c r="N164" s="40"/>
      <c r="Z164" s="42">
        <f t="shared" si="178"/>
        <v>0</v>
      </c>
      <c r="AB164" s="42">
        <f t="shared" si="179"/>
        <v>0</v>
      </c>
      <c r="AC164" s="42">
        <f t="shared" si="180"/>
        <v>0</v>
      </c>
      <c r="AD164" s="42">
        <f t="shared" si="181"/>
        <v>0</v>
      </c>
      <c r="AE164" s="42">
        <f t="shared" si="182"/>
        <v>0</v>
      </c>
      <c r="AF164" s="42">
        <f t="shared" si="183"/>
        <v>0</v>
      </c>
      <c r="AG164" s="42">
        <f t="shared" si="184"/>
        <v>0</v>
      </c>
      <c r="AH164" s="42">
        <f t="shared" si="185"/>
        <v>0</v>
      </c>
      <c r="AI164" s="32"/>
      <c r="AJ164" s="22">
        <f t="shared" si="186"/>
        <v>0</v>
      </c>
      <c r="AK164" s="22">
        <f t="shared" si="187"/>
        <v>0</v>
      </c>
      <c r="AL164" s="22">
        <f t="shared" si="188"/>
        <v>0</v>
      </c>
      <c r="AN164" s="42">
        <v>15</v>
      </c>
      <c r="AO164" s="42">
        <f t="shared" si="189"/>
        <v>0</v>
      </c>
      <c r="AP164" s="42">
        <f t="shared" si="190"/>
        <v>0</v>
      </c>
      <c r="AQ164" s="43" t="s">
        <v>13</v>
      </c>
      <c r="AV164" s="42">
        <f t="shared" si="191"/>
        <v>0</v>
      </c>
      <c r="AW164" s="42">
        <f t="shared" si="192"/>
        <v>0</v>
      </c>
      <c r="AX164" s="42">
        <f t="shared" si="193"/>
        <v>0</v>
      </c>
      <c r="AY164" s="45" t="s">
        <v>733</v>
      </c>
      <c r="AZ164" s="45" t="s">
        <v>752</v>
      </c>
      <c r="BA164" s="32" t="s">
        <v>756</v>
      </c>
      <c r="BC164" s="42">
        <f t="shared" si="194"/>
        <v>0</v>
      </c>
      <c r="BD164" s="42">
        <f t="shared" si="195"/>
        <v>0</v>
      </c>
      <c r="BE164" s="42">
        <v>0</v>
      </c>
      <c r="BF164" s="42">
        <f t="shared" si="196"/>
        <v>0</v>
      </c>
      <c r="BH164" s="22">
        <f t="shared" si="197"/>
        <v>0</v>
      </c>
      <c r="BI164" s="22">
        <f t="shared" si="198"/>
        <v>0</v>
      </c>
      <c r="BJ164" s="22">
        <f t="shared" si="199"/>
        <v>0</v>
      </c>
      <c r="BK164" s="22" t="s">
        <v>761</v>
      </c>
      <c r="BL164" s="42">
        <v>771</v>
      </c>
    </row>
    <row r="165" spans="1:64" ht="12.75">
      <c r="A165" s="4" t="s">
        <v>144</v>
      </c>
      <c r="B165" s="13"/>
      <c r="C165" s="13" t="s">
        <v>360</v>
      </c>
      <c r="D165" s="13" t="s">
        <v>591</v>
      </c>
      <c r="E165" s="13" t="s">
        <v>681</v>
      </c>
      <c r="F165" s="22">
        <v>1.2</v>
      </c>
      <c r="G165" s="90">
        <v>0</v>
      </c>
      <c r="H165" s="22">
        <f t="shared" si="174"/>
        <v>0</v>
      </c>
      <c r="I165" s="22">
        <f t="shared" si="175"/>
        <v>0</v>
      </c>
      <c r="J165" s="22">
        <f t="shared" si="176"/>
        <v>0</v>
      </c>
      <c r="K165" s="22">
        <v>0</v>
      </c>
      <c r="L165" s="22">
        <f t="shared" si="177"/>
        <v>0</v>
      </c>
      <c r="M165" s="36" t="s">
        <v>706</v>
      </c>
      <c r="N165" s="40"/>
      <c r="Z165" s="42">
        <f t="shared" si="178"/>
        <v>0</v>
      </c>
      <c r="AB165" s="42">
        <f t="shared" si="179"/>
        <v>0</v>
      </c>
      <c r="AC165" s="42">
        <f t="shared" si="180"/>
        <v>0</v>
      </c>
      <c r="AD165" s="42">
        <f t="shared" si="181"/>
        <v>0</v>
      </c>
      <c r="AE165" s="42">
        <f t="shared" si="182"/>
        <v>0</v>
      </c>
      <c r="AF165" s="42">
        <f t="shared" si="183"/>
        <v>0</v>
      </c>
      <c r="AG165" s="42">
        <f t="shared" si="184"/>
        <v>0</v>
      </c>
      <c r="AH165" s="42">
        <f t="shared" si="185"/>
        <v>0</v>
      </c>
      <c r="AI165" s="32"/>
      <c r="AJ165" s="22">
        <f t="shared" si="186"/>
        <v>0</v>
      </c>
      <c r="AK165" s="22">
        <f t="shared" si="187"/>
        <v>0</v>
      </c>
      <c r="AL165" s="22">
        <f t="shared" si="188"/>
        <v>0</v>
      </c>
      <c r="AN165" s="42">
        <v>15</v>
      </c>
      <c r="AO165" s="42">
        <f t="shared" si="189"/>
        <v>0</v>
      </c>
      <c r="AP165" s="42">
        <f t="shared" si="190"/>
        <v>0</v>
      </c>
      <c r="AQ165" s="43" t="s">
        <v>13</v>
      </c>
      <c r="AV165" s="42">
        <f t="shared" si="191"/>
        <v>0</v>
      </c>
      <c r="AW165" s="42">
        <f t="shared" si="192"/>
        <v>0</v>
      </c>
      <c r="AX165" s="42">
        <f t="shared" si="193"/>
        <v>0</v>
      </c>
      <c r="AY165" s="45" t="s">
        <v>733</v>
      </c>
      <c r="AZ165" s="45" t="s">
        <v>752</v>
      </c>
      <c r="BA165" s="32" t="s">
        <v>756</v>
      </c>
      <c r="BC165" s="42">
        <f t="shared" si="194"/>
        <v>0</v>
      </c>
      <c r="BD165" s="42">
        <f t="shared" si="195"/>
        <v>0</v>
      </c>
      <c r="BE165" s="42">
        <v>0</v>
      </c>
      <c r="BF165" s="42">
        <f t="shared" si="196"/>
        <v>0</v>
      </c>
      <c r="BH165" s="22">
        <f t="shared" si="197"/>
        <v>0</v>
      </c>
      <c r="BI165" s="22">
        <f t="shared" si="198"/>
        <v>0</v>
      </c>
      <c r="BJ165" s="22">
        <f t="shared" si="199"/>
        <v>0</v>
      </c>
      <c r="BK165" s="22" t="s">
        <v>761</v>
      </c>
      <c r="BL165" s="42">
        <v>771</v>
      </c>
    </row>
    <row r="166" spans="1:64" ht="12.75">
      <c r="A166" s="4" t="s">
        <v>145</v>
      </c>
      <c r="B166" s="13"/>
      <c r="C166" s="13" t="s">
        <v>361</v>
      </c>
      <c r="D166" s="13" t="s">
        <v>592</v>
      </c>
      <c r="E166" s="13" t="s">
        <v>681</v>
      </c>
      <c r="F166" s="22">
        <v>22.7</v>
      </c>
      <c r="G166" s="90">
        <v>0</v>
      </c>
      <c r="H166" s="22">
        <f t="shared" si="174"/>
        <v>0</v>
      </c>
      <c r="I166" s="22">
        <f t="shared" si="175"/>
        <v>0</v>
      </c>
      <c r="J166" s="22">
        <f t="shared" si="176"/>
        <v>0</v>
      </c>
      <c r="K166" s="22">
        <v>0</v>
      </c>
      <c r="L166" s="22">
        <f t="shared" si="177"/>
        <v>0</v>
      </c>
      <c r="M166" s="36" t="s">
        <v>706</v>
      </c>
      <c r="N166" s="40"/>
      <c r="Z166" s="42">
        <f t="shared" si="178"/>
        <v>0</v>
      </c>
      <c r="AB166" s="42">
        <f t="shared" si="179"/>
        <v>0</v>
      </c>
      <c r="AC166" s="42">
        <f t="shared" si="180"/>
        <v>0</v>
      </c>
      <c r="AD166" s="42">
        <f t="shared" si="181"/>
        <v>0</v>
      </c>
      <c r="AE166" s="42">
        <f t="shared" si="182"/>
        <v>0</v>
      </c>
      <c r="AF166" s="42">
        <f t="shared" si="183"/>
        <v>0</v>
      </c>
      <c r="AG166" s="42">
        <f t="shared" si="184"/>
        <v>0</v>
      </c>
      <c r="AH166" s="42">
        <f t="shared" si="185"/>
        <v>0</v>
      </c>
      <c r="AI166" s="32"/>
      <c r="AJ166" s="22">
        <f t="shared" si="186"/>
        <v>0</v>
      </c>
      <c r="AK166" s="22">
        <f t="shared" si="187"/>
        <v>0</v>
      </c>
      <c r="AL166" s="22">
        <f t="shared" si="188"/>
        <v>0</v>
      </c>
      <c r="AN166" s="42">
        <v>15</v>
      </c>
      <c r="AO166" s="42">
        <f t="shared" si="189"/>
        <v>0</v>
      </c>
      <c r="AP166" s="42">
        <f t="shared" si="190"/>
        <v>0</v>
      </c>
      <c r="AQ166" s="43" t="s">
        <v>13</v>
      </c>
      <c r="AV166" s="42">
        <f t="shared" si="191"/>
        <v>0</v>
      </c>
      <c r="AW166" s="42">
        <f t="shared" si="192"/>
        <v>0</v>
      </c>
      <c r="AX166" s="42">
        <f t="shared" si="193"/>
        <v>0</v>
      </c>
      <c r="AY166" s="45" t="s">
        <v>733</v>
      </c>
      <c r="AZ166" s="45" t="s">
        <v>752</v>
      </c>
      <c r="BA166" s="32" t="s">
        <v>756</v>
      </c>
      <c r="BC166" s="42">
        <f t="shared" si="194"/>
        <v>0</v>
      </c>
      <c r="BD166" s="42">
        <f t="shared" si="195"/>
        <v>0</v>
      </c>
      <c r="BE166" s="42">
        <v>0</v>
      </c>
      <c r="BF166" s="42">
        <f t="shared" si="196"/>
        <v>0</v>
      </c>
      <c r="BH166" s="22">
        <f t="shared" si="197"/>
        <v>0</v>
      </c>
      <c r="BI166" s="22">
        <f t="shared" si="198"/>
        <v>0</v>
      </c>
      <c r="BJ166" s="22">
        <f t="shared" si="199"/>
        <v>0</v>
      </c>
      <c r="BK166" s="22" t="s">
        <v>761</v>
      </c>
      <c r="BL166" s="42">
        <v>771</v>
      </c>
    </row>
    <row r="167" spans="1:64" ht="12.75">
      <c r="A167" s="4" t="s">
        <v>146</v>
      </c>
      <c r="B167" s="13"/>
      <c r="C167" s="13" t="s">
        <v>362</v>
      </c>
      <c r="D167" s="13" t="s">
        <v>593</v>
      </c>
      <c r="E167" s="13" t="s">
        <v>682</v>
      </c>
      <c r="F167" s="22">
        <v>24</v>
      </c>
      <c r="G167" s="90">
        <v>0</v>
      </c>
      <c r="H167" s="22">
        <f t="shared" si="174"/>
        <v>0</v>
      </c>
      <c r="I167" s="22">
        <f t="shared" si="175"/>
        <v>0</v>
      </c>
      <c r="J167" s="22">
        <f t="shared" si="176"/>
        <v>0</v>
      </c>
      <c r="K167" s="22">
        <v>0</v>
      </c>
      <c r="L167" s="22">
        <f t="shared" si="177"/>
        <v>0</v>
      </c>
      <c r="M167" s="36" t="s">
        <v>706</v>
      </c>
      <c r="N167" s="40"/>
      <c r="Z167" s="42">
        <f t="shared" si="178"/>
        <v>0</v>
      </c>
      <c r="AB167" s="42">
        <f t="shared" si="179"/>
        <v>0</v>
      </c>
      <c r="AC167" s="42">
        <f t="shared" si="180"/>
        <v>0</v>
      </c>
      <c r="AD167" s="42">
        <f t="shared" si="181"/>
        <v>0</v>
      </c>
      <c r="AE167" s="42">
        <f t="shared" si="182"/>
        <v>0</v>
      </c>
      <c r="AF167" s="42">
        <f t="shared" si="183"/>
        <v>0</v>
      </c>
      <c r="AG167" s="42">
        <f t="shared" si="184"/>
        <v>0</v>
      </c>
      <c r="AH167" s="42">
        <f t="shared" si="185"/>
        <v>0</v>
      </c>
      <c r="AI167" s="32"/>
      <c r="AJ167" s="22">
        <f t="shared" si="186"/>
        <v>0</v>
      </c>
      <c r="AK167" s="22">
        <f t="shared" si="187"/>
        <v>0</v>
      </c>
      <c r="AL167" s="22">
        <f t="shared" si="188"/>
        <v>0</v>
      </c>
      <c r="AN167" s="42">
        <v>15</v>
      </c>
      <c r="AO167" s="42">
        <f t="shared" si="189"/>
        <v>0</v>
      </c>
      <c r="AP167" s="42">
        <f t="shared" si="190"/>
        <v>0</v>
      </c>
      <c r="AQ167" s="43" t="s">
        <v>13</v>
      </c>
      <c r="AV167" s="42">
        <f t="shared" si="191"/>
        <v>0</v>
      </c>
      <c r="AW167" s="42">
        <f t="shared" si="192"/>
        <v>0</v>
      </c>
      <c r="AX167" s="42">
        <f t="shared" si="193"/>
        <v>0</v>
      </c>
      <c r="AY167" s="45" t="s">
        <v>733</v>
      </c>
      <c r="AZ167" s="45" t="s">
        <v>752</v>
      </c>
      <c r="BA167" s="32" t="s">
        <v>756</v>
      </c>
      <c r="BC167" s="42">
        <f t="shared" si="194"/>
        <v>0</v>
      </c>
      <c r="BD167" s="42">
        <f t="shared" si="195"/>
        <v>0</v>
      </c>
      <c r="BE167" s="42">
        <v>0</v>
      </c>
      <c r="BF167" s="42">
        <f t="shared" si="196"/>
        <v>0</v>
      </c>
      <c r="BH167" s="22">
        <f t="shared" si="197"/>
        <v>0</v>
      </c>
      <c r="BI167" s="22">
        <f t="shared" si="198"/>
        <v>0</v>
      </c>
      <c r="BJ167" s="22">
        <f t="shared" si="199"/>
        <v>0</v>
      </c>
      <c r="BK167" s="22" t="s">
        <v>761</v>
      </c>
      <c r="BL167" s="42">
        <v>771</v>
      </c>
    </row>
    <row r="168" spans="1:47" ht="12.75">
      <c r="A168" s="5"/>
      <c r="B168" s="14"/>
      <c r="C168" s="14" t="s">
        <v>363</v>
      </c>
      <c r="D168" s="14" t="s">
        <v>594</v>
      </c>
      <c r="E168" s="20" t="s">
        <v>6</v>
      </c>
      <c r="F168" s="20" t="s">
        <v>6</v>
      </c>
      <c r="G168" s="20" t="s">
        <v>6</v>
      </c>
      <c r="H168" s="48">
        <f>SUM(H169:H171)</f>
        <v>0</v>
      </c>
      <c r="I168" s="48">
        <f>SUM(I169:I171)</f>
        <v>0</v>
      </c>
      <c r="J168" s="48">
        <f>SUM(J169:J171)</f>
        <v>0</v>
      </c>
      <c r="K168" s="32"/>
      <c r="L168" s="48">
        <f>SUM(L169:L171)</f>
        <v>0.014079999999999999</v>
      </c>
      <c r="M168" s="37"/>
      <c r="N168" s="40"/>
      <c r="AI168" s="32"/>
      <c r="AS168" s="48">
        <f>SUM(AJ169:AJ171)</f>
        <v>0</v>
      </c>
      <c r="AT168" s="48">
        <f>SUM(AK169:AK171)</f>
        <v>0</v>
      </c>
      <c r="AU168" s="48">
        <f>SUM(AL169:AL171)</f>
        <v>0</v>
      </c>
    </row>
    <row r="169" spans="1:64" ht="12.75">
      <c r="A169" s="4" t="s">
        <v>147</v>
      </c>
      <c r="B169" s="13"/>
      <c r="C169" s="13" t="s">
        <v>364</v>
      </c>
      <c r="D169" s="13" t="s">
        <v>595</v>
      </c>
      <c r="E169" s="13" t="s">
        <v>682</v>
      </c>
      <c r="F169" s="22">
        <v>64</v>
      </c>
      <c r="G169" s="90">
        <v>0</v>
      </c>
      <c r="H169" s="22">
        <f>F169*AO169</f>
        <v>0</v>
      </c>
      <c r="I169" s="22">
        <f>F169*AP169</f>
        <v>0</v>
      </c>
      <c r="J169" s="22">
        <f>F169*G169</f>
        <v>0</v>
      </c>
      <c r="K169" s="22">
        <v>7E-05</v>
      </c>
      <c r="L169" s="22">
        <f>F169*K169</f>
        <v>0.00448</v>
      </c>
      <c r="M169" s="36" t="s">
        <v>706</v>
      </c>
      <c r="N169" s="40"/>
      <c r="Z169" s="42">
        <f>IF(AQ169="5",BJ169,0)</f>
        <v>0</v>
      </c>
      <c r="AB169" s="42">
        <f>IF(AQ169="1",BH169,0)</f>
        <v>0</v>
      </c>
      <c r="AC169" s="42">
        <f>IF(AQ169="1",BI169,0)</f>
        <v>0</v>
      </c>
      <c r="AD169" s="42">
        <f>IF(AQ169="7",BH169,0)</f>
        <v>0</v>
      </c>
      <c r="AE169" s="42">
        <f>IF(AQ169="7",BI169,0)</f>
        <v>0</v>
      </c>
      <c r="AF169" s="42">
        <f>IF(AQ169="2",BH169,0)</f>
        <v>0</v>
      </c>
      <c r="AG169" s="42">
        <f>IF(AQ169="2",BI169,0)</f>
        <v>0</v>
      </c>
      <c r="AH169" s="42">
        <f>IF(AQ169="0",BJ169,0)</f>
        <v>0</v>
      </c>
      <c r="AI169" s="32"/>
      <c r="AJ169" s="22">
        <f>IF(AN169=0,J169,0)</f>
        <v>0</v>
      </c>
      <c r="AK169" s="22">
        <f>IF(AN169=15,J169,0)</f>
        <v>0</v>
      </c>
      <c r="AL169" s="22">
        <f>IF(AN169=21,J169,0)</f>
        <v>0</v>
      </c>
      <c r="AN169" s="42">
        <v>15</v>
      </c>
      <c r="AO169" s="42">
        <f>G169*0.263084112149533</f>
        <v>0</v>
      </c>
      <c r="AP169" s="42">
        <f>G169*(1-0.263084112149533)</f>
        <v>0</v>
      </c>
      <c r="AQ169" s="43" t="s">
        <v>13</v>
      </c>
      <c r="AV169" s="42">
        <f>AW169+AX169</f>
        <v>0</v>
      </c>
      <c r="AW169" s="42">
        <f>F169*AO169</f>
        <v>0</v>
      </c>
      <c r="AX169" s="42">
        <f>F169*AP169</f>
        <v>0</v>
      </c>
      <c r="AY169" s="45" t="s">
        <v>734</v>
      </c>
      <c r="AZ169" s="45" t="s">
        <v>753</v>
      </c>
      <c r="BA169" s="32" t="s">
        <v>756</v>
      </c>
      <c r="BC169" s="42">
        <f>AW169+AX169</f>
        <v>0</v>
      </c>
      <c r="BD169" s="42">
        <f>G169/(100-BE169)*100</f>
        <v>0</v>
      </c>
      <c r="BE169" s="42">
        <v>0</v>
      </c>
      <c r="BF169" s="42">
        <f>L169</f>
        <v>0.00448</v>
      </c>
      <c r="BH169" s="22">
        <f>F169*AO169</f>
        <v>0</v>
      </c>
      <c r="BI169" s="22">
        <f>F169*AP169</f>
        <v>0</v>
      </c>
      <c r="BJ169" s="22">
        <f>F169*G169</f>
        <v>0</v>
      </c>
      <c r="BK169" s="22" t="s">
        <v>761</v>
      </c>
      <c r="BL169" s="42">
        <v>784</v>
      </c>
    </row>
    <row r="170" spans="1:64" ht="12.75">
      <c r="A170" s="4" t="s">
        <v>148</v>
      </c>
      <c r="B170" s="13"/>
      <c r="C170" s="13" t="s">
        <v>365</v>
      </c>
      <c r="D170" s="13" t="s">
        <v>596</v>
      </c>
      <c r="E170" s="13" t="s">
        <v>682</v>
      </c>
      <c r="F170" s="22">
        <v>64</v>
      </c>
      <c r="G170" s="90">
        <v>0</v>
      </c>
      <c r="H170" s="22">
        <f>F170*AO170</f>
        <v>0</v>
      </c>
      <c r="I170" s="22">
        <f>F170*AP170</f>
        <v>0</v>
      </c>
      <c r="J170" s="22">
        <f>F170*G170</f>
        <v>0</v>
      </c>
      <c r="K170" s="22">
        <v>0.00015</v>
      </c>
      <c r="L170" s="22">
        <f>F170*K170</f>
        <v>0.0096</v>
      </c>
      <c r="M170" s="36" t="s">
        <v>706</v>
      </c>
      <c r="N170" s="40"/>
      <c r="Z170" s="42">
        <f>IF(AQ170="5",BJ170,0)</f>
        <v>0</v>
      </c>
      <c r="AB170" s="42">
        <f>IF(AQ170="1",BH170,0)</f>
        <v>0</v>
      </c>
      <c r="AC170" s="42">
        <f>IF(AQ170="1",BI170,0)</f>
        <v>0</v>
      </c>
      <c r="AD170" s="42">
        <f>IF(AQ170="7",BH170,0)</f>
        <v>0</v>
      </c>
      <c r="AE170" s="42">
        <f>IF(AQ170="7",BI170,0)</f>
        <v>0</v>
      </c>
      <c r="AF170" s="42">
        <f>IF(AQ170="2",BH170,0)</f>
        <v>0</v>
      </c>
      <c r="AG170" s="42">
        <f>IF(AQ170="2",BI170,0)</f>
        <v>0</v>
      </c>
      <c r="AH170" s="42">
        <f>IF(AQ170="0",BJ170,0)</f>
        <v>0</v>
      </c>
      <c r="AI170" s="32"/>
      <c r="AJ170" s="22">
        <f>IF(AN170=0,J170,0)</f>
        <v>0</v>
      </c>
      <c r="AK170" s="22">
        <f>IF(AN170=15,J170,0)</f>
        <v>0</v>
      </c>
      <c r="AL170" s="22">
        <f>IF(AN170=21,J170,0)</f>
        <v>0</v>
      </c>
      <c r="AN170" s="42">
        <v>15</v>
      </c>
      <c r="AO170" s="42">
        <f>G170*0.0923246015753801</f>
        <v>0</v>
      </c>
      <c r="AP170" s="42">
        <f>G170*(1-0.0923246015753801)</f>
        <v>0</v>
      </c>
      <c r="AQ170" s="43" t="s">
        <v>13</v>
      </c>
      <c r="AV170" s="42">
        <f>AW170+AX170</f>
        <v>0</v>
      </c>
      <c r="AW170" s="42">
        <f>F170*AO170</f>
        <v>0</v>
      </c>
      <c r="AX170" s="42">
        <f>F170*AP170</f>
        <v>0</v>
      </c>
      <c r="AY170" s="45" t="s">
        <v>734</v>
      </c>
      <c r="AZ170" s="45" t="s">
        <v>753</v>
      </c>
      <c r="BA170" s="32" t="s">
        <v>756</v>
      </c>
      <c r="BC170" s="42">
        <f>AW170+AX170</f>
        <v>0</v>
      </c>
      <c r="BD170" s="42">
        <f>G170/(100-BE170)*100</f>
        <v>0</v>
      </c>
      <c r="BE170" s="42">
        <v>0</v>
      </c>
      <c r="BF170" s="42">
        <f>L170</f>
        <v>0.0096</v>
      </c>
      <c r="BH170" s="22">
        <f>F170*AO170</f>
        <v>0</v>
      </c>
      <c r="BI170" s="22">
        <f>F170*AP170</f>
        <v>0</v>
      </c>
      <c r="BJ170" s="22">
        <f>F170*G170</f>
        <v>0</v>
      </c>
      <c r="BK170" s="22" t="s">
        <v>761</v>
      </c>
      <c r="BL170" s="42">
        <v>784</v>
      </c>
    </row>
    <row r="171" spans="1:64" ht="12.75">
      <c r="A171" s="4" t="s">
        <v>149</v>
      </c>
      <c r="B171" s="13"/>
      <c r="C171" s="13" t="s">
        <v>366</v>
      </c>
      <c r="D171" s="13" t="s">
        <v>597</v>
      </c>
      <c r="E171" s="13" t="s">
        <v>682</v>
      </c>
      <c r="F171" s="22">
        <v>64</v>
      </c>
      <c r="G171" s="90">
        <v>0</v>
      </c>
      <c r="H171" s="22">
        <f>F171*AO171</f>
        <v>0</v>
      </c>
      <c r="I171" s="22">
        <f>F171*AP171</f>
        <v>0</v>
      </c>
      <c r="J171" s="22">
        <f>F171*G171</f>
        <v>0</v>
      </c>
      <c r="K171" s="22">
        <v>0</v>
      </c>
      <c r="L171" s="22">
        <f>F171*K171</f>
        <v>0</v>
      </c>
      <c r="M171" s="36" t="s">
        <v>706</v>
      </c>
      <c r="N171" s="40"/>
      <c r="Z171" s="42">
        <f>IF(AQ171="5",BJ171,0)</f>
        <v>0</v>
      </c>
      <c r="AB171" s="42">
        <f>IF(AQ171="1",BH171,0)</f>
        <v>0</v>
      </c>
      <c r="AC171" s="42">
        <f>IF(AQ171="1",BI171,0)</f>
        <v>0</v>
      </c>
      <c r="AD171" s="42">
        <f>IF(AQ171="7",BH171,0)</f>
        <v>0</v>
      </c>
      <c r="AE171" s="42">
        <f>IF(AQ171="7",BI171,0)</f>
        <v>0</v>
      </c>
      <c r="AF171" s="42">
        <f>IF(AQ171="2",BH171,0)</f>
        <v>0</v>
      </c>
      <c r="AG171" s="42">
        <f>IF(AQ171="2",BI171,0)</f>
        <v>0</v>
      </c>
      <c r="AH171" s="42">
        <f>IF(AQ171="0",BJ171,0)</f>
        <v>0</v>
      </c>
      <c r="AI171" s="32"/>
      <c r="AJ171" s="22">
        <f>IF(AN171=0,J171,0)</f>
        <v>0</v>
      </c>
      <c r="AK171" s="22">
        <f>IF(AN171=15,J171,0)</f>
        <v>0</v>
      </c>
      <c r="AL171" s="22">
        <f>IF(AN171=21,J171,0)</f>
        <v>0</v>
      </c>
      <c r="AN171" s="42">
        <v>15</v>
      </c>
      <c r="AO171" s="42">
        <f>G171*0.0027355623100304</f>
        <v>0</v>
      </c>
      <c r="AP171" s="42">
        <f>G171*(1-0.0027355623100304)</f>
        <v>0</v>
      </c>
      <c r="AQ171" s="43" t="s">
        <v>13</v>
      </c>
      <c r="AV171" s="42">
        <f>AW171+AX171</f>
        <v>0</v>
      </c>
      <c r="AW171" s="42">
        <f>F171*AO171</f>
        <v>0</v>
      </c>
      <c r="AX171" s="42">
        <f>F171*AP171</f>
        <v>0</v>
      </c>
      <c r="AY171" s="45" t="s">
        <v>734</v>
      </c>
      <c r="AZ171" s="45" t="s">
        <v>753</v>
      </c>
      <c r="BA171" s="32" t="s">
        <v>756</v>
      </c>
      <c r="BC171" s="42">
        <f>AW171+AX171</f>
        <v>0</v>
      </c>
      <c r="BD171" s="42">
        <f>G171/(100-BE171)*100</f>
        <v>0</v>
      </c>
      <c r="BE171" s="42">
        <v>0</v>
      </c>
      <c r="BF171" s="42">
        <f>L171</f>
        <v>0</v>
      </c>
      <c r="BH171" s="22">
        <f>F171*AO171</f>
        <v>0</v>
      </c>
      <c r="BI171" s="22">
        <f>F171*AP171</f>
        <v>0</v>
      </c>
      <c r="BJ171" s="22">
        <f>F171*G171</f>
        <v>0</v>
      </c>
      <c r="BK171" s="22" t="s">
        <v>761</v>
      </c>
      <c r="BL171" s="42">
        <v>784</v>
      </c>
    </row>
    <row r="172" spans="1:47" ht="12.75">
      <c r="A172" s="5"/>
      <c r="B172" s="14"/>
      <c r="C172" s="14" t="s">
        <v>95</v>
      </c>
      <c r="D172" s="14" t="s">
        <v>598</v>
      </c>
      <c r="E172" s="20" t="s">
        <v>6</v>
      </c>
      <c r="F172" s="20" t="s">
        <v>6</v>
      </c>
      <c r="G172" s="20" t="s">
        <v>6</v>
      </c>
      <c r="H172" s="48">
        <f>SUM(H173:H173)</f>
        <v>0</v>
      </c>
      <c r="I172" s="48">
        <f>SUM(I173:I173)</f>
        <v>0</v>
      </c>
      <c r="J172" s="48">
        <f>SUM(J173:J173)</f>
        <v>0</v>
      </c>
      <c r="K172" s="32"/>
      <c r="L172" s="48">
        <f>SUM(L173:L173)</f>
        <v>0.0013800000000000002</v>
      </c>
      <c r="M172" s="37"/>
      <c r="N172" s="40"/>
      <c r="AI172" s="32"/>
      <c r="AS172" s="48">
        <f>SUM(AJ173:AJ173)</f>
        <v>0</v>
      </c>
      <c r="AT172" s="48">
        <f>SUM(AK173:AK173)</f>
        <v>0</v>
      </c>
      <c r="AU172" s="48">
        <f>SUM(AL173:AL173)</f>
        <v>0</v>
      </c>
    </row>
    <row r="173" spans="1:64" ht="12.75">
      <c r="A173" s="4" t="s">
        <v>150</v>
      </c>
      <c r="B173" s="13"/>
      <c r="C173" s="13" t="s">
        <v>367</v>
      </c>
      <c r="D173" s="13" t="s">
        <v>599</v>
      </c>
      <c r="E173" s="13" t="s">
        <v>679</v>
      </c>
      <c r="F173" s="22">
        <v>3</v>
      </c>
      <c r="G173" s="90">
        <v>0</v>
      </c>
      <c r="H173" s="22">
        <f>F173*AO173</f>
        <v>0</v>
      </c>
      <c r="I173" s="22">
        <f>F173*AP173</f>
        <v>0</v>
      </c>
      <c r="J173" s="22">
        <f>F173*G173</f>
        <v>0</v>
      </c>
      <c r="K173" s="22">
        <v>0.00046</v>
      </c>
      <c r="L173" s="22">
        <f>F173*K173</f>
        <v>0.0013800000000000002</v>
      </c>
      <c r="M173" s="36" t="s">
        <v>706</v>
      </c>
      <c r="N173" s="40"/>
      <c r="Z173" s="42">
        <f>IF(AQ173="5",BJ173,0)</f>
        <v>0</v>
      </c>
      <c r="AB173" s="42">
        <f>IF(AQ173="1",BH173,0)</f>
        <v>0</v>
      </c>
      <c r="AC173" s="42">
        <f>IF(AQ173="1",BI173,0)</f>
        <v>0</v>
      </c>
      <c r="AD173" s="42">
        <f>IF(AQ173="7",BH173,0)</f>
        <v>0</v>
      </c>
      <c r="AE173" s="42">
        <f>IF(AQ173="7",BI173,0)</f>
        <v>0</v>
      </c>
      <c r="AF173" s="42">
        <f>IF(AQ173="2",BH173,0)</f>
        <v>0</v>
      </c>
      <c r="AG173" s="42">
        <f>IF(AQ173="2",BI173,0)</f>
        <v>0</v>
      </c>
      <c r="AH173" s="42">
        <f>IF(AQ173="0",BJ173,0)</f>
        <v>0</v>
      </c>
      <c r="AI173" s="32"/>
      <c r="AJ173" s="22">
        <f>IF(AN173=0,J173,0)</f>
        <v>0</v>
      </c>
      <c r="AK173" s="22">
        <f>IF(AN173=15,J173,0)</f>
        <v>0</v>
      </c>
      <c r="AL173" s="22">
        <f>IF(AN173=21,J173,0)</f>
        <v>0</v>
      </c>
      <c r="AN173" s="42">
        <v>15</v>
      </c>
      <c r="AO173" s="42">
        <f>G173*0.222951334379906</f>
        <v>0</v>
      </c>
      <c r="AP173" s="42">
        <f>G173*(1-0.222951334379906)</f>
        <v>0</v>
      </c>
      <c r="AQ173" s="43" t="s">
        <v>7</v>
      </c>
      <c r="AV173" s="42">
        <f>AW173+AX173</f>
        <v>0</v>
      </c>
      <c r="AW173" s="42">
        <f>F173*AO173</f>
        <v>0</v>
      </c>
      <c r="AX173" s="42">
        <f>F173*AP173</f>
        <v>0</v>
      </c>
      <c r="AY173" s="45" t="s">
        <v>735</v>
      </c>
      <c r="AZ173" s="45" t="s">
        <v>754</v>
      </c>
      <c r="BA173" s="32" t="s">
        <v>756</v>
      </c>
      <c r="BC173" s="42">
        <f>AW173+AX173</f>
        <v>0</v>
      </c>
      <c r="BD173" s="42">
        <f>G173/(100-BE173)*100</f>
        <v>0</v>
      </c>
      <c r="BE173" s="42">
        <v>0</v>
      </c>
      <c r="BF173" s="42">
        <f>L173</f>
        <v>0.0013800000000000002</v>
      </c>
      <c r="BH173" s="22">
        <f>F173*AO173</f>
        <v>0</v>
      </c>
      <c r="BI173" s="22">
        <f>F173*AP173</f>
        <v>0</v>
      </c>
      <c r="BJ173" s="22">
        <f>F173*G173</f>
        <v>0</v>
      </c>
      <c r="BK173" s="22" t="s">
        <v>761</v>
      </c>
      <c r="BL173" s="42">
        <v>89</v>
      </c>
    </row>
    <row r="174" spans="1:47" ht="12.75">
      <c r="A174" s="5"/>
      <c r="B174" s="14"/>
      <c r="C174" s="14" t="s">
        <v>102</v>
      </c>
      <c r="D174" s="14" t="s">
        <v>600</v>
      </c>
      <c r="E174" s="20" t="s">
        <v>6</v>
      </c>
      <c r="F174" s="20" t="s">
        <v>6</v>
      </c>
      <c r="G174" s="20" t="s">
        <v>6</v>
      </c>
      <c r="H174" s="48">
        <f>SUM(H175:H179)</f>
        <v>0</v>
      </c>
      <c r="I174" s="48">
        <f>SUM(I175:I179)</f>
        <v>0</v>
      </c>
      <c r="J174" s="48">
        <f>SUM(J175:J179)</f>
        <v>0</v>
      </c>
      <c r="K174" s="32"/>
      <c r="L174" s="48">
        <f>SUM(L175:L179)</f>
        <v>1.18733</v>
      </c>
      <c r="M174" s="37"/>
      <c r="N174" s="40"/>
      <c r="AI174" s="32"/>
      <c r="AS174" s="48">
        <f>SUM(AJ175:AJ179)</f>
        <v>0</v>
      </c>
      <c r="AT174" s="48">
        <f>SUM(AK175:AK179)</f>
        <v>0</v>
      </c>
      <c r="AU174" s="48">
        <f>SUM(AL175:AL179)</f>
        <v>0</v>
      </c>
    </row>
    <row r="175" spans="1:64" ht="12.75">
      <c r="A175" s="4" t="s">
        <v>151</v>
      </c>
      <c r="B175" s="13"/>
      <c r="C175" s="13" t="s">
        <v>368</v>
      </c>
      <c r="D175" s="13" t="s">
        <v>601</v>
      </c>
      <c r="E175" s="13" t="s">
        <v>682</v>
      </c>
      <c r="F175" s="22">
        <v>1</v>
      </c>
      <c r="G175" s="90">
        <v>0</v>
      </c>
      <c r="H175" s="22">
        <f>F175*AO175</f>
        <v>0</v>
      </c>
      <c r="I175" s="22">
        <f>F175*AP175</f>
        <v>0</v>
      </c>
      <c r="J175" s="22">
        <f>F175*G175</f>
        <v>0</v>
      </c>
      <c r="K175" s="22">
        <v>0.07717</v>
      </c>
      <c r="L175" s="22">
        <f>F175*K175</f>
        <v>0.07717</v>
      </c>
      <c r="M175" s="36" t="s">
        <v>706</v>
      </c>
      <c r="N175" s="40"/>
      <c r="Z175" s="42">
        <f>IF(AQ175="5",BJ175,0)</f>
        <v>0</v>
      </c>
      <c r="AB175" s="42">
        <f>IF(AQ175="1",BH175,0)</f>
        <v>0</v>
      </c>
      <c r="AC175" s="42">
        <f>IF(AQ175="1",BI175,0)</f>
        <v>0</v>
      </c>
      <c r="AD175" s="42">
        <f>IF(AQ175="7",BH175,0)</f>
        <v>0</v>
      </c>
      <c r="AE175" s="42">
        <f>IF(AQ175="7",BI175,0)</f>
        <v>0</v>
      </c>
      <c r="AF175" s="42">
        <f>IF(AQ175="2",BH175,0)</f>
        <v>0</v>
      </c>
      <c r="AG175" s="42">
        <f>IF(AQ175="2",BI175,0)</f>
        <v>0</v>
      </c>
      <c r="AH175" s="42">
        <f>IF(AQ175="0",BJ175,0)</f>
        <v>0</v>
      </c>
      <c r="AI175" s="32"/>
      <c r="AJ175" s="22">
        <f>IF(AN175=0,J175,0)</f>
        <v>0</v>
      </c>
      <c r="AK175" s="22">
        <f>IF(AN175=15,J175,0)</f>
        <v>0</v>
      </c>
      <c r="AL175" s="22">
        <f>IF(AN175=21,J175,0)</f>
        <v>0</v>
      </c>
      <c r="AN175" s="42">
        <v>15</v>
      </c>
      <c r="AO175" s="42">
        <f>G175*0.0714456455339832</f>
        <v>0</v>
      </c>
      <c r="AP175" s="42">
        <f>G175*(1-0.0714456455339832)</f>
        <v>0</v>
      </c>
      <c r="AQ175" s="43" t="s">
        <v>7</v>
      </c>
      <c r="AV175" s="42">
        <f>AW175+AX175</f>
        <v>0</v>
      </c>
      <c r="AW175" s="42">
        <f>F175*AO175</f>
        <v>0</v>
      </c>
      <c r="AX175" s="42">
        <f>F175*AP175</f>
        <v>0</v>
      </c>
      <c r="AY175" s="45" t="s">
        <v>736</v>
      </c>
      <c r="AZ175" s="45" t="s">
        <v>755</v>
      </c>
      <c r="BA175" s="32" t="s">
        <v>756</v>
      </c>
      <c r="BC175" s="42">
        <f>AW175+AX175</f>
        <v>0</v>
      </c>
      <c r="BD175" s="42">
        <f>G175/(100-BE175)*100</f>
        <v>0</v>
      </c>
      <c r="BE175" s="42">
        <v>0</v>
      </c>
      <c r="BF175" s="42">
        <f>L175</f>
        <v>0.07717</v>
      </c>
      <c r="BH175" s="22">
        <f>F175*AO175</f>
        <v>0</v>
      </c>
      <c r="BI175" s="22">
        <f>F175*AP175</f>
        <v>0</v>
      </c>
      <c r="BJ175" s="22">
        <f>F175*G175</f>
        <v>0</v>
      </c>
      <c r="BK175" s="22" t="s">
        <v>761</v>
      </c>
      <c r="BL175" s="42">
        <v>96</v>
      </c>
    </row>
    <row r="176" spans="1:64" ht="12.75">
      <c r="A176" s="4" t="s">
        <v>152</v>
      </c>
      <c r="B176" s="13"/>
      <c r="C176" s="13" t="s">
        <v>369</v>
      </c>
      <c r="D176" s="13" t="s">
        <v>602</v>
      </c>
      <c r="E176" s="13" t="s">
        <v>681</v>
      </c>
      <c r="F176" s="22">
        <v>19.8</v>
      </c>
      <c r="G176" s="90">
        <v>0</v>
      </c>
      <c r="H176" s="22">
        <f>F176*AO176</f>
        <v>0</v>
      </c>
      <c r="I176" s="22">
        <f>F176*AP176</f>
        <v>0</v>
      </c>
      <c r="J176" s="22">
        <f>F176*G176</f>
        <v>0</v>
      </c>
      <c r="K176" s="22">
        <v>0.0004</v>
      </c>
      <c r="L176" s="22">
        <f>F176*K176</f>
        <v>0.00792</v>
      </c>
      <c r="M176" s="36" t="s">
        <v>706</v>
      </c>
      <c r="N176" s="40"/>
      <c r="Z176" s="42">
        <f>IF(AQ176="5",BJ176,0)</f>
        <v>0</v>
      </c>
      <c r="AB176" s="42">
        <f>IF(AQ176="1",BH176,0)</f>
        <v>0</v>
      </c>
      <c r="AC176" s="42">
        <f>IF(AQ176="1",BI176,0)</f>
        <v>0</v>
      </c>
      <c r="AD176" s="42">
        <f>IF(AQ176="7",BH176,0)</f>
        <v>0</v>
      </c>
      <c r="AE176" s="42">
        <f>IF(AQ176="7",BI176,0)</f>
        <v>0</v>
      </c>
      <c r="AF176" s="42">
        <f>IF(AQ176="2",BH176,0)</f>
        <v>0</v>
      </c>
      <c r="AG176" s="42">
        <f>IF(AQ176="2",BI176,0)</f>
        <v>0</v>
      </c>
      <c r="AH176" s="42">
        <f>IF(AQ176="0",BJ176,0)</f>
        <v>0</v>
      </c>
      <c r="AI176" s="32"/>
      <c r="AJ176" s="22">
        <f>IF(AN176=0,J176,0)</f>
        <v>0</v>
      </c>
      <c r="AK176" s="22">
        <f>IF(AN176=15,J176,0)</f>
        <v>0</v>
      </c>
      <c r="AL176" s="22">
        <f>IF(AN176=21,J176,0)</f>
        <v>0</v>
      </c>
      <c r="AN176" s="42">
        <v>15</v>
      </c>
      <c r="AO176" s="42">
        <f>G176*0</f>
        <v>0</v>
      </c>
      <c r="AP176" s="42">
        <f>G176*(1-0)</f>
        <v>0</v>
      </c>
      <c r="AQ176" s="43" t="s">
        <v>7</v>
      </c>
      <c r="AV176" s="42">
        <f>AW176+AX176</f>
        <v>0</v>
      </c>
      <c r="AW176" s="42">
        <f>F176*AO176</f>
        <v>0</v>
      </c>
      <c r="AX176" s="42">
        <f>F176*AP176</f>
        <v>0</v>
      </c>
      <c r="AY176" s="45" t="s">
        <v>736</v>
      </c>
      <c r="AZ176" s="45" t="s">
        <v>755</v>
      </c>
      <c r="BA176" s="32" t="s">
        <v>756</v>
      </c>
      <c r="BC176" s="42">
        <f>AW176+AX176</f>
        <v>0</v>
      </c>
      <c r="BD176" s="42">
        <f>G176/(100-BE176)*100</f>
        <v>0</v>
      </c>
      <c r="BE176" s="42">
        <v>0</v>
      </c>
      <c r="BF176" s="42">
        <f>L176</f>
        <v>0.00792</v>
      </c>
      <c r="BH176" s="22">
        <f>F176*AO176</f>
        <v>0</v>
      </c>
      <c r="BI176" s="22">
        <f>F176*AP176</f>
        <v>0</v>
      </c>
      <c r="BJ176" s="22">
        <f>F176*G176</f>
        <v>0</v>
      </c>
      <c r="BK176" s="22" t="s">
        <v>761</v>
      </c>
      <c r="BL176" s="42">
        <v>96</v>
      </c>
    </row>
    <row r="177" spans="1:64" ht="12.75">
      <c r="A177" s="4" t="s">
        <v>153</v>
      </c>
      <c r="B177" s="13"/>
      <c r="C177" s="13" t="s">
        <v>370</v>
      </c>
      <c r="D177" s="13" t="s">
        <v>603</v>
      </c>
      <c r="E177" s="13" t="s">
        <v>682</v>
      </c>
      <c r="F177" s="22">
        <v>24</v>
      </c>
      <c r="G177" s="90">
        <v>0</v>
      </c>
      <c r="H177" s="22">
        <f>F177*AO177</f>
        <v>0</v>
      </c>
      <c r="I177" s="22">
        <f>F177*AP177</f>
        <v>0</v>
      </c>
      <c r="J177" s="22">
        <f>F177*G177</f>
        <v>0</v>
      </c>
      <c r="K177" s="22">
        <v>0.02551</v>
      </c>
      <c r="L177" s="22">
        <f>F177*K177</f>
        <v>0.61224</v>
      </c>
      <c r="M177" s="36" t="s">
        <v>706</v>
      </c>
      <c r="N177" s="40"/>
      <c r="Z177" s="42">
        <f>IF(AQ177="5",BJ177,0)</f>
        <v>0</v>
      </c>
      <c r="AB177" s="42">
        <f>IF(AQ177="1",BH177,0)</f>
        <v>0</v>
      </c>
      <c r="AC177" s="42">
        <f>IF(AQ177="1",BI177,0)</f>
        <v>0</v>
      </c>
      <c r="AD177" s="42">
        <f>IF(AQ177="7",BH177,0)</f>
        <v>0</v>
      </c>
      <c r="AE177" s="42">
        <f>IF(AQ177="7",BI177,0)</f>
        <v>0</v>
      </c>
      <c r="AF177" s="42">
        <f>IF(AQ177="2",BH177,0)</f>
        <v>0</v>
      </c>
      <c r="AG177" s="42">
        <f>IF(AQ177="2",BI177,0)</f>
        <v>0</v>
      </c>
      <c r="AH177" s="42">
        <f>IF(AQ177="0",BJ177,0)</f>
        <v>0</v>
      </c>
      <c r="AI177" s="32"/>
      <c r="AJ177" s="22">
        <f>IF(AN177=0,J177,0)</f>
        <v>0</v>
      </c>
      <c r="AK177" s="22">
        <f>IF(AN177=15,J177,0)</f>
        <v>0</v>
      </c>
      <c r="AL177" s="22">
        <f>IF(AN177=21,J177,0)</f>
        <v>0</v>
      </c>
      <c r="AN177" s="42">
        <v>15</v>
      </c>
      <c r="AO177" s="42">
        <f>G177*0</f>
        <v>0</v>
      </c>
      <c r="AP177" s="42">
        <f>G177*(1-0)</f>
        <v>0</v>
      </c>
      <c r="AQ177" s="43" t="s">
        <v>7</v>
      </c>
      <c r="AV177" s="42">
        <f>AW177+AX177</f>
        <v>0</v>
      </c>
      <c r="AW177" s="42">
        <f>F177*AO177</f>
        <v>0</v>
      </c>
      <c r="AX177" s="42">
        <f>F177*AP177</f>
        <v>0</v>
      </c>
      <c r="AY177" s="45" t="s">
        <v>736</v>
      </c>
      <c r="AZ177" s="45" t="s">
        <v>755</v>
      </c>
      <c r="BA177" s="32" t="s">
        <v>756</v>
      </c>
      <c r="BC177" s="42">
        <f>AW177+AX177</f>
        <v>0</v>
      </c>
      <c r="BD177" s="42">
        <f>G177/(100-BE177)*100</f>
        <v>0</v>
      </c>
      <c r="BE177" s="42">
        <v>0</v>
      </c>
      <c r="BF177" s="42">
        <f>L177</f>
        <v>0.61224</v>
      </c>
      <c r="BH177" s="22">
        <f>F177*AO177</f>
        <v>0</v>
      </c>
      <c r="BI177" s="22">
        <f>F177*AP177</f>
        <v>0</v>
      </c>
      <c r="BJ177" s="22">
        <f>F177*G177</f>
        <v>0</v>
      </c>
      <c r="BK177" s="22" t="s">
        <v>761</v>
      </c>
      <c r="BL177" s="42">
        <v>96</v>
      </c>
    </row>
    <row r="178" spans="1:64" ht="12.75">
      <c r="A178" s="4" t="s">
        <v>154</v>
      </c>
      <c r="B178" s="13"/>
      <c r="C178" s="13" t="s">
        <v>371</v>
      </c>
      <c r="D178" s="13" t="s">
        <v>604</v>
      </c>
      <c r="E178" s="13" t="s">
        <v>682</v>
      </c>
      <c r="F178" s="22">
        <v>24.5</v>
      </c>
      <c r="G178" s="90">
        <v>0</v>
      </c>
      <c r="H178" s="22">
        <f>F178*AO178</f>
        <v>0</v>
      </c>
      <c r="I178" s="22">
        <f>F178*AP178</f>
        <v>0</v>
      </c>
      <c r="J178" s="22">
        <f>F178*G178</f>
        <v>0</v>
      </c>
      <c r="K178" s="22">
        <v>0.02</v>
      </c>
      <c r="L178" s="22">
        <f>F178*K178</f>
        <v>0.49</v>
      </c>
      <c r="M178" s="36" t="s">
        <v>706</v>
      </c>
      <c r="N178" s="40"/>
      <c r="Z178" s="42">
        <f>IF(AQ178="5",BJ178,0)</f>
        <v>0</v>
      </c>
      <c r="AB178" s="42">
        <f>IF(AQ178="1",BH178,0)</f>
        <v>0</v>
      </c>
      <c r="AC178" s="42">
        <f>IF(AQ178="1",BI178,0)</f>
        <v>0</v>
      </c>
      <c r="AD178" s="42">
        <f>IF(AQ178="7",BH178,0)</f>
        <v>0</v>
      </c>
      <c r="AE178" s="42">
        <f>IF(AQ178="7",BI178,0)</f>
        <v>0</v>
      </c>
      <c r="AF178" s="42">
        <f>IF(AQ178="2",BH178,0)</f>
        <v>0</v>
      </c>
      <c r="AG178" s="42">
        <f>IF(AQ178="2",BI178,0)</f>
        <v>0</v>
      </c>
      <c r="AH178" s="42">
        <f>IF(AQ178="0",BJ178,0)</f>
        <v>0</v>
      </c>
      <c r="AI178" s="32"/>
      <c r="AJ178" s="22">
        <f>IF(AN178=0,J178,0)</f>
        <v>0</v>
      </c>
      <c r="AK178" s="22">
        <f>IF(AN178=15,J178,0)</f>
        <v>0</v>
      </c>
      <c r="AL178" s="22">
        <f>IF(AN178=21,J178,0)</f>
        <v>0</v>
      </c>
      <c r="AN178" s="42">
        <v>15</v>
      </c>
      <c r="AO178" s="42">
        <f>G178*0</f>
        <v>0</v>
      </c>
      <c r="AP178" s="42">
        <f>G178*(1-0)</f>
        <v>0</v>
      </c>
      <c r="AQ178" s="43" t="s">
        <v>7</v>
      </c>
      <c r="AV178" s="42">
        <f>AW178+AX178</f>
        <v>0</v>
      </c>
      <c r="AW178" s="42">
        <f>F178*AO178</f>
        <v>0</v>
      </c>
      <c r="AX178" s="42">
        <f>F178*AP178</f>
        <v>0</v>
      </c>
      <c r="AY178" s="45" t="s">
        <v>736</v>
      </c>
      <c r="AZ178" s="45" t="s">
        <v>755</v>
      </c>
      <c r="BA178" s="32" t="s">
        <v>756</v>
      </c>
      <c r="BC178" s="42">
        <f>AW178+AX178</f>
        <v>0</v>
      </c>
      <c r="BD178" s="42">
        <f>G178/(100-BE178)*100</f>
        <v>0</v>
      </c>
      <c r="BE178" s="42">
        <v>0</v>
      </c>
      <c r="BF178" s="42">
        <f>L178</f>
        <v>0.49</v>
      </c>
      <c r="BH178" s="22">
        <f>F178*AO178</f>
        <v>0</v>
      </c>
      <c r="BI178" s="22">
        <f>F178*AP178</f>
        <v>0</v>
      </c>
      <c r="BJ178" s="22">
        <f>F178*G178</f>
        <v>0</v>
      </c>
      <c r="BK178" s="22" t="s">
        <v>761</v>
      </c>
      <c r="BL178" s="42">
        <v>96</v>
      </c>
    </row>
    <row r="179" spans="1:64" ht="12.75">
      <c r="A179" s="4" t="s">
        <v>155</v>
      </c>
      <c r="B179" s="13"/>
      <c r="C179" s="13" t="s">
        <v>372</v>
      </c>
      <c r="D179" s="13" t="s">
        <v>605</v>
      </c>
      <c r="E179" s="13" t="s">
        <v>679</v>
      </c>
      <c r="F179" s="22">
        <v>1</v>
      </c>
      <c r="G179" s="90">
        <v>0</v>
      </c>
      <c r="H179" s="22">
        <f>F179*AO179</f>
        <v>0</v>
      </c>
      <c r="I179" s="22">
        <f>F179*AP179</f>
        <v>0</v>
      </c>
      <c r="J179" s="22">
        <f>F179*G179</f>
        <v>0</v>
      </c>
      <c r="K179" s="22">
        <v>0</v>
      </c>
      <c r="L179" s="22">
        <f>F179*K179</f>
        <v>0</v>
      </c>
      <c r="M179" s="36" t="s">
        <v>706</v>
      </c>
      <c r="N179" s="40"/>
      <c r="Z179" s="42">
        <f>IF(AQ179="5",BJ179,0)</f>
        <v>0</v>
      </c>
      <c r="AB179" s="42">
        <f>IF(AQ179="1",BH179,0)</f>
        <v>0</v>
      </c>
      <c r="AC179" s="42">
        <f>IF(AQ179="1",BI179,0)</f>
        <v>0</v>
      </c>
      <c r="AD179" s="42">
        <f>IF(AQ179="7",BH179,0)</f>
        <v>0</v>
      </c>
      <c r="AE179" s="42">
        <f>IF(AQ179="7",BI179,0)</f>
        <v>0</v>
      </c>
      <c r="AF179" s="42">
        <f>IF(AQ179="2",BH179,0)</f>
        <v>0</v>
      </c>
      <c r="AG179" s="42">
        <f>IF(AQ179="2",BI179,0)</f>
        <v>0</v>
      </c>
      <c r="AH179" s="42">
        <f>IF(AQ179="0",BJ179,0)</f>
        <v>0</v>
      </c>
      <c r="AI179" s="32"/>
      <c r="AJ179" s="22">
        <f>IF(AN179=0,J179,0)</f>
        <v>0</v>
      </c>
      <c r="AK179" s="22">
        <f>IF(AN179=15,J179,0)</f>
        <v>0</v>
      </c>
      <c r="AL179" s="22">
        <f>IF(AN179=21,J179,0)</f>
        <v>0</v>
      </c>
      <c r="AN179" s="42">
        <v>15</v>
      </c>
      <c r="AO179" s="42">
        <f>G179*0</f>
        <v>0</v>
      </c>
      <c r="AP179" s="42">
        <f>G179*(1-0)</f>
        <v>0</v>
      </c>
      <c r="AQ179" s="43" t="s">
        <v>7</v>
      </c>
      <c r="AV179" s="42">
        <f>AW179+AX179</f>
        <v>0</v>
      </c>
      <c r="AW179" s="42">
        <f>F179*AO179</f>
        <v>0</v>
      </c>
      <c r="AX179" s="42">
        <f>F179*AP179</f>
        <v>0</v>
      </c>
      <c r="AY179" s="45" t="s">
        <v>736</v>
      </c>
      <c r="AZ179" s="45" t="s">
        <v>755</v>
      </c>
      <c r="BA179" s="32" t="s">
        <v>756</v>
      </c>
      <c r="BC179" s="42">
        <f>AW179+AX179</f>
        <v>0</v>
      </c>
      <c r="BD179" s="42">
        <f>G179/(100-BE179)*100</f>
        <v>0</v>
      </c>
      <c r="BE179" s="42">
        <v>0</v>
      </c>
      <c r="BF179" s="42">
        <f>L179</f>
        <v>0</v>
      </c>
      <c r="BH179" s="22">
        <f>F179*AO179</f>
        <v>0</v>
      </c>
      <c r="BI179" s="22">
        <f>F179*AP179</f>
        <v>0</v>
      </c>
      <c r="BJ179" s="22">
        <f>F179*G179</f>
        <v>0</v>
      </c>
      <c r="BK179" s="22" t="s">
        <v>761</v>
      </c>
      <c r="BL179" s="42">
        <v>96</v>
      </c>
    </row>
    <row r="180" spans="1:47" ht="12.75">
      <c r="A180" s="5"/>
      <c r="B180" s="14"/>
      <c r="C180" s="14" t="s">
        <v>103</v>
      </c>
      <c r="D180" s="14" t="s">
        <v>606</v>
      </c>
      <c r="E180" s="20" t="s">
        <v>6</v>
      </c>
      <c r="F180" s="20" t="s">
        <v>6</v>
      </c>
      <c r="G180" s="20" t="s">
        <v>6</v>
      </c>
      <c r="H180" s="48">
        <f>SUM(H181:H182)</f>
        <v>0</v>
      </c>
      <c r="I180" s="48">
        <f>SUM(I181:I182)</f>
        <v>0</v>
      </c>
      <c r="J180" s="48">
        <f>SUM(J181:J182)</f>
        <v>0</v>
      </c>
      <c r="K180" s="32"/>
      <c r="L180" s="48">
        <f>SUM(L181:L182)</f>
        <v>0.61447</v>
      </c>
      <c r="M180" s="37"/>
      <c r="N180" s="40"/>
      <c r="AI180" s="32"/>
      <c r="AS180" s="48">
        <f>SUM(AJ181:AJ182)</f>
        <v>0</v>
      </c>
      <c r="AT180" s="48">
        <f>SUM(AK181:AK182)</f>
        <v>0</v>
      </c>
      <c r="AU180" s="48">
        <f>SUM(AL181:AL182)</f>
        <v>0</v>
      </c>
    </row>
    <row r="181" spans="1:64" ht="12.75">
      <c r="A181" s="4" t="s">
        <v>156</v>
      </c>
      <c r="B181" s="13"/>
      <c r="C181" s="13" t="s">
        <v>373</v>
      </c>
      <c r="D181" s="13" t="s">
        <v>607</v>
      </c>
      <c r="E181" s="13" t="s">
        <v>679</v>
      </c>
      <c r="F181" s="22">
        <v>2</v>
      </c>
      <c r="G181" s="90">
        <v>0</v>
      </c>
      <c r="H181" s="22">
        <f>F181*AO181</f>
        <v>0</v>
      </c>
      <c r="I181" s="22">
        <f>F181*AP181</f>
        <v>0</v>
      </c>
      <c r="J181" s="22">
        <f>F181*G181</f>
        <v>0</v>
      </c>
      <c r="K181" s="22">
        <v>0.30533</v>
      </c>
      <c r="L181" s="22">
        <f>F181*K181</f>
        <v>0.61066</v>
      </c>
      <c r="M181" s="36" t="s">
        <v>706</v>
      </c>
      <c r="N181" s="40"/>
      <c r="Z181" s="42">
        <f>IF(AQ181="5",BJ181,0)</f>
        <v>0</v>
      </c>
      <c r="AB181" s="42">
        <f>IF(AQ181="1",BH181,0)</f>
        <v>0</v>
      </c>
      <c r="AC181" s="42">
        <f>IF(AQ181="1",BI181,0)</f>
        <v>0</v>
      </c>
      <c r="AD181" s="42">
        <f>IF(AQ181="7",BH181,0)</f>
        <v>0</v>
      </c>
      <c r="AE181" s="42">
        <f>IF(AQ181="7",BI181,0)</f>
        <v>0</v>
      </c>
      <c r="AF181" s="42">
        <f>IF(AQ181="2",BH181,0)</f>
        <v>0</v>
      </c>
      <c r="AG181" s="42">
        <f>IF(AQ181="2",BI181,0)</f>
        <v>0</v>
      </c>
      <c r="AH181" s="42">
        <f>IF(AQ181="0",BJ181,0)</f>
        <v>0</v>
      </c>
      <c r="AI181" s="32"/>
      <c r="AJ181" s="22">
        <f>IF(AN181=0,J181,0)</f>
        <v>0</v>
      </c>
      <c r="AK181" s="22">
        <f>IF(AN181=15,J181,0)</f>
        <v>0</v>
      </c>
      <c r="AL181" s="22">
        <f>IF(AN181=21,J181,0)</f>
        <v>0</v>
      </c>
      <c r="AN181" s="42">
        <v>15</v>
      </c>
      <c r="AO181" s="42">
        <f>G181*0.0301775147928994</f>
        <v>0</v>
      </c>
      <c r="AP181" s="42">
        <f>G181*(1-0.0301775147928994)</f>
        <v>0</v>
      </c>
      <c r="AQ181" s="43" t="s">
        <v>7</v>
      </c>
      <c r="AV181" s="42">
        <f>AW181+AX181</f>
        <v>0</v>
      </c>
      <c r="AW181" s="42">
        <f>F181*AO181</f>
        <v>0</v>
      </c>
      <c r="AX181" s="42">
        <f>F181*AP181</f>
        <v>0</v>
      </c>
      <c r="AY181" s="45" t="s">
        <v>737</v>
      </c>
      <c r="AZ181" s="45" t="s">
        <v>755</v>
      </c>
      <c r="BA181" s="32" t="s">
        <v>756</v>
      </c>
      <c r="BC181" s="42">
        <f>AW181+AX181</f>
        <v>0</v>
      </c>
      <c r="BD181" s="42">
        <f>G181/(100-BE181)*100</f>
        <v>0</v>
      </c>
      <c r="BE181" s="42">
        <v>0</v>
      </c>
      <c r="BF181" s="42">
        <f>L181</f>
        <v>0.61066</v>
      </c>
      <c r="BH181" s="22">
        <f>F181*AO181</f>
        <v>0</v>
      </c>
      <c r="BI181" s="22">
        <f>F181*AP181</f>
        <v>0</v>
      </c>
      <c r="BJ181" s="22">
        <f>F181*G181</f>
        <v>0</v>
      </c>
      <c r="BK181" s="22" t="s">
        <v>761</v>
      </c>
      <c r="BL181" s="42">
        <v>97</v>
      </c>
    </row>
    <row r="182" spans="1:64" ht="12.75">
      <c r="A182" s="4" t="s">
        <v>157</v>
      </c>
      <c r="B182" s="13"/>
      <c r="C182" s="13" t="s">
        <v>374</v>
      </c>
      <c r="D182" s="13" t="s">
        <v>608</v>
      </c>
      <c r="E182" s="13" t="s">
        <v>681</v>
      </c>
      <c r="F182" s="22">
        <v>3</v>
      </c>
      <c r="G182" s="90">
        <v>0</v>
      </c>
      <c r="H182" s="22">
        <f>F182*AO182</f>
        <v>0</v>
      </c>
      <c r="I182" s="22">
        <f>F182*AP182</f>
        <v>0</v>
      </c>
      <c r="J182" s="22">
        <f>F182*G182</f>
        <v>0</v>
      </c>
      <c r="K182" s="22">
        <v>0.00127</v>
      </c>
      <c r="L182" s="22">
        <f>F182*K182</f>
        <v>0.00381</v>
      </c>
      <c r="M182" s="36" t="s">
        <v>706</v>
      </c>
      <c r="N182" s="40"/>
      <c r="Z182" s="42">
        <f>IF(AQ182="5",BJ182,0)</f>
        <v>0</v>
      </c>
      <c r="AB182" s="42">
        <f>IF(AQ182="1",BH182,0)</f>
        <v>0</v>
      </c>
      <c r="AC182" s="42">
        <f>IF(AQ182="1",BI182,0)</f>
        <v>0</v>
      </c>
      <c r="AD182" s="42">
        <f>IF(AQ182="7",BH182,0)</f>
        <v>0</v>
      </c>
      <c r="AE182" s="42">
        <f>IF(AQ182="7",BI182,0)</f>
        <v>0</v>
      </c>
      <c r="AF182" s="42">
        <f>IF(AQ182="2",BH182,0)</f>
        <v>0</v>
      </c>
      <c r="AG182" s="42">
        <f>IF(AQ182="2",BI182,0)</f>
        <v>0</v>
      </c>
      <c r="AH182" s="42">
        <f>IF(AQ182="0",BJ182,0)</f>
        <v>0</v>
      </c>
      <c r="AI182" s="32"/>
      <c r="AJ182" s="22">
        <f>IF(AN182=0,J182,0)</f>
        <v>0</v>
      </c>
      <c r="AK182" s="22">
        <f>IF(AN182=15,J182,0)</f>
        <v>0</v>
      </c>
      <c r="AL182" s="22">
        <f>IF(AN182=21,J182,0)</f>
        <v>0</v>
      </c>
      <c r="AN182" s="42">
        <v>15</v>
      </c>
      <c r="AO182" s="42">
        <f>G182*0.364173960612691</f>
        <v>0</v>
      </c>
      <c r="AP182" s="42">
        <f>G182*(1-0.364173960612691)</f>
        <v>0</v>
      </c>
      <c r="AQ182" s="43" t="s">
        <v>7</v>
      </c>
      <c r="AV182" s="42">
        <f>AW182+AX182</f>
        <v>0</v>
      </c>
      <c r="AW182" s="42">
        <f>F182*AO182</f>
        <v>0</v>
      </c>
      <c r="AX182" s="42">
        <f>F182*AP182</f>
        <v>0</v>
      </c>
      <c r="AY182" s="45" t="s">
        <v>737</v>
      </c>
      <c r="AZ182" s="45" t="s">
        <v>755</v>
      </c>
      <c r="BA182" s="32" t="s">
        <v>756</v>
      </c>
      <c r="BC182" s="42">
        <f>AW182+AX182</f>
        <v>0</v>
      </c>
      <c r="BD182" s="42">
        <f>G182/(100-BE182)*100</f>
        <v>0</v>
      </c>
      <c r="BE182" s="42">
        <v>0</v>
      </c>
      <c r="BF182" s="42">
        <f>L182</f>
        <v>0.00381</v>
      </c>
      <c r="BH182" s="22">
        <f>F182*AO182</f>
        <v>0</v>
      </c>
      <c r="BI182" s="22">
        <f>F182*AP182</f>
        <v>0</v>
      </c>
      <c r="BJ182" s="22">
        <f>F182*G182</f>
        <v>0</v>
      </c>
      <c r="BK182" s="22" t="s">
        <v>761</v>
      </c>
      <c r="BL182" s="42">
        <v>97</v>
      </c>
    </row>
    <row r="183" spans="1:47" ht="12.75">
      <c r="A183" s="5"/>
      <c r="B183" s="14"/>
      <c r="C183" s="14" t="s">
        <v>375</v>
      </c>
      <c r="D183" s="14" t="s">
        <v>609</v>
      </c>
      <c r="E183" s="20" t="s">
        <v>6</v>
      </c>
      <c r="F183" s="20" t="s">
        <v>6</v>
      </c>
      <c r="G183" s="20" t="s">
        <v>6</v>
      </c>
      <c r="H183" s="48">
        <f>SUM(H184:H184)</f>
        <v>0</v>
      </c>
      <c r="I183" s="48">
        <f>SUM(I184:I184)</f>
        <v>0</v>
      </c>
      <c r="J183" s="48">
        <f>SUM(J184:J184)</f>
        <v>0</v>
      </c>
      <c r="K183" s="32"/>
      <c r="L183" s="48">
        <f>SUM(L184:L184)</f>
        <v>0</v>
      </c>
      <c r="M183" s="37"/>
      <c r="N183" s="40"/>
      <c r="AI183" s="32"/>
      <c r="AS183" s="48">
        <f>SUM(AJ184:AJ184)</f>
        <v>0</v>
      </c>
      <c r="AT183" s="48">
        <f>SUM(AK184:AK184)</f>
        <v>0</v>
      </c>
      <c r="AU183" s="48">
        <f>SUM(AL184:AL184)</f>
        <v>0</v>
      </c>
    </row>
    <row r="184" spans="1:64" ht="12.75">
      <c r="A184" s="4" t="s">
        <v>158</v>
      </c>
      <c r="B184" s="13"/>
      <c r="C184" s="13" t="s">
        <v>376</v>
      </c>
      <c r="D184" s="13" t="s">
        <v>610</v>
      </c>
      <c r="E184" s="13" t="s">
        <v>681</v>
      </c>
      <c r="F184" s="22">
        <v>220</v>
      </c>
      <c r="G184" s="90">
        <v>0</v>
      </c>
      <c r="H184" s="22">
        <f>F184*AO184</f>
        <v>0</v>
      </c>
      <c r="I184" s="22">
        <f>F184*AP184</f>
        <v>0</v>
      </c>
      <c r="J184" s="22">
        <f>F184*G184</f>
        <v>0</v>
      </c>
      <c r="K184" s="22">
        <v>0</v>
      </c>
      <c r="L184" s="22">
        <f>F184*K184</f>
        <v>0</v>
      </c>
      <c r="M184" s="36" t="s">
        <v>706</v>
      </c>
      <c r="N184" s="40"/>
      <c r="Z184" s="42">
        <f>IF(AQ184="5",BJ184,0)</f>
        <v>0</v>
      </c>
      <c r="AB184" s="42">
        <f>IF(AQ184="1",BH184,0)</f>
        <v>0</v>
      </c>
      <c r="AC184" s="42">
        <f>IF(AQ184="1",BI184,0)</f>
        <v>0</v>
      </c>
      <c r="AD184" s="42">
        <f>IF(AQ184="7",BH184,0)</f>
        <v>0</v>
      </c>
      <c r="AE184" s="42">
        <f>IF(AQ184="7",BI184,0)</f>
        <v>0</v>
      </c>
      <c r="AF184" s="42">
        <f>IF(AQ184="2",BH184,0)</f>
        <v>0</v>
      </c>
      <c r="AG184" s="42">
        <f>IF(AQ184="2",BI184,0)</f>
        <v>0</v>
      </c>
      <c r="AH184" s="42">
        <f>IF(AQ184="0",BJ184,0)</f>
        <v>0</v>
      </c>
      <c r="AI184" s="32"/>
      <c r="AJ184" s="22">
        <f>IF(AN184=0,J184,0)</f>
        <v>0</v>
      </c>
      <c r="AK184" s="22">
        <f>IF(AN184=15,J184,0)</f>
        <v>0</v>
      </c>
      <c r="AL184" s="22">
        <f>IF(AN184=21,J184,0)</f>
        <v>0</v>
      </c>
      <c r="AN184" s="42">
        <v>15</v>
      </c>
      <c r="AO184" s="42">
        <f>G184*0</f>
        <v>0</v>
      </c>
      <c r="AP184" s="42">
        <f>G184*(1-0)</f>
        <v>0</v>
      </c>
      <c r="AQ184" s="43" t="s">
        <v>8</v>
      </c>
      <c r="AV184" s="42">
        <f>AW184+AX184</f>
        <v>0</v>
      </c>
      <c r="AW184" s="42">
        <f>F184*AO184</f>
        <v>0</v>
      </c>
      <c r="AX184" s="42">
        <f>F184*AP184</f>
        <v>0</v>
      </c>
      <c r="AY184" s="45" t="s">
        <v>738</v>
      </c>
      <c r="AZ184" s="45" t="s">
        <v>755</v>
      </c>
      <c r="BA184" s="32" t="s">
        <v>756</v>
      </c>
      <c r="BC184" s="42">
        <f>AW184+AX184</f>
        <v>0</v>
      </c>
      <c r="BD184" s="42">
        <f>G184/(100-BE184)*100</f>
        <v>0</v>
      </c>
      <c r="BE184" s="42">
        <v>0</v>
      </c>
      <c r="BF184" s="42">
        <f>L184</f>
        <v>0</v>
      </c>
      <c r="BH184" s="22">
        <f>F184*AO184</f>
        <v>0</v>
      </c>
      <c r="BI184" s="22">
        <f>F184*AP184</f>
        <v>0</v>
      </c>
      <c r="BJ184" s="22">
        <f>F184*G184</f>
        <v>0</v>
      </c>
      <c r="BK184" s="22" t="s">
        <v>761</v>
      </c>
      <c r="BL184" s="42" t="s">
        <v>375</v>
      </c>
    </row>
    <row r="185" spans="1:47" ht="12.75">
      <c r="A185" s="5"/>
      <c r="B185" s="14"/>
      <c r="C185" s="14" t="s">
        <v>377</v>
      </c>
      <c r="D185" s="14" t="s">
        <v>611</v>
      </c>
      <c r="E185" s="20" t="s">
        <v>6</v>
      </c>
      <c r="F185" s="20" t="s">
        <v>6</v>
      </c>
      <c r="G185" s="20" t="s">
        <v>6</v>
      </c>
      <c r="H185" s="48">
        <f>SUM(H186:H189)</f>
        <v>0</v>
      </c>
      <c r="I185" s="48">
        <f>SUM(I186:I189)</f>
        <v>0</v>
      </c>
      <c r="J185" s="48">
        <f>SUM(J186:J189)</f>
        <v>0</v>
      </c>
      <c r="K185" s="32"/>
      <c r="L185" s="48">
        <f>SUM(L186:L189)</f>
        <v>0</v>
      </c>
      <c r="M185" s="37"/>
      <c r="N185" s="40"/>
      <c r="AI185" s="32"/>
      <c r="AS185" s="48">
        <f>SUM(AJ186:AJ189)</f>
        <v>0</v>
      </c>
      <c r="AT185" s="48">
        <f>SUM(AK186:AK189)</f>
        <v>0</v>
      </c>
      <c r="AU185" s="48">
        <f>SUM(AL186:AL189)</f>
        <v>0</v>
      </c>
    </row>
    <row r="186" spans="1:64" ht="12.75">
      <c r="A186" s="4" t="s">
        <v>159</v>
      </c>
      <c r="B186" s="13"/>
      <c r="C186" s="13" t="s">
        <v>378</v>
      </c>
      <c r="D186" s="13" t="s">
        <v>612</v>
      </c>
      <c r="E186" s="13" t="s">
        <v>687</v>
      </c>
      <c r="F186" s="22">
        <v>0.6145</v>
      </c>
      <c r="G186" s="90">
        <v>0</v>
      </c>
      <c r="H186" s="22">
        <f>F186*AO186</f>
        <v>0</v>
      </c>
      <c r="I186" s="22">
        <f>F186*AP186</f>
        <v>0</v>
      </c>
      <c r="J186" s="22">
        <f>F186*G186</f>
        <v>0</v>
      </c>
      <c r="K186" s="22">
        <v>0</v>
      </c>
      <c r="L186" s="22">
        <f>F186*K186</f>
        <v>0</v>
      </c>
      <c r="M186" s="36" t="s">
        <v>706</v>
      </c>
      <c r="N186" s="40"/>
      <c r="Z186" s="42">
        <f>IF(AQ186="5",BJ186,0)</f>
        <v>0</v>
      </c>
      <c r="AB186" s="42">
        <f>IF(AQ186="1",BH186,0)</f>
        <v>0</v>
      </c>
      <c r="AC186" s="42">
        <f>IF(AQ186="1",BI186,0)</f>
        <v>0</v>
      </c>
      <c r="AD186" s="42">
        <f>IF(AQ186="7",BH186,0)</f>
        <v>0</v>
      </c>
      <c r="AE186" s="42">
        <f>IF(AQ186="7",BI186,0)</f>
        <v>0</v>
      </c>
      <c r="AF186" s="42">
        <f>IF(AQ186="2",BH186,0)</f>
        <v>0</v>
      </c>
      <c r="AG186" s="42">
        <f>IF(AQ186="2",BI186,0)</f>
        <v>0</v>
      </c>
      <c r="AH186" s="42">
        <f>IF(AQ186="0",BJ186,0)</f>
        <v>0</v>
      </c>
      <c r="AI186" s="32"/>
      <c r="AJ186" s="22">
        <f>IF(AN186=0,J186,0)</f>
        <v>0</v>
      </c>
      <c r="AK186" s="22">
        <f>IF(AN186=15,J186,0)</f>
        <v>0</v>
      </c>
      <c r="AL186" s="22">
        <f>IF(AN186=21,J186,0)</f>
        <v>0</v>
      </c>
      <c r="AN186" s="42">
        <v>15</v>
      </c>
      <c r="AO186" s="42">
        <f>G186*0</f>
        <v>0</v>
      </c>
      <c r="AP186" s="42">
        <f>G186*(1-0)</f>
        <v>0</v>
      </c>
      <c r="AQ186" s="43" t="s">
        <v>11</v>
      </c>
      <c r="AV186" s="42">
        <f>AW186+AX186</f>
        <v>0</v>
      </c>
      <c r="AW186" s="42">
        <f>F186*AO186</f>
        <v>0</v>
      </c>
      <c r="AX186" s="42">
        <f>F186*AP186</f>
        <v>0</v>
      </c>
      <c r="AY186" s="45" t="s">
        <v>739</v>
      </c>
      <c r="AZ186" s="45" t="s">
        <v>755</v>
      </c>
      <c r="BA186" s="32" t="s">
        <v>756</v>
      </c>
      <c r="BC186" s="42">
        <f>AW186+AX186</f>
        <v>0</v>
      </c>
      <c r="BD186" s="42">
        <f>G186/(100-BE186)*100</f>
        <v>0</v>
      </c>
      <c r="BE186" s="42">
        <v>0</v>
      </c>
      <c r="BF186" s="42">
        <f>L186</f>
        <v>0</v>
      </c>
      <c r="BH186" s="22">
        <f>F186*AO186</f>
        <v>0</v>
      </c>
      <c r="BI186" s="22">
        <f>F186*AP186</f>
        <v>0</v>
      </c>
      <c r="BJ186" s="22">
        <f>F186*G186</f>
        <v>0</v>
      </c>
      <c r="BK186" s="22" t="s">
        <v>761</v>
      </c>
      <c r="BL186" s="42" t="s">
        <v>377</v>
      </c>
    </row>
    <row r="187" spans="1:64" ht="12.75">
      <c r="A187" s="4" t="s">
        <v>160</v>
      </c>
      <c r="B187" s="13"/>
      <c r="C187" s="13" t="s">
        <v>379</v>
      </c>
      <c r="D187" s="13" t="s">
        <v>613</v>
      </c>
      <c r="E187" s="13" t="s">
        <v>687</v>
      </c>
      <c r="F187" s="22">
        <v>0.6145</v>
      </c>
      <c r="G187" s="90">
        <v>0</v>
      </c>
      <c r="H187" s="22">
        <f>F187*AO187</f>
        <v>0</v>
      </c>
      <c r="I187" s="22">
        <f>F187*AP187</f>
        <v>0</v>
      </c>
      <c r="J187" s="22">
        <f>F187*G187</f>
        <v>0</v>
      </c>
      <c r="K187" s="22">
        <v>0</v>
      </c>
      <c r="L187" s="22">
        <f>F187*K187</f>
        <v>0</v>
      </c>
      <c r="M187" s="36" t="s">
        <v>706</v>
      </c>
      <c r="N187" s="40"/>
      <c r="Z187" s="42">
        <f>IF(AQ187="5",BJ187,0)</f>
        <v>0</v>
      </c>
      <c r="AB187" s="42">
        <f>IF(AQ187="1",BH187,0)</f>
        <v>0</v>
      </c>
      <c r="AC187" s="42">
        <f>IF(AQ187="1",BI187,0)</f>
        <v>0</v>
      </c>
      <c r="AD187" s="42">
        <f>IF(AQ187="7",BH187,0)</f>
        <v>0</v>
      </c>
      <c r="AE187" s="42">
        <f>IF(AQ187="7",BI187,0)</f>
        <v>0</v>
      </c>
      <c r="AF187" s="42">
        <f>IF(AQ187="2",BH187,0)</f>
        <v>0</v>
      </c>
      <c r="AG187" s="42">
        <f>IF(AQ187="2",BI187,0)</f>
        <v>0</v>
      </c>
      <c r="AH187" s="42">
        <f>IF(AQ187="0",BJ187,0)</f>
        <v>0</v>
      </c>
      <c r="AI187" s="32"/>
      <c r="AJ187" s="22">
        <f>IF(AN187=0,J187,0)</f>
        <v>0</v>
      </c>
      <c r="AK187" s="22">
        <f>IF(AN187=15,J187,0)</f>
        <v>0</v>
      </c>
      <c r="AL187" s="22">
        <f>IF(AN187=21,J187,0)</f>
        <v>0</v>
      </c>
      <c r="AN187" s="42">
        <v>15</v>
      </c>
      <c r="AO187" s="42">
        <f>G187*0</f>
        <v>0</v>
      </c>
      <c r="AP187" s="42">
        <f>G187*(1-0)</f>
        <v>0</v>
      </c>
      <c r="AQ187" s="43" t="s">
        <v>11</v>
      </c>
      <c r="AV187" s="42">
        <f>AW187+AX187</f>
        <v>0</v>
      </c>
      <c r="AW187" s="42">
        <f>F187*AO187</f>
        <v>0</v>
      </c>
      <c r="AX187" s="42">
        <f>F187*AP187</f>
        <v>0</v>
      </c>
      <c r="AY187" s="45" t="s">
        <v>739</v>
      </c>
      <c r="AZ187" s="45" t="s">
        <v>755</v>
      </c>
      <c r="BA187" s="32" t="s">
        <v>756</v>
      </c>
      <c r="BC187" s="42">
        <f>AW187+AX187</f>
        <v>0</v>
      </c>
      <c r="BD187" s="42">
        <f>G187/(100-BE187)*100</f>
        <v>0</v>
      </c>
      <c r="BE187" s="42">
        <v>0</v>
      </c>
      <c r="BF187" s="42">
        <f>L187</f>
        <v>0</v>
      </c>
      <c r="BH187" s="22">
        <f>F187*AO187</f>
        <v>0</v>
      </c>
      <c r="BI187" s="22">
        <f>F187*AP187</f>
        <v>0</v>
      </c>
      <c r="BJ187" s="22">
        <f>F187*G187</f>
        <v>0</v>
      </c>
      <c r="BK187" s="22" t="s">
        <v>761</v>
      </c>
      <c r="BL187" s="42" t="s">
        <v>377</v>
      </c>
    </row>
    <row r="188" spans="1:64" ht="12.75">
      <c r="A188" s="4" t="s">
        <v>161</v>
      </c>
      <c r="B188" s="13"/>
      <c r="C188" s="13" t="s">
        <v>380</v>
      </c>
      <c r="D188" s="13" t="s">
        <v>614</v>
      </c>
      <c r="E188" s="13" t="s">
        <v>687</v>
      </c>
      <c r="F188" s="22">
        <v>0.6145</v>
      </c>
      <c r="G188" s="90">
        <v>0</v>
      </c>
      <c r="H188" s="22">
        <f>F188*AO188</f>
        <v>0</v>
      </c>
      <c r="I188" s="22">
        <f>F188*AP188</f>
        <v>0</v>
      </c>
      <c r="J188" s="22">
        <f>F188*G188</f>
        <v>0</v>
      </c>
      <c r="K188" s="22">
        <v>0</v>
      </c>
      <c r="L188" s="22">
        <f>F188*K188</f>
        <v>0</v>
      </c>
      <c r="M188" s="36" t="s">
        <v>706</v>
      </c>
      <c r="N188" s="40"/>
      <c r="Z188" s="42">
        <f>IF(AQ188="5",BJ188,0)</f>
        <v>0</v>
      </c>
      <c r="AB188" s="42">
        <f>IF(AQ188="1",BH188,0)</f>
        <v>0</v>
      </c>
      <c r="AC188" s="42">
        <f>IF(AQ188="1",BI188,0)</f>
        <v>0</v>
      </c>
      <c r="AD188" s="42">
        <f>IF(AQ188="7",BH188,0)</f>
        <v>0</v>
      </c>
      <c r="AE188" s="42">
        <f>IF(AQ188="7",BI188,0)</f>
        <v>0</v>
      </c>
      <c r="AF188" s="42">
        <f>IF(AQ188="2",BH188,0)</f>
        <v>0</v>
      </c>
      <c r="AG188" s="42">
        <f>IF(AQ188="2",BI188,0)</f>
        <v>0</v>
      </c>
      <c r="AH188" s="42">
        <f>IF(AQ188="0",BJ188,0)</f>
        <v>0</v>
      </c>
      <c r="AI188" s="32"/>
      <c r="AJ188" s="22">
        <f>IF(AN188=0,J188,0)</f>
        <v>0</v>
      </c>
      <c r="AK188" s="22">
        <f>IF(AN188=15,J188,0)</f>
        <v>0</v>
      </c>
      <c r="AL188" s="22">
        <f>IF(AN188=21,J188,0)</f>
        <v>0</v>
      </c>
      <c r="AN188" s="42">
        <v>15</v>
      </c>
      <c r="AO188" s="42">
        <f>G188*0</f>
        <v>0</v>
      </c>
      <c r="AP188" s="42">
        <f>G188*(1-0)</f>
        <v>0</v>
      </c>
      <c r="AQ188" s="43" t="s">
        <v>11</v>
      </c>
      <c r="AV188" s="42">
        <f>AW188+AX188</f>
        <v>0</v>
      </c>
      <c r="AW188" s="42">
        <f>F188*AO188</f>
        <v>0</v>
      </c>
      <c r="AX188" s="42">
        <f>F188*AP188</f>
        <v>0</v>
      </c>
      <c r="AY188" s="45" t="s">
        <v>739</v>
      </c>
      <c r="AZ188" s="45" t="s">
        <v>755</v>
      </c>
      <c r="BA188" s="32" t="s">
        <v>756</v>
      </c>
      <c r="BC188" s="42">
        <f>AW188+AX188</f>
        <v>0</v>
      </c>
      <c r="BD188" s="42">
        <f>G188/(100-BE188)*100</f>
        <v>0</v>
      </c>
      <c r="BE188" s="42">
        <v>0</v>
      </c>
      <c r="BF188" s="42">
        <f>L188</f>
        <v>0</v>
      </c>
      <c r="BH188" s="22">
        <f>F188*AO188</f>
        <v>0</v>
      </c>
      <c r="BI188" s="22">
        <f>F188*AP188</f>
        <v>0</v>
      </c>
      <c r="BJ188" s="22">
        <f>F188*G188</f>
        <v>0</v>
      </c>
      <c r="BK188" s="22" t="s">
        <v>761</v>
      </c>
      <c r="BL188" s="42" t="s">
        <v>377</v>
      </c>
    </row>
    <row r="189" spans="1:64" ht="12.75">
      <c r="A189" s="4" t="s">
        <v>162</v>
      </c>
      <c r="B189" s="13"/>
      <c r="C189" s="13" t="s">
        <v>381</v>
      </c>
      <c r="D189" s="13" t="s">
        <v>615</v>
      </c>
      <c r="E189" s="13" t="s">
        <v>687</v>
      </c>
      <c r="F189" s="22">
        <v>0.6145</v>
      </c>
      <c r="G189" s="90">
        <v>0</v>
      </c>
      <c r="H189" s="22">
        <f>F189*AO189</f>
        <v>0</v>
      </c>
      <c r="I189" s="22">
        <f>F189*AP189</f>
        <v>0</v>
      </c>
      <c r="J189" s="22">
        <f>F189*G189</f>
        <v>0</v>
      </c>
      <c r="K189" s="22">
        <v>0</v>
      </c>
      <c r="L189" s="22">
        <f>F189*K189</f>
        <v>0</v>
      </c>
      <c r="M189" s="36" t="s">
        <v>706</v>
      </c>
      <c r="N189" s="40"/>
      <c r="Z189" s="42">
        <f>IF(AQ189="5",BJ189,0)</f>
        <v>0</v>
      </c>
      <c r="AB189" s="42">
        <f>IF(AQ189="1",BH189,0)</f>
        <v>0</v>
      </c>
      <c r="AC189" s="42">
        <f>IF(AQ189="1",BI189,0)</f>
        <v>0</v>
      </c>
      <c r="AD189" s="42">
        <f>IF(AQ189="7",BH189,0)</f>
        <v>0</v>
      </c>
      <c r="AE189" s="42">
        <f>IF(AQ189="7",BI189,0)</f>
        <v>0</v>
      </c>
      <c r="AF189" s="42">
        <f>IF(AQ189="2",BH189,0)</f>
        <v>0</v>
      </c>
      <c r="AG189" s="42">
        <f>IF(AQ189="2",BI189,0)</f>
        <v>0</v>
      </c>
      <c r="AH189" s="42">
        <f>IF(AQ189="0",BJ189,0)</f>
        <v>0</v>
      </c>
      <c r="AI189" s="32"/>
      <c r="AJ189" s="22">
        <f>IF(AN189=0,J189,0)</f>
        <v>0</v>
      </c>
      <c r="AK189" s="22">
        <f>IF(AN189=15,J189,0)</f>
        <v>0</v>
      </c>
      <c r="AL189" s="22">
        <f>IF(AN189=21,J189,0)</f>
        <v>0</v>
      </c>
      <c r="AN189" s="42">
        <v>15</v>
      </c>
      <c r="AO189" s="42">
        <f>G189*0</f>
        <v>0</v>
      </c>
      <c r="AP189" s="42">
        <f>G189*(1-0)</f>
        <v>0</v>
      </c>
      <c r="AQ189" s="43" t="s">
        <v>11</v>
      </c>
      <c r="AV189" s="42">
        <f>AW189+AX189</f>
        <v>0</v>
      </c>
      <c r="AW189" s="42">
        <f>F189*AO189</f>
        <v>0</v>
      </c>
      <c r="AX189" s="42">
        <f>F189*AP189</f>
        <v>0</v>
      </c>
      <c r="AY189" s="45" t="s">
        <v>739</v>
      </c>
      <c r="AZ189" s="45" t="s">
        <v>755</v>
      </c>
      <c r="BA189" s="32" t="s">
        <v>756</v>
      </c>
      <c r="BC189" s="42">
        <f>AW189+AX189</f>
        <v>0</v>
      </c>
      <c r="BD189" s="42">
        <f>G189/(100-BE189)*100</f>
        <v>0</v>
      </c>
      <c r="BE189" s="42">
        <v>0</v>
      </c>
      <c r="BF189" s="42">
        <f>L189</f>
        <v>0</v>
      </c>
      <c r="BH189" s="22">
        <f>F189*AO189</f>
        <v>0</v>
      </c>
      <c r="BI189" s="22">
        <f>F189*AP189</f>
        <v>0</v>
      </c>
      <c r="BJ189" s="22">
        <f>F189*G189</f>
        <v>0</v>
      </c>
      <c r="BK189" s="22" t="s">
        <v>761</v>
      </c>
      <c r="BL189" s="42" t="s">
        <v>377</v>
      </c>
    </row>
    <row r="190" spans="1:47" ht="12.75">
      <c r="A190" s="5"/>
      <c r="B190" s="14"/>
      <c r="C190" s="14" t="s">
        <v>382</v>
      </c>
      <c r="D190" s="14" t="s">
        <v>616</v>
      </c>
      <c r="E190" s="20" t="s">
        <v>6</v>
      </c>
      <c r="F190" s="20" t="s">
        <v>6</v>
      </c>
      <c r="G190" s="20" t="s">
        <v>6</v>
      </c>
      <c r="H190" s="48">
        <f>SUM(H191:H209)</f>
        <v>0</v>
      </c>
      <c r="I190" s="48">
        <f>SUM(I191:I209)</f>
        <v>0</v>
      </c>
      <c r="J190" s="48">
        <f>SUM(J191:J209)</f>
        <v>0</v>
      </c>
      <c r="K190" s="32"/>
      <c r="L190" s="48">
        <f>SUM(L191:L209)</f>
        <v>0.0092</v>
      </c>
      <c r="M190" s="37"/>
      <c r="N190" s="40"/>
      <c r="AI190" s="32"/>
      <c r="AS190" s="48">
        <f>SUM(AJ191:AJ209)</f>
        <v>0</v>
      </c>
      <c r="AT190" s="48">
        <f>SUM(AK191:AK209)</f>
        <v>0</v>
      </c>
      <c r="AU190" s="48">
        <f>SUM(AL191:AL209)</f>
        <v>0</v>
      </c>
    </row>
    <row r="191" spans="1:64" ht="12.75">
      <c r="A191" s="6" t="s">
        <v>163</v>
      </c>
      <c r="B191" s="15"/>
      <c r="C191" s="15" t="s">
        <v>383</v>
      </c>
      <c r="D191" s="15" t="s">
        <v>617</v>
      </c>
      <c r="E191" s="15" t="s">
        <v>679</v>
      </c>
      <c r="F191" s="23">
        <v>4</v>
      </c>
      <c r="G191" s="91">
        <v>0</v>
      </c>
      <c r="H191" s="23">
        <f aca="true" t="shared" si="200" ref="H191:H209">F191*AO191</f>
        <v>0</v>
      </c>
      <c r="I191" s="23">
        <f aca="true" t="shared" si="201" ref="I191:I209">F191*AP191</f>
        <v>0</v>
      </c>
      <c r="J191" s="23">
        <f aca="true" t="shared" si="202" ref="J191:J209">F191*G191</f>
        <v>0</v>
      </c>
      <c r="K191" s="23">
        <v>0.0003</v>
      </c>
      <c r="L191" s="23">
        <f aca="true" t="shared" si="203" ref="L191:L209">F191*K191</f>
        <v>0.0012</v>
      </c>
      <c r="M191" s="38"/>
      <c r="N191" s="40"/>
      <c r="Z191" s="42">
        <f aca="true" t="shared" si="204" ref="Z191:Z209">IF(AQ191="5",BJ191,0)</f>
        <v>0</v>
      </c>
      <c r="AB191" s="42">
        <f aca="true" t="shared" si="205" ref="AB191:AB209">IF(AQ191="1",BH191,0)</f>
        <v>0</v>
      </c>
      <c r="AC191" s="42">
        <f aca="true" t="shared" si="206" ref="AC191:AC209">IF(AQ191="1",BI191,0)</f>
        <v>0</v>
      </c>
      <c r="AD191" s="42">
        <f aca="true" t="shared" si="207" ref="AD191:AD209">IF(AQ191="7",BH191,0)</f>
        <v>0</v>
      </c>
      <c r="AE191" s="42">
        <f aca="true" t="shared" si="208" ref="AE191:AE209">IF(AQ191="7",BI191,0)</f>
        <v>0</v>
      </c>
      <c r="AF191" s="42">
        <f aca="true" t="shared" si="209" ref="AF191:AF209">IF(AQ191="2",BH191,0)</f>
        <v>0</v>
      </c>
      <c r="AG191" s="42">
        <f aca="true" t="shared" si="210" ref="AG191:AG209">IF(AQ191="2",BI191,0)</f>
        <v>0</v>
      </c>
      <c r="AH191" s="42">
        <f aca="true" t="shared" si="211" ref="AH191:AH209">IF(AQ191="0",BJ191,0)</f>
        <v>0</v>
      </c>
      <c r="AI191" s="32"/>
      <c r="AJ191" s="23">
        <f aca="true" t="shared" si="212" ref="AJ191:AJ209">IF(AN191=0,J191,0)</f>
        <v>0</v>
      </c>
      <c r="AK191" s="23">
        <f aca="true" t="shared" si="213" ref="AK191:AK209">IF(AN191=15,J191,0)</f>
        <v>0</v>
      </c>
      <c r="AL191" s="23">
        <f aca="true" t="shared" si="214" ref="AL191:AL209">IF(AN191=21,J191,0)</f>
        <v>0</v>
      </c>
      <c r="AN191" s="42">
        <v>15</v>
      </c>
      <c r="AO191" s="42">
        <f aca="true" t="shared" si="215" ref="AO191:AO209">G191*1</f>
        <v>0</v>
      </c>
      <c r="AP191" s="42">
        <f aca="true" t="shared" si="216" ref="AP191:AP209">G191*(1-1)</f>
        <v>0</v>
      </c>
      <c r="AQ191" s="44" t="s">
        <v>7</v>
      </c>
      <c r="AV191" s="42">
        <f aca="true" t="shared" si="217" ref="AV191:AV209">AW191+AX191</f>
        <v>0</v>
      </c>
      <c r="AW191" s="42">
        <f aca="true" t="shared" si="218" ref="AW191:AW209">F191*AO191</f>
        <v>0</v>
      </c>
      <c r="AX191" s="42">
        <f aca="true" t="shared" si="219" ref="AX191:AX209">F191*AP191</f>
        <v>0</v>
      </c>
      <c r="AY191" s="45" t="s">
        <v>740</v>
      </c>
      <c r="AZ191" s="45" t="s">
        <v>755</v>
      </c>
      <c r="BA191" s="32" t="s">
        <v>756</v>
      </c>
      <c r="BC191" s="42">
        <f aca="true" t="shared" si="220" ref="BC191:BC209">AW191+AX191</f>
        <v>0</v>
      </c>
      <c r="BD191" s="42">
        <f aca="true" t="shared" si="221" ref="BD191:BD209">G191/(100-BE191)*100</f>
        <v>0</v>
      </c>
      <c r="BE191" s="42">
        <v>0</v>
      </c>
      <c r="BF191" s="42">
        <f aca="true" t="shared" si="222" ref="BF191:BF209">L191</f>
        <v>0.0012</v>
      </c>
      <c r="BH191" s="23">
        <f aca="true" t="shared" si="223" ref="BH191:BH209">F191*AO191</f>
        <v>0</v>
      </c>
      <c r="BI191" s="23">
        <f aca="true" t="shared" si="224" ref="BI191:BI209">F191*AP191</f>
        <v>0</v>
      </c>
      <c r="BJ191" s="23">
        <f aca="true" t="shared" si="225" ref="BJ191:BJ209">F191*G191</f>
        <v>0</v>
      </c>
      <c r="BK191" s="23" t="s">
        <v>762</v>
      </c>
      <c r="BL191" s="42" t="s">
        <v>382</v>
      </c>
    </row>
    <row r="192" spans="1:64" ht="12.75">
      <c r="A192" s="6" t="s">
        <v>164</v>
      </c>
      <c r="B192" s="15"/>
      <c r="C192" s="15" t="s">
        <v>384</v>
      </c>
      <c r="D192" s="15" t="s">
        <v>618</v>
      </c>
      <c r="E192" s="15" t="s">
        <v>679</v>
      </c>
      <c r="F192" s="23">
        <v>3</v>
      </c>
      <c r="G192" s="91">
        <v>0</v>
      </c>
      <c r="H192" s="23">
        <f t="shared" si="200"/>
        <v>0</v>
      </c>
      <c r="I192" s="23">
        <f t="shared" si="201"/>
        <v>0</v>
      </c>
      <c r="J192" s="23">
        <f t="shared" si="202"/>
        <v>0</v>
      </c>
      <c r="K192" s="23">
        <v>0.001</v>
      </c>
      <c r="L192" s="23">
        <f t="shared" si="203"/>
        <v>0.003</v>
      </c>
      <c r="M192" s="38"/>
      <c r="N192" s="40"/>
      <c r="Z192" s="42">
        <f t="shared" si="204"/>
        <v>0</v>
      </c>
      <c r="AB192" s="42">
        <f t="shared" si="205"/>
        <v>0</v>
      </c>
      <c r="AC192" s="42">
        <f t="shared" si="206"/>
        <v>0</v>
      </c>
      <c r="AD192" s="42">
        <f t="shared" si="207"/>
        <v>0</v>
      </c>
      <c r="AE192" s="42">
        <f t="shared" si="208"/>
        <v>0</v>
      </c>
      <c r="AF192" s="42">
        <f t="shared" si="209"/>
        <v>0</v>
      </c>
      <c r="AG192" s="42">
        <f t="shared" si="210"/>
        <v>0</v>
      </c>
      <c r="AH192" s="42">
        <f t="shared" si="211"/>
        <v>0</v>
      </c>
      <c r="AI192" s="32"/>
      <c r="AJ192" s="23">
        <f t="shared" si="212"/>
        <v>0</v>
      </c>
      <c r="AK192" s="23">
        <f t="shared" si="213"/>
        <v>0</v>
      </c>
      <c r="AL192" s="23">
        <f t="shared" si="214"/>
        <v>0</v>
      </c>
      <c r="AN192" s="42">
        <v>15</v>
      </c>
      <c r="AO192" s="42">
        <f t="shared" si="215"/>
        <v>0</v>
      </c>
      <c r="AP192" s="42">
        <f t="shared" si="216"/>
        <v>0</v>
      </c>
      <c r="AQ192" s="44" t="s">
        <v>7</v>
      </c>
      <c r="AV192" s="42">
        <f t="shared" si="217"/>
        <v>0</v>
      </c>
      <c r="AW192" s="42">
        <f t="shared" si="218"/>
        <v>0</v>
      </c>
      <c r="AX192" s="42">
        <f t="shared" si="219"/>
        <v>0</v>
      </c>
      <c r="AY192" s="45" t="s">
        <v>740</v>
      </c>
      <c r="AZ192" s="45" t="s">
        <v>755</v>
      </c>
      <c r="BA192" s="32" t="s">
        <v>756</v>
      </c>
      <c r="BC192" s="42">
        <f t="shared" si="220"/>
        <v>0</v>
      </c>
      <c r="BD192" s="42">
        <f t="shared" si="221"/>
        <v>0</v>
      </c>
      <c r="BE192" s="42">
        <v>0</v>
      </c>
      <c r="BF192" s="42">
        <f t="shared" si="222"/>
        <v>0.003</v>
      </c>
      <c r="BH192" s="23">
        <f t="shared" si="223"/>
        <v>0</v>
      </c>
      <c r="BI192" s="23">
        <f t="shared" si="224"/>
        <v>0</v>
      </c>
      <c r="BJ192" s="23">
        <f t="shared" si="225"/>
        <v>0</v>
      </c>
      <c r="BK192" s="23" t="s">
        <v>762</v>
      </c>
      <c r="BL192" s="42" t="s">
        <v>382</v>
      </c>
    </row>
    <row r="193" spans="1:64" ht="12.75">
      <c r="A193" s="6" t="s">
        <v>165</v>
      </c>
      <c r="B193" s="15"/>
      <c r="C193" s="15" t="s">
        <v>385</v>
      </c>
      <c r="D193" s="15" t="s">
        <v>619</v>
      </c>
      <c r="E193" s="15" t="s">
        <v>679</v>
      </c>
      <c r="F193" s="23">
        <v>3</v>
      </c>
      <c r="G193" s="91">
        <v>0</v>
      </c>
      <c r="H193" s="23">
        <f t="shared" si="200"/>
        <v>0</v>
      </c>
      <c r="I193" s="23">
        <f t="shared" si="201"/>
        <v>0</v>
      </c>
      <c r="J193" s="23">
        <f t="shared" si="202"/>
        <v>0</v>
      </c>
      <c r="K193" s="23">
        <v>0</v>
      </c>
      <c r="L193" s="23">
        <f t="shared" si="203"/>
        <v>0</v>
      </c>
      <c r="M193" s="38"/>
      <c r="N193" s="40"/>
      <c r="Z193" s="42">
        <f t="shared" si="204"/>
        <v>0</v>
      </c>
      <c r="AB193" s="42">
        <f t="shared" si="205"/>
        <v>0</v>
      </c>
      <c r="AC193" s="42">
        <f t="shared" si="206"/>
        <v>0</v>
      </c>
      <c r="AD193" s="42">
        <f t="shared" si="207"/>
        <v>0</v>
      </c>
      <c r="AE193" s="42">
        <f t="shared" si="208"/>
        <v>0</v>
      </c>
      <c r="AF193" s="42">
        <f t="shared" si="209"/>
        <v>0</v>
      </c>
      <c r="AG193" s="42">
        <f t="shared" si="210"/>
        <v>0</v>
      </c>
      <c r="AH193" s="42">
        <f t="shared" si="211"/>
        <v>0</v>
      </c>
      <c r="AI193" s="32"/>
      <c r="AJ193" s="23">
        <f t="shared" si="212"/>
        <v>0</v>
      </c>
      <c r="AK193" s="23">
        <f t="shared" si="213"/>
        <v>0</v>
      </c>
      <c r="AL193" s="23">
        <f t="shared" si="214"/>
        <v>0</v>
      </c>
      <c r="AN193" s="42">
        <v>15</v>
      </c>
      <c r="AO193" s="42">
        <f t="shared" si="215"/>
        <v>0</v>
      </c>
      <c r="AP193" s="42">
        <f t="shared" si="216"/>
        <v>0</v>
      </c>
      <c r="AQ193" s="44" t="s">
        <v>7</v>
      </c>
      <c r="AV193" s="42">
        <f t="shared" si="217"/>
        <v>0</v>
      </c>
      <c r="AW193" s="42">
        <f t="shared" si="218"/>
        <v>0</v>
      </c>
      <c r="AX193" s="42">
        <f t="shared" si="219"/>
        <v>0</v>
      </c>
      <c r="AY193" s="45" t="s">
        <v>740</v>
      </c>
      <c r="AZ193" s="45" t="s">
        <v>755</v>
      </c>
      <c r="BA193" s="32" t="s">
        <v>756</v>
      </c>
      <c r="BC193" s="42">
        <f t="shared" si="220"/>
        <v>0</v>
      </c>
      <c r="BD193" s="42">
        <f t="shared" si="221"/>
        <v>0</v>
      </c>
      <c r="BE193" s="42">
        <v>0</v>
      </c>
      <c r="BF193" s="42">
        <f t="shared" si="222"/>
        <v>0</v>
      </c>
      <c r="BH193" s="23">
        <f t="shared" si="223"/>
        <v>0</v>
      </c>
      <c r="BI193" s="23">
        <f t="shared" si="224"/>
        <v>0</v>
      </c>
      <c r="BJ193" s="23">
        <f t="shared" si="225"/>
        <v>0</v>
      </c>
      <c r="BK193" s="23" t="s">
        <v>762</v>
      </c>
      <c r="BL193" s="42" t="s">
        <v>382</v>
      </c>
    </row>
    <row r="194" spans="1:64" ht="12.75">
      <c r="A194" s="6" t="s">
        <v>166</v>
      </c>
      <c r="B194" s="15"/>
      <c r="C194" s="15" t="s">
        <v>386</v>
      </c>
      <c r="D194" s="15" t="s">
        <v>620</v>
      </c>
      <c r="E194" s="15" t="s">
        <v>679</v>
      </c>
      <c r="F194" s="23">
        <v>1</v>
      </c>
      <c r="G194" s="91">
        <v>0</v>
      </c>
      <c r="H194" s="23">
        <f t="shared" si="200"/>
        <v>0</v>
      </c>
      <c r="I194" s="23">
        <f t="shared" si="201"/>
        <v>0</v>
      </c>
      <c r="J194" s="23">
        <f t="shared" si="202"/>
        <v>0</v>
      </c>
      <c r="K194" s="23">
        <v>0</v>
      </c>
      <c r="L194" s="23">
        <f t="shared" si="203"/>
        <v>0</v>
      </c>
      <c r="M194" s="38"/>
      <c r="N194" s="40"/>
      <c r="Z194" s="42">
        <f t="shared" si="204"/>
        <v>0</v>
      </c>
      <c r="AB194" s="42">
        <f t="shared" si="205"/>
        <v>0</v>
      </c>
      <c r="AC194" s="42">
        <f t="shared" si="206"/>
        <v>0</v>
      </c>
      <c r="AD194" s="42">
        <f t="shared" si="207"/>
        <v>0</v>
      </c>
      <c r="AE194" s="42">
        <f t="shared" si="208"/>
        <v>0</v>
      </c>
      <c r="AF194" s="42">
        <f t="shared" si="209"/>
        <v>0</v>
      </c>
      <c r="AG194" s="42">
        <f t="shared" si="210"/>
        <v>0</v>
      </c>
      <c r="AH194" s="42">
        <f t="shared" si="211"/>
        <v>0</v>
      </c>
      <c r="AI194" s="32"/>
      <c r="AJ194" s="23">
        <f t="shared" si="212"/>
        <v>0</v>
      </c>
      <c r="AK194" s="23">
        <f t="shared" si="213"/>
        <v>0</v>
      </c>
      <c r="AL194" s="23">
        <f t="shared" si="214"/>
        <v>0</v>
      </c>
      <c r="AN194" s="42">
        <v>15</v>
      </c>
      <c r="AO194" s="42">
        <f t="shared" si="215"/>
        <v>0</v>
      </c>
      <c r="AP194" s="42">
        <f t="shared" si="216"/>
        <v>0</v>
      </c>
      <c r="AQ194" s="44" t="s">
        <v>7</v>
      </c>
      <c r="AV194" s="42">
        <f t="shared" si="217"/>
        <v>0</v>
      </c>
      <c r="AW194" s="42">
        <f t="shared" si="218"/>
        <v>0</v>
      </c>
      <c r="AX194" s="42">
        <f t="shared" si="219"/>
        <v>0</v>
      </c>
      <c r="AY194" s="45" t="s">
        <v>740</v>
      </c>
      <c r="AZ194" s="45" t="s">
        <v>755</v>
      </c>
      <c r="BA194" s="32" t="s">
        <v>756</v>
      </c>
      <c r="BC194" s="42">
        <f t="shared" si="220"/>
        <v>0</v>
      </c>
      <c r="BD194" s="42">
        <f t="shared" si="221"/>
        <v>0</v>
      </c>
      <c r="BE194" s="42">
        <v>0</v>
      </c>
      <c r="BF194" s="42">
        <f t="shared" si="222"/>
        <v>0</v>
      </c>
      <c r="BH194" s="23">
        <f t="shared" si="223"/>
        <v>0</v>
      </c>
      <c r="BI194" s="23">
        <f t="shared" si="224"/>
        <v>0</v>
      </c>
      <c r="BJ194" s="23">
        <f t="shared" si="225"/>
        <v>0</v>
      </c>
      <c r="BK194" s="23" t="s">
        <v>762</v>
      </c>
      <c r="BL194" s="42" t="s">
        <v>382</v>
      </c>
    </row>
    <row r="195" spans="1:64" ht="12.75">
      <c r="A195" s="6" t="s">
        <v>167</v>
      </c>
      <c r="B195" s="15"/>
      <c r="C195" s="15" t="s">
        <v>387</v>
      </c>
      <c r="D195" s="15" t="s">
        <v>621</v>
      </c>
      <c r="E195" s="15" t="s">
        <v>679</v>
      </c>
      <c r="F195" s="23">
        <v>1</v>
      </c>
      <c r="G195" s="91">
        <v>0</v>
      </c>
      <c r="H195" s="23">
        <f t="shared" si="200"/>
        <v>0</v>
      </c>
      <c r="I195" s="23">
        <f t="shared" si="201"/>
        <v>0</v>
      </c>
      <c r="J195" s="23">
        <f t="shared" si="202"/>
        <v>0</v>
      </c>
      <c r="K195" s="23">
        <v>0</v>
      </c>
      <c r="L195" s="23">
        <f t="shared" si="203"/>
        <v>0</v>
      </c>
      <c r="M195" s="38"/>
      <c r="N195" s="40"/>
      <c r="Z195" s="42">
        <f t="shared" si="204"/>
        <v>0</v>
      </c>
      <c r="AB195" s="42">
        <f t="shared" si="205"/>
        <v>0</v>
      </c>
      <c r="AC195" s="42">
        <f t="shared" si="206"/>
        <v>0</v>
      </c>
      <c r="AD195" s="42">
        <f t="shared" si="207"/>
        <v>0</v>
      </c>
      <c r="AE195" s="42">
        <f t="shared" si="208"/>
        <v>0</v>
      </c>
      <c r="AF195" s="42">
        <f t="shared" si="209"/>
        <v>0</v>
      </c>
      <c r="AG195" s="42">
        <f t="shared" si="210"/>
        <v>0</v>
      </c>
      <c r="AH195" s="42">
        <f t="shared" si="211"/>
        <v>0</v>
      </c>
      <c r="AI195" s="32"/>
      <c r="AJ195" s="23">
        <f t="shared" si="212"/>
        <v>0</v>
      </c>
      <c r="AK195" s="23">
        <f t="shared" si="213"/>
        <v>0</v>
      </c>
      <c r="AL195" s="23">
        <f t="shared" si="214"/>
        <v>0</v>
      </c>
      <c r="AN195" s="42">
        <v>15</v>
      </c>
      <c r="AO195" s="42">
        <f t="shared" si="215"/>
        <v>0</v>
      </c>
      <c r="AP195" s="42">
        <f t="shared" si="216"/>
        <v>0</v>
      </c>
      <c r="AQ195" s="44" t="s">
        <v>7</v>
      </c>
      <c r="AV195" s="42">
        <f t="shared" si="217"/>
        <v>0</v>
      </c>
      <c r="AW195" s="42">
        <f t="shared" si="218"/>
        <v>0</v>
      </c>
      <c r="AX195" s="42">
        <f t="shared" si="219"/>
        <v>0</v>
      </c>
      <c r="AY195" s="45" t="s">
        <v>740</v>
      </c>
      <c r="AZ195" s="45" t="s">
        <v>755</v>
      </c>
      <c r="BA195" s="32" t="s">
        <v>756</v>
      </c>
      <c r="BC195" s="42">
        <f t="shared" si="220"/>
        <v>0</v>
      </c>
      <c r="BD195" s="42">
        <f t="shared" si="221"/>
        <v>0</v>
      </c>
      <c r="BE195" s="42">
        <v>0</v>
      </c>
      <c r="BF195" s="42">
        <f t="shared" si="222"/>
        <v>0</v>
      </c>
      <c r="BH195" s="23">
        <f t="shared" si="223"/>
        <v>0</v>
      </c>
      <c r="BI195" s="23">
        <f t="shared" si="224"/>
        <v>0</v>
      </c>
      <c r="BJ195" s="23">
        <f t="shared" si="225"/>
        <v>0</v>
      </c>
      <c r="BK195" s="23" t="s">
        <v>762</v>
      </c>
      <c r="BL195" s="42" t="s">
        <v>382</v>
      </c>
    </row>
    <row r="196" spans="1:64" ht="12.75">
      <c r="A196" s="6" t="s">
        <v>168</v>
      </c>
      <c r="B196" s="15"/>
      <c r="C196" s="15" t="s">
        <v>388</v>
      </c>
      <c r="D196" s="15" t="s">
        <v>622</v>
      </c>
      <c r="E196" s="15" t="s">
        <v>679</v>
      </c>
      <c r="F196" s="23">
        <v>2</v>
      </c>
      <c r="G196" s="91">
        <v>0</v>
      </c>
      <c r="H196" s="23">
        <f t="shared" si="200"/>
        <v>0</v>
      </c>
      <c r="I196" s="23">
        <f t="shared" si="201"/>
        <v>0</v>
      </c>
      <c r="J196" s="23">
        <f t="shared" si="202"/>
        <v>0</v>
      </c>
      <c r="K196" s="23">
        <v>0</v>
      </c>
      <c r="L196" s="23">
        <f t="shared" si="203"/>
        <v>0</v>
      </c>
      <c r="M196" s="38"/>
      <c r="N196" s="40"/>
      <c r="Z196" s="42">
        <f t="shared" si="204"/>
        <v>0</v>
      </c>
      <c r="AB196" s="42">
        <f t="shared" si="205"/>
        <v>0</v>
      </c>
      <c r="AC196" s="42">
        <f t="shared" si="206"/>
        <v>0</v>
      </c>
      <c r="AD196" s="42">
        <f t="shared" si="207"/>
        <v>0</v>
      </c>
      <c r="AE196" s="42">
        <f t="shared" si="208"/>
        <v>0</v>
      </c>
      <c r="AF196" s="42">
        <f t="shared" si="209"/>
        <v>0</v>
      </c>
      <c r="AG196" s="42">
        <f t="shared" si="210"/>
        <v>0</v>
      </c>
      <c r="AH196" s="42">
        <f t="shared" si="211"/>
        <v>0</v>
      </c>
      <c r="AI196" s="32"/>
      <c r="AJ196" s="23">
        <f t="shared" si="212"/>
        <v>0</v>
      </c>
      <c r="AK196" s="23">
        <f t="shared" si="213"/>
        <v>0</v>
      </c>
      <c r="AL196" s="23">
        <f t="shared" si="214"/>
        <v>0</v>
      </c>
      <c r="AN196" s="42">
        <v>15</v>
      </c>
      <c r="AO196" s="42">
        <f t="shared" si="215"/>
        <v>0</v>
      </c>
      <c r="AP196" s="42">
        <f t="shared" si="216"/>
        <v>0</v>
      </c>
      <c r="AQ196" s="44" t="s">
        <v>7</v>
      </c>
      <c r="AV196" s="42">
        <f t="shared" si="217"/>
        <v>0</v>
      </c>
      <c r="AW196" s="42">
        <f t="shared" si="218"/>
        <v>0</v>
      </c>
      <c r="AX196" s="42">
        <f t="shared" si="219"/>
        <v>0</v>
      </c>
      <c r="AY196" s="45" t="s">
        <v>740</v>
      </c>
      <c r="AZ196" s="45" t="s">
        <v>755</v>
      </c>
      <c r="BA196" s="32" t="s">
        <v>756</v>
      </c>
      <c r="BC196" s="42">
        <f t="shared" si="220"/>
        <v>0</v>
      </c>
      <c r="BD196" s="42">
        <f t="shared" si="221"/>
        <v>0</v>
      </c>
      <c r="BE196" s="42">
        <v>0</v>
      </c>
      <c r="BF196" s="42">
        <f t="shared" si="222"/>
        <v>0</v>
      </c>
      <c r="BH196" s="23">
        <f t="shared" si="223"/>
        <v>0</v>
      </c>
      <c r="BI196" s="23">
        <f t="shared" si="224"/>
        <v>0</v>
      </c>
      <c r="BJ196" s="23">
        <f t="shared" si="225"/>
        <v>0</v>
      </c>
      <c r="BK196" s="23" t="s">
        <v>762</v>
      </c>
      <c r="BL196" s="42" t="s">
        <v>382</v>
      </c>
    </row>
    <row r="197" spans="1:64" ht="25.5">
      <c r="A197" s="6" t="s">
        <v>169</v>
      </c>
      <c r="B197" s="15"/>
      <c r="C197" s="15" t="s">
        <v>389</v>
      </c>
      <c r="D197" s="80" t="s">
        <v>623</v>
      </c>
      <c r="E197" s="15" t="s">
        <v>679</v>
      </c>
      <c r="F197" s="23">
        <v>2</v>
      </c>
      <c r="G197" s="91">
        <v>0</v>
      </c>
      <c r="H197" s="23">
        <f t="shared" si="200"/>
        <v>0</v>
      </c>
      <c r="I197" s="23">
        <f t="shared" si="201"/>
        <v>0</v>
      </c>
      <c r="J197" s="23">
        <f t="shared" si="202"/>
        <v>0</v>
      </c>
      <c r="K197" s="23">
        <v>0.0015</v>
      </c>
      <c r="L197" s="23">
        <f t="shared" si="203"/>
        <v>0.003</v>
      </c>
      <c r="M197" s="38"/>
      <c r="N197" s="40"/>
      <c r="Z197" s="42">
        <f t="shared" si="204"/>
        <v>0</v>
      </c>
      <c r="AB197" s="42">
        <f t="shared" si="205"/>
        <v>0</v>
      </c>
      <c r="AC197" s="42">
        <f t="shared" si="206"/>
        <v>0</v>
      </c>
      <c r="AD197" s="42">
        <f t="shared" si="207"/>
        <v>0</v>
      </c>
      <c r="AE197" s="42">
        <f t="shared" si="208"/>
        <v>0</v>
      </c>
      <c r="AF197" s="42">
        <f t="shared" si="209"/>
        <v>0</v>
      </c>
      <c r="AG197" s="42">
        <f t="shared" si="210"/>
        <v>0</v>
      </c>
      <c r="AH197" s="42">
        <f t="shared" si="211"/>
        <v>0</v>
      </c>
      <c r="AI197" s="32"/>
      <c r="AJ197" s="23">
        <f t="shared" si="212"/>
        <v>0</v>
      </c>
      <c r="AK197" s="23">
        <f t="shared" si="213"/>
        <v>0</v>
      </c>
      <c r="AL197" s="23">
        <f t="shared" si="214"/>
        <v>0</v>
      </c>
      <c r="AN197" s="42">
        <v>15</v>
      </c>
      <c r="AO197" s="42">
        <f t="shared" si="215"/>
        <v>0</v>
      </c>
      <c r="AP197" s="42">
        <f t="shared" si="216"/>
        <v>0</v>
      </c>
      <c r="AQ197" s="44" t="s">
        <v>7</v>
      </c>
      <c r="AV197" s="42">
        <f t="shared" si="217"/>
        <v>0</v>
      </c>
      <c r="AW197" s="42">
        <f t="shared" si="218"/>
        <v>0</v>
      </c>
      <c r="AX197" s="42">
        <f t="shared" si="219"/>
        <v>0</v>
      </c>
      <c r="AY197" s="45" t="s">
        <v>740</v>
      </c>
      <c r="AZ197" s="45" t="s">
        <v>755</v>
      </c>
      <c r="BA197" s="32" t="s">
        <v>756</v>
      </c>
      <c r="BC197" s="42">
        <f t="shared" si="220"/>
        <v>0</v>
      </c>
      <c r="BD197" s="42">
        <f t="shared" si="221"/>
        <v>0</v>
      </c>
      <c r="BE197" s="42">
        <v>0</v>
      </c>
      <c r="BF197" s="42">
        <f t="shared" si="222"/>
        <v>0.003</v>
      </c>
      <c r="BH197" s="23">
        <f t="shared" si="223"/>
        <v>0</v>
      </c>
      <c r="BI197" s="23">
        <f t="shared" si="224"/>
        <v>0</v>
      </c>
      <c r="BJ197" s="23">
        <f t="shared" si="225"/>
        <v>0</v>
      </c>
      <c r="BK197" s="23" t="s">
        <v>762</v>
      </c>
      <c r="BL197" s="42" t="s">
        <v>382</v>
      </c>
    </row>
    <row r="198" spans="1:64" ht="12.75">
      <c r="A198" s="6" t="s">
        <v>170</v>
      </c>
      <c r="B198" s="15"/>
      <c r="C198" s="15" t="s">
        <v>390</v>
      </c>
      <c r="D198" s="15" t="s">
        <v>624</v>
      </c>
      <c r="E198" s="15" t="s">
        <v>679</v>
      </c>
      <c r="F198" s="23">
        <v>1</v>
      </c>
      <c r="G198" s="91">
        <v>0</v>
      </c>
      <c r="H198" s="23">
        <f t="shared" si="200"/>
        <v>0</v>
      </c>
      <c r="I198" s="23">
        <f t="shared" si="201"/>
        <v>0</v>
      </c>
      <c r="J198" s="23">
        <f t="shared" si="202"/>
        <v>0</v>
      </c>
      <c r="K198" s="23">
        <v>0</v>
      </c>
      <c r="L198" s="23">
        <f t="shared" si="203"/>
        <v>0</v>
      </c>
      <c r="M198" s="38"/>
      <c r="N198" s="40"/>
      <c r="Z198" s="42">
        <f t="shared" si="204"/>
        <v>0</v>
      </c>
      <c r="AB198" s="42">
        <f t="shared" si="205"/>
        <v>0</v>
      </c>
      <c r="AC198" s="42">
        <f t="shared" si="206"/>
        <v>0</v>
      </c>
      <c r="AD198" s="42">
        <f t="shared" si="207"/>
        <v>0</v>
      </c>
      <c r="AE198" s="42">
        <f t="shared" si="208"/>
        <v>0</v>
      </c>
      <c r="AF198" s="42">
        <f t="shared" si="209"/>
        <v>0</v>
      </c>
      <c r="AG198" s="42">
        <f t="shared" si="210"/>
        <v>0</v>
      </c>
      <c r="AH198" s="42">
        <f t="shared" si="211"/>
        <v>0</v>
      </c>
      <c r="AI198" s="32"/>
      <c r="AJ198" s="23">
        <f t="shared" si="212"/>
        <v>0</v>
      </c>
      <c r="AK198" s="23">
        <f t="shared" si="213"/>
        <v>0</v>
      </c>
      <c r="AL198" s="23">
        <f t="shared" si="214"/>
        <v>0</v>
      </c>
      <c r="AN198" s="42">
        <v>15</v>
      </c>
      <c r="AO198" s="42">
        <f t="shared" si="215"/>
        <v>0</v>
      </c>
      <c r="AP198" s="42">
        <f t="shared" si="216"/>
        <v>0</v>
      </c>
      <c r="AQ198" s="44" t="s">
        <v>7</v>
      </c>
      <c r="AV198" s="42">
        <f t="shared" si="217"/>
        <v>0</v>
      </c>
      <c r="AW198" s="42">
        <f t="shared" si="218"/>
        <v>0</v>
      </c>
      <c r="AX198" s="42">
        <f t="shared" si="219"/>
        <v>0</v>
      </c>
      <c r="AY198" s="45" t="s">
        <v>740</v>
      </c>
      <c r="AZ198" s="45" t="s">
        <v>755</v>
      </c>
      <c r="BA198" s="32" t="s">
        <v>756</v>
      </c>
      <c r="BC198" s="42">
        <f t="shared" si="220"/>
        <v>0</v>
      </c>
      <c r="BD198" s="42">
        <f t="shared" si="221"/>
        <v>0</v>
      </c>
      <c r="BE198" s="42">
        <v>0</v>
      </c>
      <c r="BF198" s="42">
        <f t="shared" si="222"/>
        <v>0</v>
      </c>
      <c r="BH198" s="23">
        <f t="shared" si="223"/>
        <v>0</v>
      </c>
      <c r="BI198" s="23">
        <f t="shared" si="224"/>
        <v>0</v>
      </c>
      <c r="BJ198" s="23">
        <f t="shared" si="225"/>
        <v>0</v>
      </c>
      <c r="BK198" s="23" t="s">
        <v>762</v>
      </c>
      <c r="BL198" s="42" t="s">
        <v>382</v>
      </c>
    </row>
    <row r="199" spans="1:64" ht="12.75">
      <c r="A199" s="6" t="s">
        <v>171</v>
      </c>
      <c r="B199" s="15"/>
      <c r="C199" s="15" t="s">
        <v>391</v>
      </c>
      <c r="D199" s="15" t="s">
        <v>625</v>
      </c>
      <c r="E199" s="15" t="s">
        <v>679</v>
      </c>
      <c r="F199" s="23">
        <v>1</v>
      </c>
      <c r="G199" s="91">
        <v>0</v>
      </c>
      <c r="H199" s="23">
        <f t="shared" si="200"/>
        <v>0</v>
      </c>
      <c r="I199" s="23">
        <f t="shared" si="201"/>
        <v>0</v>
      </c>
      <c r="J199" s="23">
        <f t="shared" si="202"/>
        <v>0</v>
      </c>
      <c r="K199" s="23">
        <v>0</v>
      </c>
      <c r="L199" s="23">
        <f t="shared" si="203"/>
        <v>0</v>
      </c>
      <c r="M199" s="38"/>
      <c r="N199" s="40"/>
      <c r="Z199" s="42">
        <f t="shared" si="204"/>
        <v>0</v>
      </c>
      <c r="AB199" s="42">
        <f t="shared" si="205"/>
        <v>0</v>
      </c>
      <c r="AC199" s="42">
        <f t="shared" si="206"/>
        <v>0</v>
      </c>
      <c r="AD199" s="42">
        <f t="shared" si="207"/>
        <v>0</v>
      </c>
      <c r="AE199" s="42">
        <f t="shared" si="208"/>
        <v>0</v>
      </c>
      <c r="AF199" s="42">
        <f t="shared" si="209"/>
        <v>0</v>
      </c>
      <c r="AG199" s="42">
        <f t="shared" si="210"/>
        <v>0</v>
      </c>
      <c r="AH199" s="42">
        <f t="shared" si="211"/>
        <v>0</v>
      </c>
      <c r="AI199" s="32"/>
      <c r="AJ199" s="23">
        <f t="shared" si="212"/>
        <v>0</v>
      </c>
      <c r="AK199" s="23">
        <f t="shared" si="213"/>
        <v>0</v>
      </c>
      <c r="AL199" s="23">
        <f t="shared" si="214"/>
        <v>0</v>
      </c>
      <c r="AN199" s="42">
        <v>15</v>
      </c>
      <c r="AO199" s="42">
        <f t="shared" si="215"/>
        <v>0</v>
      </c>
      <c r="AP199" s="42">
        <f t="shared" si="216"/>
        <v>0</v>
      </c>
      <c r="AQ199" s="44" t="s">
        <v>7</v>
      </c>
      <c r="AV199" s="42">
        <f t="shared" si="217"/>
        <v>0</v>
      </c>
      <c r="AW199" s="42">
        <f t="shared" si="218"/>
        <v>0</v>
      </c>
      <c r="AX199" s="42">
        <f t="shared" si="219"/>
        <v>0</v>
      </c>
      <c r="AY199" s="45" t="s">
        <v>740</v>
      </c>
      <c r="AZ199" s="45" t="s">
        <v>755</v>
      </c>
      <c r="BA199" s="32" t="s">
        <v>756</v>
      </c>
      <c r="BC199" s="42">
        <f t="shared" si="220"/>
        <v>0</v>
      </c>
      <c r="BD199" s="42">
        <f t="shared" si="221"/>
        <v>0</v>
      </c>
      <c r="BE199" s="42">
        <v>0</v>
      </c>
      <c r="BF199" s="42">
        <f t="shared" si="222"/>
        <v>0</v>
      </c>
      <c r="BH199" s="23">
        <f t="shared" si="223"/>
        <v>0</v>
      </c>
      <c r="BI199" s="23">
        <f t="shared" si="224"/>
        <v>0</v>
      </c>
      <c r="BJ199" s="23">
        <f t="shared" si="225"/>
        <v>0</v>
      </c>
      <c r="BK199" s="23" t="s">
        <v>762</v>
      </c>
      <c r="BL199" s="42" t="s">
        <v>382</v>
      </c>
    </row>
    <row r="200" spans="1:64" ht="12.75">
      <c r="A200" s="6" t="s">
        <v>172</v>
      </c>
      <c r="B200" s="15"/>
      <c r="C200" s="15" t="s">
        <v>392</v>
      </c>
      <c r="D200" s="15" t="s">
        <v>626</v>
      </c>
      <c r="E200" s="15" t="s">
        <v>680</v>
      </c>
      <c r="F200" s="23">
        <v>1</v>
      </c>
      <c r="G200" s="91">
        <v>0</v>
      </c>
      <c r="H200" s="23">
        <f t="shared" si="200"/>
        <v>0</v>
      </c>
      <c r="I200" s="23">
        <f t="shared" si="201"/>
        <v>0</v>
      </c>
      <c r="J200" s="23">
        <f t="shared" si="202"/>
        <v>0</v>
      </c>
      <c r="K200" s="23">
        <v>0</v>
      </c>
      <c r="L200" s="23">
        <f t="shared" si="203"/>
        <v>0</v>
      </c>
      <c r="M200" s="38"/>
      <c r="N200" s="40"/>
      <c r="Z200" s="42">
        <f t="shared" si="204"/>
        <v>0</v>
      </c>
      <c r="AB200" s="42">
        <f t="shared" si="205"/>
        <v>0</v>
      </c>
      <c r="AC200" s="42">
        <f t="shared" si="206"/>
        <v>0</v>
      </c>
      <c r="AD200" s="42">
        <f t="shared" si="207"/>
        <v>0</v>
      </c>
      <c r="AE200" s="42">
        <f t="shared" si="208"/>
        <v>0</v>
      </c>
      <c r="AF200" s="42">
        <f t="shared" si="209"/>
        <v>0</v>
      </c>
      <c r="AG200" s="42">
        <f t="shared" si="210"/>
        <v>0</v>
      </c>
      <c r="AH200" s="42">
        <f t="shared" si="211"/>
        <v>0</v>
      </c>
      <c r="AI200" s="32"/>
      <c r="AJ200" s="23">
        <f t="shared" si="212"/>
        <v>0</v>
      </c>
      <c r="AK200" s="23">
        <f t="shared" si="213"/>
        <v>0</v>
      </c>
      <c r="AL200" s="23">
        <f t="shared" si="214"/>
        <v>0</v>
      </c>
      <c r="AN200" s="42">
        <v>15</v>
      </c>
      <c r="AO200" s="42">
        <f t="shared" si="215"/>
        <v>0</v>
      </c>
      <c r="AP200" s="42">
        <f t="shared" si="216"/>
        <v>0</v>
      </c>
      <c r="AQ200" s="44" t="s">
        <v>7</v>
      </c>
      <c r="AV200" s="42">
        <f t="shared" si="217"/>
        <v>0</v>
      </c>
      <c r="AW200" s="42">
        <f t="shared" si="218"/>
        <v>0</v>
      </c>
      <c r="AX200" s="42">
        <f t="shared" si="219"/>
        <v>0</v>
      </c>
      <c r="AY200" s="45" t="s">
        <v>740</v>
      </c>
      <c r="AZ200" s="45" t="s">
        <v>755</v>
      </c>
      <c r="BA200" s="32" t="s">
        <v>756</v>
      </c>
      <c r="BC200" s="42">
        <f t="shared" si="220"/>
        <v>0</v>
      </c>
      <c r="BD200" s="42">
        <f t="shared" si="221"/>
        <v>0</v>
      </c>
      <c r="BE200" s="42">
        <v>0</v>
      </c>
      <c r="BF200" s="42">
        <f t="shared" si="222"/>
        <v>0</v>
      </c>
      <c r="BH200" s="23">
        <f t="shared" si="223"/>
        <v>0</v>
      </c>
      <c r="BI200" s="23">
        <f t="shared" si="224"/>
        <v>0</v>
      </c>
      <c r="BJ200" s="23">
        <f t="shared" si="225"/>
        <v>0</v>
      </c>
      <c r="BK200" s="23" t="s">
        <v>762</v>
      </c>
      <c r="BL200" s="42" t="s">
        <v>382</v>
      </c>
    </row>
    <row r="201" spans="1:64" ht="25.5">
      <c r="A201" s="6" t="s">
        <v>173</v>
      </c>
      <c r="B201" s="15"/>
      <c r="C201" s="15" t="s">
        <v>393</v>
      </c>
      <c r="D201" s="80" t="s">
        <v>627</v>
      </c>
      <c r="E201" s="15" t="s">
        <v>680</v>
      </c>
      <c r="F201" s="23">
        <v>1</v>
      </c>
      <c r="G201" s="91">
        <v>0</v>
      </c>
      <c r="H201" s="23">
        <f t="shared" si="200"/>
        <v>0</v>
      </c>
      <c r="I201" s="23">
        <f t="shared" si="201"/>
        <v>0</v>
      </c>
      <c r="J201" s="23">
        <f t="shared" si="202"/>
        <v>0</v>
      </c>
      <c r="K201" s="23">
        <v>0</v>
      </c>
      <c r="L201" s="23">
        <f t="shared" si="203"/>
        <v>0</v>
      </c>
      <c r="M201" s="38"/>
      <c r="N201" s="40"/>
      <c r="Z201" s="42">
        <f t="shared" si="204"/>
        <v>0</v>
      </c>
      <c r="AB201" s="42">
        <f t="shared" si="205"/>
        <v>0</v>
      </c>
      <c r="AC201" s="42">
        <f t="shared" si="206"/>
        <v>0</v>
      </c>
      <c r="AD201" s="42">
        <f t="shared" si="207"/>
        <v>0</v>
      </c>
      <c r="AE201" s="42">
        <f t="shared" si="208"/>
        <v>0</v>
      </c>
      <c r="AF201" s="42">
        <f t="shared" si="209"/>
        <v>0</v>
      </c>
      <c r="AG201" s="42">
        <f t="shared" si="210"/>
        <v>0</v>
      </c>
      <c r="AH201" s="42">
        <f t="shared" si="211"/>
        <v>0</v>
      </c>
      <c r="AI201" s="32"/>
      <c r="AJ201" s="23">
        <f t="shared" si="212"/>
        <v>0</v>
      </c>
      <c r="AK201" s="23">
        <f t="shared" si="213"/>
        <v>0</v>
      </c>
      <c r="AL201" s="23">
        <f t="shared" si="214"/>
        <v>0</v>
      </c>
      <c r="AN201" s="42">
        <v>15</v>
      </c>
      <c r="AO201" s="42">
        <f t="shared" si="215"/>
        <v>0</v>
      </c>
      <c r="AP201" s="42">
        <f t="shared" si="216"/>
        <v>0</v>
      </c>
      <c r="AQ201" s="44" t="s">
        <v>7</v>
      </c>
      <c r="AV201" s="42">
        <f t="shared" si="217"/>
        <v>0</v>
      </c>
      <c r="AW201" s="42">
        <f t="shared" si="218"/>
        <v>0</v>
      </c>
      <c r="AX201" s="42">
        <f t="shared" si="219"/>
        <v>0</v>
      </c>
      <c r="AY201" s="45" t="s">
        <v>740</v>
      </c>
      <c r="AZ201" s="45" t="s">
        <v>755</v>
      </c>
      <c r="BA201" s="32" t="s">
        <v>756</v>
      </c>
      <c r="BC201" s="42">
        <f t="shared" si="220"/>
        <v>0</v>
      </c>
      <c r="BD201" s="42">
        <f t="shared" si="221"/>
        <v>0</v>
      </c>
      <c r="BE201" s="42">
        <v>0</v>
      </c>
      <c r="BF201" s="42">
        <f t="shared" si="222"/>
        <v>0</v>
      </c>
      <c r="BH201" s="23">
        <f t="shared" si="223"/>
        <v>0</v>
      </c>
      <c r="BI201" s="23">
        <f t="shared" si="224"/>
        <v>0</v>
      </c>
      <c r="BJ201" s="23">
        <f t="shared" si="225"/>
        <v>0</v>
      </c>
      <c r="BK201" s="23" t="s">
        <v>762</v>
      </c>
      <c r="BL201" s="42" t="s">
        <v>382</v>
      </c>
    </row>
    <row r="202" spans="1:64" ht="12.75">
      <c r="A202" s="6" t="s">
        <v>174</v>
      </c>
      <c r="B202" s="15"/>
      <c r="C202" s="15" t="s">
        <v>394</v>
      </c>
      <c r="D202" s="15" t="s">
        <v>628</v>
      </c>
      <c r="E202" s="15" t="s">
        <v>680</v>
      </c>
      <c r="F202" s="23">
        <v>1</v>
      </c>
      <c r="G202" s="91">
        <v>0</v>
      </c>
      <c r="H202" s="23">
        <f t="shared" si="200"/>
        <v>0</v>
      </c>
      <c r="I202" s="23">
        <f t="shared" si="201"/>
        <v>0</v>
      </c>
      <c r="J202" s="23">
        <f t="shared" si="202"/>
        <v>0</v>
      </c>
      <c r="K202" s="23">
        <v>0</v>
      </c>
      <c r="L202" s="23">
        <f t="shared" si="203"/>
        <v>0</v>
      </c>
      <c r="M202" s="38"/>
      <c r="N202" s="40"/>
      <c r="Z202" s="42">
        <f t="shared" si="204"/>
        <v>0</v>
      </c>
      <c r="AB202" s="42">
        <f t="shared" si="205"/>
        <v>0</v>
      </c>
      <c r="AC202" s="42">
        <f t="shared" si="206"/>
        <v>0</v>
      </c>
      <c r="AD202" s="42">
        <f t="shared" si="207"/>
        <v>0</v>
      </c>
      <c r="AE202" s="42">
        <f t="shared" si="208"/>
        <v>0</v>
      </c>
      <c r="AF202" s="42">
        <f t="shared" si="209"/>
        <v>0</v>
      </c>
      <c r="AG202" s="42">
        <f t="shared" si="210"/>
        <v>0</v>
      </c>
      <c r="AH202" s="42">
        <f t="shared" si="211"/>
        <v>0</v>
      </c>
      <c r="AI202" s="32"/>
      <c r="AJ202" s="23">
        <f t="shared" si="212"/>
        <v>0</v>
      </c>
      <c r="AK202" s="23">
        <f t="shared" si="213"/>
        <v>0</v>
      </c>
      <c r="AL202" s="23">
        <f t="shared" si="214"/>
        <v>0</v>
      </c>
      <c r="AN202" s="42">
        <v>15</v>
      </c>
      <c r="AO202" s="42">
        <f t="shared" si="215"/>
        <v>0</v>
      </c>
      <c r="AP202" s="42">
        <f t="shared" si="216"/>
        <v>0</v>
      </c>
      <c r="AQ202" s="44" t="s">
        <v>7</v>
      </c>
      <c r="AV202" s="42">
        <f t="shared" si="217"/>
        <v>0</v>
      </c>
      <c r="AW202" s="42">
        <f t="shared" si="218"/>
        <v>0</v>
      </c>
      <c r="AX202" s="42">
        <f t="shared" si="219"/>
        <v>0</v>
      </c>
      <c r="AY202" s="45" t="s">
        <v>740</v>
      </c>
      <c r="AZ202" s="45" t="s">
        <v>755</v>
      </c>
      <c r="BA202" s="32" t="s">
        <v>756</v>
      </c>
      <c r="BC202" s="42">
        <f t="shared" si="220"/>
        <v>0</v>
      </c>
      <c r="BD202" s="42">
        <f t="shared" si="221"/>
        <v>0</v>
      </c>
      <c r="BE202" s="42">
        <v>0</v>
      </c>
      <c r="BF202" s="42">
        <f t="shared" si="222"/>
        <v>0</v>
      </c>
      <c r="BH202" s="23">
        <f t="shared" si="223"/>
        <v>0</v>
      </c>
      <c r="BI202" s="23">
        <f t="shared" si="224"/>
        <v>0</v>
      </c>
      <c r="BJ202" s="23">
        <f t="shared" si="225"/>
        <v>0</v>
      </c>
      <c r="BK202" s="23" t="s">
        <v>762</v>
      </c>
      <c r="BL202" s="42" t="s">
        <v>382</v>
      </c>
    </row>
    <row r="203" spans="1:64" ht="25.5">
      <c r="A203" s="6" t="s">
        <v>175</v>
      </c>
      <c r="B203" s="15"/>
      <c r="C203" s="15" t="s">
        <v>395</v>
      </c>
      <c r="D203" s="80" t="s">
        <v>629</v>
      </c>
      <c r="E203" s="15" t="s">
        <v>680</v>
      </c>
      <c r="F203" s="23">
        <v>1</v>
      </c>
      <c r="G203" s="91">
        <v>0</v>
      </c>
      <c r="H203" s="23">
        <f t="shared" si="200"/>
        <v>0</v>
      </c>
      <c r="I203" s="23">
        <f t="shared" si="201"/>
        <v>0</v>
      </c>
      <c r="J203" s="23">
        <f t="shared" si="202"/>
        <v>0</v>
      </c>
      <c r="K203" s="23">
        <v>0</v>
      </c>
      <c r="L203" s="23">
        <f t="shared" si="203"/>
        <v>0</v>
      </c>
      <c r="M203" s="38"/>
      <c r="N203" s="40"/>
      <c r="Z203" s="42">
        <f t="shared" si="204"/>
        <v>0</v>
      </c>
      <c r="AB203" s="42">
        <f t="shared" si="205"/>
        <v>0</v>
      </c>
      <c r="AC203" s="42">
        <f t="shared" si="206"/>
        <v>0</v>
      </c>
      <c r="AD203" s="42">
        <f t="shared" si="207"/>
        <v>0</v>
      </c>
      <c r="AE203" s="42">
        <f t="shared" si="208"/>
        <v>0</v>
      </c>
      <c r="AF203" s="42">
        <f t="shared" si="209"/>
        <v>0</v>
      </c>
      <c r="AG203" s="42">
        <f t="shared" si="210"/>
        <v>0</v>
      </c>
      <c r="AH203" s="42">
        <f t="shared" si="211"/>
        <v>0</v>
      </c>
      <c r="AI203" s="32"/>
      <c r="AJ203" s="23">
        <f t="shared" si="212"/>
        <v>0</v>
      </c>
      <c r="AK203" s="23">
        <f t="shared" si="213"/>
        <v>0</v>
      </c>
      <c r="AL203" s="23">
        <f t="shared" si="214"/>
        <v>0</v>
      </c>
      <c r="AN203" s="42">
        <v>15</v>
      </c>
      <c r="AO203" s="42">
        <f t="shared" si="215"/>
        <v>0</v>
      </c>
      <c r="AP203" s="42">
        <f t="shared" si="216"/>
        <v>0</v>
      </c>
      <c r="AQ203" s="44" t="s">
        <v>7</v>
      </c>
      <c r="AV203" s="42">
        <f t="shared" si="217"/>
        <v>0</v>
      </c>
      <c r="AW203" s="42">
        <f t="shared" si="218"/>
        <v>0</v>
      </c>
      <c r="AX203" s="42">
        <f t="shared" si="219"/>
        <v>0</v>
      </c>
      <c r="AY203" s="45" t="s">
        <v>740</v>
      </c>
      <c r="AZ203" s="45" t="s">
        <v>755</v>
      </c>
      <c r="BA203" s="32" t="s">
        <v>756</v>
      </c>
      <c r="BC203" s="42">
        <f t="shared" si="220"/>
        <v>0</v>
      </c>
      <c r="BD203" s="42">
        <f t="shared" si="221"/>
        <v>0</v>
      </c>
      <c r="BE203" s="42">
        <v>0</v>
      </c>
      <c r="BF203" s="42">
        <f t="shared" si="222"/>
        <v>0</v>
      </c>
      <c r="BH203" s="23">
        <f t="shared" si="223"/>
        <v>0</v>
      </c>
      <c r="BI203" s="23">
        <f t="shared" si="224"/>
        <v>0</v>
      </c>
      <c r="BJ203" s="23">
        <f t="shared" si="225"/>
        <v>0</v>
      </c>
      <c r="BK203" s="23" t="s">
        <v>762</v>
      </c>
      <c r="BL203" s="42" t="s">
        <v>382</v>
      </c>
    </row>
    <row r="204" spans="1:64" ht="12.75">
      <c r="A204" s="6" t="s">
        <v>176</v>
      </c>
      <c r="B204" s="15"/>
      <c r="C204" s="15" t="s">
        <v>396</v>
      </c>
      <c r="D204" s="15" t="s">
        <v>630</v>
      </c>
      <c r="E204" s="15" t="s">
        <v>679</v>
      </c>
      <c r="F204" s="23">
        <v>1</v>
      </c>
      <c r="G204" s="91">
        <v>0</v>
      </c>
      <c r="H204" s="23">
        <f t="shared" si="200"/>
        <v>0</v>
      </c>
      <c r="I204" s="23">
        <f t="shared" si="201"/>
        <v>0</v>
      </c>
      <c r="J204" s="23">
        <f t="shared" si="202"/>
        <v>0</v>
      </c>
      <c r="K204" s="23">
        <v>0</v>
      </c>
      <c r="L204" s="23">
        <f t="shared" si="203"/>
        <v>0</v>
      </c>
      <c r="M204" s="38"/>
      <c r="N204" s="40"/>
      <c r="Z204" s="42">
        <f t="shared" si="204"/>
        <v>0</v>
      </c>
      <c r="AB204" s="42">
        <f t="shared" si="205"/>
        <v>0</v>
      </c>
      <c r="AC204" s="42">
        <f t="shared" si="206"/>
        <v>0</v>
      </c>
      <c r="AD204" s="42">
        <f t="shared" si="207"/>
        <v>0</v>
      </c>
      <c r="AE204" s="42">
        <f t="shared" si="208"/>
        <v>0</v>
      </c>
      <c r="AF204" s="42">
        <f t="shared" si="209"/>
        <v>0</v>
      </c>
      <c r="AG204" s="42">
        <f t="shared" si="210"/>
        <v>0</v>
      </c>
      <c r="AH204" s="42">
        <f t="shared" si="211"/>
        <v>0</v>
      </c>
      <c r="AI204" s="32"/>
      <c r="AJ204" s="23">
        <f t="shared" si="212"/>
        <v>0</v>
      </c>
      <c r="AK204" s="23">
        <f t="shared" si="213"/>
        <v>0</v>
      </c>
      <c r="AL204" s="23">
        <f t="shared" si="214"/>
        <v>0</v>
      </c>
      <c r="AN204" s="42">
        <v>15</v>
      </c>
      <c r="AO204" s="42">
        <f t="shared" si="215"/>
        <v>0</v>
      </c>
      <c r="AP204" s="42">
        <f t="shared" si="216"/>
        <v>0</v>
      </c>
      <c r="AQ204" s="44" t="s">
        <v>7</v>
      </c>
      <c r="AV204" s="42">
        <f t="shared" si="217"/>
        <v>0</v>
      </c>
      <c r="AW204" s="42">
        <f t="shared" si="218"/>
        <v>0</v>
      </c>
      <c r="AX204" s="42">
        <f t="shared" si="219"/>
        <v>0</v>
      </c>
      <c r="AY204" s="45" t="s">
        <v>740</v>
      </c>
      <c r="AZ204" s="45" t="s">
        <v>755</v>
      </c>
      <c r="BA204" s="32" t="s">
        <v>756</v>
      </c>
      <c r="BC204" s="42">
        <f t="shared" si="220"/>
        <v>0</v>
      </c>
      <c r="BD204" s="42">
        <f t="shared" si="221"/>
        <v>0</v>
      </c>
      <c r="BE204" s="42">
        <v>0</v>
      </c>
      <c r="BF204" s="42">
        <f t="shared" si="222"/>
        <v>0</v>
      </c>
      <c r="BH204" s="23">
        <f t="shared" si="223"/>
        <v>0</v>
      </c>
      <c r="BI204" s="23">
        <f t="shared" si="224"/>
        <v>0</v>
      </c>
      <c r="BJ204" s="23">
        <f t="shared" si="225"/>
        <v>0</v>
      </c>
      <c r="BK204" s="23" t="s">
        <v>762</v>
      </c>
      <c r="BL204" s="42" t="s">
        <v>382</v>
      </c>
    </row>
    <row r="205" spans="1:64" ht="12.75">
      <c r="A205" s="6" t="s">
        <v>177</v>
      </c>
      <c r="B205" s="15"/>
      <c r="C205" s="15" t="s">
        <v>397</v>
      </c>
      <c r="D205" s="15" t="s">
        <v>631</v>
      </c>
      <c r="E205" s="15" t="s">
        <v>679</v>
      </c>
      <c r="F205" s="23">
        <v>1</v>
      </c>
      <c r="G205" s="91">
        <v>0</v>
      </c>
      <c r="H205" s="23">
        <f t="shared" si="200"/>
        <v>0</v>
      </c>
      <c r="I205" s="23">
        <f t="shared" si="201"/>
        <v>0</v>
      </c>
      <c r="J205" s="23">
        <f t="shared" si="202"/>
        <v>0</v>
      </c>
      <c r="K205" s="23">
        <v>0</v>
      </c>
      <c r="L205" s="23">
        <f t="shared" si="203"/>
        <v>0</v>
      </c>
      <c r="M205" s="38"/>
      <c r="N205" s="40"/>
      <c r="Z205" s="42">
        <f t="shared" si="204"/>
        <v>0</v>
      </c>
      <c r="AB205" s="42">
        <f t="shared" si="205"/>
        <v>0</v>
      </c>
      <c r="AC205" s="42">
        <f t="shared" si="206"/>
        <v>0</v>
      </c>
      <c r="AD205" s="42">
        <f t="shared" si="207"/>
        <v>0</v>
      </c>
      <c r="AE205" s="42">
        <f t="shared" si="208"/>
        <v>0</v>
      </c>
      <c r="AF205" s="42">
        <f t="shared" si="209"/>
        <v>0</v>
      </c>
      <c r="AG205" s="42">
        <f t="shared" si="210"/>
        <v>0</v>
      </c>
      <c r="AH205" s="42">
        <f t="shared" si="211"/>
        <v>0</v>
      </c>
      <c r="AI205" s="32"/>
      <c r="AJ205" s="23">
        <f t="shared" si="212"/>
        <v>0</v>
      </c>
      <c r="AK205" s="23">
        <f t="shared" si="213"/>
        <v>0</v>
      </c>
      <c r="AL205" s="23">
        <f t="shared" si="214"/>
        <v>0</v>
      </c>
      <c r="AN205" s="42">
        <v>15</v>
      </c>
      <c r="AO205" s="42">
        <f t="shared" si="215"/>
        <v>0</v>
      </c>
      <c r="AP205" s="42">
        <f t="shared" si="216"/>
        <v>0</v>
      </c>
      <c r="AQ205" s="44" t="s">
        <v>7</v>
      </c>
      <c r="AV205" s="42">
        <f t="shared" si="217"/>
        <v>0</v>
      </c>
      <c r="AW205" s="42">
        <f t="shared" si="218"/>
        <v>0</v>
      </c>
      <c r="AX205" s="42">
        <f t="shared" si="219"/>
        <v>0</v>
      </c>
      <c r="AY205" s="45" t="s">
        <v>740</v>
      </c>
      <c r="AZ205" s="45" t="s">
        <v>755</v>
      </c>
      <c r="BA205" s="32" t="s">
        <v>756</v>
      </c>
      <c r="BC205" s="42">
        <f t="shared" si="220"/>
        <v>0</v>
      </c>
      <c r="BD205" s="42">
        <f t="shared" si="221"/>
        <v>0</v>
      </c>
      <c r="BE205" s="42">
        <v>0</v>
      </c>
      <c r="BF205" s="42">
        <f t="shared" si="222"/>
        <v>0</v>
      </c>
      <c r="BH205" s="23">
        <f t="shared" si="223"/>
        <v>0</v>
      </c>
      <c r="BI205" s="23">
        <f t="shared" si="224"/>
        <v>0</v>
      </c>
      <c r="BJ205" s="23">
        <f t="shared" si="225"/>
        <v>0</v>
      </c>
      <c r="BK205" s="23" t="s">
        <v>762</v>
      </c>
      <c r="BL205" s="42" t="s">
        <v>382</v>
      </c>
    </row>
    <row r="206" spans="1:64" ht="25.5">
      <c r="A206" s="6" t="s">
        <v>178</v>
      </c>
      <c r="B206" s="15"/>
      <c r="C206" s="15" t="s">
        <v>398</v>
      </c>
      <c r="D206" s="80" t="s">
        <v>632</v>
      </c>
      <c r="E206" s="15" t="s">
        <v>679</v>
      </c>
      <c r="F206" s="23">
        <v>2</v>
      </c>
      <c r="G206" s="91">
        <v>0</v>
      </c>
      <c r="H206" s="23">
        <f t="shared" si="200"/>
        <v>0</v>
      </c>
      <c r="I206" s="23">
        <f t="shared" si="201"/>
        <v>0</v>
      </c>
      <c r="J206" s="23">
        <f t="shared" si="202"/>
        <v>0</v>
      </c>
      <c r="K206" s="23">
        <v>0</v>
      </c>
      <c r="L206" s="23">
        <f t="shared" si="203"/>
        <v>0</v>
      </c>
      <c r="M206" s="38"/>
      <c r="N206" s="40"/>
      <c r="Z206" s="42">
        <f t="shared" si="204"/>
        <v>0</v>
      </c>
      <c r="AB206" s="42">
        <f t="shared" si="205"/>
        <v>0</v>
      </c>
      <c r="AC206" s="42">
        <f t="shared" si="206"/>
        <v>0</v>
      </c>
      <c r="AD206" s="42">
        <f t="shared" si="207"/>
        <v>0</v>
      </c>
      <c r="AE206" s="42">
        <f t="shared" si="208"/>
        <v>0</v>
      </c>
      <c r="AF206" s="42">
        <f t="shared" si="209"/>
        <v>0</v>
      </c>
      <c r="AG206" s="42">
        <f t="shared" si="210"/>
        <v>0</v>
      </c>
      <c r="AH206" s="42">
        <f t="shared" si="211"/>
        <v>0</v>
      </c>
      <c r="AI206" s="32"/>
      <c r="AJ206" s="23">
        <f t="shared" si="212"/>
        <v>0</v>
      </c>
      <c r="AK206" s="23">
        <f t="shared" si="213"/>
        <v>0</v>
      </c>
      <c r="AL206" s="23">
        <f t="shared" si="214"/>
        <v>0</v>
      </c>
      <c r="AN206" s="42">
        <v>15</v>
      </c>
      <c r="AO206" s="42">
        <f t="shared" si="215"/>
        <v>0</v>
      </c>
      <c r="AP206" s="42">
        <f t="shared" si="216"/>
        <v>0</v>
      </c>
      <c r="AQ206" s="44" t="s">
        <v>7</v>
      </c>
      <c r="AV206" s="42">
        <f t="shared" si="217"/>
        <v>0</v>
      </c>
      <c r="AW206" s="42">
        <f t="shared" si="218"/>
        <v>0</v>
      </c>
      <c r="AX206" s="42">
        <f t="shared" si="219"/>
        <v>0</v>
      </c>
      <c r="AY206" s="45" t="s">
        <v>740</v>
      </c>
      <c r="AZ206" s="45" t="s">
        <v>755</v>
      </c>
      <c r="BA206" s="32" t="s">
        <v>756</v>
      </c>
      <c r="BC206" s="42">
        <f t="shared" si="220"/>
        <v>0</v>
      </c>
      <c r="BD206" s="42">
        <f t="shared" si="221"/>
        <v>0</v>
      </c>
      <c r="BE206" s="42">
        <v>0</v>
      </c>
      <c r="BF206" s="42">
        <f t="shared" si="222"/>
        <v>0</v>
      </c>
      <c r="BH206" s="23">
        <f t="shared" si="223"/>
        <v>0</v>
      </c>
      <c r="BI206" s="23">
        <f t="shared" si="224"/>
        <v>0</v>
      </c>
      <c r="BJ206" s="23">
        <f t="shared" si="225"/>
        <v>0</v>
      </c>
      <c r="BK206" s="23" t="s">
        <v>762</v>
      </c>
      <c r="BL206" s="42" t="s">
        <v>382</v>
      </c>
    </row>
    <row r="207" spans="1:64" ht="25.5">
      <c r="A207" s="6" t="s">
        <v>179</v>
      </c>
      <c r="B207" s="15"/>
      <c r="C207" s="15" t="s">
        <v>399</v>
      </c>
      <c r="D207" s="80" t="s">
        <v>633</v>
      </c>
      <c r="E207" s="15" t="s">
        <v>679</v>
      </c>
      <c r="F207" s="23">
        <v>1</v>
      </c>
      <c r="G207" s="91">
        <v>0</v>
      </c>
      <c r="H207" s="23">
        <f t="shared" si="200"/>
        <v>0</v>
      </c>
      <c r="I207" s="23">
        <f t="shared" si="201"/>
        <v>0</v>
      </c>
      <c r="J207" s="23">
        <f t="shared" si="202"/>
        <v>0</v>
      </c>
      <c r="K207" s="23">
        <v>0</v>
      </c>
      <c r="L207" s="23">
        <f t="shared" si="203"/>
        <v>0</v>
      </c>
      <c r="M207" s="38"/>
      <c r="N207" s="40"/>
      <c r="Z207" s="42">
        <f t="shared" si="204"/>
        <v>0</v>
      </c>
      <c r="AB207" s="42">
        <f t="shared" si="205"/>
        <v>0</v>
      </c>
      <c r="AC207" s="42">
        <f t="shared" si="206"/>
        <v>0</v>
      </c>
      <c r="AD207" s="42">
        <f t="shared" si="207"/>
        <v>0</v>
      </c>
      <c r="AE207" s="42">
        <f t="shared" si="208"/>
        <v>0</v>
      </c>
      <c r="AF207" s="42">
        <f t="shared" si="209"/>
        <v>0</v>
      </c>
      <c r="AG207" s="42">
        <f t="shared" si="210"/>
        <v>0</v>
      </c>
      <c r="AH207" s="42">
        <f t="shared" si="211"/>
        <v>0</v>
      </c>
      <c r="AI207" s="32"/>
      <c r="AJ207" s="23">
        <f t="shared" si="212"/>
        <v>0</v>
      </c>
      <c r="AK207" s="23">
        <f t="shared" si="213"/>
        <v>0</v>
      </c>
      <c r="AL207" s="23">
        <f t="shared" si="214"/>
        <v>0</v>
      </c>
      <c r="AN207" s="42">
        <v>15</v>
      </c>
      <c r="AO207" s="42">
        <f t="shared" si="215"/>
        <v>0</v>
      </c>
      <c r="AP207" s="42">
        <f t="shared" si="216"/>
        <v>0</v>
      </c>
      <c r="AQ207" s="44" t="s">
        <v>7</v>
      </c>
      <c r="AV207" s="42">
        <f t="shared" si="217"/>
        <v>0</v>
      </c>
      <c r="AW207" s="42">
        <f t="shared" si="218"/>
        <v>0</v>
      </c>
      <c r="AX207" s="42">
        <f t="shared" si="219"/>
        <v>0</v>
      </c>
      <c r="AY207" s="45" t="s">
        <v>740</v>
      </c>
      <c r="AZ207" s="45" t="s">
        <v>755</v>
      </c>
      <c r="BA207" s="32" t="s">
        <v>756</v>
      </c>
      <c r="BC207" s="42">
        <f t="shared" si="220"/>
        <v>0</v>
      </c>
      <c r="BD207" s="42">
        <f t="shared" si="221"/>
        <v>0</v>
      </c>
      <c r="BE207" s="42">
        <v>0</v>
      </c>
      <c r="BF207" s="42">
        <f t="shared" si="222"/>
        <v>0</v>
      </c>
      <c r="BH207" s="23">
        <f t="shared" si="223"/>
        <v>0</v>
      </c>
      <c r="BI207" s="23">
        <f t="shared" si="224"/>
        <v>0</v>
      </c>
      <c r="BJ207" s="23">
        <f t="shared" si="225"/>
        <v>0</v>
      </c>
      <c r="BK207" s="23" t="s">
        <v>762</v>
      </c>
      <c r="BL207" s="42" t="s">
        <v>382</v>
      </c>
    </row>
    <row r="208" spans="1:64" ht="25.5">
      <c r="A208" s="6" t="s">
        <v>180</v>
      </c>
      <c r="B208" s="15"/>
      <c r="C208" s="15" t="s">
        <v>400</v>
      </c>
      <c r="D208" s="80" t="s">
        <v>634</v>
      </c>
      <c r="E208" s="15" t="s">
        <v>679</v>
      </c>
      <c r="F208" s="23">
        <v>3</v>
      </c>
      <c r="G208" s="91">
        <v>0</v>
      </c>
      <c r="H208" s="23">
        <f t="shared" si="200"/>
        <v>0</v>
      </c>
      <c r="I208" s="23">
        <f t="shared" si="201"/>
        <v>0</v>
      </c>
      <c r="J208" s="23">
        <f t="shared" si="202"/>
        <v>0</v>
      </c>
      <c r="K208" s="23">
        <v>0</v>
      </c>
      <c r="L208" s="23">
        <f t="shared" si="203"/>
        <v>0</v>
      </c>
      <c r="M208" s="38"/>
      <c r="N208" s="40"/>
      <c r="Z208" s="42">
        <f t="shared" si="204"/>
        <v>0</v>
      </c>
      <c r="AB208" s="42">
        <f t="shared" si="205"/>
        <v>0</v>
      </c>
      <c r="AC208" s="42">
        <f t="shared" si="206"/>
        <v>0</v>
      </c>
      <c r="AD208" s="42">
        <f t="shared" si="207"/>
        <v>0</v>
      </c>
      <c r="AE208" s="42">
        <f t="shared" si="208"/>
        <v>0</v>
      </c>
      <c r="AF208" s="42">
        <f t="shared" si="209"/>
        <v>0</v>
      </c>
      <c r="AG208" s="42">
        <f t="shared" si="210"/>
        <v>0</v>
      </c>
      <c r="AH208" s="42">
        <f t="shared" si="211"/>
        <v>0</v>
      </c>
      <c r="AI208" s="32"/>
      <c r="AJ208" s="23">
        <f t="shared" si="212"/>
        <v>0</v>
      </c>
      <c r="AK208" s="23">
        <f t="shared" si="213"/>
        <v>0</v>
      </c>
      <c r="AL208" s="23">
        <f t="shared" si="214"/>
        <v>0</v>
      </c>
      <c r="AN208" s="42">
        <v>15</v>
      </c>
      <c r="AO208" s="42">
        <f t="shared" si="215"/>
        <v>0</v>
      </c>
      <c r="AP208" s="42">
        <f t="shared" si="216"/>
        <v>0</v>
      </c>
      <c r="AQ208" s="44" t="s">
        <v>7</v>
      </c>
      <c r="AV208" s="42">
        <f t="shared" si="217"/>
        <v>0</v>
      </c>
      <c r="AW208" s="42">
        <f t="shared" si="218"/>
        <v>0</v>
      </c>
      <c r="AX208" s="42">
        <f t="shared" si="219"/>
        <v>0</v>
      </c>
      <c r="AY208" s="45" t="s">
        <v>740</v>
      </c>
      <c r="AZ208" s="45" t="s">
        <v>755</v>
      </c>
      <c r="BA208" s="32" t="s">
        <v>756</v>
      </c>
      <c r="BC208" s="42">
        <f t="shared" si="220"/>
        <v>0</v>
      </c>
      <c r="BD208" s="42">
        <f t="shared" si="221"/>
        <v>0</v>
      </c>
      <c r="BE208" s="42">
        <v>0</v>
      </c>
      <c r="BF208" s="42">
        <f t="shared" si="222"/>
        <v>0</v>
      </c>
      <c r="BH208" s="23">
        <f t="shared" si="223"/>
        <v>0</v>
      </c>
      <c r="BI208" s="23">
        <f t="shared" si="224"/>
        <v>0</v>
      </c>
      <c r="BJ208" s="23">
        <f t="shared" si="225"/>
        <v>0</v>
      </c>
      <c r="BK208" s="23" t="s">
        <v>762</v>
      </c>
      <c r="BL208" s="42" t="s">
        <v>382</v>
      </c>
    </row>
    <row r="209" spans="1:64" ht="12.75">
      <c r="A209" s="6" t="s">
        <v>181</v>
      </c>
      <c r="B209" s="15"/>
      <c r="C209" s="81" t="s">
        <v>826</v>
      </c>
      <c r="D209" s="15" t="s">
        <v>635</v>
      </c>
      <c r="E209" s="15" t="s">
        <v>679</v>
      </c>
      <c r="F209" s="23">
        <v>1</v>
      </c>
      <c r="G209" s="91">
        <v>0</v>
      </c>
      <c r="H209" s="23">
        <f t="shared" si="200"/>
        <v>0</v>
      </c>
      <c r="I209" s="23">
        <f t="shared" si="201"/>
        <v>0</v>
      </c>
      <c r="J209" s="23">
        <f t="shared" si="202"/>
        <v>0</v>
      </c>
      <c r="K209" s="23">
        <v>0.002</v>
      </c>
      <c r="L209" s="23">
        <f t="shared" si="203"/>
        <v>0.002</v>
      </c>
      <c r="M209" s="38"/>
      <c r="N209" s="40"/>
      <c r="Z209" s="42">
        <f t="shared" si="204"/>
        <v>0</v>
      </c>
      <c r="AB209" s="42">
        <f t="shared" si="205"/>
        <v>0</v>
      </c>
      <c r="AC209" s="42">
        <f t="shared" si="206"/>
        <v>0</v>
      </c>
      <c r="AD209" s="42">
        <f t="shared" si="207"/>
        <v>0</v>
      </c>
      <c r="AE209" s="42">
        <f t="shared" si="208"/>
        <v>0</v>
      </c>
      <c r="AF209" s="42">
        <f t="shared" si="209"/>
        <v>0</v>
      </c>
      <c r="AG209" s="42">
        <f t="shared" si="210"/>
        <v>0</v>
      </c>
      <c r="AH209" s="42">
        <f t="shared" si="211"/>
        <v>0</v>
      </c>
      <c r="AI209" s="32"/>
      <c r="AJ209" s="23">
        <f t="shared" si="212"/>
        <v>0</v>
      </c>
      <c r="AK209" s="23">
        <f t="shared" si="213"/>
        <v>0</v>
      </c>
      <c r="AL209" s="23">
        <f t="shared" si="214"/>
        <v>0</v>
      </c>
      <c r="AN209" s="42">
        <v>15</v>
      </c>
      <c r="AO209" s="42">
        <f t="shared" si="215"/>
        <v>0</v>
      </c>
      <c r="AP209" s="42">
        <f t="shared" si="216"/>
        <v>0</v>
      </c>
      <c r="AQ209" s="44" t="s">
        <v>7</v>
      </c>
      <c r="AV209" s="42">
        <f t="shared" si="217"/>
        <v>0</v>
      </c>
      <c r="AW209" s="42">
        <f t="shared" si="218"/>
        <v>0</v>
      </c>
      <c r="AX209" s="42">
        <f t="shared" si="219"/>
        <v>0</v>
      </c>
      <c r="AY209" s="45" t="s">
        <v>740</v>
      </c>
      <c r="AZ209" s="45" t="s">
        <v>755</v>
      </c>
      <c r="BA209" s="32" t="s">
        <v>756</v>
      </c>
      <c r="BC209" s="42">
        <f t="shared" si="220"/>
        <v>0</v>
      </c>
      <c r="BD209" s="42">
        <f t="shared" si="221"/>
        <v>0</v>
      </c>
      <c r="BE209" s="42">
        <v>0</v>
      </c>
      <c r="BF209" s="42">
        <f t="shared" si="222"/>
        <v>0.002</v>
      </c>
      <c r="BH209" s="23">
        <f t="shared" si="223"/>
        <v>0</v>
      </c>
      <c r="BI209" s="23">
        <f t="shared" si="224"/>
        <v>0</v>
      </c>
      <c r="BJ209" s="23">
        <f t="shared" si="225"/>
        <v>0</v>
      </c>
      <c r="BK209" s="23" t="s">
        <v>762</v>
      </c>
      <c r="BL209" s="42" t="s">
        <v>382</v>
      </c>
    </row>
    <row r="210" spans="1:47" ht="12.75">
      <c r="A210" s="5"/>
      <c r="B210" s="14"/>
      <c r="C210" s="14" t="s">
        <v>401</v>
      </c>
      <c r="D210" s="14" t="s">
        <v>636</v>
      </c>
      <c r="E210" s="20" t="s">
        <v>6</v>
      </c>
      <c r="F210" s="20" t="s">
        <v>6</v>
      </c>
      <c r="G210" s="20" t="s">
        <v>6</v>
      </c>
      <c r="H210" s="48">
        <f>SUM(H211:H213)</f>
        <v>0</v>
      </c>
      <c r="I210" s="48">
        <f>SUM(I211:I213)</f>
        <v>0</v>
      </c>
      <c r="J210" s="48">
        <f>SUM(J211:J213)</f>
        <v>0</v>
      </c>
      <c r="K210" s="32"/>
      <c r="L210" s="48">
        <f>SUM(L211:L213)</f>
        <v>0</v>
      </c>
      <c r="M210" s="37"/>
      <c r="N210" s="40"/>
      <c r="AI210" s="32"/>
      <c r="AS210" s="48">
        <f>SUM(AJ211:AJ213)</f>
        <v>0</v>
      </c>
      <c r="AT210" s="48">
        <f>SUM(AK211:AK213)</f>
        <v>0</v>
      </c>
      <c r="AU210" s="48">
        <f>SUM(AL211:AL213)</f>
        <v>0</v>
      </c>
    </row>
    <row r="211" spans="1:64" ht="12.75">
      <c r="A211" s="6" t="s">
        <v>182</v>
      </c>
      <c r="B211" s="15"/>
      <c r="C211" s="15" t="s">
        <v>402</v>
      </c>
      <c r="D211" s="15" t="s">
        <v>637</v>
      </c>
      <c r="E211" s="15" t="s">
        <v>680</v>
      </c>
      <c r="F211" s="23">
        <v>1</v>
      </c>
      <c r="G211" s="91">
        <v>0</v>
      </c>
      <c r="H211" s="23">
        <f>F211*AO211</f>
        <v>0</v>
      </c>
      <c r="I211" s="23">
        <f>F211*AP211</f>
        <v>0</v>
      </c>
      <c r="J211" s="23">
        <f>F211*G211</f>
        <v>0</v>
      </c>
      <c r="K211" s="23">
        <v>0</v>
      </c>
      <c r="L211" s="23">
        <f>F211*K211</f>
        <v>0</v>
      </c>
      <c r="M211" s="38"/>
      <c r="N211" s="40"/>
      <c r="Z211" s="42">
        <f>IF(AQ211="5",BJ211,0)</f>
        <v>0</v>
      </c>
      <c r="AB211" s="42">
        <f>IF(AQ211="1",BH211,0)</f>
        <v>0</v>
      </c>
      <c r="AC211" s="42">
        <f>IF(AQ211="1",BI211,0)</f>
        <v>0</v>
      </c>
      <c r="AD211" s="42">
        <f>IF(AQ211="7",BH211,0)</f>
        <v>0</v>
      </c>
      <c r="AE211" s="42">
        <f>IF(AQ211="7",BI211,0)</f>
        <v>0</v>
      </c>
      <c r="AF211" s="42">
        <f>IF(AQ211="2",BH211,0)</f>
        <v>0</v>
      </c>
      <c r="AG211" s="42">
        <f>IF(AQ211="2",BI211,0)</f>
        <v>0</v>
      </c>
      <c r="AH211" s="42">
        <f>IF(AQ211="0",BJ211,0)</f>
        <v>0</v>
      </c>
      <c r="AI211" s="32"/>
      <c r="AJ211" s="23">
        <f>IF(AN211=0,J211,0)</f>
        <v>0</v>
      </c>
      <c r="AK211" s="23">
        <f>IF(AN211=15,J211,0)</f>
        <v>0</v>
      </c>
      <c r="AL211" s="23">
        <f>IF(AN211=21,J211,0)</f>
        <v>0</v>
      </c>
      <c r="AN211" s="42">
        <v>15</v>
      </c>
      <c r="AO211" s="42">
        <f>G211*1</f>
        <v>0</v>
      </c>
      <c r="AP211" s="42">
        <f>G211*(1-1)</f>
        <v>0</v>
      </c>
      <c r="AQ211" s="44" t="s">
        <v>7</v>
      </c>
      <c r="AV211" s="42">
        <f>AW211+AX211</f>
        <v>0</v>
      </c>
      <c r="AW211" s="42">
        <f>F211*AO211</f>
        <v>0</v>
      </c>
      <c r="AX211" s="42">
        <f>F211*AP211</f>
        <v>0</v>
      </c>
      <c r="AY211" s="45" t="s">
        <v>741</v>
      </c>
      <c r="AZ211" s="45" t="s">
        <v>755</v>
      </c>
      <c r="BA211" s="32" t="s">
        <v>756</v>
      </c>
      <c r="BC211" s="42">
        <f>AW211+AX211</f>
        <v>0</v>
      </c>
      <c r="BD211" s="42">
        <f>G211/(100-BE211)*100</f>
        <v>0</v>
      </c>
      <c r="BE211" s="42">
        <v>0</v>
      </c>
      <c r="BF211" s="42">
        <f>L211</f>
        <v>0</v>
      </c>
      <c r="BH211" s="23">
        <f>F211*AO211</f>
        <v>0</v>
      </c>
      <c r="BI211" s="23">
        <f>F211*AP211</f>
        <v>0</v>
      </c>
      <c r="BJ211" s="23">
        <f>F211*G211</f>
        <v>0</v>
      </c>
      <c r="BK211" s="23" t="s">
        <v>762</v>
      </c>
      <c r="BL211" s="42" t="s">
        <v>401</v>
      </c>
    </row>
    <row r="212" spans="1:64" ht="25.5">
      <c r="A212" s="6" t="s">
        <v>183</v>
      </c>
      <c r="B212" s="15"/>
      <c r="C212" s="15" t="s">
        <v>403</v>
      </c>
      <c r="D212" s="80" t="s">
        <v>638</v>
      </c>
      <c r="E212" s="15" t="s">
        <v>680</v>
      </c>
      <c r="F212" s="23">
        <v>1</v>
      </c>
      <c r="G212" s="91">
        <v>0</v>
      </c>
      <c r="H212" s="23">
        <f>F212*AO212</f>
        <v>0</v>
      </c>
      <c r="I212" s="23">
        <f>F212*AP212</f>
        <v>0</v>
      </c>
      <c r="J212" s="23">
        <f>F212*G212</f>
        <v>0</v>
      </c>
      <c r="K212" s="23">
        <v>0</v>
      </c>
      <c r="L212" s="23">
        <f>F212*K212</f>
        <v>0</v>
      </c>
      <c r="M212" s="38"/>
      <c r="N212" s="40"/>
      <c r="Z212" s="42">
        <f>IF(AQ212="5",BJ212,0)</f>
        <v>0</v>
      </c>
      <c r="AB212" s="42">
        <f>IF(AQ212="1",BH212,0)</f>
        <v>0</v>
      </c>
      <c r="AC212" s="42">
        <f>IF(AQ212="1",BI212,0)</f>
        <v>0</v>
      </c>
      <c r="AD212" s="42">
        <f>IF(AQ212="7",BH212,0)</f>
        <v>0</v>
      </c>
      <c r="AE212" s="42">
        <f>IF(AQ212="7",BI212,0)</f>
        <v>0</v>
      </c>
      <c r="AF212" s="42">
        <f>IF(AQ212="2",BH212,0)</f>
        <v>0</v>
      </c>
      <c r="AG212" s="42">
        <f>IF(AQ212="2",BI212,0)</f>
        <v>0</v>
      </c>
      <c r="AH212" s="42">
        <f>IF(AQ212="0",BJ212,0)</f>
        <v>0</v>
      </c>
      <c r="AI212" s="32"/>
      <c r="AJ212" s="23">
        <f>IF(AN212=0,J212,0)</f>
        <v>0</v>
      </c>
      <c r="AK212" s="23">
        <f>IF(AN212=15,J212,0)</f>
        <v>0</v>
      </c>
      <c r="AL212" s="23">
        <f>IF(AN212=21,J212,0)</f>
        <v>0</v>
      </c>
      <c r="AN212" s="42">
        <v>15</v>
      </c>
      <c r="AO212" s="42">
        <f>G212*1</f>
        <v>0</v>
      </c>
      <c r="AP212" s="42">
        <f>G212*(1-1)</f>
        <v>0</v>
      </c>
      <c r="AQ212" s="44" t="s">
        <v>7</v>
      </c>
      <c r="AV212" s="42">
        <f>AW212+AX212</f>
        <v>0</v>
      </c>
      <c r="AW212" s="42">
        <f>F212*AO212</f>
        <v>0</v>
      </c>
      <c r="AX212" s="42">
        <f>F212*AP212</f>
        <v>0</v>
      </c>
      <c r="AY212" s="45" t="s">
        <v>741</v>
      </c>
      <c r="AZ212" s="45" t="s">
        <v>755</v>
      </c>
      <c r="BA212" s="32" t="s">
        <v>756</v>
      </c>
      <c r="BC212" s="42">
        <f>AW212+AX212</f>
        <v>0</v>
      </c>
      <c r="BD212" s="42">
        <f>G212/(100-BE212)*100</f>
        <v>0</v>
      </c>
      <c r="BE212" s="42">
        <v>0</v>
      </c>
      <c r="BF212" s="42">
        <f>L212</f>
        <v>0</v>
      </c>
      <c r="BH212" s="23">
        <f>F212*AO212</f>
        <v>0</v>
      </c>
      <c r="BI212" s="23">
        <f>F212*AP212</f>
        <v>0</v>
      </c>
      <c r="BJ212" s="23">
        <f>F212*G212</f>
        <v>0</v>
      </c>
      <c r="BK212" s="23" t="s">
        <v>762</v>
      </c>
      <c r="BL212" s="42" t="s">
        <v>401</v>
      </c>
    </row>
    <row r="213" spans="1:64" ht="12.75">
      <c r="A213" s="6" t="s">
        <v>184</v>
      </c>
      <c r="B213" s="15"/>
      <c r="C213" s="15" t="s">
        <v>404</v>
      </c>
      <c r="D213" s="15" t="s">
        <v>639</v>
      </c>
      <c r="E213" s="15" t="s">
        <v>679</v>
      </c>
      <c r="F213" s="23">
        <v>1</v>
      </c>
      <c r="G213" s="91">
        <v>0</v>
      </c>
      <c r="H213" s="23">
        <f>F213*AO213</f>
        <v>0</v>
      </c>
      <c r="I213" s="23">
        <f>F213*AP213</f>
        <v>0</v>
      </c>
      <c r="J213" s="23">
        <f>F213*G213</f>
        <v>0</v>
      </c>
      <c r="K213" s="23">
        <v>0</v>
      </c>
      <c r="L213" s="23">
        <f>F213*K213</f>
        <v>0</v>
      </c>
      <c r="M213" s="38"/>
      <c r="N213" s="40"/>
      <c r="Z213" s="42">
        <f>IF(AQ213="5",BJ213,0)</f>
        <v>0</v>
      </c>
      <c r="AB213" s="42">
        <f>IF(AQ213="1",BH213,0)</f>
        <v>0</v>
      </c>
      <c r="AC213" s="42">
        <f>IF(AQ213="1",BI213,0)</f>
        <v>0</v>
      </c>
      <c r="AD213" s="42">
        <f>IF(AQ213="7",BH213,0)</f>
        <v>0</v>
      </c>
      <c r="AE213" s="42">
        <f>IF(AQ213="7",BI213,0)</f>
        <v>0</v>
      </c>
      <c r="AF213" s="42">
        <f>IF(AQ213="2",BH213,0)</f>
        <v>0</v>
      </c>
      <c r="AG213" s="42">
        <f>IF(AQ213="2",BI213,0)</f>
        <v>0</v>
      </c>
      <c r="AH213" s="42">
        <f>IF(AQ213="0",BJ213,0)</f>
        <v>0</v>
      </c>
      <c r="AI213" s="32"/>
      <c r="AJ213" s="23">
        <f>IF(AN213=0,J213,0)</f>
        <v>0</v>
      </c>
      <c r="AK213" s="23">
        <f>IF(AN213=15,J213,0)</f>
        <v>0</v>
      </c>
      <c r="AL213" s="23">
        <f>IF(AN213=21,J213,0)</f>
        <v>0</v>
      </c>
      <c r="AN213" s="42">
        <v>15</v>
      </c>
      <c r="AO213" s="42">
        <f>G213*1</f>
        <v>0</v>
      </c>
      <c r="AP213" s="42">
        <f>G213*(1-1)</f>
        <v>0</v>
      </c>
      <c r="AQ213" s="44" t="s">
        <v>7</v>
      </c>
      <c r="AV213" s="42">
        <f>AW213+AX213</f>
        <v>0</v>
      </c>
      <c r="AW213" s="42">
        <f>F213*AO213</f>
        <v>0</v>
      </c>
      <c r="AX213" s="42">
        <f>F213*AP213</f>
        <v>0</v>
      </c>
      <c r="AY213" s="45" t="s">
        <v>741</v>
      </c>
      <c r="AZ213" s="45" t="s">
        <v>755</v>
      </c>
      <c r="BA213" s="32" t="s">
        <v>756</v>
      </c>
      <c r="BC213" s="42">
        <f>AW213+AX213</f>
        <v>0</v>
      </c>
      <c r="BD213" s="42">
        <f>G213/(100-BE213)*100</f>
        <v>0</v>
      </c>
      <c r="BE213" s="42">
        <v>0</v>
      </c>
      <c r="BF213" s="42">
        <f>L213</f>
        <v>0</v>
      </c>
      <c r="BH213" s="23">
        <f>F213*AO213</f>
        <v>0</v>
      </c>
      <c r="BI213" s="23">
        <f>F213*AP213</f>
        <v>0</v>
      </c>
      <c r="BJ213" s="23">
        <f>F213*G213</f>
        <v>0</v>
      </c>
      <c r="BK213" s="23" t="s">
        <v>762</v>
      </c>
      <c r="BL213" s="42" t="s">
        <v>401</v>
      </c>
    </row>
    <row r="214" spans="1:47" ht="12.75">
      <c r="A214" s="5"/>
      <c r="B214" s="14"/>
      <c r="C214" s="14" t="s">
        <v>405</v>
      </c>
      <c r="D214" s="14" t="s">
        <v>640</v>
      </c>
      <c r="E214" s="20" t="s">
        <v>6</v>
      </c>
      <c r="F214" s="20" t="s">
        <v>6</v>
      </c>
      <c r="G214" s="20" t="s">
        <v>6</v>
      </c>
      <c r="H214" s="48">
        <f>SUM(H215:H216)</f>
        <v>0</v>
      </c>
      <c r="I214" s="48">
        <f>SUM(I215:I216)</f>
        <v>0</v>
      </c>
      <c r="J214" s="48">
        <f>SUM(J215:J216)</f>
        <v>0</v>
      </c>
      <c r="K214" s="32"/>
      <c r="L214" s="48">
        <f>SUM(L215:L216)</f>
        <v>0</v>
      </c>
      <c r="M214" s="37"/>
      <c r="N214" s="40"/>
      <c r="AI214" s="32"/>
      <c r="AS214" s="48">
        <f>SUM(AJ215:AJ216)</f>
        <v>0</v>
      </c>
      <c r="AT214" s="48">
        <f>SUM(AK215:AK216)</f>
        <v>0</v>
      </c>
      <c r="AU214" s="48">
        <f>SUM(AL215:AL216)</f>
        <v>0</v>
      </c>
    </row>
    <row r="215" spans="1:64" ht="25.5">
      <c r="A215" s="6" t="s">
        <v>185</v>
      </c>
      <c r="B215" s="15"/>
      <c r="C215" s="15" t="s">
        <v>406</v>
      </c>
      <c r="D215" s="80" t="s">
        <v>641</v>
      </c>
      <c r="E215" s="15" t="s">
        <v>680</v>
      </c>
      <c r="F215" s="23">
        <v>1</v>
      </c>
      <c r="G215" s="91">
        <v>0</v>
      </c>
      <c r="H215" s="23">
        <f>F215*AO215</f>
        <v>0</v>
      </c>
      <c r="I215" s="23">
        <f>F215*AP215</f>
        <v>0</v>
      </c>
      <c r="J215" s="23">
        <f>F215*G215</f>
        <v>0</v>
      </c>
      <c r="K215" s="23">
        <v>0</v>
      </c>
      <c r="L215" s="23">
        <f>F215*K215</f>
        <v>0</v>
      </c>
      <c r="M215" s="38"/>
      <c r="N215" s="40"/>
      <c r="Z215" s="42">
        <f>IF(AQ215="5",BJ215,0)</f>
        <v>0</v>
      </c>
      <c r="AB215" s="42">
        <f>IF(AQ215="1",BH215,0)</f>
        <v>0</v>
      </c>
      <c r="AC215" s="42">
        <f>IF(AQ215="1",BI215,0)</f>
        <v>0</v>
      </c>
      <c r="AD215" s="42">
        <f>IF(AQ215="7",BH215,0)</f>
        <v>0</v>
      </c>
      <c r="AE215" s="42">
        <f>IF(AQ215="7",BI215,0)</f>
        <v>0</v>
      </c>
      <c r="AF215" s="42">
        <f>IF(AQ215="2",BH215,0)</f>
        <v>0</v>
      </c>
      <c r="AG215" s="42">
        <f>IF(AQ215="2",BI215,0)</f>
        <v>0</v>
      </c>
      <c r="AH215" s="42">
        <f>IF(AQ215="0",BJ215,0)</f>
        <v>0</v>
      </c>
      <c r="AI215" s="32"/>
      <c r="AJ215" s="23">
        <f>IF(AN215=0,J215,0)</f>
        <v>0</v>
      </c>
      <c r="AK215" s="23">
        <f>IF(AN215=15,J215,0)</f>
        <v>0</v>
      </c>
      <c r="AL215" s="23">
        <f>IF(AN215=21,J215,0)</f>
        <v>0</v>
      </c>
      <c r="AN215" s="42">
        <v>15</v>
      </c>
      <c r="AO215" s="42">
        <f>G215*1</f>
        <v>0</v>
      </c>
      <c r="AP215" s="42">
        <f>G215*(1-1)</f>
        <v>0</v>
      </c>
      <c r="AQ215" s="44" t="s">
        <v>7</v>
      </c>
      <c r="AV215" s="42">
        <f>AW215+AX215</f>
        <v>0</v>
      </c>
      <c r="AW215" s="42">
        <f>F215*AO215</f>
        <v>0</v>
      </c>
      <c r="AX215" s="42">
        <f>F215*AP215</f>
        <v>0</v>
      </c>
      <c r="AY215" s="45" t="s">
        <v>742</v>
      </c>
      <c r="AZ215" s="45" t="s">
        <v>755</v>
      </c>
      <c r="BA215" s="32" t="s">
        <v>756</v>
      </c>
      <c r="BC215" s="42">
        <f>AW215+AX215</f>
        <v>0</v>
      </c>
      <c r="BD215" s="42">
        <f>G215/(100-BE215)*100</f>
        <v>0</v>
      </c>
      <c r="BE215" s="42">
        <v>0</v>
      </c>
      <c r="BF215" s="42">
        <f>L215</f>
        <v>0</v>
      </c>
      <c r="BH215" s="23">
        <f>F215*AO215</f>
        <v>0</v>
      </c>
      <c r="BI215" s="23">
        <f>F215*AP215</f>
        <v>0</v>
      </c>
      <c r="BJ215" s="23">
        <f>F215*G215</f>
        <v>0</v>
      </c>
      <c r="BK215" s="23" t="s">
        <v>762</v>
      </c>
      <c r="BL215" s="42" t="s">
        <v>405</v>
      </c>
    </row>
    <row r="216" spans="1:64" ht="12.75">
      <c r="A216" s="6" t="s">
        <v>186</v>
      </c>
      <c r="B216" s="15"/>
      <c r="C216" s="15" t="s">
        <v>407</v>
      </c>
      <c r="D216" s="15" t="s">
        <v>642</v>
      </c>
      <c r="E216" s="15" t="s">
        <v>680</v>
      </c>
      <c r="F216" s="23">
        <v>1</v>
      </c>
      <c r="G216" s="91">
        <v>0</v>
      </c>
      <c r="H216" s="23">
        <f>F216*AO216</f>
        <v>0</v>
      </c>
      <c r="I216" s="23">
        <f>F216*AP216</f>
        <v>0</v>
      </c>
      <c r="J216" s="23">
        <f>F216*G216</f>
        <v>0</v>
      </c>
      <c r="K216" s="23">
        <v>0</v>
      </c>
      <c r="L216" s="23">
        <f>F216*K216</f>
        <v>0</v>
      </c>
      <c r="M216" s="38"/>
      <c r="N216" s="40"/>
      <c r="Z216" s="42">
        <f>IF(AQ216="5",BJ216,0)</f>
        <v>0</v>
      </c>
      <c r="AB216" s="42">
        <f>IF(AQ216="1",BH216,0)</f>
        <v>0</v>
      </c>
      <c r="AC216" s="42">
        <f>IF(AQ216="1",BI216,0)</f>
        <v>0</v>
      </c>
      <c r="AD216" s="42">
        <f>IF(AQ216="7",BH216,0)</f>
        <v>0</v>
      </c>
      <c r="AE216" s="42">
        <f>IF(AQ216="7",BI216,0)</f>
        <v>0</v>
      </c>
      <c r="AF216" s="42">
        <f>IF(AQ216="2",BH216,0)</f>
        <v>0</v>
      </c>
      <c r="AG216" s="42">
        <f>IF(AQ216="2",BI216,0)</f>
        <v>0</v>
      </c>
      <c r="AH216" s="42">
        <f>IF(AQ216="0",BJ216,0)</f>
        <v>0</v>
      </c>
      <c r="AI216" s="32"/>
      <c r="AJ216" s="23">
        <f>IF(AN216=0,J216,0)</f>
        <v>0</v>
      </c>
      <c r="AK216" s="23">
        <f>IF(AN216=15,J216,0)</f>
        <v>0</v>
      </c>
      <c r="AL216" s="23">
        <f>IF(AN216=21,J216,0)</f>
        <v>0</v>
      </c>
      <c r="AN216" s="42">
        <v>15</v>
      </c>
      <c r="AO216" s="42">
        <f>G216*1</f>
        <v>0</v>
      </c>
      <c r="AP216" s="42">
        <f>G216*(1-1)</f>
        <v>0</v>
      </c>
      <c r="AQ216" s="44" t="s">
        <v>7</v>
      </c>
      <c r="AV216" s="42">
        <f>AW216+AX216</f>
        <v>0</v>
      </c>
      <c r="AW216" s="42">
        <f>F216*AO216</f>
        <v>0</v>
      </c>
      <c r="AX216" s="42">
        <f>F216*AP216</f>
        <v>0</v>
      </c>
      <c r="AY216" s="45" t="s">
        <v>742</v>
      </c>
      <c r="AZ216" s="45" t="s">
        <v>755</v>
      </c>
      <c r="BA216" s="32" t="s">
        <v>756</v>
      </c>
      <c r="BC216" s="42">
        <f>AW216+AX216</f>
        <v>0</v>
      </c>
      <c r="BD216" s="42">
        <f>G216/(100-BE216)*100</f>
        <v>0</v>
      </c>
      <c r="BE216" s="42">
        <v>0</v>
      </c>
      <c r="BF216" s="42">
        <f>L216</f>
        <v>0</v>
      </c>
      <c r="BH216" s="23">
        <f>F216*AO216</f>
        <v>0</v>
      </c>
      <c r="BI216" s="23">
        <f>F216*AP216</f>
        <v>0</v>
      </c>
      <c r="BJ216" s="23">
        <f>F216*G216</f>
        <v>0</v>
      </c>
      <c r="BK216" s="23" t="s">
        <v>762</v>
      </c>
      <c r="BL216" s="42" t="s">
        <v>405</v>
      </c>
    </row>
    <row r="217" spans="1:47" ht="12.75">
      <c r="A217" s="5"/>
      <c r="B217" s="14"/>
      <c r="C217" s="14" t="s">
        <v>408</v>
      </c>
      <c r="D217" s="14" t="s">
        <v>643</v>
      </c>
      <c r="E217" s="20" t="s">
        <v>6</v>
      </c>
      <c r="F217" s="20" t="s">
        <v>6</v>
      </c>
      <c r="G217" s="20" t="s">
        <v>6</v>
      </c>
      <c r="H217" s="48">
        <f>SUM(H218:H230)</f>
        <v>0</v>
      </c>
      <c r="I217" s="48">
        <f>SUM(I218:I230)</f>
        <v>0</v>
      </c>
      <c r="J217" s="48">
        <f>SUM(J218:J230)</f>
        <v>0</v>
      </c>
      <c r="K217" s="32"/>
      <c r="L217" s="48">
        <f>SUM(L218:L230)</f>
        <v>0</v>
      </c>
      <c r="M217" s="37"/>
      <c r="N217" s="40"/>
      <c r="AI217" s="32"/>
      <c r="AS217" s="48">
        <f>SUM(AJ218:AJ230)</f>
        <v>0</v>
      </c>
      <c r="AT217" s="48">
        <f>SUM(AK218:AK230)</f>
        <v>0</v>
      </c>
      <c r="AU217" s="48">
        <f>SUM(AL218:AL230)</f>
        <v>0</v>
      </c>
    </row>
    <row r="218" spans="1:64" ht="25.5">
      <c r="A218" s="6" t="s">
        <v>187</v>
      </c>
      <c r="B218" s="15"/>
      <c r="C218" s="15" t="s">
        <v>409</v>
      </c>
      <c r="D218" s="80" t="s">
        <v>644</v>
      </c>
      <c r="E218" s="15" t="s">
        <v>681</v>
      </c>
      <c r="F218" s="23">
        <v>220</v>
      </c>
      <c r="G218" s="91">
        <v>0</v>
      </c>
      <c r="H218" s="23">
        <f aca="true" t="shared" si="226" ref="H218:H230">F218*AO218</f>
        <v>0</v>
      </c>
      <c r="I218" s="23">
        <f aca="true" t="shared" si="227" ref="I218:I230">F218*AP218</f>
        <v>0</v>
      </c>
      <c r="J218" s="23">
        <f aca="true" t="shared" si="228" ref="J218:J230">F218*G218</f>
        <v>0</v>
      </c>
      <c r="K218" s="23">
        <v>0</v>
      </c>
      <c r="L218" s="23">
        <f aca="true" t="shared" si="229" ref="L218:L230">F218*K218</f>
        <v>0</v>
      </c>
      <c r="M218" s="38"/>
      <c r="N218" s="40"/>
      <c r="Z218" s="42">
        <f aca="true" t="shared" si="230" ref="Z218:Z230">IF(AQ218="5",BJ218,0)</f>
        <v>0</v>
      </c>
      <c r="AB218" s="42">
        <f aca="true" t="shared" si="231" ref="AB218:AB230">IF(AQ218="1",BH218,0)</f>
        <v>0</v>
      </c>
      <c r="AC218" s="42">
        <f aca="true" t="shared" si="232" ref="AC218:AC230">IF(AQ218="1",BI218,0)</f>
        <v>0</v>
      </c>
      <c r="AD218" s="42">
        <f aca="true" t="shared" si="233" ref="AD218:AD230">IF(AQ218="7",BH218,0)</f>
        <v>0</v>
      </c>
      <c r="AE218" s="42">
        <f aca="true" t="shared" si="234" ref="AE218:AE230">IF(AQ218="7",BI218,0)</f>
        <v>0</v>
      </c>
      <c r="AF218" s="42">
        <f aca="true" t="shared" si="235" ref="AF218:AF230">IF(AQ218="2",BH218,0)</f>
        <v>0</v>
      </c>
      <c r="AG218" s="42">
        <f aca="true" t="shared" si="236" ref="AG218:AG230">IF(AQ218="2",BI218,0)</f>
        <v>0</v>
      </c>
      <c r="AH218" s="42">
        <f aca="true" t="shared" si="237" ref="AH218:AH230">IF(AQ218="0",BJ218,0)</f>
        <v>0</v>
      </c>
      <c r="AI218" s="32"/>
      <c r="AJ218" s="23">
        <f aca="true" t="shared" si="238" ref="AJ218:AJ230">IF(AN218=0,J218,0)</f>
        <v>0</v>
      </c>
      <c r="AK218" s="23">
        <f aca="true" t="shared" si="239" ref="AK218:AK230">IF(AN218=15,J218,0)</f>
        <v>0</v>
      </c>
      <c r="AL218" s="23">
        <f aca="true" t="shared" si="240" ref="AL218:AL230">IF(AN218=21,J218,0)</f>
        <v>0</v>
      </c>
      <c r="AN218" s="42">
        <v>15</v>
      </c>
      <c r="AO218" s="42">
        <f aca="true" t="shared" si="241" ref="AO218:AO230">G218*1</f>
        <v>0</v>
      </c>
      <c r="AP218" s="42">
        <f aca="true" t="shared" si="242" ref="AP218:AP230">G218*(1-1)</f>
        <v>0</v>
      </c>
      <c r="AQ218" s="44" t="s">
        <v>7</v>
      </c>
      <c r="AV218" s="42">
        <f aca="true" t="shared" si="243" ref="AV218:AV230">AW218+AX218</f>
        <v>0</v>
      </c>
      <c r="AW218" s="42">
        <f aca="true" t="shared" si="244" ref="AW218:AW230">F218*AO218</f>
        <v>0</v>
      </c>
      <c r="AX218" s="42">
        <f aca="true" t="shared" si="245" ref="AX218:AX230">F218*AP218</f>
        <v>0</v>
      </c>
      <c r="AY218" s="45" t="s">
        <v>743</v>
      </c>
      <c r="AZ218" s="45" t="s">
        <v>755</v>
      </c>
      <c r="BA218" s="32" t="s">
        <v>756</v>
      </c>
      <c r="BC218" s="42">
        <f aca="true" t="shared" si="246" ref="BC218:BC230">AW218+AX218</f>
        <v>0</v>
      </c>
      <c r="BD218" s="42">
        <f aca="true" t="shared" si="247" ref="BD218:BD230">G218/(100-BE218)*100</f>
        <v>0</v>
      </c>
      <c r="BE218" s="42">
        <v>0</v>
      </c>
      <c r="BF218" s="42">
        <f aca="true" t="shared" si="248" ref="BF218:BF230">L218</f>
        <v>0</v>
      </c>
      <c r="BH218" s="23">
        <f aca="true" t="shared" si="249" ref="BH218:BH230">F218*AO218</f>
        <v>0</v>
      </c>
      <c r="BI218" s="23">
        <f aca="true" t="shared" si="250" ref="BI218:BI230">F218*AP218</f>
        <v>0</v>
      </c>
      <c r="BJ218" s="23">
        <f aca="true" t="shared" si="251" ref="BJ218:BJ230">F218*G218</f>
        <v>0</v>
      </c>
      <c r="BK218" s="23" t="s">
        <v>762</v>
      </c>
      <c r="BL218" s="42" t="s">
        <v>408</v>
      </c>
    </row>
    <row r="219" spans="1:64" ht="25.5">
      <c r="A219" s="6" t="s">
        <v>188</v>
      </c>
      <c r="B219" s="15"/>
      <c r="C219" s="15" t="s">
        <v>410</v>
      </c>
      <c r="D219" s="80" t="s">
        <v>645</v>
      </c>
      <c r="E219" s="15" t="s">
        <v>681</v>
      </c>
      <c r="F219" s="23">
        <v>60</v>
      </c>
      <c r="G219" s="91">
        <v>0</v>
      </c>
      <c r="H219" s="23">
        <f t="shared" si="226"/>
        <v>0</v>
      </c>
      <c r="I219" s="23">
        <f t="shared" si="227"/>
        <v>0</v>
      </c>
      <c r="J219" s="23">
        <f t="shared" si="228"/>
        <v>0</v>
      </c>
      <c r="K219" s="23">
        <v>0</v>
      </c>
      <c r="L219" s="23">
        <f t="shared" si="229"/>
        <v>0</v>
      </c>
      <c r="M219" s="38"/>
      <c r="N219" s="40"/>
      <c r="Z219" s="42">
        <f t="shared" si="230"/>
        <v>0</v>
      </c>
      <c r="AB219" s="42">
        <f t="shared" si="231"/>
        <v>0</v>
      </c>
      <c r="AC219" s="42">
        <f t="shared" si="232"/>
        <v>0</v>
      </c>
      <c r="AD219" s="42">
        <f t="shared" si="233"/>
        <v>0</v>
      </c>
      <c r="AE219" s="42">
        <f t="shared" si="234"/>
        <v>0</v>
      </c>
      <c r="AF219" s="42">
        <f t="shared" si="235"/>
        <v>0</v>
      </c>
      <c r="AG219" s="42">
        <f t="shared" si="236"/>
        <v>0</v>
      </c>
      <c r="AH219" s="42">
        <f t="shared" si="237"/>
        <v>0</v>
      </c>
      <c r="AI219" s="32"/>
      <c r="AJ219" s="23">
        <f t="shared" si="238"/>
        <v>0</v>
      </c>
      <c r="AK219" s="23">
        <f t="shared" si="239"/>
        <v>0</v>
      </c>
      <c r="AL219" s="23">
        <f t="shared" si="240"/>
        <v>0</v>
      </c>
      <c r="AN219" s="42">
        <v>15</v>
      </c>
      <c r="AO219" s="42">
        <f t="shared" si="241"/>
        <v>0</v>
      </c>
      <c r="AP219" s="42">
        <f t="shared" si="242"/>
        <v>0</v>
      </c>
      <c r="AQ219" s="44" t="s">
        <v>7</v>
      </c>
      <c r="AV219" s="42">
        <f t="shared" si="243"/>
        <v>0</v>
      </c>
      <c r="AW219" s="42">
        <f t="shared" si="244"/>
        <v>0</v>
      </c>
      <c r="AX219" s="42">
        <f t="shared" si="245"/>
        <v>0</v>
      </c>
      <c r="AY219" s="45" t="s">
        <v>743</v>
      </c>
      <c r="AZ219" s="45" t="s">
        <v>755</v>
      </c>
      <c r="BA219" s="32" t="s">
        <v>756</v>
      </c>
      <c r="BC219" s="42">
        <f t="shared" si="246"/>
        <v>0</v>
      </c>
      <c r="BD219" s="42">
        <f t="shared" si="247"/>
        <v>0</v>
      </c>
      <c r="BE219" s="42">
        <v>0</v>
      </c>
      <c r="BF219" s="42">
        <f t="shared" si="248"/>
        <v>0</v>
      </c>
      <c r="BH219" s="23">
        <f t="shared" si="249"/>
        <v>0</v>
      </c>
      <c r="BI219" s="23">
        <f t="shared" si="250"/>
        <v>0</v>
      </c>
      <c r="BJ219" s="23">
        <f t="shared" si="251"/>
        <v>0</v>
      </c>
      <c r="BK219" s="23" t="s">
        <v>762</v>
      </c>
      <c r="BL219" s="42" t="s">
        <v>408</v>
      </c>
    </row>
    <row r="220" spans="1:64" ht="12.75">
      <c r="A220" s="6" t="s">
        <v>189</v>
      </c>
      <c r="B220" s="15"/>
      <c r="C220" s="15" t="s">
        <v>411</v>
      </c>
      <c r="D220" s="80" t="s">
        <v>646</v>
      </c>
      <c r="E220" s="15" t="s">
        <v>681</v>
      </c>
      <c r="F220" s="23">
        <v>30</v>
      </c>
      <c r="G220" s="91">
        <v>0</v>
      </c>
      <c r="H220" s="23">
        <f t="shared" si="226"/>
        <v>0</v>
      </c>
      <c r="I220" s="23">
        <f t="shared" si="227"/>
        <v>0</v>
      </c>
      <c r="J220" s="23">
        <f t="shared" si="228"/>
        <v>0</v>
      </c>
      <c r="K220" s="23">
        <v>0</v>
      </c>
      <c r="L220" s="23">
        <f t="shared" si="229"/>
        <v>0</v>
      </c>
      <c r="M220" s="38"/>
      <c r="N220" s="40"/>
      <c r="Z220" s="42">
        <f t="shared" si="230"/>
        <v>0</v>
      </c>
      <c r="AB220" s="42">
        <f t="shared" si="231"/>
        <v>0</v>
      </c>
      <c r="AC220" s="42">
        <f t="shared" si="232"/>
        <v>0</v>
      </c>
      <c r="AD220" s="42">
        <f t="shared" si="233"/>
        <v>0</v>
      </c>
      <c r="AE220" s="42">
        <f t="shared" si="234"/>
        <v>0</v>
      </c>
      <c r="AF220" s="42">
        <f t="shared" si="235"/>
        <v>0</v>
      </c>
      <c r="AG220" s="42">
        <f t="shared" si="236"/>
        <v>0</v>
      </c>
      <c r="AH220" s="42">
        <f t="shared" si="237"/>
        <v>0</v>
      </c>
      <c r="AI220" s="32"/>
      <c r="AJ220" s="23">
        <f t="shared" si="238"/>
        <v>0</v>
      </c>
      <c r="AK220" s="23">
        <f t="shared" si="239"/>
        <v>0</v>
      </c>
      <c r="AL220" s="23">
        <f t="shared" si="240"/>
        <v>0</v>
      </c>
      <c r="AN220" s="42">
        <v>15</v>
      </c>
      <c r="AO220" s="42">
        <f t="shared" si="241"/>
        <v>0</v>
      </c>
      <c r="AP220" s="42">
        <f t="shared" si="242"/>
        <v>0</v>
      </c>
      <c r="AQ220" s="44" t="s">
        <v>7</v>
      </c>
      <c r="AV220" s="42">
        <f t="shared" si="243"/>
        <v>0</v>
      </c>
      <c r="AW220" s="42">
        <f t="shared" si="244"/>
        <v>0</v>
      </c>
      <c r="AX220" s="42">
        <f t="shared" si="245"/>
        <v>0</v>
      </c>
      <c r="AY220" s="45" t="s">
        <v>743</v>
      </c>
      <c r="AZ220" s="45" t="s">
        <v>755</v>
      </c>
      <c r="BA220" s="32" t="s">
        <v>756</v>
      </c>
      <c r="BC220" s="42">
        <f t="shared" si="246"/>
        <v>0</v>
      </c>
      <c r="BD220" s="42">
        <f t="shared" si="247"/>
        <v>0</v>
      </c>
      <c r="BE220" s="42">
        <v>0</v>
      </c>
      <c r="BF220" s="42">
        <f t="shared" si="248"/>
        <v>0</v>
      </c>
      <c r="BH220" s="23">
        <f t="shared" si="249"/>
        <v>0</v>
      </c>
      <c r="BI220" s="23">
        <f t="shared" si="250"/>
        <v>0</v>
      </c>
      <c r="BJ220" s="23">
        <f t="shared" si="251"/>
        <v>0</v>
      </c>
      <c r="BK220" s="23" t="s">
        <v>762</v>
      </c>
      <c r="BL220" s="42" t="s">
        <v>408</v>
      </c>
    </row>
    <row r="221" spans="1:64" ht="25.5">
      <c r="A221" s="6" t="s">
        <v>190</v>
      </c>
      <c r="B221" s="15"/>
      <c r="C221" s="15" t="s">
        <v>412</v>
      </c>
      <c r="D221" s="80" t="s">
        <v>647</v>
      </c>
      <c r="E221" s="15" t="s">
        <v>681</v>
      </c>
      <c r="F221" s="23">
        <v>140</v>
      </c>
      <c r="G221" s="91">
        <v>0</v>
      </c>
      <c r="H221" s="23">
        <f t="shared" si="226"/>
        <v>0</v>
      </c>
      <c r="I221" s="23">
        <f t="shared" si="227"/>
        <v>0</v>
      </c>
      <c r="J221" s="23">
        <f t="shared" si="228"/>
        <v>0</v>
      </c>
      <c r="K221" s="23">
        <v>0</v>
      </c>
      <c r="L221" s="23">
        <f t="shared" si="229"/>
        <v>0</v>
      </c>
      <c r="M221" s="38"/>
      <c r="N221" s="40"/>
      <c r="Z221" s="42">
        <f t="shared" si="230"/>
        <v>0</v>
      </c>
      <c r="AB221" s="42">
        <f t="shared" si="231"/>
        <v>0</v>
      </c>
      <c r="AC221" s="42">
        <f t="shared" si="232"/>
        <v>0</v>
      </c>
      <c r="AD221" s="42">
        <f t="shared" si="233"/>
        <v>0</v>
      </c>
      <c r="AE221" s="42">
        <f t="shared" si="234"/>
        <v>0</v>
      </c>
      <c r="AF221" s="42">
        <f t="shared" si="235"/>
        <v>0</v>
      </c>
      <c r="AG221" s="42">
        <f t="shared" si="236"/>
        <v>0</v>
      </c>
      <c r="AH221" s="42">
        <f t="shared" si="237"/>
        <v>0</v>
      </c>
      <c r="AI221" s="32"/>
      <c r="AJ221" s="23">
        <f t="shared" si="238"/>
        <v>0</v>
      </c>
      <c r="AK221" s="23">
        <f t="shared" si="239"/>
        <v>0</v>
      </c>
      <c r="AL221" s="23">
        <f t="shared" si="240"/>
        <v>0</v>
      </c>
      <c r="AN221" s="42">
        <v>15</v>
      </c>
      <c r="AO221" s="42">
        <f t="shared" si="241"/>
        <v>0</v>
      </c>
      <c r="AP221" s="42">
        <f t="shared" si="242"/>
        <v>0</v>
      </c>
      <c r="AQ221" s="44" t="s">
        <v>7</v>
      </c>
      <c r="AV221" s="42">
        <f t="shared" si="243"/>
        <v>0</v>
      </c>
      <c r="AW221" s="42">
        <f t="shared" si="244"/>
        <v>0</v>
      </c>
      <c r="AX221" s="42">
        <f t="shared" si="245"/>
        <v>0</v>
      </c>
      <c r="AY221" s="45" t="s">
        <v>743</v>
      </c>
      <c r="AZ221" s="45" t="s">
        <v>755</v>
      </c>
      <c r="BA221" s="32" t="s">
        <v>756</v>
      </c>
      <c r="BC221" s="42">
        <f t="shared" si="246"/>
        <v>0</v>
      </c>
      <c r="BD221" s="42">
        <f t="shared" si="247"/>
        <v>0</v>
      </c>
      <c r="BE221" s="42">
        <v>0</v>
      </c>
      <c r="BF221" s="42">
        <f t="shared" si="248"/>
        <v>0</v>
      </c>
      <c r="BH221" s="23">
        <f t="shared" si="249"/>
        <v>0</v>
      </c>
      <c r="BI221" s="23">
        <f t="shared" si="250"/>
        <v>0</v>
      </c>
      <c r="BJ221" s="23">
        <f t="shared" si="251"/>
        <v>0</v>
      </c>
      <c r="BK221" s="23" t="s">
        <v>762</v>
      </c>
      <c r="BL221" s="42" t="s">
        <v>408</v>
      </c>
    </row>
    <row r="222" spans="1:64" ht="25.5">
      <c r="A222" s="6" t="s">
        <v>191</v>
      </c>
      <c r="B222" s="15"/>
      <c r="C222" s="15" t="s">
        <v>413</v>
      </c>
      <c r="D222" s="80" t="s">
        <v>648</v>
      </c>
      <c r="E222" s="15" t="s">
        <v>681</v>
      </c>
      <c r="F222" s="23">
        <v>30</v>
      </c>
      <c r="G222" s="91">
        <v>0</v>
      </c>
      <c r="H222" s="23">
        <f t="shared" si="226"/>
        <v>0</v>
      </c>
      <c r="I222" s="23">
        <f t="shared" si="227"/>
        <v>0</v>
      </c>
      <c r="J222" s="23">
        <f t="shared" si="228"/>
        <v>0</v>
      </c>
      <c r="K222" s="23">
        <v>0</v>
      </c>
      <c r="L222" s="23">
        <f t="shared" si="229"/>
        <v>0</v>
      </c>
      <c r="M222" s="38"/>
      <c r="N222" s="40"/>
      <c r="Z222" s="42">
        <f t="shared" si="230"/>
        <v>0</v>
      </c>
      <c r="AB222" s="42">
        <f t="shared" si="231"/>
        <v>0</v>
      </c>
      <c r="AC222" s="42">
        <f t="shared" si="232"/>
        <v>0</v>
      </c>
      <c r="AD222" s="42">
        <f t="shared" si="233"/>
        <v>0</v>
      </c>
      <c r="AE222" s="42">
        <f t="shared" si="234"/>
        <v>0</v>
      </c>
      <c r="AF222" s="42">
        <f t="shared" si="235"/>
        <v>0</v>
      </c>
      <c r="AG222" s="42">
        <f t="shared" si="236"/>
        <v>0</v>
      </c>
      <c r="AH222" s="42">
        <f t="shared" si="237"/>
        <v>0</v>
      </c>
      <c r="AI222" s="32"/>
      <c r="AJ222" s="23">
        <f t="shared" si="238"/>
        <v>0</v>
      </c>
      <c r="AK222" s="23">
        <f t="shared" si="239"/>
        <v>0</v>
      </c>
      <c r="AL222" s="23">
        <f t="shared" si="240"/>
        <v>0</v>
      </c>
      <c r="AN222" s="42">
        <v>15</v>
      </c>
      <c r="AO222" s="42">
        <f t="shared" si="241"/>
        <v>0</v>
      </c>
      <c r="AP222" s="42">
        <f t="shared" si="242"/>
        <v>0</v>
      </c>
      <c r="AQ222" s="44" t="s">
        <v>7</v>
      </c>
      <c r="AV222" s="42">
        <f t="shared" si="243"/>
        <v>0</v>
      </c>
      <c r="AW222" s="42">
        <f t="shared" si="244"/>
        <v>0</v>
      </c>
      <c r="AX222" s="42">
        <f t="shared" si="245"/>
        <v>0</v>
      </c>
      <c r="AY222" s="45" t="s">
        <v>743</v>
      </c>
      <c r="AZ222" s="45" t="s">
        <v>755</v>
      </c>
      <c r="BA222" s="32" t="s">
        <v>756</v>
      </c>
      <c r="BC222" s="42">
        <f t="shared" si="246"/>
        <v>0</v>
      </c>
      <c r="BD222" s="42">
        <f t="shared" si="247"/>
        <v>0</v>
      </c>
      <c r="BE222" s="42">
        <v>0</v>
      </c>
      <c r="BF222" s="42">
        <f t="shared" si="248"/>
        <v>0</v>
      </c>
      <c r="BH222" s="23">
        <f t="shared" si="249"/>
        <v>0</v>
      </c>
      <c r="BI222" s="23">
        <f t="shared" si="250"/>
        <v>0</v>
      </c>
      <c r="BJ222" s="23">
        <f t="shared" si="251"/>
        <v>0</v>
      </c>
      <c r="BK222" s="23" t="s">
        <v>762</v>
      </c>
      <c r="BL222" s="42" t="s">
        <v>408</v>
      </c>
    </row>
    <row r="223" spans="1:64" ht="25.5">
      <c r="A223" s="6" t="s">
        <v>192</v>
      </c>
      <c r="B223" s="15"/>
      <c r="C223" s="15" t="s">
        <v>414</v>
      </c>
      <c r="D223" s="80" t="s">
        <v>649</v>
      </c>
      <c r="E223" s="15" t="s">
        <v>681</v>
      </c>
      <c r="F223" s="23">
        <v>60</v>
      </c>
      <c r="G223" s="91">
        <v>0</v>
      </c>
      <c r="H223" s="23">
        <f t="shared" si="226"/>
        <v>0</v>
      </c>
      <c r="I223" s="23">
        <f t="shared" si="227"/>
        <v>0</v>
      </c>
      <c r="J223" s="23">
        <f t="shared" si="228"/>
        <v>0</v>
      </c>
      <c r="K223" s="23">
        <v>0</v>
      </c>
      <c r="L223" s="23">
        <f t="shared" si="229"/>
        <v>0</v>
      </c>
      <c r="M223" s="38"/>
      <c r="N223" s="40"/>
      <c r="Z223" s="42">
        <f t="shared" si="230"/>
        <v>0</v>
      </c>
      <c r="AB223" s="42">
        <f t="shared" si="231"/>
        <v>0</v>
      </c>
      <c r="AC223" s="42">
        <f t="shared" si="232"/>
        <v>0</v>
      </c>
      <c r="AD223" s="42">
        <f t="shared" si="233"/>
        <v>0</v>
      </c>
      <c r="AE223" s="42">
        <f t="shared" si="234"/>
        <v>0</v>
      </c>
      <c r="AF223" s="42">
        <f t="shared" si="235"/>
        <v>0</v>
      </c>
      <c r="AG223" s="42">
        <f t="shared" si="236"/>
        <v>0</v>
      </c>
      <c r="AH223" s="42">
        <f t="shared" si="237"/>
        <v>0</v>
      </c>
      <c r="AI223" s="32"/>
      <c r="AJ223" s="23">
        <f t="shared" si="238"/>
        <v>0</v>
      </c>
      <c r="AK223" s="23">
        <f t="shared" si="239"/>
        <v>0</v>
      </c>
      <c r="AL223" s="23">
        <f t="shared" si="240"/>
        <v>0</v>
      </c>
      <c r="AN223" s="42">
        <v>15</v>
      </c>
      <c r="AO223" s="42">
        <f t="shared" si="241"/>
        <v>0</v>
      </c>
      <c r="AP223" s="42">
        <f t="shared" si="242"/>
        <v>0</v>
      </c>
      <c r="AQ223" s="44" t="s">
        <v>7</v>
      </c>
      <c r="AV223" s="42">
        <f t="shared" si="243"/>
        <v>0</v>
      </c>
      <c r="AW223" s="42">
        <f t="shared" si="244"/>
        <v>0</v>
      </c>
      <c r="AX223" s="42">
        <f t="shared" si="245"/>
        <v>0</v>
      </c>
      <c r="AY223" s="45" t="s">
        <v>743</v>
      </c>
      <c r="AZ223" s="45" t="s">
        <v>755</v>
      </c>
      <c r="BA223" s="32" t="s">
        <v>756</v>
      </c>
      <c r="BC223" s="42">
        <f t="shared" si="246"/>
        <v>0</v>
      </c>
      <c r="BD223" s="42">
        <f t="shared" si="247"/>
        <v>0</v>
      </c>
      <c r="BE223" s="42">
        <v>0</v>
      </c>
      <c r="BF223" s="42">
        <f t="shared" si="248"/>
        <v>0</v>
      </c>
      <c r="BH223" s="23">
        <f t="shared" si="249"/>
        <v>0</v>
      </c>
      <c r="BI223" s="23">
        <f t="shared" si="250"/>
        <v>0</v>
      </c>
      <c r="BJ223" s="23">
        <f t="shared" si="251"/>
        <v>0</v>
      </c>
      <c r="BK223" s="23" t="s">
        <v>762</v>
      </c>
      <c r="BL223" s="42" t="s">
        <v>408</v>
      </c>
    </row>
    <row r="224" spans="1:64" ht="25.5">
      <c r="A224" s="6" t="s">
        <v>193</v>
      </c>
      <c r="B224" s="15"/>
      <c r="C224" s="15" t="s">
        <v>415</v>
      </c>
      <c r="D224" s="80" t="s">
        <v>650</v>
      </c>
      <c r="E224" s="15" t="s">
        <v>681</v>
      </c>
      <c r="F224" s="23">
        <v>15</v>
      </c>
      <c r="G224" s="91">
        <v>0</v>
      </c>
      <c r="H224" s="23">
        <f t="shared" si="226"/>
        <v>0</v>
      </c>
      <c r="I224" s="23">
        <f t="shared" si="227"/>
        <v>0</v>
      </c>
      <c r="J224" s="23">
        <f t="shared" si="228"/>
        <v>0</v>
      </c>
      <c r="K224" s="23">
        <v>0</v>
      </c>
      <c r="L224" s="23">
        <f t="shared" si="229"/>
        <v>0</v>
      </c>
      <c r="M224" s="38"/>
      <c r="N224" s="40"/>
      <c r="Z224" s="42">
        <f t="shared" si="230"/>
        <v>0</v>
      </c>
      <c r="AB224" s="42">
        <f t="shared" si="231"/>
        <v>0</v>
      </c>
      <c r="AC224" s="42">
        <f t="shared" si="232"/>
        <v>0</v>
      </c>
      <c r="AD224" s="42">
        <f t="shared" si="233"/>
        <v>0</v>
      </c>
      <c r="AE224" s="42">
        <f t="shared" si="234"/>
        <v>0</v>
      </c>
      <c r="AF224" s="42">
        <f t="shared" si="235"/>
        <v>0</v>
      </c>
      <c r="AG224" s="42">
        <f t="shared" si="236"/>
        <v>0</v>
      </c>
      <c r="AH224" s="42">
        <f t="shared" si="237"/>
        <v>0</v>
      </c>
      <c r="AI224" s="32"/>
      <c r="AJ224" s="23">
        <f t="shared" si="238"/>
        <v>0</v>
      </c>
      <c r="AK224" s="23">
        <f t="shared" si="239"/>
        <v>0</v>
      </c>
      <c r="AL224" s="23">
        <f t="shared" si="240"/>
        <v>0</v>
      </c>
      <c r="AN224" s="42">
        <v>15</v>
      </c>
      <c r="AO224" s="42">
        <f t="shared" si="241"/>
        <v>0</v>
      </c>
      <c r="AP224" s="42">
        <f t="shared" si="242"/>
        <v>0</v>
      </c>
      <c r="AQ224" s="44" t="s">
        <v>7</v>
      </c>
      <c r="AV224" s="42">
        <f t="shared" si="243"/>
        <v>0</v>
      </c>
      <c r="AW224" s="42">
        <f t="shared" si="244"/>
        <v>0</v>
      </c>
      <c r="AX224" s="42">
        <f t="shared" si="245"/>
        <v>0</v>
      </c>
      <c r="AY224" s="45" t="s">
        <v>743</v>
      </c>
      <c r="AZ224" s="45" t="s">
        <v>755</v>
      </c>
      <c r="BA224" s="32" t="s">
        <v>756</v>
      </c>
      <c r="BC224" s="42">
        <f t="shared" si="246"/>
        <v>0</v>
      </c>
      <c r="BD224" s="42">
        <f t="shared" si="247"/>
        <v>0</v>
      </c>
      <c r="BE224" s="42">
        <v>0</v>
      </c>
      <c r="BF224" s="42">
        <f t="shared" si="248"/>
        <v>0</v>
      </c>
      <c r="BH224" s="23">
        <f t="shared" si="249"/>
        <v>0</v>
      </c>
      <c r="BI224" s="23">
        <f t="shared" si="250"/>
        <v>0</v>
      </c>
      <c r="BJ224" s="23">
        <f t="shared" si="251"/>
        <v>0</v>
      </c>
      <c r="BK224" s="23" t="s">
        <v>762</v>
      </c>
      <c r="BL224" s="42" t="s">
        <v>408</v>
      </c>
    </row>
    <row r="225" spans="1:64" ht="25.5">
      <c r="A225" s="6" t="s">
        <v>194</v>
      </c>
      <c r="B225" s="15"/>
      <c r="C225" s="15" t="s">
        <v>416</v>
      </c>
      <c r="D225" s="80" t="s">
        <v>651</v>
      </c>
      <c r="E225" s="15" t="s">
        <v>681</v>
      </c>
      <c r="F225" s="23">
        <v>15</v>
      </c>
      <c r="G225" s="91">
        <v>0</v>
      </c>
      <c r="H225" s="23">
        <f t="shared" si="226"/>
        <v>0</v>
      </c>
      <c r="I225" s="23">
        <f t="shared" si="227"/>
        <v>0</v>
      </c>
      <c r="J225" s="23">
        <f t="shared" si="228"/>
        <v>0</v>
      </c>
      <c r="K225" s="23">
        <v>0</v>
      </c>
      <c r="L225" s="23">
        <f t="shared" si="229"/>
        <v>0</v>
      </c>
      <c r="M225" s="38"/>
      <c r="N225" s="40"/>
      <c r="Z225" s="42">
        <f t="shared" si="230"/>
        <v>0</v>
      </c>
      <c r="AB225" s="42">
        <f t="shared" si="231"/>
        <v>0</v>
      </c>
      <c r="AC225" s="42">
        <f t="shared" si="232"/>
        <v>0</v>
      </c>
      <c r="AD225" s="42">
        <f t="shared" si="233"/>
        <v>0</v>
      </c>
      <c r="AE225" s="42">
        <f t="shared" si="234"/>
        <v>0</v>
      </c>
      <c r="AF225" s="42">
        <f t="shared" si="235"/>
        <v>0</v>
      </c>
      <c r="AG225" s="42">
        <f t="shared" si="236"/>
        <v>0</v>
      </c>
      <c r="AH225" s="42">
        <f t="shared" si="237"/>
        <v>0</v>
      </c>
      <c r="AI225" s="32"/>
      <c r="AJ225" s="23">
        <f t="shared" si="238"/>
        <v>0</v>
      </c>
      <c r="AK225" s="23">
        <f t="shared" si="239"/>
        <v>0</v>
      </c>
      <c r="AL225" s="23">
        <f t="shared" si="240"/>
        <v>0</v>
      </c>
      <c r="AN225" s="42">
        <v>15</v>
      </c>
      <c r="AO225" s="42">
        <f t="shared" si="241"/>
        <v>0</v>
      </c>
      <c r="AP225" s="42">
        <f t="shared" si="242"/>
        <v>0</v>
      </c>
      <c r="AQ225" s="44" t="s">
        <v>7</v>
      </c>
      <c r="AV225" s="42">
        <f t="shared" si="243"/>
        <v>0</v>
      </c>
      <c r="AW225" s="42">
        <f t="shared" si="244"/>
        <v>0</v>
      </c>
      <c r="AX225" s="42">
        <f t="shared" si="245"/>
        <v>0</v>
      </c>
      <c r="AY225" s="45" t="s">
        <v>743</v>
      </c>
      <c r="AZ225" s="45" t="s">
        <v>755</v>
      </c>
      <c r="BA225" s="32" t="s">
        <v>756</v>
      </c>
      <c r="BC225" s="42">
        <f t="shared" si="246"/>
        <v>0</v>
      </c>
      <c r="BD225" s="42">
        <f t="shared" si="247"/>
        <v>0</v>
      </c>
      <c r="BE225" s="42">
        <v>0</v>
      </c>
      <c r="BF225" s="42">
        <f t="shared" si="248"/>
        <v>0</v>
      </c>
      <c r="BH225" s="23">
        <f t="shared" si="249"/>
        <v>0</v>
      </c>
      <c r="BI225" s="23">
        <f t="shared" si="250"/>
        <v>0</v>
      </c>
      <c r="BJ225" s="23">
        <f t="shared" si="251"/>
        <v>0</v>
      </c>
      <c r="BK225" s="23" t="s">
        <v>762</v>
      </c>
      <c r="BL225" s="42" t="s">
        <v>408</v>
      </c>
    </row>
    <row r="226" spans="1:64" ht="12.75">
      <c r="A226" s="6" t="s">
        <v>195</v>
      </c>
      <c r="B226" s="15"/>
      <c r="C226" s="15" t="s">
        <v>417</v>
      </c>
      <c r="D226" s="15" t="s">
        <v>652</v>
      </c>
      <c r="E226" s="15" t="s">
        <v>681</v>
      </c>
      <c r="F226" s="23">
        <v>30</v>
      </c>
      <c r="G226" s="91">
        <v>0</v>
      </c>
      <c r="H226" s="23">
        <f t="shared" si="226"/>
        <v>0</v>
      </c>
      <c r="I226" s="23">
        <f t="shared" si="227"/>
        <v>0</v>
      </c>
      <c r="J226" s="23">
        <f t="shared" si="228"/>
        <v>0</v>
      </c>
      <c r="K226" s="23">
        <v>0</v>
      </c>
      <c r="L226" s="23">
        <f t="shared" si="229"/>
        <v>0</v>
      </c>
      <c r="M226" s="38"/>
      <c r="N226" s="40"/>
      <c r="Z226" s="42">
        <f t="shared" si="230"/>
        <v>0</v>
      </c>
      <c r="AB226" s="42">
        <f t="shared" si="231"/>
        <v>0</v>
      </c>
      <c r="AC226" s="42">
        <f t="shared" si="232"/>
        <v>0</v>
      </c>
      <c r="AD226" s="42">
        <f t="shared" si="233"/>
        <v>0</v>
      </c>
      <c r="AE226" s="42">
        <f t="shared" si="234"/>
        <v>0</v>
      </c>
      <c r="AF226" s="42">
        <f t="shared" si="235"/>
        <v>0</v>
      </c>
      <c r="AG226" s="42">
        <f t="shared" si="236"/>
        <v>0</v>
      </c>
      <c r="AH226" s="42">
        <f t="shared" si="237"/>
        <v>0</v>
      </c>
      <c r="AI226" s="32"/>
      <c r="AJ226" s="23">
        <f t="shared" si="238"/>
        <v>0</v>
      </c>
      <c r="AK226" s="23">
        <f t="shared" si="239"/>
        <v>0</v>
      </c>
      <c r="AL226" s="23">
        <f t="shared" si="240"/>
        <v>0</v>
      </c>
      <c r="AN226" s="42">
        <v>15</v>
      </c>
      <c r="AO226" s="42">
        <f t="shared" si="241"/>
        <v>0</v>
      </c>
      <c r="AP226" s="42">
        <f t="shared" si="242"/>
        <v>0</v>
      </c>
      <c r="AQ226" s="44" t="s">
        <v>7</v>
      </c>
      <c r="AV226" s="42">
        <f t="shared" si="243"/>
        <v>0</v>
      </c>
      <c r="AW226" s="42">
        <f t="shared" si="244"/>
        <v>0</v>
      </c>
      <c r="AX226" s="42">
        <f t="shared" si="245"/>
        <v>0</v>
      </c>
      <c r="AY226" s="45" t="s">
        <v>743</v>
      </c>
      <c r="AZ226" s="45" t="s">
        <v>755</v>
      </c>
      <c r="BA226" s="32" t="s">
        <v>756</v>
      </c>
      <c r="BC226" s="42">
        <f t="shared" si="246"/>
        <v>0</v>
      </c>
      <c r="BD226" s="42">
        <f t="shared" si="247"/>
        <v>0</v>
      </c>
      <c r="BE226" s="42">
        <v>0</v>
      </c>
      <c r="BF226" s="42">
        <f t="shared" si="248"/>
        <v>0</v>
      </c>
      <c r="BH226" s="23">
        <f t="shared" si="249"/>
        <v>0</v>
      </c>
      <c r="BI226" s="23">
        <f t="shared" si="250"/>
        <v>0</v>
      </c>
      <c r="BJ226" s="23">
        <f t="shared" si="251"/>
        <v>0</v>
      </c>
      <c r="BK226" s="23" t="s">
        <v>762</v>
      </c>
      <c r="BL226" s="42" t="s">
        <v>408</v>
      </c>
    </row>
    <row r="227" spans="1:64" ht="12.75">
      <c r="A227" s="6" t="s">
        <v>196</v>
      </c>
      <c r="B227" s="15"/>
      <c r="C227" s="15" t="s">
        <v>418</v>
      </c>
      <c r="D227" s="15" t="s">
        <v>653</v>
      </c>
      <c r="E227" s="15" t="s">
        <v>681</v>
      </c>
      <c r="F227" s="23">
        <v>50</v>
      </c>
      <c r="G227" s="91">
        <v>0</v>
      </c>
      <c r="H227" s="23">
        <f t="shared" si="226"/>
        <v>0</v>
      </c>
      <c r="I227" s="23">
        <f t="shared" si="227"/>
        <v>0</v>
      </c>
      <c r="J227" s="23">
        <f t="shared" si="228"/>
        <v>0</v>
      </c>
      <c r="K227" s="23">
        <v>0</v>
      </c>
      <c r="L227" s="23">
        <f t="shared" si="229"/>
        <v>0</v>
      </c>
      <c r="M227" s="38"/>
      <c r="N227" s="40"/>
      <c r="Z227" s="42">
        <f t="shared" si="230"/>
        <v>0</v>
      </c>
      <c r="AB227" s="42">
        <f t="shared" si="231"/>
        <v>0</v>
      </c>
      <c r="AC227" s="42">
        <f t="shared" si="232"/>
        <v>0</v>
      </c>
      <c r="AD227" s="42">
        <f t="shared" si="233"/>
        <v>0</v>
      </c>
      <c r="AE227" s="42">
        <f t="shared" si="234"/>
        <v>0</v>
      </c>
      <c r="AF227" s="42">
        <f t="shared" si="235"/>
        <v>0</v>
      </c>
      <c r="AG227" s="42">
        <f t="shared" si="236"/>
        <v>0</v>
      </c>
      <c r="AH227" s="42">
        <f t="shared" si="237"/>
        <v>0</v>
      </c>
      <c r="AI227" s="32"/>
      <c r="AJ227" s="23">
        <f t="shared" si="238"/>
        <v>0</v>
      </c>
      <c r="AK227" s="23">
        <f t="shared" si="239"/>
        <v>0</v>
      </c>
      <c r="AL227" s="23">
        <f t="shared" si="240"/>
        <v>0</v>
      </c>
      <c r="AN227" s="42">
        <v>15</v>
      </c>
      <c r="AO227" s="42">
        <f t="shared" si="241"/>
        <v>0</v>
      </c>
      <c r="AP227" s="42">
        <f t="shared" si="242"/>
        <v>0</v>
      </c>
      <c r="AQ227" s="44" t="s">
        <v>7</v>
      </c>
      <c r="AV227" s="42">
        <f t="shared" si="243"/>
        <v>0</v>
      </c>
      <c r="AW227" s="42">
        <f t="shared" si="244"/>
        <v>0</v>
      </c>
      <c r="AX227" s="42">
        <f t="shared" si="245"/>
        <v>0</v>
      </c>
      <c r="AY227" s="45" t="s">
        <v>743</v>
      </c>
      <c r="AZ227" s="45" t="s">
        <v>755</v>
      </c>
      <c r="BA227" s="32" t="s">
        <v>756</v>
      </c>
      <c r="BC227" s="42">
        <f t="shared" si="246"/>
        <v>0</v>
      </c>
      <c r="BD227" s="42">
        <f t="shared" si="247"/>
        <v>0</v>
      </c>
      <c r="BE227" s="42">
        <v>0</v>
      </c>
      <c r="BF227" s="42">
        <f t="shared" si="248"/>
        <v>0</v>
      </c>
      <c r="BH227" s="23">
        <f t="shared" si="249"/>
        <v>0</v>
      </c>
      <c r="BI227" s="23">
        <f t="shared" si="250"/>
        <v>0</v>
      </c>
      <c r="BJ227" s="23">
        <f t="shared" si="251"/>
        <v>0</v>
      </c>
      <c r="BK227" s="23" t="s">
        <v>762</v>
      </c>
      <c r="BL227" s="42" t="s">
        <v>408</v>
      </c>
    </row>
    <row r="228" spans="1:64" ht="12.75">
      <c r="A228" s="6" t="s">
        <v>197</v>
      </c>
      <c r="B228" s="15"/>
      <c r="C228" s="15" t="s">
        <v>419</v>
      </c>
      <c r="D228" s="15" t="s">
        <v>654</v>
      </c>
      <c r="E228" s="15" t="s">
        <v>679</v>
      </c>
      <c r="F228" s="23">
        <v>1</v>
      </c>
      <c r="G228" s="91">
        <v>0</v>
      </c>
      <c r="H228" s="23">
        <f t="shared" si="226"/>
        <v>0</v>
      </c>
      <c r="I228" s="23">
        <f t="shared" si="227"/>
        <v>0</v>
      </c>
      <c r="J228" s="23">
        <f t="shared" si="228"/>
        <v>0</v>
      </c>
      <c r="K228" s="23">
        <v>0</v>
      </c>
      <c r="L228" s="23">
        <f t="shared" si="229"/>
        <v>0</v>
      </c>
      <c r="M228" s="38"/>
      <c r="N228" s="40"/>
      <c r="Z228" s="42">
        <f t="shared" si="230"/>
        <v>0</v>
      </c>
      <c r="AB228" s="42">
        <f t="shared" si="231"/>
        <v>0</v>
      </c>
      <c r="AC228" s="42">
        <f t="shared" si="232"/>
        <v>0</v>
      </c>
      <c r="AD228" s="42">
        <f t="shared" si="233"/>
        <v>0</v>
      </c>
      <c r="AE228" s="42">
        <f t="shared" si="234"/>
        <v>0</v>
      </c>
      <c r="AF228" s="42">
        <f t="shared" si="235"/>
        <v>0</v>
      </c>
      <c r="AG228" s="42">
        <f t="shared" si="236"/>
        <v>0</v>
      </c>
      <c r="AH228" s="42">
        <f t="shared" si="237"/>
        <v>0</v>
      </c>
      <c r="AI228" s="32"/>
      <c r="AJ228" s="23">
        <f t="shared" si="238"/>
        <v>0</v>
      </c>
      <c r="AK228" s="23">
        <f t="shared" si="239"/>
        <v>0</v>
      </c>
      <c r="AL228" s="23">
        <f t="shared" si="240"/>
        <v>0</v>
      </c>
      <c r="AN228" s="42">
        <v>15</v>
      </c>
      <c r="AO228" s="42">
        <f t="shared" si="241"/>
        <v>0</v>
      </c>
      <c r="AP228" s="42">
        <f t="shared" si="242"/>
        <v>0</v>
      </c>
      <c r="AQ228" s="44" t="s">
        <v>7</v>
      </c>
      <c r="AV228" s="42">
        <f t="shared" si="243"/>
        <v>0</v>
      </c>
      <c r="AW228" s="42">
        <f t="shared" si="244"/>
        <v>0</v>
      </c>
      <c r="AX228" s="42">
        <f t="shared" si="245"/>
        <v>0</v>
      </c>
      <c r="AY228" s="45" t="s">
        <v>743</v>
      </c>
      <c r="AZ228" s="45" t="s">
        <v>755</v>
      </c>
      <c r="BA228" s="32" t="s">
        <v>756</v>
      </c>
      <c r="BC228" s="42">
        <f t="shared" si="246"/>
        <v>0</v>
      </c>
      <c r="BD228" s="42">
        <f t="shared" si="247"/>
        <v>0</v>
      </c>
      <c r="BE228" s="42">
        <v>0</v>
      </c>
      <c r="BF228" s="42">
        <f t="shared" si="248"/>
        <v>0</v>
      </c>
      <c r="BH228" s="23">
        <f t="shared" si="249"/>
        <v>0</v>
      </c>
      <c r="BI228" s="23">
        <f t="shared" si="250"/>
        <v>0</v>
      </c>
      <c r="BJ228" s="23">
        <f t="shared" si="251"/>
        <v>0</v>
      </c>
      <c r="BK228" s="23" t="s">
        <v>762</v>
      </c>
      <c r="BL228" s="42" t="s">
        <v>408</v>
      </c>
    </row>
    <row r="229" spans="1:64" ht="12.75">
      <c r="A229" s="6" t="s">
        <v>198</v>
      </c>
      <c r="B229" s="15"/>
      <c r="C229" s="15" t="s">
        <v>420</v>
      </c>
      <c r="D229" s="15" t="s">
        <v>655</v>
      </c>
      <c r="E229" s="15" t="s">
        <v>679</v>
      </c>
      <c r="F229" s="23">
        <v>5</v>
      </c>
      <c r="G229" s="91">
        <v>0</v>
      </c>
      <c r="H229" s="23">
        <f t="shared" si="226"/>
        <v>0</v>
      </c>
      <c r="I229" s="23">
        <f t="shared" si="227"/>
        <v>0</v>
      </c>
      <c r="J229" s="23">
        <f t="shared" si="228"/>
        <v>0</v>
      </c>
      <c r="K229" s="23">
        <v>0</v>
      </c>
      <c r="L229" s="23">
        <f t="shared" si="229"/>
        <v>0</v>
      </c>
      <c r="M229" s="38"/>
      <c r="N229" s="40"/>
      <c r="Z229" s="42">
        <f t="shared" si="230"/>
        <v>0</v>
      </c>
      <c r="AB229" s="42">
        <f t="shared" si="231"/>
        <v>0</v>
      </c>
      <c r="AC229" s="42">
        <f t="shared" si="232"/>
        <v>0</v>
      </c>
      <c r="AD229" s="42">
        <f t="shared" si="233"/>
        <v>0</v>
      </c>
      <c r="AE229" s="42">
        <f t="shared" si="234"/>
        <v>0</v>
      </c>
      <c r="AF229" s="42">
        <f t="shared" si="235"/>
        <v>0</v>
      </c>
      <c r="AG229" s="42">
        <f t="shared" si="236"/>
        <v>0</v>
      </c>
      <c r="AH229" s="42">
        <f t="shared" si="237"/>
        <v>0</v>
      </c>
      <c r="AI229" s="32"/>
      <c r="AJ229" s="23">
        <f t="shared" si="238"/>
        <v>0</v>
      </c>
      <c r="AK229" s="23">
        <f t="shared" si="239"/>
        <v>0</v>
      </c>
      <c r="AL229" s="23">
        <f t="shared" si="240"/>
        <v>0</v>
      </c>
      <c r="AN229" s="42">
        <v>15</v>
      </c>
      <c r="AO229" s="42">
        <f t="shared" si="241"/>
        <v>0</v>
      </c>
      <c r="AP229" s="42">
        <f t="shared" si="242"/>
        <v>0</v>
      </c>
      <c r="AQ229" s="44" t="s">
        <v>7</v>
      </c>
      <c r="AV229" s="42">
        <f t="shared" si="243"/>
        <v>0</v>
      </c>
      <c r="AW229" s="42">
        <f t="shared" si="244"/>
        <v>0</v>
      </c>
      <c r="AX229" s="42">
        <f t="shared" si="245"/>
        <v>0</v>
      </c>
      <c r="AY229" s="45" t="s">
        <v>743</v>
      </c>
      <c r="AZ229" s="45" t="s">
        <v>755</v>
      </c>
      <c r="BA229" s="32" t="s">
        <v>756</v>
      </c>
      <c r="BC229" s="42">
        <f t="shared" si="246"/>
        <v>0</v>
      </c>
      <c r="BD229" s="42">
        <f t="shared" si="247"/>
        <v>0</v>
      </c>
      <c r="BE229" s="42">
        <v>0</v>
      </c>
      <c r="BF229" s="42">
        <f t="shared" si="248"/>
        <v>0</v>
      </c>
      <c r="BH229" s="23">
        <f t="shared" si="249"/>
        <v>0</v>
      </c>
      <c r="BI229" s="23">
        <f t="shared" si="250"/>
        <v>0</v>
      </c>
      <c r="BJ229" s="23">
        <f t="shared" si="251"/>
        <v>0</v>
      </c>
      <c r="BK229" s="23" t="s">
        <v>762</v>
      </c>
      <c r="BL229" s="42" t="s">
        <v>408</v>
      </c>
    </row>
    <row r="230" spans="1:64" ht="12.75">
      <c r="A230" s="6" t="s">
        <v>199</v>
      </c>
      <c r="B230" s="15"/>
      <c r="C230" s="81" t="s">
        <v>423</v>
      </c>
      <c r="D230" s="15" t="s">
        <v>656</v>
      </c>
      <c r="E230" s="15" t="s">
        <v>681</v>
      </c>
      <c r="F230" s="23">
        <v>8</v>
      </c>
      <c r="G230" s="91">
        <v>0</v>
      </c>
      <c r="H230" s="23">
        <f t="shared" si="226"/>
        <v>0</v>
      </c>
      <c r="I230" s="23">
        <f t="shared" si="227"/>
        <v>0</v>
      </c>
      <c r="J230" s="23">
        <f t="shared" si="228"/>
        <v>0</v>
      </c>
      <c r="K230" s="23">
        <v>0</v>
      </c>
      <c r="L230" s="23">
        <f t="shared" si="229"/>
        <v>0</v>
      </c>
      <c r="M230" s="38"/>
      <c r="N230" s="40"/>
      <c r="Z230" s="42">
        <f t="shared" si="230"/>
        <v>0</v>
      </c>
      <c r="AB230" s="42">
        <f t="shared" si="231"/>
        <v>0</v>
      </c>
      <c r="AC230" s="42">
        <f t="shared" si="232"/>
        <v>0</v>
      </c>
      <c r="AD230" s="42">
        <f t="shared" si="233"/>
        <v>0</v>
      </c>
      <c r="AE230" s="42">
        <f t="shared" si="234"/>
        <v>0</v>
      </c>
      <c r="AF230" s="42">
        <f t="shared" si="235"/>
        <v>0</v>
      </c>
      <c r="AG230" s="42">
        <f t="shared" si="236"/>
        <v>0</v>
      </c>
      <c r="AH230" s="42">
        <f t="shared" si="237"/>
        <v>0</v>
      </c>
      <c r="AI230" s="32"/>
      <c r="AJ230" s="23">
        <f t="shared" si="238"/>
        <v>0</v>
      </c>
      <c r="AK230" s="23">
        <f t="shared" si="239"/>
        <v>0</v>
      </c>
      <c r="AL230" s="23">
        <f t="shared" si="240"/>
        <v>0</v>
      </c>
      <c r="AN230" s="42">
        <v>15</v>
      </c>
      <c r="AO230" s="42">
        <f t="shared" si="241"/>
        <v>0</v>
      </c>
      <c r="AP230" s="42">
        <f t="shared" si="242"/>
        <v>0</v>
      </c>
      <c r="AQ230" s="44" t="s">
        <v>7</v>
      </c>
      <c r="AV230" s="42">
        <f t="shared" si="243"/>
        <v>0</v>
      </c>
      <c r="AW230" s="42">
        <f t="shared" si="244"/>
        <v>0</v>
      </c>
      <c r="AX230" s="42">
        <f t="shared" si="245"/>
        <v>0</v>
      </c>
      <c r="AY230" s="45" t="s">
        <v>743</v>
      </c>
      <c r="AZ230" s="45" t="s">
        <v>755</v>
      </c>
      <c r="BA230" s="32" t="s">
        <v>756</v>
      </c>
      <c r="BC230" s="42">
        <f t="shared" si="246"/>
        <v>0</v>
      </c>
      <c r="BD230" s="42">
        <f t="shared" si="247"/>
        <v>0</v>
      </c>
      <c r="BE230" s="42">
        <v>0</v>
      </c>
      <c r="BF230" s="42">
        <f t="shared" si="248"/>
        <v>0</v>
      </c>
      <c r="BH230" s="23">
        <f t="shared" si="249"/>
        <v>0</v>
      </c>
      <c r="BI230" s="23">
        <f t="shared" si="250"/>
        <v>0</v>
      </c>
      <c r="BJ230" s="23">
        <f t="shared" si="251"/>
        <v>0</v>
      </c>
      <c r="BK230" s="23" t="s">
        <v>762</v>
      </c>
      <c r="BL230" s="42" t="s">
        <v>408</v>
      </c>
    </row>
    <row r="231" spans="1:47" ht="12.75">
      <c r="A231" s="5"/>
      <c r="B231" s="14"/>
      <c r="C231" s="14" t="s">
        <v>422</v>
      </c>
      <c r="D231" s="14" t="s">
        <v>657</v>
      </c>
      <c r="E231" s="20" t="s">
        <v>6</v>
      </c>
      <c r="F231" s="20" t="s">
        <v>6</v>
      </c>
      <c r="G231" s="20" t="s">
        <v>6</v>
      </c>
      <c r="H231" s="48">
        <f>SUM(H232:H233)</f>
        <v>0</v>
      </c>
      <c r="I231" s="48">
        <f>SUM(I232:I233)</f>
        <v>0</v>
      </c>
      <c r="J231" s="48">
        <f>SUM(J232:J233)</f>
        <v>0</v>
      </c>
      <c r="K231" s="32"/>
      <c r="L231" s="48">
        <f>SUM(L232:L233)</f>
        <v>0</v>
      </c>
      <c r="M231" s="37"/>
      <c r="N231" s="40"/>
      <c r="AI231" s="32"/>
      <c r="AS231" s="48">
        <f>SUM(AJ232:AJ233)</f>
        <v>0</v>
      </c>
      <c r="AT231" s="48">
        <f>SUM(AK232:AK233)</f>
        <v>0</v>
      </c>
      <c r="AU231" s="48">
        <f>SUM(AL232:AL233)</f>
        <v>0</v>
      </c>
    </row>
    <row r="232" spans="1:64" ht="25.5">
      <c r="A232" s="6" t="s">
        <v>200</v>
      </c>
      <c r="B232" s="15"/>
      <c r="C232" s="81" t="s">
        <v>815</v>
      </c>
      <c r="D232" s="80" t="s">
        <v>658</v>
      </c>
      <c r="E232" s="15" t="s">
        <v>680</v>
      </c>
      <c r="F232" s="23">
        <v>1</v>
      </c>
      <c r="G232" s="91">
        <v>0</v>
      </c>
      <c r="H232" s="23">
        <f>F232*AO232</f>
        <v>0</v>
      </c>
      <c r="I232" s="23">
        <f>F232*AP232</f>
        <v>0</v>
      </c>
      <c r="J232" s="23">
        <f>F232*G232</f>
        <v>0</v>
      </c>
      <c r="K232" s="23">
        <v>0</v>
      </c>
      <c r="L232" s="23">
        <f>F232*K232</f>
        <v>0</v>
      </c>
      <c r="M232" s="38"/>
      <c r="N232" s="40"/>
      <c r="Z232" s="42">
        <f>IF(AQ232="5",BJ232,0)</f>
        <v>0</v>
      </c>
      <c r="AB232" s="42">
        <f>IF(AQ232="1",BH232,0)</f>
        <v>0</v>
      </c>
      <c r="AC232" s="42">
        <f>IF(AQ232="1",BI232,0)</f>
        <v>0</v>
      </c>
      <c r="AD232" s="42">
        <f>IF(AQ232="7",BH232,0)</f>
        <v>0</v>
      </c>
      <c r="AE232" s="42">
        <f>IF(AQ232="7",BI232,0)</f>
        <v>0</v>
      </c>
      <c r="AF232" s="42">
        <f>IF(AQ232="2",BH232,0)</f>
        <v>0</v>
      </c>
      <c r="AG232" s="42">
        <f>IF(AQ232="2",BI232,0)</f>
        <v>0</v>
      </c>
      <c r="AH232" s="42">
        <f>IF(AQ232="0",BJ232,0)</f>
        <v>0</v>
      </c>
      <c r="AI232" s="32"/>
      <c r="AJ232" s="23">
        <f>IF(AN232=0,J232,0)</f>
        <v>0</v>
      </c>
      <c r="AK232" s="23">
        <f>IF(AN232=15,J232,0)</f>
        <v>0</v>
      </c>
      <c r="AL232" s="23">
        <f>IF(AN232=21,J232,0)</f>
        <v>0</v>
      </c>
      <c r="AN232" s="42">
        <v>15</v>
      </c>
      <c r="AO232" s="42">
        <f>G232*1</f>
        <v>0</v>
      </c>
      <c r="AP232" s="42">
        <f>G232*(1-1)</f>
        <v>0</v>
      </c>
      <c r="AQ232" s="44" t="s">
        <v>7</v>
      </c>
      <c r="AV232" s="42">
        <f>AW232+AX232</f>
        <v>0</v>
      </c>
      <c r="AW232" s="42">
        <f>F232*AO232</f>
        <v>0</v>
      </c>
      <c r="AX232" s="42">
        <f>F232*AP232</f>
        <v>0</v>
      </c>
      <c r="AY232" s="45" t="s">
        <v>744</v>
      </c>
      <c r="AZ232" s="45" t="s">
        <v>755</v>
      </c>
      <c r="BA232" s="32" t="s">
        <v>756</v>
      </c>
      <c r="BC232" s="42">
        <f>AW232+AX232</f>
        <v>0</v>
      </c>
      <c r="BD232" s="42">
        <f>G232/(100-BE232)*100</f>
        <v>0</v>
      </c>
      <c r="BE232" s="42">
        <v>0</v>
      </c>
      <c r="BF232" s="42">
        <f>L232</f>
        <v>0</v>
      </c>
      <c r="BH232" s="23">
        <f>F232*AO232</f>
        <v>0</v>
      </c>
      <c r="BI232" s="23">
        <f>F232*AP232</f>
        <v>0</v>
      </c>
      <c r="BJ232" s="23">
        <f>F232*G232</f>
        <v>0</v>
      </c>
      <c r="BK232" s="23" t="s">
        <v>762</v>
      </c>
      <c r="BL232" s="42" t="s">
        <v>422</v>
      </c>
    </row>
    <row r="233" spans="1:64" ht="25.5">
      <c r="A233" s="6" t="s">
        <v>201</v>
      </c>
      <c r="B233" s="15"/>
      <c r="C233" s="81" t="s">
        <v>425</v>
      </c>
      <c r="D233" s="80" t="s">
        <v>659</v>
      </c>
      <c r="E233" s="15" t="s">
        <v>680</v>
      </c>
      <c r="F233" s="23">
        <v>1</v>
      </c>
      <c r="G233" s="91">
        <v>0</v>
      </c>
      <c r="H233" s="23">
        <f>F233*AO233</f>
        <v>0</v>
      </c>
      <c r="I233" s="23">
        <f>F233*AP233</f>
        <v>0</v>
      </c>
      <c r="J233" s="23">
        <f>F233*G233</f>
        <v>0</v>
      </c>
      <c r="K233" s="23">
        <v>0</v>
      </c>
      <c r="L233" s="23">
        <f>F233*K233</f>
        <v>0</v>
      </c>
      <c r="M233" s="38"/>
      <c r="N233" s="40"/>
      <c r="Z233" s="42">
        <f>IF(AQ233="5",BJ233,0)</f>
        <v>0</v>
      </c>
      <c r="AB233" s="42">
        <f>IF(AQ233="1",BH233,0)</f>
        <v>0</v>
      </c>
      <c r="AC233" s="42">
        <f>IF(AQ233="1",BI233,0)</f>
        <v>0</v>
      </c>
      <c r="AD233" s="42">
        <f>IF(AQ233="7",BH233,0)</f>
        <v>0</v>
      </c>
      <c r="AE233" s="42">
        <f>IF(AQ233="7",BI233,0)</f>
        <v>0</v>
      </c>
      <c r="AF233" s="42">
        <f>IF(AQ233="2",BH233,0)</f>
        <v>0</v>
      </c>
      <c r="AG233" s="42">
        <f>IF(AQ233="2",BI233,0)</f>
        <v>0</v>
      </c>
      <c r="AH233" s="42">
        <f>IF(AQ233="0",BJ233,0)</f>
        <v>0</v>
      </c>
      <c r="AI233" s="32"/>
      <c r="AJ233" s="23">
        <f>IF(AN233=0,J233,0)</f>
        <v>0</v>
      </c>
      <c r="AK233" s="23">
        <f>IF(AN233=15,J233,0)</f>
        <v>0</v>
      </c>
      <c r="AL233" s="23">
        <f>IF(AN233=21,J233,0)</f>
        <v>0</v>
      </c>
      <c r="AN233" s="42">
        <v>15</v>
      </c>
      <c r="AO233" s="42">
        <f>G233*1</f>
        <v>0</v>
      </c>
      <c r="AP233" s="42">
        <f>G233*(1-1)</f>
        <v>0</v>
      </c>
      <c r="AQ233" s="44" t="s">
        <v>7</v>
      </c>
      <c r="AV233" s="42">
        <f>AW233+AX233</f>
        <v>0</v>
      </c>
      <c r="AW233" s="42">
        <f>F233*AO233</f>
        <v>0</v>
      </c>
      <c r="AX233" s="42">
        <f>F233*AP233</f>
        <v>0</v>
      </c>
      <c r="AY233" s="45" t="s">
        <v>744</v>
      </c>
      <c r="AZ233" s="45" t="s">
        <v>755</v>
      </c>
      <c r="BA233" s="32" t="s">
        <v>756</v>
      </c>
      <c r="BC233" s="42">
        <f>AW233+AX233</f>
        <v>0</v>
      </c>
      <c r="BD233" s="42">
        <f>G233/(100-BE233)*100</f>
        <v>0</v>
      </c>
      <c r="BE233" s="42">
        <v>0</v>
      </c>
      <c r="BF233" s="42">
        <f>L233</f>
        <v>0</v>
      </c>
      <c r="BH233" s="23">
        <f>F233*AO233</f>
        <v>0</v>
      </c>
      <c r="BI233" s="23">
        <f>F233*AP233</f>
        <v>0</v>
      </c>
      <c r="BJ233" s="23">
        <f>F233*G233</f>
        <v>0</v>
      </c>
      <c r="BK233" s="23" t="s">
        <v>762</v>
      </c>
      <c r="BL233" s="42" t="s">
        <v>422</v>
      </c>
    </row>
    <row r="234" spans="1:47" ht="12.75">
      <c r="A234" s="5"/>
      <c r="B234" s="14"/>
      <c r="C234" s="14" t="s">
        <v>424</v>
      </c>
      <c r="D234" s="14" t="s">
        <v>660</v>
      </c>
      <c r="E234" s="20" t="s">
        <v>6</v>
      </c>
      <c r="F234" s="20" t="s">
        <v>6</v>
      </c>
      <c r="G234" s="20" t="s">
        <v>6</v>
      </c>
      <c r="H234" s="48">
        <f>SUM(H235:H244)</f>
        <v>0</v>
      </c>
      <c r="I234" s="48">
        <f>SUM(I235:I244)</f>
        <v>0</v>
      </c>
      <c r="J234" s="48">
        <f>SUM(J235:J244)</f>
        <v>0</v>
      </c>
      <c r="K234" s="32"/>
      <c r="L234" s="48">
        <f>SUM(L235:L244)</f>
        <v>0</v>
      </c>
      <c r="M234" s="37"/>
      <c r="N234" s="40"/>
      <c r="AI234" s="32"/>
      <c r="AS234" s="48">
        <f>SUM(AJ235:AJ244)</f>
        <v>0</v>
      </c>
      <c r="AT234" s="48">
        <f>SUM(AK235:AK244)</f>
        <v>0</v>
      </c>
      <c r="AU234" s="48">
        <f>SUM(AL235:AL244)</f>
        <v>0</v>
      </c>
    </row>
    <row r="235" spans="1:64" ht="12.75">
      <c r="A235" s="4" t="s">
        <v>202</v>
      </c>
      <c r="B235" s="13"/>
      <c r="C235" s="88" t="s">
        <v>426</v>
      </c>
      <c r="D235" s="13" t="s">
        <v>661</v>
      </c>
      <c r="E235" s="13" t="s">
        <v>680</v>
      </c>
      <c r="F235" s="22">
        <v>1</v>
      </c>
      <c r="G235" s="90">
        <v>0</v>
      </c>
      <c r="H235" s="22">
        <f aca="true" t="shared" si="252" ref="H235:H244">F235*AO235</f>
        <v>0</v>
      </c>
      <c r="I235" s="22">
        <f aca="true" t="shared" si="253" ref="I235:I244">F235*AP235</f>
        <v>0</v>
      </c>
      <c r="J235" s="22">
        <f aca="true" t="shared" si="254" ref="J235:J244">F235*G235</f>
        <v>0</v>
      </c>
      <c r="K235" s="22">
        <v>0</v>
      </c>
      <c r="L235" s="22">
        <f aca="true" t="shared" si="255" ref="L235:L244">F235*K235</f>
        <v>0</v>
      </c>
      <c r="M235" s="36"/>
      <c r="N235" s="40"/>
      <c r="Z235" s="42">
        <f aca="true" t="shared" si="256" ref="Z235:Z244">IF(AQ235="5",BJ235,0)</f>
        <v>0</v>
      </c>
      <c r="AB235" s="42">
        <f aca="true" t="shared" si="257" ref="AB235:AB244">IF(AQ235="1",BH235,0)</f>
        <v>0</v>
      </c>
      <c r="AC235" s="42">
        <f aca="true" t="shared" si="258" ref="AC235:AC244">IF(AQ235="1",BI235,0)</f>
        <v>0</v>
      </c>
      <c r="AD235" s="42">
        <f aca="true" t="shared" si="259" ref="AD235:AD244">IF(AQ235="7",BH235,0)</f>
        <v>0</v>
      </c>
      <c r="AE235" s="42">
        <f aca="true" t="shared" si="260" ref="AE235:AE244">IF(AQ235="7",BI235,0)</f>
        <v>0</v>
      </c>
      <c r="AF235" s="42">
        <f aca="true" t="shared" si="261" ref="AF235:AF244">IF(AQ235="2",BH235,0)</f>
        <v>0</v>
      </c>
      <c r="AG235" s="42">
        <f aca="true" t="shared" si="262" ref="AG235:AG244">IF(AQ235="2",BI235,0)</f>
        <v>0</v>
      </c>
      <c r="AH235" s="42">
        <f aca="true" t="shared" si="263" ref="AH235:AH244">IF(AQ235="0",BJ235,0)</f>
        <v>0</v>
      </c>
      <c r="AI235" s="32"/>
      <c r="AJ235" s="22">
        <f aca="true" t="shared" si="264" ref="AJ235:AJ244">IF(AN235=0,J235,0)</f>
        <v>0</v>
      </c>
      <c r="AK235" s="22">
        <f aca="true" t="shared" si="265" ref="AK235:AK244">IF(AN235=15,J235,0)</f>
        <v>0</v>
      </c>
      <c r="AL235" s="22">
        <f aca="true" t="shared" si="266" ref="AL235:AL244">IF(AN235=21,J235,0)</f>
        <v>0</v>
      </c>
      <c r="AN235" s="42">
        <v>15</v>
      </c>
      <c r="AO235" s="42">
        <f aca="true" t="shared" si="267" ref="AO235:AO244">G235*0</f>
        <v>0</v>
      </c>
      <c r="AP235" s="42">
        <f aca="true" t="shared" si="268" ref="AP235:AP244">G235*(1-0)</f>
        <v>0</v>
      </c>
      <c r="AQ235" s="43" t="s">
        <v>7</v>
      </c>
      <c r="AV235" s="42">
        <f aca="true" t="shared" si="269" ref="AV235:AV244">AW235+AX235</f>
        <v>0</v>
      </c>
      <c r="AW235" s="42">
        <f aca="true" t="shared" si="270" ref="AW235:AW244">F235*AO235</f>
        <v>0</v>
      </c>
      <c r="AX235" s="42">
        <f aca="true" t="shared" si="271" ref="AX235:AX244">F235*AP235</f>
        <v>0</v>
      </c>
      <c r="AY235" s="45" t="s">
        <v>745</v>
      </c>
      <c r="AZ235" s="45" t="s">
        <v>755</v>
      </c>
      <c r="BA235" s="32" t="s">
        <v>756</v>
      </c>
      <c r="BC235" s="42">
        <f aca="true" t="shared" si="272" ref="BC235:BC244">AW235+AX235</f>
        <v>0</v>
      </c>
      <c r="BD235" s="42">
        <f aca="true" t="shared" si="273" ref="BD235:BD244">G235/(100-BE235)*100</f>
        <v>0</v>
      </c>
      <c r="BE235" s="42">
        <v>0</v>
      </c>
      <c r="BF235" s="42">
        <f aca="true" t="shared" si="274" ref="BF235:BF244">L235</f>
        <v>0</v>
      </c>
      <c r="BH235" s="22">
        <f aca="true" t="shared" si="275" ref="BH235:BH244">F235*AO235</f>
        <v>0</v>
      </c>
      <c r="BI235" s="22">
        <f aca="true" t="shared" si="276" ref="BI235:BI244">F235*AP235</f>
        <v>0</v>
      </c>
      <c r="BJ235" s="22">
        <f aca="true" t="shared" si="277" ref="BJ235:BJ244">F235*G235</f>
        <v>0</v>
      </c>
      <c r="BK235" s="22" t="s">
        <v>761</v>
      </c>
      <c r="BL235" s="42" t="s">
        <v>424</v>
      </c>
    </row>
    <row r="236" spans="1:64" ht="12.75">
      <c r="A236" s="4" t="s">
        <v>203</v>
      </c>
      <c r="B236" s="13"/>
      <c r="C236" s="88" t="s">
        <v>427</v>
      </c>
      <c r="D236" s="13" t="s">
        <v>662</v>
      </c>
      <c r="E236" s="13" t="s">
        <v>680</v>
      </c>
      <c r="F236" s="22">
        <v>1</v>
      </c>
      <c r="G236" s="90">
        <v>0</v>
      </c>
      <c r="H236" s="22">
        <f t="shared" si="252"/>
        <v>0</v>
      </c>
      <c r="I236" s="22">
        <f t="shared" si="253"/>
        <v>0</v>
      </c>
      <c r="J236" s="22">
        <f t="shared" si="254"/>
        <v>0</v>
      </c>
      <c r="K236" s="22">
        <v>0</v>
      </c>
      <c r="L236" s="22">
        <f t="shared" si="255"/>
        <v>0</v>
      </c>
      <c r="M236" s="36"/>
      <c r="N236" s="40"/>
      <c r="Z236" s="42">
        <f t="shared" si="256"/>
        <v>0</v>
      </c>
      <c r="AB236" s="42">
        <f t="shared" si="257"/>
        <v>0</v>
      </c>
      <c r="AC236" s="42">
        <f t="shared" si="258"/>
        <v>0</v>
      </c>
      <c r="AD236" s="42">
        <f t="shared" si="259"/>
        <v>0</v>
      </c>
      <c r="AE236" s="42">
        <f t="shared" si="260"/>
        <v>0</v>
      </c>
      <c r="AF236" s="42">
        <f t="shared" si="261"/>
        <v>0</v>
      </c>
      <c r="AG236" s="42">
        <f t="shared" si="262"/>
        <v>0</v>
      </c>
      <c r="AH236" s="42">
        <f t="shared" si="263"/>
        <v>0</v>
      </c>
      <c r="AI236" s="32"/>
      <c r="AJ236" s="22">
        <f t="shared" si="264"/>
        <v>0</v>
      </c>
      <c r="AK236" s="22">
        <f t="shared" si="265"/>
        <v>0</v>
      </c>
      <c r="AL236" s="22">
        <f t="shared" si="266"/>
        <v>0</v>
      </c>
      <c r="AN236" s="42">
        <v>15</v>
      </c>
      <c r="AO236" s="42">
        <f t="shared" si="267"/>
        <v>0</v>
      </c>
      <c r="AP236" s="42">
        <f t="shared" si="268"/>
        <v>0</v>
      </c>
      <c r="AQ236" s="43" t="s">
        <v>7</v>
      </c>
      <c r="AV236" s="42">
        <f t="shared" si="269"/>
        <v>0</v>
      </c>
      <c r="AW236" s="42">
        <f t="shared" si="270"/>
        <v>0</v>
      </c>
      <c r="AX236" s="42">
        <f t="shared" si="271"/>
        <v>0</v>
      </c>
      <c r="AY236" s="45" t="s">
        <v>745</v>
      </c>
      <c r="AZ236" s="45" t="s">
        <v>755</v>
      </c>
      <c r="BA236" s="32" t="s">
        <v>756</v>
      </c>
      <c r="BC236" s="42">
        <f t="shared" si="272"/>
        <v>0</v>
      </c>
      <c r="BD236" s="42">
        <f t="shared" si="273"/>
        <v>0</v>
      </c>
      <c r="BE236" s="42">
        <v>0</v>
      </c>
      <c r="BF236" s="42">
        <f t="shared" si="274"/>
        <v>0</v>
      </c>
      <c r="BH236" s="22">
        <f t="shared" si="275"/>
        <v>0</v>
      </c>
      <c r="BI236" s="22">
        <f t="shared" si="276"/>
        <v>0</v>
      </c>
      <c r="BJ236" s="22">
        <f t="shared" si="277"/>
        <v>0</v>
      </c>
      <c r="BK236" s="22" t="s">
        <v>761</v>
      </c>
      <c r="BL236" s="42" t="s">
        <v>424</v>
      </c>
    </row>
    <row r="237" spans="1:64" ht="12.75">
      <c r="A237" s="4" t="s">
        <v>204</v>
      </c>
      <c r="B237" s="13"/>
      <c r="C237" s="88" t="s">
        <v>428</v>
      </c>
      <c r="D237" s="13" t="s">
        <v>642</v>
      </c>
      <c r="E237" s="13" t="s">
        <v>680</v>
      </c>
      <c r="F237" s="22">
        <v>1</v>
      </c>
      <c r="G237" s="90">
        <v>0</v>
      </c>
      <c r="H237" s="22">
        <f t="shared" si="252"/>
        <v>0</v>
      </c>
      <c r="I237" s="22">
        <f t="shared" si="253"/>
        <v>0</v>
      </c>
      <c r="J237" s="22">
        <f t="shared" si="254"/>
        <v>0</v>
      </c>
      <c r="K237" s="22">
        <v>0</v>
      </c>
      <c r="L237" s="22">
        <f t="shared" si="255"/>
        <v>0</v>
      </c>
      <c r="M237" s="36"/>
      <c r="N237" s="40"/>
      <c r="Z237" s="42">
        <f t="shared" si="256"/>
        <v>0</v>
      </c>
      <c r="AB237" s="42">
        <f t="shared" si="257"/>
        <v>0</v>
      </c>
      <c r="AC237" s="42">
        <f t="shared" si="258"/>
        <v>0</v>
      </c>
      <c r="AD237" s="42">
        <f t="shared" si="259"/>
        <v>0</v>
      </c>
      <c r="AE237" s="42">
        <f t="shared" si="260"/>
        <v>0</v>
      </c>
      <c r="AF237" s="42">
        <f t="shared" si="261"/>
        <v>0</v>
      </c>
      <c r="AG237" s="42">
        <f t="shared" si="262"/>
        <v>0</v>
      </c>
      <c r="AH237" s="42">
        <f t="shared" si="263"/>
        <v>0</v>
      </c>
      <c r="AI237" s="32"/>
      <c r="AJ237" s="22">
        <f t="shared" si="264"/>
        <v>0</v>
      </c>
      <c r="AK237" s="22">
        <f t="shared" si="265"/>
        <v>0</v>
      </c>
      <c r="AL237" s="22">
        <f t="shared" si="266"/>
        <v>0</v>
      </c>
      <c r="AN237" s="42">
        <v>15</v>
      </c>
      <c r="AO237" s="42">
        <f t="shared" si="267"/>
        <v>0</v>
      </c>
      <c r="AP237" s="42">
        <f t="shared" si="268"/>
        <v>0</v>
      </c>
      <c r="AQ237" s="43" t="s">
        <v>7</v>
      </c>
      <c r="AV237" s="42">
        <f t="shared" si="269"/>
        <v>0</v>
      </c>
      <c r="AW237" s="42">
        <f t="shared" si="270"/>
        <v>0</v>
      </c>
      <c r="AX237" s="42">
        <f t="shared" si="271"/>
        <v>0</v>
      </c>
      <c r="AY237" s="45" t="s">
        <v>745</v>
      </c>
      <c r="AZ237" s="45" t="s">
        <v>755</v>
      </c>
      <c r="BA237" s="32" t="s">
        <v>756</v>
      </c>
      <c r="BC237" s="42">
        <f t="shared" si="272"/>
        <v>0</v>
      </c>
      <c r="BD237" s="42">
        <f t="shared" si="273"/>
        <v>0</v>
      </c>
      <c r="BE237" s="42">
        <v>0</v>
      </c>
      <c r="BF237" s="42">
        <f t="shared" si="274"/>
        <v>0</v>
      </c>
      <c r="BH237" s="22">
        <f t="shared" si="275"/>
        <v>0</v>
      </c>
      <c r="BI237" s="22">
        <f t="shared" si="276"/>
        <v>0</v>
      </c>
      <c r="BJ237" s="22">
        <f t="shared" si="277"/>
        <v>0</v>
      </c>
      <c r="BK237" s="22" t="s">
        <v>761</v>
      </c>
      <c r="BL237" s="42" t="s">
        <v>424</v>
      </c>
    </row>
    <row r="238" spans="1:64" ht="12.75">
      <c r="A238" s="4" t="s">
        <v>205</v>
      </c>
      <c r="B238" s="13"/>
      <c r="C238" s="88" t="s">
        <v>429</v>
      </c>
      <c r="D238" s="13" t="s">
        <v>663</v>
      </c>
      <c r="E238" s="13" t="s">
        <v>680</v>
      </c>
      <c r="F238" s="22">
        <v>1</v>
      </c>
      <c r="G238" s="90">
        <v>0</v>
      </c>
      <c r="H238" s="22">
        <f t="shared" si="252"/>
        <v>0</v>
      </c>
      <c r="I238" s="22">
        <f t="shared" si="253"/>
        <v>0</v>
      </c>
      <c r="J238" s="22">
        <f t="shared" si="254"/>
        <v>0</v>
      </c>
      <c r="K238" s="22">
        <v>0</v>
      </c>
      <c r="L238" s="22">
        <f t="shared" si="255"/>
        <v>0</v>
      </c>
      <c r="M238" s="36"/>
      <c r="N238" s="40"/>
      <c r="Z238" s="42">
        <f t="shared" si="256"/>
        <v>0</v>
      </c>
      <c r="AB238" s="42">
        <f t="shared" si="257"/>
        <v>0</v>
      </c>
      <c r="AC238" s="42">
        <f t="shared" si="258"/>
        <v>0</v>
      </c>
      <c r="AD238" s="42">
        <f t="shared" si="259"/>
        <v>0</v>
      </c>
      <c r="AE238" s="42">
        <f t="shared" si="260"/>
        <v>0</v>
      </c>
      <c r="AF238" s="42">
        <f t="shared" si="261"/>
        <v>0</v>
      </c>
      <c r="AG238" s="42">
        <f t="shared" si="262"/>
        <v>0</v>
      </c>
      <c r="AH238" s="42">
        <f t="shared" si="263"/>
        <v>0</v>
      </c>
      <c r="AI238" s="32"/>
      <c r="AJ238" s="22">
        <f t="shared" si="264"/>
        <v>0</v>
      </c>
      <c r="AK238" s="22">
        <f t="shared" si="265"/>
        <v>0</v>
      </c>
      <c r="AL238" s="22">
        <f t="shared" si="266"/>
        <v>0</v>
      </c>
      <c r="AN238" s="42">
        <v>15</v>
      </c>
      <c r="AO238" s="42">
        <f t="shared" si="267"/>
        <v>0</v>
      </c>
      <c r="AP238" s="42">
        <f t="shared" si="268"/>
        <v>0</v>
      </c>
      <c r="AQ238" s="43" t="s">
        <v>7</v>
      </c>
      <c r="AV238" s="42">
        <f t="shared" si="269"/>
        <v>0</v>
      </c>
      <c r="AW238" s="42">
        <f t="shared" si="270"/>
        <v>0</v>
      </c>
      <c r="AX238" s="42">
        <f t="shared" si="271"/>
        <v>0</v>
      </c>
      <c r="AY238" s="45" t="s">
        <v>745</v>
      </c>
      <c r="AZ238" s="45" t="s">
        <v>755</v>
      </c>
      <c r="BA238" s="32" t="s">
        <v>756</v>
      </c>
      <c r="BC238" s="42">
        <f t="shared" si="272"/>
        <v>0</v>
      </c>
      <c r="BD238" s="42">
        <f t="shared" si="273"/>
        <v>0</v>
      </c>
      <c r="BE238" s="42">
        <v>0</v>
      </c>
      <c r="BF238" s="42">
        <f t="shared" si="274"/>
        <v>0</v>
      </c>
      <c r="BH238" s="22">
        <f t="shared" si="275"/>
        <v>0</v>
      </c>
      <c r="BI238" s="22">
        <f t="shared" si="276"/>
        <v>0</v>
      </c>
      <c r="BJ238" s="22">
        <f t="shared" si="277"/>
        <v>0</v>
      </c>
      <c r="BK238" s="22" t="s">
        <v>761</v>
      </c>
      <c r="BL238" s="42" t="s">
        <v>424</v>
      </c>
    </row>
    <row r="239" spans="1:64" ht="12.75">
      <c r="A239" s="4" t="s">
        <v>206</v>
      </c>
      <c r="B239" s="13"/>
      <c r="C239" s="88" t="s">
        <v>430</v>
      </c>
      <c r="D239" s="13" t="s">
        <v>664</v>
      </c>
      <c r="E239" s="13" t="s">
        <v>680</v>
      </c>
      <c r="F239" s="22">
        <v>1</v>
      </c>
      <c r="G239" s="90">
        <v>0</v>
      </c>
      <c r="H239" s="22">
        <f t="shared" si="252"/>
        <v>0</v>
      </c>
      <c r="I239" s="22">
        <f t="shared" si="253"/>
        <v>0</v>
      </c>
      <c r="J239" s="22">
        <f t="shared" si="254"/>
        <v>0</v>
      </c>
      <c r="K239" s="22">
        <v>0</v>
      </c>
      <c r="L239" s="22">
        <f t="shared" si="255"/>
        <v>0</v>
      </c>
      <c r="M239" s="36"/>
      <c r="N239" s="40"/>
      <c r="Z239" s="42">
        <f t="shared" si="256"/>
        <v>0</v>
      </c>
      <c r="AB239" s="42">
        <f t="shared" si="257"/>
        <v>0</v>
      </c>
      <c r="AC239" s="42">
        <f t="shared" si="258"/>
        <v>0</v>
      </c>
      <c r="AD239" s="42">
        <f t="shared" si="259"/>
        <v>0</v>
      </c>
      <c r="AE239" s="42">
        <f t="shared" si="260"/>
        <v>0</v>
      </c>
      <c r="AF239" s="42">
        <f t="shared" si="261"/>
        <v>0</v>
      </c>
      <c r="AG239" s="42">
        <f t="shared" si="262"/>
        <v>0</v>
      </c>
      <c r="AH239" s="42">
        <f t="shared" si="263"/>
        <v>0</v>
      </c>
      <c r="AI239" s="32"/>
      <c r="AJ239" s="22">
        <f t="shared" si="264"/>
        <v>0</v>
      </c>
      <c r="AK239" s="22">
        <f t="shared" si="265"/>
        <v>0</v>
      </c>
      <c r="AL239" s="22">
        <f t="shared" si="266"/>
        <v>0</v>
      </c>
      <c r="AN239" s="42">
        <v>15</v>
      </c>
      <c r="AO239" s="42">
        <f t="shared" si="267"/>
        <v>0</v>
      </c>
      <c r="AP239" s="42">
        <f t="shared" si="268"/>
        <v>0</v>
      </c>
      <c r="AQ239" s="43" t="s">
        <v>7</v>
      </c>
      <c r="AV239" s="42">
        <f t="shared" si="269"/>
        <v>0</v>
      </c>
      <c r="AW239" s="42">
        <f t="shared" si="270"/>
        <v>0</v>
      </c>
      <c r="AX239" s="42">
        <f t="shared" si="271"/>
        <v>0</v>
      </c>
      <c r="AY239" s="45" t="s">
        <v>745</v>
      </c>
      <c r="AZ239" s="45" t="s">
        <v>755</v>
      </c>
      <c r="BA239" s="32" t="s">
        <v>756</v>
      </c>
      <c r="BC239" s="42">
        <f t="shared" si="272"/>
        <v>0</v>
      </c>
      <c r="BD239" s="42">
        <f t="shared" si="273"/>
        <v>0</v>
      </c>
      <c r="BE239" s="42">
        <v>0</v>
      </c>
      <c r="BF239" s="42">
        <f t="shared" si="274"/>
        <v>0</v>
      </c>
      <c r="BH239" s="22">
        <f t="shared" si="275"/>
        <v>0</v>
      </c>
      <c r="BI239" s="22">
        <f t="shared" si="276"/>
        <v>0</v>
      </c>
      <c r="BJ239" s="22">
        <f t="shared" si="277"/>
        <v>0</v>
      </c>
      <c r="BK239" s="22" t="s">
        <v>761</v>
      </c>
      <c r="BL239" s="42" t="s">
        <v>424</v>
      </c>
    </row>
    <row r="240" spans="1:64" ht="12.75">
      <c r="A240" s="4" t="s">
        <v>207</v>
      </c>
      <c r="B240" s="13"/>
      <c r="C240" s="88" t="s">
        <v>431</v>
      </c>
      <c r="D240" s="13" t="s">
        <v>665</v>
      </c>
      <c r="E240" s="13" t="s">
        <v>680</v>
      </c>
      <c r="F240" s="22">
        <v>1</v>
      </c>
      <c r="G240" s="90">
        <v>0</v>
      </c>
      <c r="H240" s="22">
        <f t="shared" si="252"/>
        <v>0</v>
      </c>
      <c r="I240" s="22">
        <f t="shared" si="253"/>
        <v>0</v>
      </c>
      <c r="J240" s="22">
        <f t="shared" si="254"/>
        <v>0</v>
      </c>
      <c r="K240" s="22">
        <v>0</v>
      </c>
      <c r="L240" s="22">
        <f t="shared" si="255"/>
        <v>0</v>
      </c>
      <c r="M240" s="36"/>
      <c r="N240" s="40"/>
      <c r="Z240" s="42">
        <f t="shared" si="256"/>
        <v>0</v>
      </c>
      <c r="AB240" s="42">
        <f t="shared" si="257"/>
        <v>0</v>
      </c>
      <c r="AC240" s="42">
        <f t="shared" si="258"/>
        <v>0</v>
      </c>
      <c r="AD240" s="42">
        <f t="shared" si="259"/>
        <v>0</v>
      </c>
      <c r="AE240" s="42">
        <f t="shared" si="260"/>
        <v>0</v>
      </c>
      <c r="AF240" s="42">
        <f t="shared" si="261"/>
        <v>0</v>
      </c>
      <c r="AG240" s="42">
        <f t="shared" si="262"/>
        <v>0</v>
      </c>
      <c r="AH240" s="42">
        <f t="shared" si="263"/>
        <v>0</v>
      </c>
      <c r="AI240" s="32"/>
      <c r="AJ240" s="22">
        <f t="shared" si="264"/>
        <v>0</v>
      </c>
      <c r="AK240" s="22">
        <f t="shared" si="265"/>
        <v>0</v>
      </c>
      <c r="AL240" s="22">
        <f t="shared" si="266"/>
        <v>0</v>
      </c>
      <c r="AN240" s="42">
        <v>15</v>
      </c>
      <c r="AO240" s="42">
        <f t="shared" si="267"/>
        <v>0</v>
      </c>
      <c r="AP240" s="42">
        <f t="shared" si="268"/>
        <v>0</v>
      </c>
      <c r="AQ240" s="43" t="s">
        <v>7</v>
      </c>
      <c r="AV240" s="42">
        <f t="shared" si="269"/>
        <v>0</v>
      </c>
      <c r="AW240" s="42">
        <f t="shared" si="270"/>
        <v>0</v>
      </c>
      <c r="AX240" s="42">
        <f t="shared" si="271"/>
        <v>0</v>
      </c>
      <c r="AY240" s="45" t="s">
        <v>745</v>
      </c>
      <c r="AZ240" s="45" t="s">
        <v>755</v>
      </c>
      <c r="BA240" s="32" t="s">
        <v>756</v>
      </c>
      <c r="BC240" s="42">
        <f t="shared" si="272"/>
        <v>0</v>
      </c>
      <c r="BD240" s="42">
        <f t="shared" si="273"/>
        <v>0</v>
      </c>
      <c r="BE240" s="42">
        <v>0</v>
      </c>
      <c r="BF240" s="42">
        <f t="shared" si="274"/>
        <v>0</v>
      </c>
      <c r="BH240" s="22">
        <f t="shared" si="275"/>
        <v>0</v>
      </c>
      <c r="BI240" s="22">
        <f t="shared" si="276"/>
        <v>0</v>
      </c>
      <c r="BJ240" s="22">
        <f t="shared" si="277"/>
        <v>0</v>
      </c>
      <c r="BK240" s="22" t="s">
        <v>761</v>
      </c>
      <c r="BL240" s="42" t="s">
        <v>424</v>
      </c>
    </row>
    <row r="241" spans="1:64" ht="12.75">
      <c r="A241" s="4" t="s">
        <v>208</v>
      </c>
      <c r="B241" s="13"/>
      <c r="C241" s="88" t="s">
        <v>432</v>
      </c>
      <c r="D241" s="13" t="s">
        <v>666</v>
      </c>
      <c r="E241" s="13" t="s">
        <v>680</v>
      </c>
      <c r="F241" s="22">
        <v>1</v>
      </c>
      <c r="G241" s="90">
        <v>0</v>
      </c>
      <c r="H241" s="22">
        <f t="shared" si="252"/>
        <v>0</v>
      </c>
      <c r="I241" s="22">
        <f t="shared" si="253"/>
        <v>0</v>
      </c>
      <c r="J241" s="22">
        <f t="shared" si="254"/>
        <v>0</v>
      </c>
      <c r="K241" s="22">
        <v>0</v>
      </c>
      <c r="L241" s="22">
        <f t="shared" si="255"/>
        <v>0</v>
      </c>
      <c r="M241" s="36"/>
      <c r="N241" s="40"/>
      <c r="Z241" s="42">
        <f t="shared" si="256"/>
        <v>0</v>
      </c>
      <c r="AB241" s="42">
        <f t="shared" si="257"/>
        <v>0</v>
      </c>
      <c r="AC241" s="42">
        <f t="shared" si="258"/>
        <v>0</v>
      </c>
      <c r="AD241" s="42">
        <f t="shared" si="259"/>
        <v>0</v>
      </c>
      <c r="AE241" s="42">
        <f t="shared" si="260"/>
        <v>0</v>
      </c>
      <c r="AF241" s="42">
        <f t="shared" si="261"/>
        <v>0</v>
      </c>
      <c r="AG241" s="42">
        <f t="shared" si="262"/>
        <v>0</v>
      </c>
      <c r="AH241" s="42">
        <f t="shared" si="263"/>
        <v>0</v>
      </c>
      <c r="AI241" s="32"/>
      <c r="AJ241" s="22">
        <f t="shared" si="264"/>
        <v>0</v>
      </c>
      <c r="AK241" s="22">
        <f t="shared" si="265"/>
        <v>0</v>
      </c>
      <c r="AL241" s="22">
        <f t="shared" si="266"/>
        <v>0</v>
      </c>
      <c r="AN241" s="42">
        <v>15</v>
      </c>
      <c r="AO241" s="42">
        <f t="shared" si="267"/>
        <v>0</v>
      </c>
      <c r="AP241" s="42">
        <f t="shared" si="268"/>
        <v>0</v>
      </c>
      <c r="AQ241" s="43" t="s">
        <v>7</v>
      </c>
      <c r="AV241" s="42">
        <f t="shared" si="269"/>
        <v>0</v>
      </c>
      <c r="AW241" s="42">
        <f t="shared" si="270"/>
        <v>0</v>
      </c>
      <c r="AX241" s="42">
        <f t="shared" si="271"/>
        <v>0</v>
      </c>
      <c r="AY241" s="45" t="s">
        <v>745</v>
      </c>
      <c r="AZ241" s="45" t="s">
        <v>755</v>
      </c>
      <c r="BA241" s="32" t="s">
        <v>756</v>
      </c>
      <c r="BC241" s="42">
        <f t="shared" si="272"/>
        <v>0</v>
      </c>
      <c r="BD241" s="42">
        <f t="shared" si="273"/>
        <v>0</v>
      </c>
      <c r="BE241" s="42">
        <v>0</v>
      </c>
      <c r="BF241" s="42">
        <f t="shared" si="274"/>
        <v>0</v>
      </c>
      <c r="BH241" s="22">
        <f t="shared" si="275"/>
        <v>0</v>
      </c>
      <c r="BI241" s="22">
        <f t="shared" si="276"/>
        <v>0</v>
      </c>
      <c r="BJ241" s="22">
        <f t="shared" si="277"/>
        <v>0</v>
      </c>
      <c r="BK241" s="22" t="s">
        <v>761</v>
      </c>
      <c r="BL241" s="42" t="s">
        <v>424</v>
      </c>
    </row>
    <row r="242" spans="1:64" ht="12.75">
      <c r="A242" s="4" t="s">
        <v>209</v>
      </c>
      <c r="B242" s="13"/>
      <c r="C242" s="88" t="s">
        <v>433</v>
      </c>
      <c r="D242" s="13" t="s">
        <v>667</v>
      </c>
      <c r="E242" s="13" t="s">
        <v>680</v>
      </c>
      <c r="F242" s="22">
        <v>1</v>
      </c>
      <c r="G242" s="90">
        <v>0</v>
      </c>
      <c r="H242" s="22">
        <f t="shared" si="252"/>
        <v>0</v>
      </c>
      <c r="I242" s="22">
        <f t="shared" si="253"/>
        <v>0</v>
      </c>
      <c r="J242" s="22">
        <f t="shared" si="254"/>
        <v>0</v>
      </c>
      <c r="K242" s="22">
        <v>0</v>
      </c>
      <c r="L242" s="22">
        <f t="shared" si="255"/>
        <v>0</v>
      </c>
      <c r="M242" s="36"/>
      <c r="N242" s="40"/>
      <c r="Z242" s="42">
        <f t="shared" si="256"/>
        <v>0</v>
      </c>
      <c r="AB242" s="42">
        <f t="shared" si="257"/>
        <v>0</v>
      </c>
      <c r="AC242" s="42">
        <f t="shared" si="258"/>
        <v>0</v>
      </c>
      <c r="AD242" s="42">
        <f t="shared" si="259"/>
        <v>0</v>
      </c>
      <c r="AE242" s="42">
        <f t="shared" si="260"/>
        <v>0</v>
      </c>
      <c r="AF242" s="42">
        <f t="shared" si="261"/>
        <v>0</v>
      </c>
      <c r="AG242" s="42">
        <f t="shared" si="262"/>
        <v>0</v>
      </c>
      <c r="AH242" s="42">
        <f t="shared" si="263"/>
        <v>0</v>
      </c>
      <c r="AI242" s="32"/>
      <c r="AJ242" s="22">
        <f t="shared" si="264"/>
        <v>0</v>
      </c>
      <c r="AK242" s="22">
        <f t="shared" si="265"/>
        <v>0</v>
      </c>
      <c r="AL242" s="22">
        <f t="shared" si="266"/>
        <v>0</v>
      </c>
      <c r="AN242" s="42">
        <v>15</v>
      </c>
      <c r="AO242" s="42">
        <f t="shared" si="267"/>
        <v>0</v>
      </c>
      <c r="AP242" s="42">
        <f t="shared" si="268"/>
        <v>0</v>
      </c>
      <c r="AQ242" s="43" t="s">
        <v>7</v>
      </c>
      <c r="AV242" s="42">
        <f t="shared" si="269"/>
        <v>0</v>
      </c>
      <c r="AW242" s="42">
        <f t="shared" si="270"/>
        <v>0</v>
      </c>
      <c r="AX242" s="42">
        <f t="shared" si="271"/>
        <v>0</v>
      </c>
      <c r="AY242" s="45" t="s">
        <v>745</v>
      </c>
      <c r="AZ242" s="45" t="s">
        <v>755</v>
      </c>
      <c r="BA242" s="32" t="s">
        <v>756</v>
      </c>
      <c r="BC242" s="42">
        <f t="shared" si="272"/>
        <v>0</v>
      </c>
      <c r="BD242" s="42">
        <f t="shared" si="273"/>
        <v>0</v>
      </c>
      <c r="BE242" s="42">
        <v>0</v>
      </c>
      <c r="BF242" s="42">
        <f t="shared" si="274"/>
        <v>0</v>
      </c>
      <c r="BH242" s="22">
        <f t="shared" si="275"/>
        <v>0</v>
      </c>
      <c r="BI242" s="22">
        <f t="shared" si="276"/>
        <v>0</v>
      </c>
      <c r="BJ242" s="22">
        <f t="shared" si="277"/>
        <v>0</v>
      </c>
      <c r="BK242" s="22" t="s">
        <v>761</v>
      </c>
      <c r="BL242" s="42" t="s">
        <v>424</v>
      </c>
    </row>
    <row r="243" spans="1:64" ht="12.75">
      <c r="A243" s="4" t="s">
        <v>210</v>
      </c>
      <c r="B243" s="13"/>
      <c r="C243" s="88" t="s">
        <v>434</v>
      </c>
      <c r="D243" s="13" t="s">
        <v>668</v>
      </c>
      <c r="E243" s="13" t="s">
        <v>680</v>
      </c>
      <c r="F243" s="22">
        <v>1</v>
      </c>
      <c r="G243" s="90">
        <v>0</v>
      </c>
      <c r="H243" s="22">
        <f t="shared" si="252"/>
        <v>0</v>
      </c>
      <c r="I243" s="22">
        <f t="shared" si="253"/>
        <v>0</v>
      </c>
      <c r="J243" s="22">
        <f t="shared" si="254"/>
        <v>0</v>
      </c>
      <c r="K243" s="22">
        <v>0</v>
      </c>
      <c r="L243" s="22">
        <f t="shared" si="255"/>
        <v>0</v>
      </c>
      <c r="M243" s="36"/>
      <c r="N243" s="40"/>
      <c r="Z243" s="42">
        <f t="shared" si="256"/>
        <v>0</v>
      </c>
      <c r="AB243" s="42">
        <f t="shared" si="257"/>
        <v>0</v>
      </c>
      <c r="AC243" s="42">
        <f t="shared" si="258"/>
        <v>0</v>
      </c>
      <c r="AD243" s="42">
        <f t="shared" si="259"/>
        <v>0</v>
      </c>
      <c r="AE243" s="42">
        <f t="shared" si="260"/>
        <v>0</v>
      </c>
      <c r="AF243" s="42">
        <f t="shared" si="261"/>
        <v>0</v>
      </c>
      <c r="AG243" s="42">
        <f t="shared" si="262"/>
        <v>0</v>
      </c>
      <c r="AH243" s="42">
        <f t="shared" si="263"/>
        <v>0</v>
      </c>
      <c r="AI243" s="32"/>
      <c r="AJ243" s="22">
        <f t="shared" si="264"/>
        <v>0</v>
      </c>
      <c r="AK243" s="22">
        <f t="shared" si="265"/>
        <v>0</v>
      </c>
      <c r="AL243" s="22">
        <f t="shared" si="266"/>
        <v>0</v>
      </c>
      <c r="AN243" s="42">
        <v>15</v>
      </c>
      <c r="AO243" s="42">
        <f t="shared" si="267"/>
        <v>0</v>
      </c>
      <c r="AP243" s="42">
        <f t="shared" si="268"/>
        <v>0</v>
      </c>
      <c r="AQ243" s="43" t="s">
        <v>7</v>
      </c>
      <c r="AV243" s="42">
        <f t="shared" si="269"/>
        <v>0</v>
      </c>
      <c r="AW243" s="42">
        <f t="shared" si="270"/>
        <v>0</v>
      </c>
      <c r="AX243" s="42">
        <f t="shared" si="271"/>
        <v>0</v>
      </c>
      <c r="AY243" s="45" t="s">
        <v>745</v>
      </c>
      <c r="AZ243" s="45" t="s">
        <v>755</v>
      </c>
      <c r="BA243" s="32" t="s">
        <v>756</v>
      </c>
      <c r="BC243" s="42">
        <f t="shared" si="272"/>
        <v>0</v>
      </c>
      <c r="BD243" s="42">
        <f t="shared" si="273"/>
        <v>0</v>
      </c>
      <c r="BE243" s="42">
        <v>0</v>
      </c>
      <c r="BF243" s="42">
        <f t="shared" si="274"/>
        <v>0</v>
      </c>
      <c r="BH243" s="22">
        <f t="shared" si="275"/>
        <v>0</v>
      </c>
      <c r="BI243" s="22">
        <f t="shared" si="276"/>
        <v>0</v>
      </c>
      <c r="BJ243" s="22">
        <f t="shared" si="277"/>
        <v>0</v>
      </c>
      <c r="BK243" s="22" t="s">
        <v>761</v>
      </c>
      <c r="BL243" s="42" t="s">
        <v>424</v>
      </c>
    </row>
    <row r="244" spans="1:64" ht="12.75">
      <c r="A244" s="4" t="s">
        <v>211</v>
      </c>
      <c r="B244" s="13"/>
      <c r="C244" s="88" t="s">
        <v>421</v>
      </c>
      <c r="D244" s="13" t="s">
        <v>669</v>
      </c>
      <c r="E244" s="13" t="s">
        <v>680</v>
      </c>
      <c r="F244" s="22">
        <v>1</v>
      </c>
      <c r="G244" s="90">
        <v>0</v>
      </c>
      <c r="H244" s="22">
        <f t="shared" si="252"/>
        <v>0</v>
      </c>
      <c r="I244" s="22">
        <f t="shared" si="253"/>
        <v>0</v>
      </c>
      <c r="J244" s="22">
        <f t="shared" si="254"/>
        <v>0</v>
      </c>
      <c r="K244" s="22">
        <v>0</v>
      </c>
      <c r="L244" s="22">
        <f t="shared" si="255"/>
        <v>0</v>
      </c>
      <c r="M244" s="36"/>
      <c r="N244" s="40"/>
      <c r="Z244" s="42">
        <f t="shared" si="256"/>
        <v>0</v>
      </c>
      <c r="AB244" s="42">
        <f t="shared" si="257"/>
        <v>0</v>
      </c>
      <c r="AC244" s="42">
        <f t="shared" si="258"/>
        <v>0</v>
      </c>
      <c r="AD244" s="42">
        <f t="shared" si="259"/>
        <v>0</v>
      </c>
      <c r="AE244" s="42">
        <f t="shared" si="260"/>
        <v>0</v>
      </c>
      <c r="AF244" s="42">
        <f t="shared" si="261"/>
        <v>0</v>
      </c>
      <c r="AG244" s="42">
        <f t="shared" si="262"/>
        <v>0</v>
      </c>
      <c r="AH244" s="42">
        <f t="shared" si="263"/>
        <v>0</v>
      </c>
      <c r="AI244" s="32"/>
      <c r="AJ244" s="22">
        <f t="shared" si="264"/>
        <v>0</v>
      </c>
      <c r="AK244" s="22">
        <f t="shared" si="265"/>
        <v>0</v>
      </c>
      <c r="AL244" s="22">
        <f t="shared" si="266"/>
        <v>0</v>
      </c>
      <c r="AN244" s="42">
        <v>15</v>
      </c>
      <c r="AO244" s="42">
        <f t="shared" si="267"/>
        <v>0</v>
      </c>
      <c r="AP244" s="42">
        <f t="shared" si="268"/>
        <v>0</v>
      </c>
      <c r="AQ244" s="43" t="s">
        <v>7</v>
      </c>
      <c r="AV244" s="42">
        <f t="shared" si="269"/>
        <v>0</v>
      </c>
      <c r="AW244" s="42">
        <f t="shared" si="270"/>
        <v>0</v>
      </c>
      <c r="AX244" s="42">
        <f t="shared" si="271"/>
        <v>0</v>
      </c>
      <c r="AY244" s="45" t="s">
        <v>745</v>
      </c>
      <c r="AZ244" s="45" t="s">
        <v>755</v>
      </c>
      <c r="BA244" s="32" t="s">
        <v>756</v>
      </c>
      <c r="BC244" s="42">
        <f t="shared" si="272"/>
        <v>0</v>
      </c>
      <c r="BD244" s="42">
        <f t="shared" si="273"/>
        <v>0</v>
      </c>
      <c r="BE244" s="42">
        <v>0</v>
      </c>
      <c r="BF244" s="42">
        <f t="shared" si="274"/>
        <v>0</v>
      </c>
      <c r="BH244" s="22">
        <f t="shared" si="275"/>
        <v>0</v>
      </c>
      <c r="BI244" s="22">
        <f t="shared" si="276"/>
        <v>0</v>
      </c>
      <c r="BJ244" s="22">
        <f t="shared" si="277"/>
        <v>0</v>
      </c>
      <c r="BK244" s="22" t="s">
        <v>761</v>
      </c>
      <c r="BL244" s="42" t="s">
        <v>424</v>
      </c>
    </row>
    <row r="245" spans="1:47" ht="12.75">
      <c r="A245" s="5"/>
      <c r="B245" s="14"/>
      <c r="C245" s="14" t="s">
        <v>435</v>
      </c>
      <c r="D245" s="14" t="s">
        <v>670</v>
      </c>
      <c r="E245" s="20" t="s">
        <v>6</v>
      </c>
      <c r="F245" s="20" t="s">
        <v>6</v>
      </c>
      <c r="G245" s="20" t="s">
        <v>6</v>
      </c>
      <c r="H245" s="48">
        <f>SUM(H246:H249)</f>
        <v>0</v>
      </c>
      <c r="I245" s="48">
        <f>SUM(I246:I249)</f>
        <v>0</v>
      </c>
      <c r="J245" s="48">
        <f>SUM(J246:J249)</f>
        <v>0</v>
      </c>
      <c r="K245" s="32"/>
      <c r="L245" s="48">
        <f>SUM(L246:L249)</f>
        <v>0.337</v>
      </c>
      <c r="M245" s="37"/>
      <c r="N245" s="40"/>
      <c r="AI245" s="32"/>
      <c r="AS245" s="48">
        <f>SUM(AJ246:AJ249)</f>
        <v>0</v>
      </c>
      <c r="AT245" s="48">
        <f>SUM(AK246:AK249)</f>
        <v>0</v>
      </c>
      <c r="AU245" s="48">
        <f>SUM(AL246:AL249)</f>
        <v>0</v>
      </c>
    </row>
    <row r="246" spans="1:64" ht="12.75">
      <c r="A246" s="4" t="s">
        <v>212</v>
      </c>
      <c r="B246" s="13"/>
      <c r="C246" s="13" t="s">
        <v>436</v>
      </c>
      <c r="D246" s="13" t="s">
        <v>671</v>
      </c>
      <c r="E246" s="13" t="s">
        <v>681</v>
      </c>
      <c r="F246" s="22">
        <v>20</v>
      </c>
      <c r="G246" s="90">
        <v>0</v>
      </c>
      <c r="H246" s="22">
        <f>F246*AO246</f>
        <v>0</v>
      </c>
      <c r="I246" s="22">
        <f>F246*AP246</f>
        <v>0</v>
      </c>
      <c r="J246" s="22">
        <f>F246*G246</f>
        <v>0</v>
      </c>
      <c r="K246" s="22">
        <v>0</v>
      </c>
      <c r="L246" s="22">
        <f>F246*K246</f>
        <v>0</v>
      </c>
      <c r="M246" s="36" t="s">
        <v>706</v>
      </c>
      <c r="N246" s="40"/>
      <c r="Z246" s="42">
        <f>IF(AQ246="5",BJ246,0)</f>
        <v>0</v>
      </c>
      <c r="AB246" s="42">
        <f>IF(AQ246="1",BH246,0)</f>
        <v>0</v>
      </c>
      <c r="AC246" s="42">
        <f>IF(AQ246="1",BI246,0)</f>
        <v>0</v>
      </c>
      <c r="AD246" s="42">
        <f>IF(AQ246="7",BH246,0)</f>
        <v>0</v>
      </c>
      <c r="AE246" s="42">
        <f>IF(AQ246="7",BI246,0)</f>
        <v>0</v>
      </c>
      <c r="AF246" s="42">
        <f>IF(AQ246="2",BH246,0)</f>
        <v>0</v>
      </c>
      <c r="AG246" s="42">
        <f>IF(AQ246="2",BI246,0)</f>
        <v>0</v>
      </c>
      <c r="AH246" s="42">
        <f>IF(AQ246="0",BJ246,0)</f>
        <v>0</v>
      </c>
      <c r="AI246" s="32"/>
      <c r="AJ246" s="22">
        <f>IF(AN246=0,J246,0)</f>
        <v>0</v>
      </c>
      <c r="AK246" s="22">
        <f>IF(AN246=15,J246,0)</f>
        <v>0</v>
      </c>
      <c r="AL246" s="22">
        <f>IF(AN246=21,J246,0)</f>
        <v>0</v>
      </c>
      <c r="AN246" s="42">
        <v>15</v>
      </c>
      <c r="AO246" s="42">
        <f>G246*0</f>
        <v>0</v>
      </c>
      <c r="AP246" s="42">
        <f>G246*(1-0)</f>
        <v>0</v>
      </c>
      <c r="AQ246" s="43" t="s">
        <v>8</v>
      </c>
      <c r="AV246" s="42">
        <f>AW246+AX246</f>
        <v>0</v>
      </c>
      <c r="AW246" s="42">
        <f>F246*AO246</f>
        <v>0</v>
      </c>
      <c r="AX246" s="42">
        <f>F246*AP246</f>
        <v>0</v>
      </c>
      <c r="AY246" s="45" t="s">
        <v>746</v>
      </c>
      <c r="AZ246" s="45" t="s">
        <v>755</v>
      </c>
      <c r="BA246" s="32" t="s">
        <v>756</v>
      </c>
      <c r="BC246" s="42">
        <f>AW246+AX246</f>
        <v>0</v>
      </c>
      <c r="BD246" s="42">
        <f>G246/(100-BE246)*100</f>
        <v>0</v>
      </c>
      <c r="BE246" s="42">
        <v>0</v>
      </c>
      <c r="BF246" s="42">
        <f>L246</f>
        <v>0</v>
      </c>
      <c r="BH246" s="22">
        <f>F246*AO246</f>
        <v>0</v>
      </c>
      <c r="BI246" s="22">
        <f>F246*AP246</f>
        <v>0</v>
      </c>
      <c r="BJ246" s="22">
        <f>F246*G246</f>
        <v>0</v>
      </c>
      <c r="BK246" s="22" t="s">
        <v>761</v>
      </c>
      <c r="BL246" s="42" t="s">
        <v>435</v>
      </c>
    </row>
    <row r="247" spans="1:64" ht="12.75">
      <c r="A247" s="4" t="s">
        <v>213</v>
      </c>
      <c r="B247" s="13"/>
      <c r="C247" s="13" t="s">
        <v>437</v>
      </c>
      <c r="D247" s="13" t="s">
        <v>672</v>
      </c>
      <c r="E247" s="13" t="s">
        <v>681</v>
      </c>
      <c r="F247" s="22">
        <v>20</v>
      </c>
      <c r="G247" s="90">
        <v>0</v>
      </c>
      <c r="H247" s="22">
        <f>F247*AO247</f>
        <v>0</v>
      </c>
      <c r="I247" s="22">
        <f>F247*AP247</f>
        <v>0</v>
      </c>
      <c r="J247" s="22">
        <f>F247*G247</f>
        <v>0</v>
      </c>
      <c r="K247" s="22">
        <v>0.01685</v>
      </c>
      <c r="L247" s="22">
        <f>F247*K247</f>
        <v>0.337</v>
      </c>
      <c r="M247" s="36" t="s">
        <v>706</v>
      </c>
      <c r="N247" s="40"/>
      <c r="Z247" s="42">
        <f>IF(AQ247="5",BJ247,0)</f>
        <v>0</v>
      </c>
      <c r="AB247" s="42">
        <f>IF(AQ247="1",BH247,0)</f>
        <v>0</v>
      </c>
      <c r="AC247" s="42">
        <f>IF(AQ247="1",BI247,0)</f>
        <v>0</v>
      </c>
      <c r="AD247" s="42">
        <f>IF(AQ247="7",BH247,0)</f>
        <v>0</v>
      </c>
      <c r="AE247" s="42">
        <f>IF(AQ247="7",BI247,0)</f>
        <v>0</v>
      </c>
      <c r="AF247" s="42">
        <f>IF(AQ247="2",BH247,0)</f>
        <v>0</v>
      </c>
      <c r="AG247" s="42">
        <f>IF(AQ247="2",BI247,0)</f>
        <v>0</v>
      </c>
      <c r="AH247" s="42">
        <f>IF(AQ247="0",BJ247,0)</f>
        <v>0</v>
      </c>
      <c r="AI247" s="32"/>
      <c r="AJ247" s="22">
        <f>IF(AN247=0,J247,0)</f>
        <v>0</v>
      </c>
      <c r="AK247" s="22">
        <f>IF(AN247=15,J247,0)</f>
        <v>0</v>
      </c>
      <c r="AL247" s="22">
        <f>IF(AN247=21,J247,0)</f>
        <v>0</v>
      </c>
      <c r="AN247" s="42">
        <v>15</v>
      </c>
      <c r="AO247" s="42">
        <f>G247*0.167740747560302</f>
        <v>0</v>
      </c>
      <c r="AP247" s="42">
        <f>G247*(1-0.167740747560302)</f>
        <v>0</v>
      </c>
      <c r="AQ247" s="43" t="s">
        <v>8</v>
      </c>
      <c r="AV247" s="42">
        <f>AW247+AX247</f>
        <v>0</v>
      </c>
      <c r="AW247" s="42">
        <f>F247*AO247</f>
        <v>0</v>
      </c>
      <c r="AX247" s="42">
        <f>F247*AP247</f>
        <v>0</v>
      </c>
      <c r="AY247" s="45" t="s">
        <v>746</v>
      </c>
      <c r="AZ247" s="45" t="s">
        <v>755</v>
      </c>
      <c r="BA247" s="32" t="s">
        <v>756</v>
      </c>
      <c r="BC247" s="42">
        <f>AW247+AX247</f>
        <v>0</v>
      </c>
      <c r="BD247" s="42">
        <f>G247/(100-BE247)*100</f>
        <v>0</v>
      </c>
      <c r="BE247" s="42">
        <v>0</v>
      </c>
      <c r="BF247" s="42">
        <f>L247</f>
        <v>0.337</v>
      </c>
      <c r="BH247" s="22">
        <f>F247*AO247</f>
        <v>0</v>
      </c>
      <c r="BI247" s="22">
        <f>F247*AP247</f>
        <v>0</v>
      </c>
      <c r="BJ247" s="22">
        <f>F247*G247</f>
        <v>0</v>
      </c>
      <c r="BK247" s="22" t="s">
        <v>761</v>
      </c>
      <c r="BL247" s="42" t="s">
        <v>435</v>
      </c>
    </row>
    <row r="248" spans="1:64" ht="12.75">
      <c r="A248" s="4" t="s">
        <v>214</v>
      </c>
      <c r="B248" s="13"/>
      <c r="C248" s="13" t="s">
        <v>438</v>
      </c>
      <c r="D248" s="13" t="s">
        <v>673</v>
      </c>
      <c r="E248" s="13" t="s">
        <v>681</v>
      </c>
      <c r="F248" s="22">
        <v>20</v>
      </c>
      <c r="G248" s="90">
        <v>0</v>
      </c>
      <c r="H248" s="22">
        <f>F248*AO248</f>
        <v>0</v>
      </c>
      <c r="I248" s="22">
        <f>F248*AP248</f>
        <v>0</v>
      </c>
      <c r="J248" s="22">
        <f>F248*G248</f>
        <v>0</v>
      </c>
      <c r="K248" s="22">
        <v>0</v>
      </c>
      <c r="L248" s="22">
        <f>F248*K248</f>
        <v>0</v>
      </c>
      <c r="M248" s="36" t="s">
        <v>706</v>
      </c>
      <c r="N248" s="40"/>
      <c r="Z248" s="42">
        <f>IF(AQ248="5",BJ248,0)</f>
        <v>0</v>
      </c>
      <c r="AB248" s="42">
        <f>IF(AQ248="1",BH248,0)</f>
        <v>0</v>
      </c>
      <c r="AC248" s="42">
        <f>IF(AQ248="1",BI248,0)</f>
        <v>0</v>
      </c>
      <c r="AD248" s="42">
        <f>IF(AQ248="7",BH248,0)</f>
        <v>0</v>
      </c>
      <c r="AE248" s="42">
        <f>IF(AQ248="7",BI248,0)</f>
        <v>0</v>
      </c>
      <c r="AF248" s="42">
        <f>IF(AQ248="2",BH248,0)</f>
        <v>0</v>
      </c>
      <c r="AG248" s="42">
        <f>IF(AQ248="2",BI248,0)</f>
        <v>0</v>
      </c>
      <c r="AH248" s="42">
        <f>IF(AQ248="0",BJ248,0)</f>
        <v>0</v>
      </c>
      <c r="AI248" s="32"/>
      <c r="AJ248" s="22">
        <f>IF(AN248=0,J248,0)</f>
        <v>0</v>
      </c>
      <c r="AK248" s="22">
        <f>IF(AN248=15,J248,0)</f>
        <v>0</v>
      </c>
      <c r="AL248" s="22">
        <f>IF(AN248=21,J248,0)</f>
        <v>0</v>
      </c>
      <c r="AN248" s="42">
        <v>15</v>
      </c>
      <c r="AO248" s="42">
        <f>G248*0.0755351681957187</f>
        <v>0</v>
      </c>
      <c r="AP248" s="42">
        <f>G248*(1-0.0755351681957187)</f>
        <v>0</v>
      </c>
      <c r="AQ248" s="43" t="s">
        <v>8</v>
      </c>
      <c r="AV248" s="42">
        <f>AW248+AX248</f>
        <v>0</v>
      </c>
      <c r="AW248" s="42">
        <f>F248*AO248</f>
        <v>0</v>
      </c>
      <c r="AX248" s="42">
        <f>F248*AP248</f>
        <v>0</v>
      </c>
      <c r="AY248" s="45" t="s">
        <v>746</v>
      </c>
      <c r="AZ248" s="45" t="s">
        <v>755</v>
      </c>
      <c r="BA248" s="32" t="s">
        <v>756</v>
      </c>
      <c r="BC248" s="42">
        <f>AW248+AX248</f>
        <v>0</v>
      </c>
      <c r="BD248" s="42">
        <f>G248/(100-BE248)*100</f>
        <v>0</v>
      </c>
      <c r="BE248" s="42">
        <v>0</v>
      </c>
      <c r="BF248" s="42">
        <f>L248</f>
        <v>0</v>
      </c>
      <c r="BH248" s="22">
        <f>F248*AO248</f>
        <v>0</v>
      </c>
      <c r="BI248" s="22">
        <f>F248*AP248</f>
        <v>0</v>
      </c>
      <c r="BJ248" s="22">
        <f>F248*G248</f>
        <v>0</v>
      </c>
      <c r="BK248" s="22" t="s">
        <v>761</v>
      </c>
      <c r="BL248" s="42" t="s">
        <v>435</v>
      </c>
    </row>
    <row r="249" spans="1:64" ht="12.75">
      <c r="A249" s="7" t="s">
        <v>215</v>
      </c>
      <c r="B249" s="16"/>
      <c r="C249" s="82" t="s">
        <v>827</v>
      </c>
      <c r="D249" s="82" t="s">
        <v>816</v>
      </c>
      <c r="E249" s="16" t="s">
        <v>680</v>
      </c>
      <c r="F249" s="24">
        <v>1</v>
      </c>
      <c r="G249" s="92">
        <v>0</v>
      </c>
      <c r="H249" s="24">
        <f>F249*AO249</f>
        <v>0</v>
      </c>
      <c r="I249" s="24">
        <f>F249*AP249</f>
        <v>0</v>
      </c>
      <c r="J249" s="24">
        <f>F249*G249</f>
        <v>0</v>
      </c>
      <c r="K249" s="24">
        <v>0</v>
      </c>
      <c r="L249" s="24">
        <f>F249*K249</f>
        <v>0</v>
      </c>
      <c r="M249" s="39"/>
      <c r="N249" s="40"/>
      <c r="Z249" s="42">
        <f>IF(AQ249="5",BJ249,0)</f>
        <v>0</v>
      </c>
      <c r="AB249" s="42">
        <f>IF(AQ249="1",BH249,0)</f>
        <v>0</v>
      </c>
      <c r="AC249" s="42">
        <f>IF(AQ249="1",BI249,0)</f>
        <v>0</v>
      </c>
      <c r="AD249" s="42">
        <f>IF(AQ249="7",BH249,0)</f>
        <v>0</v>
      </c>
      <c r="AE249" s="42">
        <f>IF(AQ249="7",BI249,0)</f>
        <v>0</v>
      </c>
      <c r="AF249" s="42">
        <f>IF(AQ249="2",BH249,0)</f>
        <v>0</v>
      </c>
      <c r="AG249" s="42">
        <f>IF(AQ249="2",BI249,0)</f>
        <v>0</v>
      </c>
      <c r="AH249" s="42">
        <f>IF(AQ249="0",BJ249,0)</f>
        <v>0</v>
      </c>
      <c r="AI249" s="32"/>
      <c r="AJ249" s="23">
        <f>IF(AN249=0,J249,0)</f>
        <v>0</v>
      </c>
      <c r="AK249" s="23">
        <f>IF(AN249=15,J249,0)</f>
        <v>0</v>
      </c>
      <c r="AL249" s="23">
        <f>IF(AN249=21,J249,0)</f>
        <v>0</v>
      </c>
      <c r="AN249" s="42">
        <v>15</v>
      </c>
      <c r="AO249" s="42">
        <f>G249*1</f>
        <v>0</v>
      </c>
      <c r="AP249" s="42">
        <f>G249*(1-1)</f>
        <v>0</v>
      </c>
      <c r="AQ249" s="44" t="s">
        <v>7</v>
      </c>
      <c r="AV249" s="42">
        <f>AW249+AX249</f>
        <v>0</v>
      </c>
      <c r="AW249" s="42">
        <f>F249*AO249</f>
        <v>0</v>
      </c>
      <c r="AX249" s="42">
        <f>F249*AP249</f>
        <v>0</v>
      </c>
      <c r="AY249" s="45" t="s">
        <v>746</v>
      </c>
      <c r="AZ249" s="45" t="s">
        <v>755</v>
      </c>
      <c r="BA249" s="32" t="s">
        <v>756</v>
      </c>
      <c r="BC249" s="42">
        <f>AW249+AX249</f>
        <v>0</v>
      </c>
      <c r="BD249" s="42">
        <f>G249/(100-BE249)*100</f>
        <v>0</v>
      </c>
      <c r="BE249" s="42">
        <v>0</v>
      </c>
      <c r="BF249" s="42">
        <f>L249</f>
        <v>0</v>
      </c>
      <c r="BH249" s="23">
        <f>F249*AO249</f>
        <v>0</v>
      </c>
      <c r="BI249" s="23">
        <f>F249*AP249</f>
        <v>0</v>
      </c>
      <c r="BJ249" s="23">
        <f>F249*G249</f>
        <v>0</v>
      </c>
      <c r="BK249" s="23" t="s">
        <v>762</v>
      </c>
      <c r="BL249" s="42" t="s">
        <v>435</v>
      </c>
    </row>
    <row r="250" spans="1:13" ht="12.75">
      <c r="A250" s="8"/>
      <c r="B250" s="8"/>
      <c r="C250" s="8"/>
      <c r="D250" s="8"/>
      <c r="E250" s="8"/>
      <c r="F250" s="8"/>
      <c r="G250" s="8"/>
      <c r="H250" s="112" t="s">
        <v>698</v>
      </c>
      <c r="I250" s="113"/>
      <c r="J250" s="49">
        <f>J12+J14+J20+J23+J26+J29+J34+J67+J85+J92+J105+J120+J129+J156+J158+J160+J168+J172+J174+J180+J183+J185+J190+J210+J214+J217+J231+J234+J245</f>
        <v>0</v>
      </c>
      <c r="K250" s="8"/>
      <c r="L250" s="8"/>
      <c r="M250" s="8"/>
    </row>
    <row r="251" ht="11.25" customHeight="1">
      <c r="A251" s="9" t="s">
        <v>216</v>
      </c>
    </row>
    <row r="252" spans="1:13" ht="12.75">
      <c r="A252" s="107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</sheetData>
  <sheetProtection password="F406" sheet="1"/>
  <mergeCells count="29">
    <mergeCell ref="H10:J10"/>
    <mergeCell ref="K10:L10"/>
    <mergeCell ref="H250:I250"/>
    <mergeCell ref="A252:M252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21" sqref="E21"/>
    </sheetView>
  </sheetViews>
  <sheetFormatPr defaultColWidth="11.57421875" defaultRowHeight="12.75"/>
  <cols>
    <col min="1" max="1" width="15.28125" style="0" customWidth="1"/>
    <col min="2" max="2" width="12.851562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94" t="s">
        <v>764</v>
      </c>
      <c r="B1" s="95"/>
      <c r="C1" s="95"/>
      <c r="D1" s="95"/>
      <c r="E1" s="95"/>
      <c r="F1" s="95"/>
      <c r="G1" s="95"/>
    </row>
    <row r="2" spans="1:8" ht="12.75">
      <c r="A2" s="96" t="s">
        <v>1</v>
      </c>
      <c r="B2" s="100" t="str">
        <f>'Stavební rozpočet'!D2</f>
        <v>Celková oprava plynové kotelny</v>
      </c>
      <c r="C2" s="113"/>
      <c r="D2" s="103" t="s">
        <v>692</v>
      </c>
      <c r="E2" s="103" t="str">
        <f>'Stavební rozpočet'!I2</f>
        <v> </v>
      </c>
      <c r="F2" s="97"/>
      <c r="G2" s="104"/>
      <c r="H2" s="40"/>
    </row>
    <row r="3" spans="1:8" ht="12.75">
      <c r="A3" s="98"/>
      <c r="B3" s="101"/>
      <c r="C3" s="101"/>
      <c r="D3" s="99"/>
      <c r="E3" s="99"/>
      <c r="F3" s="99"/>
      <c r="G3" s="105"/>
      <c r="H3" s="40"/>
    </row>
    <row r="4" spans="1:8" ht="12.75">
      <c r="A4" s="106" t="s">
        <v>2</v>
      </c>
      <c r="B4" s="107" t="str">
        <f>'Stavební rozpočet'!D4</f>
        <v>Zdroj tepla pro objekt ZŠ</v>
      </c>
      <c r="C4" s="99"/>
      <c r="D4" s="107" t="s">
        <v>693</v>
      </c>
      <c r="E4" s="107" t="str">
        <f>'Stavební rozpočet'!I4</f>
        <v>Ing. Viktor Kouřílek</v>
      </c>
      <c r="F4" s="99"/>
      <c r="G4" s="105"/>
      <c r="H4" s="40"/>
    </row>
    <row r="5" spans="1:8" ht="12.75">
      <c r="A5" s="98"/>
      <c r="B5" s="99"/>
      <c r="C5" s="99"/>
      <c r="D5" s="99"/>
      <c r="E5" s="99"/>
      <c r="F5" s="99"/>
      <c r="G5" s="105"/>
      <c r="H5" s="40"/>
    </row>
    <row r="6" spans="1:8" ht="12.75">
      <c r="A6" s="106" t="s">
        <v>3</v>
      </c>
      <c r="B6" s="107" t="str">
        <f>'Stavební rozpočet'!D6</f>
        <v>Butovická 228/9, 158 00 Praha 5 - Jinonice</v>
      </c>
      <c r="C6" s="99"/>
      <c r="D6" s="107" t="s">
        <v>694</v>
      </c>
      <c r="E6" s="107" t="str">
        <f>'Stavební rozpočet'!I6</f>
        <v> </v>
      </c>
      <c r="F6" s="99"/>
      <c r="G6" s="105"/>
      <c r="H6" s="40"/>
    </row>
    <row r="7" spans="1:8" ht="12.75">
      <c r="A7" s="98"/>
      <c r="B7" s="99"/>
      <c r="C7" s="99"/>
      <c r="D7" s="99"/>
      <c r="E7" s="99"/>
      <c r="F7" s="99"/>
      <c r="G7" s="105"/>
      <c r="H7" s="40"/>
    </row>
    <row r="8" spans="1:8" ht="12.75">
      <c r="A8" s="106" t="s">
        <v>695</v>
      </c>
      <c r="B8" s="107" t="str">
        <f>'Stavební rozpočet'!I8</f>
        <v> </v>
      </c>
      <c r="C8" s="99"/>
      <c r="D8" s="108" t="s">
        <v>677</v>
      </c>
      <c r="E8" s="107" t="str">
        <f>'Stavební rozpočet'!G8</f>
        <v>12.01.2021</v>
      </c>
      <c r="F8" s="99"/>
      <c r="G8" s="105"/>
      <c r="H8" s="40"/>
    </row>
    <row r="9" spans="1:8" ht="12.75">
      <c r="A9" s="114"/>
      <c r="B9" s="115"/>
      <c r="C9" s="115"/>
      <c r="D9" s="115"/>
      <c r="E9" s="115"/>
      <c r="F9" s="115"/>
      <c r="G9" s="116"/>
      <c r="H9" s="40"/>
    </row>
    <row r="10" spans="1:8" ht="13.5" thickBot="1">
      <c r="A10" s="50" t="s">
        <v>217</v>
      </c>
      <c r="B10" s="51" t="s">
        <v>218</v>
      </c>
      <c r="C10" s="54" t="s">
        <v>442</v>
      </c>
      <c r="D10" s="55" t="s">
        <v>765</v>
      </c>
      <c r="E10" s="55" t="s">
        <v>766</v>
      </c>
      <c r="F10" s="55" t="s">
        <v>767</v>
      </c>
      <c r="G10" s="56" t="s">
        <v>768</v>
      </c>
      <c r="H10" s="41"/>
    </row>
    <row r="11" spans="1:9" ht="12.75">
      <c r="A11" s="86" t="s">
        <v>817</v>
      </c>
      <c r="B11" s="83" t="s">
        <v>37</v>
      </c>
      <c r="C11" s="52" t="s">
        <v>444</v>
      </c>
      <c r="D11" s="58">
        <f>'Stavební rozpočet'!H12</f>
        <v>0</v>
      </c>
      <c r="E11" s="58">
        <f>'Stavební rozpočet'!I12</f>
        <v>0</v>
      </c>
      <c r="F11" s="58">
        <f>'Stavební rozpočet'!J12</f>
        <v>0</v>
      </c>
      <c r="G11" s="60">
        <f>'Stavební rozpočet'!L12</f>
        <v>0.44752</v>
      </c>
      <c r="H11" s="57" t="s">
        <v>769</v>
      </c>
      <c r="I11" s="42">
        <f aca="true" t="shared" si="0" ref="I11:I39">IF(H11="F",0,F11)</f>
        <v>0</v>
      </c>
    </row>
    <row r="12" spans="1:9" ht="12.75">
      <c r="A12" s="87" t="s">
        <v>817</v>
      </c>
      <c r="B12" s="84" t="s">
        <v>220</v>
      </c>
      <c r="C12" s="18" t="s">
        <v>446</v>
      </c>
      <c r="D12" s="42">
        <f>'Stavební rozpočet'!H14</f>
        <v>0</v>
      </c>
      <c r="E12" s="42">
        <f>'Stavební rozpočet'!I14</f>
        <v>0</v>
      </c>
      <c r="F12" s="42">
        <f>'Stavební rozpočet'!J14</f>
        <v>0</v>
      </c>
      <c r="G12" s="61">
        <f>'Stavební rozpočet'!L14</f>
        <v>0</v>
      </c>
      <c r="H12" s="57" t="s">
        <v>769</v>
      </c>
      <c r="I12" s="42">
        <f t="shared" si="0"/>
        <v>0</v>
      </c>
    </row>
    <row r="13" spans="1:9" ht="12.75">
      <c r="A13" s="87" t="s">
        <v>817</v>
      </c>
      <c r="B13" s="84" t="s">
        <v>67</v>
      </c>
      <c r="C13" s="18" t="s">
        <v>452</v>
      </c>
      <c r="D13" s="42">
        <f>'Stavební rozpočet'!H20</f>
        <v>0</v>
      </c>
      <c r="E13" s="42">
        <f>'Stavební rozpočet'!I20</f>
        <v>0</v>
      </c>
      <c r="F13" s="42">
        <f>'Stavební rozpočet'!J20</f>
        <v>0</v>
      </c>
      <c r="G13" s="61">
        <f>'Stavební rozpočet'!L20</f>
        <v>1.1305599999999998</v>
      </c>
      <c r="H13" s="57" t="s">
        <v>769</v>
      </c>
      <c r="I13" s="42">
        <f t="shared" si="0"/>
        <v>0</v>
      </c>
    </row>
    <row r="14" spans="1:9" ht="12.75">
      <c r="A14" s="87" t="s">
        <v>817</v>
      </c>
      <c r="B14" s="84" t="s">
        <v>228</v>
      </c>
      <c r="C14" s="18" t="s">
        <v>455</v>
      </c>
      <c r="D14" s="42">
        <f>'Stavební rozpočet'!H23</f>
        <v>0</v>
      </c>
      <c r="E14" s="42">
        <f>'Stavební rozpočet'!I23</f>
        <v>0</v>
      </c>
      <c r="F14" s="42">
        <f>'Stavební rozpočet'!J23</f>
        <v>0</v>
      </c>
      <c r="G14" s="61">
        <f>'Stavební rozpočet'!L23</f>
        <v>0</v>
      </c>
      <c r="H14" s="57" t="s">
        <v>769</v>
      </c>
      <c r="I14" s="42">
        <f t="shared" si="0"/>
        <v>0</v>
      </c>
    </row>
    <row r="15" spans="1:9" ht="12.75">
      <c r="A15" s="87" t="s">
        <v>817</v>
      </c>
      <c r="B15" s="84" t="s">
        <v>69</v>
      </c>
      <c r="C15" s="18" t="s">
        <v>458</v>
      </c>
      <c r="D15" s="42">
        <f>'Stavební rozpočet'!H26</f>
        <v>0</v>
      </c>
      <c r="E15" s="42">
        <f>'Stavební rozpočet'!I26</f>
        <v>0</v>
      </c>
      <c r="F15" s="42">
        <f>'Stavební rozpočet'!J26</f>
        <v>0</v>
      </c>
      <c r="G15" s="61">
        <f>'Stavební rozpočet'!L26</f>
        <v>17.431250000000002</v>
      </c>
      <c r="H15" s="57" t="s">
        <v>769</v>
      </c>
      <c r="I15" s="42">
        <f t="shared" si="0"/>
        <v>0</v>
      </c>
    </row>
    <row r="16" spans="1:9" ht="12.75">
      <c r="A16" s="87" t="s">
        <v>817</v>
      </c>
      <c r="B16" s="84" t="s">
        <v>232</v>
      </c>
      <c r="C16" s="18" t="s">
        <v>461</v>
      </c>
      <c r="D16" s="42">
        <f>'Stavební rozpočet'!H29</f>
        <v>0</v>
      </c>
      <c r="E16" s="42">
        <f>'Stavební rozpočet'!I29</f>
        <v>0</v>
      </c>
      <c r="F16" s="42">
        <f>'Stavební rozpočet'!J29</f>
        <v>0</v>
      </c>
      <c r="G16" s="61">
        <f>'Stavební rozpočet'!L29</f>
        <v>0.009000000000000001</v>
      </c>
      <c r="H16" s="57" t="s">
        <v>769</v>
      </c>
      <c r="I16" s="42">
        <f t="shared" si="0"/>
        <v>0</v>
      </c>
    </row>
    <row r="17" spans="1:9" ht="12.75">
      <c r="A17" s="87" t="s">
        <v>817</v>
      </c>
      <c r="B17" s="84" t="s">
        <v>237</v>
      </c>
      <c r="C17" s="18" t="s">
        <v>466</v>
      </c>
      <c r="D17" s="42">
        <f>'Stavební rozpočet'!H34</f>
        <v>0</v>
      </c>
      <c r="E17" s="42">
        <f>'Stavební rozpočet'!I34</f>
        <v>0</v>
      </c>
      <c r="F17" s="42">
        <f>'Stavební rozpočet'!J34</f>
        <v>0</v>
      </c>
      <c r="G17" s="61">
        <f>'Stavební rozpočet'!L34</f>
        <v>0.059899999999999995</v>
      </c>
      <c r="H17" s="57" t="s">
        <v>769</v>
      </c>
      <c r="I17" s="42">
        <f t="shared" si="0"/>
        <v>0</v>
      </c>
    </row>
    <row r="18" spans="1:9" ht="12.75">
      <c r="A18" s="87" t="s">
        <v>817</v>
      </c>
      <c r="B18" s="84" t="s">
        <v>267</v>
      </c>
      <c r="C18" s="18" t="s">
        <v>498</v>
      </c>
      <c r="D18" s="42">
        <f>'Stavební rozpočet'!H67</f>
        <v>0</v>
      </c>
      <c r="E18" s="42">
        <f>'Stavební rozpočet'!I67</f>
        <v>0</v>
      </c>
      <c r="F18" s="42">
        <f>'Stavební rozpočet'!J67</f>
        <v>0</v>
      </c>
      <c r="G18" s="61">
        <f>'Stavební rozpočet'!L67</f>
        <v>0.18820999999999996</v>
      </c>
      <c r="H18" s="57" t="s">
        <v>769</v>
      </c>
      <c r="I18" s="42">
        <f t="shared" si="0"/>
        <v>0</v>
      </c>
    </row>
    <row r="19" spans="1:9" ht="12.75">
      <c r="A19" s="87" t="s">
        <v>817</v>
      </c>
      <c r="B19" s="84" t="s">
        <v>283</v>
      </c>
      <c r="C19" s="18" t="s">
        <v>515</v>
      </c>
      <c r="D19" s="42">
        <f>'Stavební rozpočet'!H85</f>
        <v>0</v>
      </c>
      <c r="E19" s="42">
        <f>'Stavební rozpočet'!I85</f>
        <v>0</v>
      </c>
      <c r="F19" s="42">
        <f>'Stavební rozpočet'!J85</f>
        <v>0</v>
      </c>
      <c r="G19" s="61">
        <f>'Stavební rozpočet'!L85</f>
        <v>0.03454</v>
      </c>
      <c r="H19" s="57" t="s">
        <v>769</v>
      </c>
      <c r="I19" s="42">
        <f t="shared" si="0"/>
        <v>0</v>
      </c>
    </row>
    <row r="20" spans="1:9" ht="12.75">
      <c r="A20" s="87" t="s">
        <v>817</v>
      </c>
      <c r="B20" s="84" t="s">
        <v>290</v>
      </c>
      <c r="C20" s="18" t="s">
        <v>522</v>
      </c>
      <c r="D20" s="42">
        <f>'Stavební rozpočet'!H92</f>
        <v>0</v>
      </c>
      <c r="E20" s="42">
        <f>'Stavební rozpočet'!I92</f>
        <v>0</v>
      </c>
      <c r="F20" s="42">
        <f>'Stavební rozpočet'!J92</f>
        <v>0</v>
      </c>
      <c r="G20" s="61">
        <f>'Stavební rozpočet'!L92</f>
        <v>1.0472</v>
      </c>
      <c r="H20" s="57" t="s">
        <v>769</v>
      </c>
      <c r="I20" s="42">
        <f t="shared" si="0"/>
        <v>0</v>
      </c>
    </row>
    <row r="21" spans="1:9" ht="12.75">
      <c r="A21" s="87" t="s">
        <v>817</v>
      </c>
      <c r="B21" s="84" t="s">
        <v>303</v>
      </c>
      <c r="C21" s="18" t="s">
        <v>535</v>
      </c>
      <c r="D21" s="42">
        <f>'Stavební rozpočet'!H105</f>
        <v>0</v>
      </c>
      <c r="E21" s="42">
        <f>'Stavební rozpočet'!I105</f>
        <v>0</v>
      </c>
      <c r="F21" s="42">
        <f>'Stavební rozpočet'!J105</f>
        <v>0</v>
      </c>
      <c r="G21" s="61">
        <f>'Stavební rozpočet'!L105</f>
        <v>0.27218000000000003</v>
      </c>
      <c r="H21" s="57" t="s">
        <v>769</v>
      </c>
      <c r="I21" s="42">
        <f t="shared" si="0"/>
        <v>0</v>
      </c>
    </row>
    <row r="22" spans="1:9" ht="12.75">
      <c r="A22" s="87" t="s">
        <v>817</v>
      </c>
      <c r="B22" s="84" t="s">
        <v>318</v>
      </c>
      <c r="C22" s="18" t="s">
        <v>550</v>
      </c>
      <c r="D22" s="42">
        <f>'Stavební rozpočet'!H120</f>
        <v>0</v>
      </c>
      <c r="E22" s="42">
        <f>'Stavební rozpočet'!I120</f>
        <v>0</v>
      </c>
      <c r="F22" s="42">
        <f>'Stavební rozpočet'!J120</f>
        <v>0</v>
      </c>
      <c r="G22" s="61">
        <f>'Stavební rozpočet'!L120</f>
        <v>0.13824000000000003</v>
      </c>
      <c r="H22" s="57" t="s">
        <v>769</v>
      </c>
      <c r="I22" s="42">
        <f t="shared" si="0"/>
        <v>0</v>
      </c>
    </row>
    <row r="23" spans="1:9" ht="12.75">
      <c r="A23" s="87" t="s">
        <v>817</v>
      </c>
      <c r="B23" s="84" t="s">
        <v>325</v>
      </c>
      <c r="C23" s="18" t="s">
        <v>555</v>
      </c>
      <c r="D23" s="42">
        <f>'Stavební rozpočet'!H129</f>
        <v>0</v>
      </c>
      <c r="E23" s="42">
        <f>'Stavební rozpočet'!I129</f>
        <v>0</v>
      </c>
      <c r="F23" s="42">
        <f>'Stavební rozpočet'!J129</f>
        <v>0</v>
      </c>
      <c r="G23" s="61">
        <f>'Stavební rozpočet'!L129</f>
        <v>0.03543</v>
      </c>
      <c r="H23" s="57" t="s">
        <v>769</v>
      </c>
      <c r="I23" s="42">
        <f t="shared" si="0"/>
        <v>0</v>
      </c>
    </row>
    <row r="24" spans="1:9" ht="12.75">
      <c r="A24" s="87" t="s">
        <v>817</v>
      </c>
      <c r="B24" s="84" t="s">
        <v>351</v>
      </c>
      <c r="C24" s="18" t="s">
        <v>582</v>
      </c>
      <c r="D24" s="42">
        <f>'Stavební rozpočet'!H156</f>
        <v>0</v>
      </c>
      <c r="E24" s="42">
        <f>'Stavební rozpočet'!I156</f>
        <v>0</v>
      </c>
      <c r="F24" s="42">
        <f>'Stavební rozpočet'!J156</f>
        <v>0</v>
      </c>
      <c r="G24" s="61">
        <f>'Stavební rozpočet'!L156</f>
        <v>0.00162</v>
      </c>
      <c r="H24" s="57" t="s">
        <v>769</v>
      </c>
      <c r="I24" s="42">
        <f t="shared" si="0"/>
        <v>0</v>
      </c>
    </row>
    <row r="25" spans="1:9" ht="12.75">
      <c r="A25" s="87" t="s">
        <v>817</v>
      </c>
      <c r="B25" s="84" t="s">
        <v>353</v>
      </c>
      <c r="C25" s="18" t="s">
        <v>584</v>
      </c>
      <c r="D25" s="42">
        <f>'Stavební rozpočet'!H158</f>
        <v>0</v>
      </c>
      <c r="E25" s="42">
        <f>'Stavební rozpočet'!I158</f>
        <v>0</v>
      </c>
      <c r="F25" s="42">
        <f>'Stavební rozpočet'!J158</f>
        <v>0</v>
      </c>
      <c r="G25" s="61">
        <f>'Stavební rozpočet'!L158</f>
        <v>0</v>
      </c>
      <c r="H25" s="57" t="s">
        <v>769</v>
      </c>
      <c r="I25" s="42">
        <f t="shared" si="0"/>
        <v>0</v>
      </c>
    </row>
    <row r="26" spans="1:9" ht="12.75">
      <c r="A26" s="87" t="s">
        <v>817</v>
      </c>
      <c r="B26" s="84" t="s">
        <v>355</v>
      </c>
      <c r="C26" s="18" t="s">
        <v>586</v>
      </c>
      <c r="D26" s="42">
        <f>'Stavební rozpočet'!H160</f>
        <v>0</v>
      </c>
      <c r="E26" s="42">
        <f>'Stavební rozpočet'!I160</f>
        <v>0</v>
      </c>
      <c r="F26" s="42">
        <f>'Stavební rozpočet'!J160</f>
        <v>0</v>
      </c>
      <c r="G26" s="61">
        <f>'Stavební rozpočet'!L160</f>
        <v>0</v>
      </c>
      <c r="H26" s="57" t="s">
        <v>769</v>
      </c>
      <c r="I26" s="42">
        <f t="shared" si="0"/>
        <v>0</v>
      </c>
    </row>
    <row r="27" spans="1:9" ht="12.75">
      <c r="A27" s="87" t="s">
        <v>817</v>
      </c>
      <c r="B27" s="84" t="s">
        <v>363</v>
      </c>
      <c r="C27" s="18" t="s">
        <v>594</v>
      </c>
      <c r="D27" s="42">
        <f>'Stavební rozpočet'!H168</f>
        <v>0</v>
      </c>
      <c r="E27" s="42">
        <f>'Stavební rozpočet'!I168</f>
        <v>0</v>
      </c>
      <c r="F27" s="42">
        <f>'Stavební rozpočet'!J168</f>
        <v>0</v>
      </c>
      <c r="G27" s="61">
        <f>'Stavební rozpočet'!L168</f>
        <v>0.014079999999999999</v>
      </c>
      <c r="H27" s="57" t="s">
        <v>769</v>
      </c>
      <c r="I27" s="42">
        <f t="shared" si="0"/>
        <v>0</v>
      </c>
    </row>
    <row r="28" spans="1:9" ht="12.75">
      <c r="A28" s="87" t="s">
        <v>817</v>
      </c>
      <c r="B28" s="84" t="s">
        <v>95</v>
      </c>
      <c r="C28" s="18" t="s">
        <v>598</v>
      </c>
      <c r="D28" s="42">
        <f>'Stavební rozpočet'!H172</f>
        <v>0</v>
      </c>
      <c r="E28" s="42">
        <f>'Stavební rozpočet'!I172</f>
        <v>0</v>
      </c>
      <c r="F28" s="42">
        <f>'Stavební rozpočet'!J172</f>
        <v>0</v>
      </c>
      <c r="G28" s="61">
        <f>'Stavební rozpočet'!L172</f>
        <v>0.0013800000000000002</v>
      </c>
      <c r="H28" s="57" t="s">
        <v>769</v>
      </c>
      <c r="I28" s="42">
        <f t="shared" si="0"/>
        <v>0</v>
      </c>
    </row>
    <row r="29" spans="1:9" ht="12.75">
      <c r="A29" s="87" t="s">
        <v>817</v>
      </c>
      <c r="B29" s="84" t="s">
        <v>102</v>
      </c>
      <c r="C29" s="18" t="s">
        <v>600</v>
      </c>
      <c r="D29" s="42">
        <f>'Stavební rozpočet'!H174</f>
        <v>0</v>
      </c>
      <c r="E29" s="42">
        <f>'Stavební rozpočet'!I174</f>
        <v>0</v>
      </c>
      <c r="F29" s="42">
        <f>'Stavební rozpočet'!J174</f>
        <v>0</v>
      </c>
      <c r="G29" s="61">
        <f>'Stavební rozpočet'!L174</f>
        <v>1.18733</v>
      </c>
      <c r="H29" s="57" t="s">
        <v>769</v>
      </c>
      <c r="I29" s="42">
        <f t="shared" si="0"/>
        <v>0</v>
      </c>
    </row>
    <row r="30" spans="1:9" ht="12.75">
      <c r="A30" s="87" t="s">
        <v>817</v>
      </c>
      <c r="B30" s="84" t="s">
        <v>103</v>
      </c>
      <c r="C30" s="18" t="s">
        <v>606</v>
      </c>
      <c r="D30" s="42">
        <f>'Stavební rozpočet'!H180</f>
        <v>0</v>
      </c>
      <c r="E30" s="42">
        <f>'Stavební rozpočet'!I180</f>
        <v>0</v>
      </c>
      <c r="F30" s="42">
        <f>'Stavební rozpočet'!J180</f>
        <v>0</v>
      </c>
      <c r="G30" s="61">
        <f>'Stavební rozpočet'!L180</f>
        <v>0.61447</v>
      </c>
      <c r="H30" s="57" t="s">
        <v>769</v>
      </c>
      <c r="I30" s="42">
        <f t="shared" si="0"/>
        <v>0</v>
      </c>
    </row>
    <row r="31" spans="1:9" ht="12.75">
      <c r="A31" s="87" t="s">
        <v>817</v>
      </c>
      <c r="B31" s="84" t="s">
        <v>375</v>
      </c>
      <c r="C31" s="18" t="s">
        <v>609</v>
      </c>
      <c r="D31" s="42">
        <f>'Stavební rozpočet'!H183</f>
        <v>0</v>
      </c>
      <c r="E31" s="42">
        <f>'Stavební rozpočet'!I183</f>
        <v>0</v>
      </c>
      <c r="F31" s="42">
        <f>'Stavební rozpočet'!J183</f>
        <v>0</v>
      </c>
      <c r="G31" s="61">
        <f>'Stavební rozpočet'!L183</f>
        <v>0</v>
      </c>
      <c r="H31" s="57" t="s">
        <v>769</v>
      </c>
      <c r="I31" s="42">
        <f t="shared" si="0"/>
        <v>0</v>
      </c>
    </row>
    <row r="32" spans="1:9" ht="12.75">
      <c r="A32" s="87" t="s">
        <v>817</v>
      </c>
      <c r="B32" s="84" t="s">
        <v>377</v>
      </c>
      <c r="C32" s="18" t="s">
        <v>611</v>
      </c>
      <c r="D32" s="42">
        <f>'Stavební rozpočet'!H185</f>
        <v>0</v>
      </c>
      <c r="E32" s="42">
        <f>'Stavební rozpočet'!I185</f>
        <v>0</v>
      </c>
      <c r="F32" s="42">
        <f>'Stavební rozpočet'!J185</f>
        <v>0</v>
      </c>
      <c r="G32" s="61">
        <f>'Stavební rozpočet'!L185</f>
        <v>0</v>
      </c>
      <c r="H32" s="57" t="s">
        <v>769</v>
      </c>
      <c r="I32" s="42">
        <f t="shared" si="0"/>
        <v>0</v>
      </c>
    </row>
    <row r="33" spans="1:9" ht="12.75">
      <c r="A33" s="87" t="s">
        <v>817</v>
      </c>
      <c r="B33" s="84" t="s">
        <v>382</v>
      </c>
      <c r="C33" s="18" t="s">
        <v>616</v>
      </c>
      <c r="D33" s="42">
        <f>'Stavební rozpočet'!H190</f>
        <v>0</v>
      </c>
      <c r="E33" s="42">
        <f>'Stavební rozpočet'!I190</f>
        <v>0</v>
      </c>
      <c r="F33" s="42">
        <f>'Stavební rozpočet'!J190</f>
        <v>0</v>
      </c>
      <c r="G33" s="61">
        <f>'Stavební rozpočet'!L190</f>
        <v>0.0092</v>
      </c>
      <c r="H33" s="57" t="s">
        <v>769</v>
      </c>
      <c r="I33" s="42">
        <f t="shared" si="0"/>
        <v>0</v>
      </c>
    </row>
    <row r="34" spans="1:9" ht="12.75">
      <c r="A34" s="87" t="s">
        <v>817</v>
      </c>
      <c r="B34" s="84" t="s">
        <v>401</v>
      </c>
      <c r="C34" s="18" t="s">
        <v>636</v>
      </c>
      <c r="D34" s="42">
        <f>'Stavební rozpočet'!H210</f>
        <v>0</v>
      </c>
      <c r="E34" s="42">
        <f>'Stavební rozpočet'!I210</f>
        <v>0</v>
      </c>
      <c r="F34" s="42">
        <f>'Stavební rozpočet'!J210</f>
        <v>0</v>
      </c>
      <c r="G34" s="61">
        <f>'Stavební rozpočet'!L210</f>
        <v>0</v>
      </c>
      <c r="H34" s="57" t="s">
        <v>769</v>
      </c>
      <c r="I34" s="42">
        <f t="shared" si="0"/>
        <v>0</v>
      </c>
    </row>
    <row r="35" spans="1:9" ht="12.75">
      <c r="A35" s="87" t="s">
        <v>817</v>
      </c>
      <c r="B35" s="84" t="s">
        <v>405</v>
      </c>
      <c r="C35" s="18" t="s">
        <v>640</v>
      </c>
      <c r="D35" s="42">
        <f>'Stavební rozpočet'!H214</f>
        <v>0</v>
      </c>
      <c r="E35" s="42">
        <f>'Stavební rozpočet'!I214</f>
        <v>0</v>
      </c>
      <c r="F35" s="42">
        <f>'Stavební rozpočet'!J214</f>
        <v>0</v>
      </c>
      <c r="G35" s="61">
        <f>'Stavební rozpočet'!L214</f>
        <v>0</v>
      </c>
      <c r="H35" s="57" t="s">
        <v>769</v>
      </c>
      <c r="I35" s="42">
        <f t="shared" si="0"/>
        <v>0</v>
      </c>
    </row>
    <row r="36" spans="1:9" ht="12.75">
      <c r="A36" s="87" t="s">
        <v>817</v>
      </c>
      <c r="B36" s="84" t="s">
        <v>408</v>
      </c>
      <c r="C36" s="18" t="s">
        <v>643</v>
      </c>
      <c r="D36" s="42">
        <f>'Stavební rozpočet'!H217</f>
        <v>0</v>
      </c>
      <c r="E36" s="42">
        <f>'Stavební rozpočet'!I217</f>
        <v>0</v>
      </c>
      <c r="F36" s="42">
        <f>'Stavební rozpočet'!J217</f>
        <v>0</v>
      </c>
      <c r="G36" s="61">
        <f>'Stavební rozpočet'!L217</f>
        <v>0</v>
      </c>
      <c r="H36" s="57" t="s">
        <v>769</v>
      </c>
      <c r="I36" s="42">
        <f t="shared" si="0"/>
        <v>0</v>
      </c>
    </row>
    <row r="37" spans="1:9" ht="12.75">
      <c r="A37" s="87" t="s">
        <v>817</v>
      </c>
      <c r="B37" s="84" t="s">
        <v>422</v>
      </c>
      <c r="C37" s="18" t="s">
        <v>657</v>
      </c>
      <c r="D37" s="42">
        <f>'Stavební rozpočet'!H231</f>
        <v>0</v>
      </c>
      <c r="E37" s="42">
        <f>'Stavební rozpočet'!I231</f>
        <v>0</v>
      </c>
      <c r="F37" s="42">
        <f>'Stavební rozpočet'!J231</f>
        <v>0</v>
      </c>
      <c r="G37" s="61">
        <f>'Stavební rozpočet'!L231</f>
        <v>0</v>
      </c>
      <c r="H37" s="57" t="s">
        <v>769</v>
      </c>
      <c r="I37" s="42">
        <f t="shared" si="0"/>
        <v>0</v>
      </c>
    </row>
    <row r="38" spans="1:9" ht="12.75">
      <c r="A38" s="87" t="s">
        <v>817</v>
      </c>
      <c r="B38" s="84" t="s">
        <v>424</v>
      </c>
      <c r="C38" s="18" t="s">
        <v>660</v>
      </c>
      <c r="D38" s="42">
        <f>'Stavební rozpočet'!H234</f>
        <v>0</v>
      </c>
      <c r="E38" s="42">
        <f>'Stavební rozpočet'!I234</f>
        <v>0</v>
      </c>
      <c r="F38" s="42">
        <f>'Stavební rozpočet'!J234</f>
        <v>0</v>
      </c>
      <c r="G38" s="61">
        <f>'Stavební rozpočet'!L234</f>
        <v>0</v>
      </c>
      <c r="H38" s="57" t="s">
        <v>769</v>
      </c>
      <c r="I38" s="42">
        <f t="shared" si="0"/>
        <v>0</v>
      </c>
    </row>
    <row r="39" spans="1:9" ht="12.75">
      <c r="A39" s="87" t="s">
        <v>817</v>
      </c>
      <c r="B39" s="85" t="s">
        <v>435</v>
      </c>
      <c r="C39" s="53" t="s">
        <v>670</v>
      </c>
      <c r="D39" s="59">
        <f>'Stavební rozpočet'!H245</f>
        <v>0</v>
      </c>
      <c r="E39" s="59">
        <f>'Stavební rozpočet'!I245</f>
        <v>0</v>
      </c>
      <c r="F39" s="59">
        <f>'Stavební rozpočet'!J245</f>
        <v>0</v>
      </c>
      <c r="G39" s="62">
        <f>'Stavební rozpočet'!L245</f>
        <v>0.337</v>
      </c>
      <c r="H39" s="57" t="s">
        <v>769</v>
      </c>
      <c r="I39" s="42">
        <f t="shared" si="0"/>
        <v>0</v>
      </c>
    </row>
    <row r="40" spans="1:7" ht="12.75">
      <c r="A40" s="8"/>
      <c r="B40" s="8"/>
      <c r="C40" s="8"/>
      <c r="D40" s="8"/>
      <c r="E40" s="28" t="s">
        <v>698</v>
      </c>
      <c r="F40" s="49">
        <f>SUM(I11:I39)</f>
        <v>0</v>
      </c>
      <c r="G40" s="8"/>
    </row>
  </sheetData>
  <sheetProtection password="F406" sheet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C27" sqref="C2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9"/>
      <c r="B1" s="63"/>
      <c r="C1" s="117" t="s">
        <v>785</v>
      </c>
      <c r="D1" s="95"/>
      <c r="E1" s="95"/>
      <c r="F1" s="95"/>
      <c r="G1" s="95"/>
      <c r="H1" s="95"/>
      <c r="I1" s="95"/>
    </row>
    <row r="2" spans="1:10" ht="12.75">
      <c r="A2" s="96" t="s">
        <v>1</v>
      </c>
      <c r="B2" s="97"/>
      <c r="C2" s="100" t="str">
        <f>'Stavební rozpočet'!D2</f>
        <v>Celková oprava plynové kotelny</v>
      </c>
      <c r="D2" s="113"/>
      <c r="E2" s="103" t="s">
        <v>692</v>
      </c>
      <c r="F2" s="118"/>
      <c r="G2" s="119"/>
      <c r="H2" s="121" t="s">
        <v>810</v>
      </c>
      <c r="I2" s="122"/>
      <c r="J2" s="40"/>
    </row>
    <row r="3" spans="1:10" ht="12.75">
      <c r="A3" s="98"/>
      <c r="B3" s="99"/>
      <c r="C3" s="101"/>
      <c r="D3" s="101"/>
      <c r="E3" s="99"/>
      <c r="F3" s="120"/>
      <c r="G3" s="120"/>
      <c r="H3" s="120"/>
      <c r="I3" s="123"/>
      <c r="J3" s="40"/>
    </row>
    <row r="4" spans="1:10" ht="12.75">
      <c r="A4" s="106" t="s">
        <v>2</v>
      </c>
      <c r="B4" s="99"/>
      <c r="C4" s="107" t="str">
        <f>'Stavební rozpočet'!D4</f>
        <v>Zdroj tepla pro objekt ZŠ</v>
      </c>
      <c r="D4" s="99"/>
      <c r="E4" s="107" t="s">
        <v>693</v>
      </c>
      <c r="F4" s="107" t="str">
        <f>'Stavební rozpočet'!I4</f>
        <v>Ing. Viktor Kouřílek</v>
      </c>
      <c r="G4" s="99"/>
      <c r="H4" s="107" t="s">
        <v>810</v>
      </c>
      <c r="I4" s="124" t="s">
        <v>818</v>
      </c>
      <c r="J4" s="40"/>
    </row>
    <row r="5" spans="1:10" ht="12.75">
      <c r="A5" s="98"/>
      <c r="B5" s="99"/>
      <c r="C5" s="99"/>
      <c r="D5" s="99"/>
      <c r="E5" s="99"/>
      <c r="F5" s="99"/>
      <c r="G5" s="99"/>
      <c r="H5" s="99"/>
      <c r="I5" s="105"/>
      <c r="J5" s="40"/>
    </row>
    <row r="6" spans="1:10" ht="12.75">
      <c r="A6" s="106" t="s">
        <v>3</v>
      </c>
      <c r="B6" s="99"/>
      <c r="C6" s="107" t="str">
        <f>'Stavební rozpočet'!D6</f>
        <v>Butovická 228/9, 158 00 Praha 5 - Jinonice</v>
      </c>
      <c r="D6" s="99"/>
      <c r="E6" s="107" t="s">
        <v>694</v>
      </c>
      <c r="F6" s="125" t="str">
        <f>'Stavební rozpočet'!I6</f>
        <v> </v>
      </c>
      <c r="G6" s="120"/>
      <c r="H6" s="125" t="s">
        <v>810</v>
      </c>
      <c r="I6" s="126"/>
      <c r="J6" s="40"/>
    </row>
    <row r="7" spans="1:10" ht="12.75">
      <c r="A7" s="98"/>
      <c r="B7" s="99"/>
      <c r="C7" s="99"/>
      <c r="D7" s="99"/>
      <c r="E7" s="99"/>
      <c r="F7" s="120"/>
      <c r="G7" s="120"/>
      <c r="H7" s="120"/>
      <c r="I7" s="123"/>
      <c r="J7" s="40"/>
    </row>
    <row r="8" spans="1:10" ht="12.75">
      <c r="A8" s="106" t="s">
        <v>675</v>
      </c>
      <c r="B8" s="99"/>
      <c r="C8" s="107" t="str">
        <f>'Stavební rozpočet'!G4</f>
        <v>12.01.2021</v>
      </c>
      <c r="D8" s="99"/>
      <c r="E8" s="107" t="s">
        <v>676</v>
      </c>
      <c r="F8" s="125" t="str">
        <f>'Stavební rozpočet'!G6</f>
        <v> </v>
      </c>
      <c r="G8" s="120"/>
      <c r="H8" s="127" t="s">
        <v>811</v>
      </c>
      <c r="I8" s="126" t="s">
        <v>215</v>
      </c>
      <c r="J8" s="40"/>
    </row>
    <row r="9" spans="1:10" ht="12.75">
      <c r="A9" s="98"/>
      <c r="B9" s="99"/>
      <c r="C9" s="99"/>
      <c r="D9" s="99"/>
      <c r="E9" s="99"/>
      <c r="F9" s="120"/>
      <c r="G9" s="120"/>
      <c r="H9" s="120"/>
      <c r="I9" s="123"/>
      <c r="J9" s="40"/>
    </row>
    <row r="10" spans="1:10" ht="12.75">
      <c r="A10" s="106" t="s">
        <v>4</v>
      </c>
      <c r="B10" s="99"/>
      <c r="C10" s="107" t="str">
        <f>'Stavební rozpočet'!D8</f>
        <v> </v>
      </c>
      <c r="D10" s="99"/>
      <c r="E10" s="107" t="s">
        <v>695</v>
      </c>
      <c r="F10" s="125" t="str">
        <f>'Stavební rozpočet'!I8</f>
        <v> </v>
      </c>
      <c r="G10" s="120"/>
      <c r="H10" s="127" t="s">
        <v>812</v>
      </c>
      <c r="I10" s="131" t="str">
        <f>'Stavební rozpočet'!G8</f>
        <v>12.01.2021</v>
      </c>
      <c r="J10" s="40"/>
    </row>
    <row r="11" spans="1:10" ht="12.75">
      <c r="A11" s="128"/>
      <c r="B11" s="129"/>
      <c r="C11" s="129"/>
      <c r="D11" s="129"/>
      <c r="E11" s="129"/>
      <c r="F11" s="130"/>
      <c r="G11" s="130"/>
      <c r="H11" s="130"/>
      <c r="I11" s="132"/>
      <c r="J11" s="40"/>
    </row>
    <row r="12" spans="1:9" ht="23.25" customHeight="1">
      <c r="A12" s="133" t="s">
        <v>770</v>
      </c>
      <c r="B12" s="134"/>
      <c r="C12" s="134"/>
      <c r="D12" s="134"/>
      <c r="E12" s="134"/>
      <c r="F12" s="134"/>
      <c r="G12" s="134"/>
      <c r="H12" s="134"/>
      <c r="I12" s="134"/>
    </row>
    <row r="13" spans="1:10" ht="26.25" customHeight="1">
      <c r="A13" s="64" t="s">
        <v>771</v>
      </c>
      <c r="B13" s="135" t="s">
        <v>783</v>
      </c>
      <c r="C13" s="136"/>
      <c r="D13" s="64" t="s">
        <v>786</v>
      </c>
      <c r="E13" s="135" t="s">
        <v>795</v>
      </c>
      <c r="F13" s="136"/>
      <c r="G13" s="64" t="s">
        <v>796</v>
      </c>
      <c r="H13" s="135" t="s">
        <v>813</v>
      </c>
      <c r="I13" s="136"/>
      <c r="J13" s="40"/>
    </row>
    <row r="14" spans="1:10" ht="15" customHeight="1">
      <c r="A14" s="65" t="s">
        <v>772</v>
      </c>
      <c r="B14" s="69" t="s">
        <v>784</v>
      </c>
      <c r="C14" s="73">
        <f>SUM('Stavební rozpočet'!AB12:AB249)</f>
        <v>0</v>
      </c>
      <c r="D14" s="137" t="s">
        <v>787</v>
      </c>
      <c r="E14" s="138"/>
      <c r="F14" s="73">
        <v>0</v>
      </c>
      <c r="G14" s="137" t="s">
        <v>797</v>
      </c>
      <c r="H14" s="138"/>
      <c r="I14" s="73">
        <v>0</v>
      </c>
      <c r="J14" s="40"/>
    </row>
    <row r="15" spans="1:10" ht="15" customHeight="1">
      <c r="A15" s="66"/>
      <c r="B15" s="69" t="s">
        <v>700</v>
      </c>
      <c r="C15" s="73">
        <f>SUM('Stavební rozpočet'!AC12:AC249)</f>
        <v>0</v>
      </c>
      <c r="D15" s="137" t="s">
        <v>788</v>
      </c>
      <c r="E15" s="138"/>
      <c r="F15" s="73">
        <v>0</v>
      </c>
      <c r="G15" s="137" t="s">
        <v>798</v>
      </c>
      <c r="H15" s="138"/>
      <c r="I15" s="73">
        <v>0</v>
      </c>
      <c r="J15" s="40"/>
    </row>
    <row r="16" spans="1:10" ht="15" customHeight="1">
      <c r="A16" s="65" t="s">
        <v>773</v>
      </c>
      <c r="B16" s="69" t="s">
        <v>784</v>
      </c>
      <c r="C16" s="73">
        <f>SUM('Stavební rozpočet'!AD12:AD249)</f>
        <v>0</v>
      </c>
      <c r="D16" s="137" t="s">
        <v>789</v>
      </c>
      <c r="E16" s="138"/>
      <c r="F16" s="73">
        <v>0</v>
      </c>
      <c r="G16" s="137" t="s">
        <v>799</v>
      </c>
      <c r="H16" s="138"/>
      <c r="I16" s="73">
        <v>0</v>
      </c>
      <c r="J16" s="40"/>
    </row>
    <row r="17" spans="1:10" ht="15" customHeight="1">
      <c r="A17" s="66"/>
      <c r="B17" s="69" t="s">
        <v>700</v>
      </c>
      <c r="C17" s="73">
        <f>SUM('Stavební rozpočet'!AE12:AE249)</f>
        <v>0</v>
      </c>
      <c r="D17" s="137"/>
      <c r="E17" s="138"/>
      <c r="F17" s="74"/>
      <c r="G17" s="137" t="s">
        <v>800</v>
      </c>
      <c r="H17" s="138"/>
      <c r="I17" s="73">
        <v>0</v>
      </c>
      <c r="J17" s="40"/>
    </row>
    <row r="18" spans="1:10" ht="15" customHeight="1">
      <c r="A18" s="65" t="s">
        <v>774</v>
      </c>
      <c r="B18" s="69" t="s">
        <v>784</v>
      </c>
      <c r="C18" s="73">
        <f>SUM('Stavební rozpočet'!AF12:AF249)</f>
        <v>0</v>
      </c>
      <c r="D18" s="137"/>
      <c r="E18" s="138"/>
      <c r="F18" s="74"/>
      <c r="G18" s="137" t="s">
        <v>801</v>
      </c>
      <c r="H18" s="138"/>
      <c r="I18" s="73">
        <v>0</v>
      </c>
      <c r="J18" s="40"/>
    </row>
    <row r="19" spans="1:10" ht="15" customHeight="1">
      <c r="A19" s="66"/>
      <c r="B19" s="69" t="s">
        <v>700</v>
      </c>
      <c r="C19" s="73">
        <f>SUM('Stavební rozpočet'!AG12:AG249)</f>
        <v>0</v>
      </c>
      <c r="D19" s="137"/>
      <c r="E19" s="138"/>
      <c r="F19" s="74"/>
      <c r="G19" s="137" t="s">
        <v>802</v>
      </c>
      <c r="H19" s="138"/>
      <c r="I19" s="73">
        <v>0</v>
      </c>
      <c r="J19" s="40"/>
    </row>
    <row r="20" spans="1:10" ht="15" customHeight="1">
      <c r="A20" s="139" t="s">
        <v>775</v>
      </c>
      <c r="B20" s="140"/>
      <c r="C20" s="73">
        <f>SUM('Stavební rozpočet'!AH12:AH249)</f>
        <v>0</v>
      </c>
      <c r="D20" s="137"/>
      <c r="E20" s="138"/>
      <c r="F20" s="74"/>
      <c r="G20" s="137"/>
      <c r="H20" s="138"/>
      <c r="I20" s="74"/>
      <c r="J20" s="40"/>
    </row>
    <row r="21" spans="1:10" ht="15" customHeight="1">
      <c r="A21" s="139" t="s">
        <v>776</v>
      </c>
      <c r="B21" s="140"/>
      <c r="C21" s="73">
        <f>SUM('Stavební rozpočet'!Z12:Z249)</f>
        <v>0</v>
      </c>
      <c r="D21" s="137"/>
      <c r="E21" s="138"/>
      <c r="F21" s="74"/>
      <c r="G21" s="137"/>
      <c r="H21" s="138"/>
      <c r="I21" s="74"/>
      <c r="J21" s="40"/>
    </row>
    <row r="22" spans="1:10" ht="16.5" customHeight="1">
      <c r="A22" s="139" t="s">
        <v>777</v>
      </c>
      <c r="B22" s="140"/>
      <c r="C22" s="73">
        <f>SUM(C14:C21)</f>
        <v>0</v>
      </c>
      <c r="D22" s="139" t="s">
        <v>790</v>
      </c>
      <c r="E22" s="140"/>
      <c r="F22" s="73">
        <f>SUM(F14:F21)</f>
        <v>0</v>
      </c>
      <c r="G22" s="139" t="s">
        <v>803</v>
      </c>
      <c r="H22" s="140"/>
      <c r="I22" s="73">
        <f>SUM(I14:I21)</f>
        <v>0</v>
      </c>
      <c r="J22" s="40"/>
    </row>
    <row r="23" spans="1:10" ht="15" customHeight="1">
      <c r="A23" s="8"/>
      <c r="B23" s="8"/>
      <c r="C23" s="71"/>
      <c r="D23" s="139" t="s">
        <v>791</v>
      </c>
      <c r="E23" s="140"/>
      <c r="F23" s="75">
        <v>0</v>
      </c>
      <c r="G23" s="139" t="s">
        <v>804</v>
      </c>
      <c r="H23" s="140"/>
      <c r="I23" s="73">
        <v>0</v>
      </c>
      <c r="J23" s="40"/>
    </row>
    <row r="24" spans="1:10" ht="15" customHeight="1">
      <c r="A24" s="93"/>
      <c r="B24" s="93"/>
      <c r="C24" s="93"/>
      <c r="D24" s="8"/>
      <c r="E24" s="8"/>
      <c r="F24" s="76"/>
      <c r="G24" s="139" t="s">
        <v>805</v>
      </c>
      <c r="H24" s="140"/>
      <c r="I24" s="73">
        <v>0</v>
      </c>
      <c r="J24" s="40"/>
    </row>
    <row r="25" spans="1:10" ht="15" customHeight="1">
      <c r="A25" s="93"/>
      <c r="B25" s="93"/>
      <c r="C25" s="93"/>
      <c r="D25" s="93"/>
      <c r="E25" s="93"/>
      <c r="F25" s="77"/>
      <c r="G25" s="139" t="s">
        <v>806</v>
      </c>
      <c r="H25" s="140"/>
      <c r="I25" s="73">
        <v>0</v>
      </c>
      <c r="J25" s="40"/>
    </row>
    <row r="26" spans="1:9" ht="12.75">
      <c r="A26" s="63"/>
      <c r="B26" s="63"/>
      <c r="C26" s="63"/>
      <c r="D26" s="93"/>
      <c r="E26" s="93"/>
      <c r="F26" s="93"/>
      <c r="G26" s="8"/>
      <c r="H26" s="8"/>
      <c r="I26" s="8"/>
    </row>
    <row r="27" spans="1:9" ht="15" customHeight="1">
      <c r="A27" s="141" t="s">
        <v>778</v>
      </c>
      <c r="B27" s="142"/>
      <c r="C27" s="78">
        <f>SUM('Stavební rozpočet'!AJ12:AJ249)</f>
        <v>0</v>
      </c>
      <c r="D27" s="72"/>
      <c r="E27" s="63"/>
      <c r="F27" s="63"/>
      <c r="G27" s="63"/>
      <c r="H27" s="63"/>
      <c r="I27" s="63"/>
    </row>
    <row r="28" spans="1:10" ht="15" customHeight="1">
      <c r="A28" s="141" t="s">
        <v>779</v>
      </c>
      <c r="B28" s="142"/>
      <c r="C28" s="78">
        <v>0</v>
      </c>
      <c r="D28" s="141" t="s">
        <v>792</v>
      </c>
      <c r="E28" s="142"/>
      <c r="F28" s="78">
        <f>ROUND(C28*(15/100),2)</f>
        <v>0</v>
      </c>
      <c r="G28" s="141" t="s">
        <v>807</v>
      </c>
      <c r="H28" s="142"/>
      <c r="I28" s="78">
        <f>SUM(C27:C29)</f>
        <v>0</v>
      </c>
      <c r="J28" s="40"/>
    </row>
    <row r="29" spans="1:10" ht="15" customHeight="1">
      <c r="A29" s="141" t="s">
        <v>780</v>
      </c>
      <c r="B29" s="142"/>
      <c r="C29" s="78">
        <f>SUM('Stavební rozpočet'!AK13:AK250)+(F23+I23+F24+I24+I25+I26)</f>
        <v>0</v>
      </c>
      <c r="D29" s="141" t="s">
        <v>793</v>
      </c>
      <c r="E29" s="142"/>
      <c r="F29" s="78">
        <f>ROUND(C29*(21/100),2)</f>
        <v>0</v>
      </c>
      <c r="G29" s="141" t="s">
        <v>808</v>
      </c>
      <c r="H29" s="142"/>
      <c r="I29" s="78">
        <f>SUM(F28:F29)+I28</f>
        <v>0</v>
      </c>
      <c r="J29" s="40"/>
    </row>
    <row r="30" spans="1:9" ht="12.75">
      <c r="A30" s="67"/>
      <c r="B30" s="67"/>
      <c r="C30" s="67"/>
      <c r="D30" s="67"/>
      <c r="E30" s="67"/>
      <c r="F30" s="67"/>
      <c r="G30" s="67"/>
      <c r="H30" s="67"/>
      <c r="I30" s="67"/>
    </row>
    <row r="31" spans="1:10" ht="14.25" customHeight="1">
      <c r="A31" s="143" t="s">
        <v>781</v>
      </c>
      <c r="B31" s="144"/>
      <c r="C31" s="145"/>
      <c r="D31" s="143" t="s">
        <v>794</v>
      </c>
      <c r="E31" s="144"/>
      <c r="F31" s="145"/>
      <c r="G31" s="143" t="s">
        <v>809</v>
      </c>
      <c r="H31" s="144"/>
      <c r="I31" s="145"/>
      <c r="J31" s="41"/>
    </row>
    <row r="32" spans="1:10" ht="14.25" customHeight="1">
      <c r="A32" s="146"/>
      <c r="B32" s="147"/>
      <c r="C32" s="148"/>
      <c r="D32" s="146"/>
      <c r="E32" s="147"/>
      <c r="F32" s="148"/>
      <c r="G32" s="146"/>
      <c r="H32" s="147"/>
      <c r="I32" s="148"/>
      <c r="J32" s="41"/>
    </row>
    <row r="33" spans="1:10" ht="14.25" customHeight="1">
      <c r="A33" s="146"/>
      <c r="B33" s="147"/>
      <c r="C33" s="148"/>
      <c r="D33" s="146"/>
      <c r="E33" s="147"/>
      <c r="F33" s="148"/>
      <c r="G33" s="146"/>
      <c r="H33" s="147"/>
      <c r="I33" s="148"/>
      <c r="J33" s="41"/>
    </row>
    <row r="34" spans="1:10" ht="14.25" customHeight="1">
      <c r="A34" s="146"/>
      <c r="B34" s="147"/>
      <c r="C34" s="148"/>
      <c r="D34" s="146"/>
      <c r="E34" s="147"/>
      <c r="F34" s="148"/>
      <c r="G34" s="146"/>
      <c r="H34" s="147"/>
      <c r="I34" s="148"/>
      <c r="J34" s="41"/>
    </row>
    <row r="35" spans="1:10" ht="14.25" customHeight="1">
      <c r="A35" s="149" t="s">
        <v>782</v>
      </c>
      <c r="B35" s="150"/>
      <c r="C35" s="151"/>
      <c r="D35" s="149" t="s">
        <v>782</v>
      </c>
      <c r="E35" s="150"/>
      <c r="F35" s="151"/>
      <c r="G35" s="149" t="s">
        <v>782</v>
      </c>
      <c r="H35" s="150"/>
      <c r="I35" s="151"/>
      <c r="J35" s="41"/>
    </row>
    <row r="36" spans="1:9" ht="11.25" customHeight="1">
      <c r="A36" s="68" t="s">
        <v>216</v>
      </c>
      <c r="B36" s="70"/>
      <c r="C36" s="70"/>
      <c r="D36" s="70"/>
      <c r="E36" s="70"/>
      <c r="F36" s="70"/>
      <c r="G36" s="70"/>
      <c r="H36" s="70"/>
      <c r="I36" s="70"/>
    </row>
    <row r="37" spans="1:9" ht="12.75">
      <c r="A37" s="107"/>
      <c r="B37" s="99"/>
      <c r="C37" s="99"/>
      <c r="D37" s="99"/>
      <c r="E37" s="99"/>
      <c r="F37" s="99"/>
      <c r="G37" s="99"/>
      <c r="H37" s="99"/>
      <c r="I37" s="99"/>
    </row>
  </sheetData>
  <sheetProtection password="F406" sheet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kouri</dc:creator>
  <cp:keywords/>
  <dc:description/>
  <cp:lastModifiedBy>kouri</cp:lastModifiedBy>
  <dcterms:created xsi:type="dcterms:W3CDTF">2021-03-08T18:40:29Z</dcterms:created>
  <dcterms:modified xsi:type="dcterms:W3CDTF">2021-03-10T10:47:15Z</dcterms:modified>
  <cp:category/>
  <cp:version/>
  <cp:contentType/>
  <cp:contentStatus/>
</cp:coreProperties>
</file>