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1\_V režimu zákona\Výměna dveří Nepomucká Plzeňská\Schválená ZD\"/>
    </mc:Choice>
  </mc:AlternateContent>
  <xr:revisionPtr revIDLastSave="0" documentId="8_{272E3F67-A924-469D-A143-7B3B322E51B7}" xr6:coauthVersionLast="36" xr6:coauthVersionMax="36" xr10:uidLastSave="{00000000-0000-0000-0000-000000000000}"/>
  <bookViews>
    <workbookView xWindow="0" yWindow="0" windowWidth="21600" windowHeight="9735" activeTab="3" xr2:uid="{00000000-000D-0000-FFFF-FFFF00000000}"/>
  </bookViews>
  <sheets>
    <sheet name="Krycí list rozpočtu" sheetId="1" r:id="rId1"/>
    <sheet name="Stavební rozpočet" sheetId="2" r:id="rId2"/>
    <sheet name="Výměry" sheetId="4" r:id="rId3"/>
    <sheet name="BD-PODLAŽÍ" sheetId="5" r:id="rId4"/>
  </sheets>
  <externalReferences>
    <externalReference r:id="rId5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0">#REF!</definedName>
    <definedName name="HSV0">#REF!</definedName>
    <definedName name="HZS0">#REF!</definedName>
    <definedName name="JKSO">#REF!</definedName>
    <definedName name="MJ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1">'Stavební rozpočet'!$A$1:$L$308</definedName>
    <definedName name="_xlnm.Print_Area" localSheetId="2">Výměry!$A$1:$U$96</definedName>
    <definedName name="PocetMJ">'[1]Rozpis el.'!$G$7</definedName>
    <definedName name="Poznamka">#REF!</definedName>
    <definedName name="Projektant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Kc">#REF!</definedName>
    <definedName name="VRNnazev">#REF!</definedName>
    <definedName name="VRNproc">#REF!</definedName>
    <definedName name="VRNzakl">#REF!</definedName>
    <definedName name="Z_0A42B198_9C9E_43A6_8871_1A4824290440_.wvu.Cols" localSheetId="1" hidden="1">'Stavební rozpočet'!$M:$AR</definedName>
    <definedName name="Z_0A42B198_9C9E_43A6_8871_1A4824290440_.wvu.PrintArea" localSheetId="1" hidden="1">'Stavební rozpočet'!$A$1:$L$308</definedName>
    <definedName name="Z_0A42B198_9C9E_43A6_8871_1A4824290440_.wvu.Rows" localSheetId="0" hidden="1">'Krycí list rozpočtu'!$37:$37</definedName>
    <definedName name="Z_0A42B198_9C9E_43A6_8871_1A4824290440_.wvu.Rows" localSheetId="1" hidden="1">'Stavební rozpočet'!$13:$25,'Stavební rozpočet'!$27:$29,'Stavební rozpočet'!$31:$32,'Stavební rozpočet'!$34:$35,'Stavební rozpočet'!$38:$42,'Stavební rozpočet'!$46:$46,'Stavební rozpočet'!$48:$50,'Stavební rozpočet'!$53:$58,'Stavební rozpočet'!$63:$64,'Stavební rozpočet'!$71:$71,'Stavební rozpočet'!$74:$75,'Stavební rozpočet'!$77:$77,'Stavební rozpočet'!$82:$87,'Stavební rozpočet'!$91:$108,'Stavební rozpočet'!$110:$116,'Stavební rozpočet'!$122:$122,'Stavební rozpočet'!$125:$129,'Stavební rozpočet'!$131:$131,'Stavební rozpočet'!$134:$136,'Stavební rozpočet'!$140:$140,'Stavební rozpočet'!$142:$149,'Stavební rozpočet'!$151:$152,'Stavební rozpočet'!$155:$155,'Stavební rozpočet'!$157:$157,'Stavební rozpočet'!$161:$162,'Stavební rozpočet'!$164:$165,'Stavební rozpočet'!$171:$173,'Stavební rozpočet'!$176:$192,'Stavební rozpočet'!$194:$195,'Stavební rozpočet'!$199:$199,'Stavební rozpočet'!$221:$222,'Stavební rozpočet'!$233:$234,'Stavební rozpočet'!$239:$241,'Stavební rozpočet'!$243:$245,'Stavební rozpočet'!$262:$266,'Stavební rozpočet'!$269:$271,'Stavební rozpočet'!$273:$276,'Stavební rozpočet'!$278:$281,'Stavební rozpočet'!$284:$285,'Stavební rozpočet'!$296:$296,'Stavební rozpočet'!$301:$301</definedName>
    <definedName name="Zakazka">#REF!</definedName>
    <definedName name="Zaklad22">#REF!</definedName>
    <definedName name="Zaklad5">#REF!</definedName>
    <definedName name="Zhotovitel">#REF!</definedName>
  </definedNames>
  <calcPr calcId="191029"/>
  <customWorkbookViews>
    <customWorkbookView name="pavel – osobní zobrazení" guid="{0A42B198-9C9E-43A6-8871-1A4824290440}" mergeInterval="0" personalView="1" maximized="1" windowWidth="1916" windowHeight="815" activeSheetId="1" showComments="commIndAndComment"/>
  </customWorkbookViews>
</workbook>
</file>

<file path=xl/calcChain.xml><?xml version="1.0" encoding="utf-8"?>
<calcChain xmlns="http://schemas.openxmlformats.org/spreadsheetml/2006/main">
  <c r="AA143" i="2" l="1"/>
  <c r="Y143" i="2"/>
  <c r="N143" i="2"/>
  <c r="AE143" i="2"/>
  <c r="F9" i="4"/>
  <c r="A9" i="4"/>
  <c r="G9" i="4"/>
  <c r="C47" i="5"/>
  <c r="D47" i="5"/>
  <c r="E47" i="5"/>
  <c r="F47" i="5"/>
  <c r="G47" i="5"/>
  <c r="H47" i="5"/>
  <c r="I47" i="5"/>
  <c r="J47" i="5"/>
  <c r="K47" i="5"/>
  <c r="L47" i="5"/>
  <c r="M47" i="5"/>
  <c r="B47" i="5"/>
  <c r="C64" i="5"/>
  <c r="D64" i="5"/>
  <c r="E64" i="5"/>
  <c r="F64" i="5"/>
  <c r="G64" i="5"/>
  <c r="H64" i="5"/>
  <c r="I64" i="5"/>
  <c r="J64" i="5"/>
  <c r="K64" i="5"/>
  <c r="L64" i="5"/>
  <c r="M64" i="5"/>
  <c r="B64" i="5"/>
  <c r="C81" i="5"/>
  <c r="D81" i="5"/>
  <c r="E81" i="5"/>
  <c r="F81" i="5"/>
  <c r="G81" i="5"/>
  <c r="H81" i="5"/>
  <c r="I81" i="5"/>
  <c r="J81" i="5"/>
  <c r="K81" i="5"/>
  <c r="L81" i="5"/>
  <c r="M81" i="5"/>
  <c r="B81" i="5"/>
  <c r="C104" i="5"/>
  <c r="D104" i="5"/>
  <c r="E104" i="5"/>
  <c r="F104" i="5"/>
  <c r="G104" i="5"/>
  <c r="H104" i="5"/>
  <c r="I104" i="5"/>
  <c r="J104" i="5"/>
  <c r="K104" i="5"/>
  <c r="L104" i="5"/>
  <c r="M104" i="5"/>
  <c r="B104" i="5"/>
  <c r="C126" i="5"/>
  <c r="D126" i="5"/>
  <c r="E126" i="5"/>
  <c r="F126" i="5"/>
  <c r="G126" i="5"/>
  <c r="H126" i="5"/>
  <c r="I126" i="5"/>
  <c r="J126" i="5"/>
  <c r="K126" i="5"/>
  <c r="L126" i="5"/>
  <c r="M126" i="5"/>
  <c r="B126" i="5"/>
  <c r="C148" i="5"/>
  <c r="D148" i="5"/>
  <c r="E148" i="5"/>
  <c r="F148" i="5"/>
  <c r="G148" i="5"/>
  <c r="H148" i="5"/>
  <c r="I148" i="5"/>
  <c r="J148" i="5"/>
  <c r="K148" i="5"/>
  <c r="L148" i="5"/>
  <c r="M148" i="5"/>
  <c r="B148" i="5"/>
  <c r="C165" i="5"/>
  <c r="D165" i="5"/>
  <c r="E165" i="5"/>
  <c r="F165" i="5"/>
  <c r="G165" i="5"/>
  <c r="H165" i="5"/>
  <c r="I165" i="5"/>
  <c r="J165" i="5"/>
  <c r="K165" i="5"/>
  <c r="L165" i="5"/>
  <c r="M165" i="5"/>
  <c r="B165" i="5"/>
  <c r="C188" i="5"/>
  <c r="D188" i="5"/>
  <c r="E188" i="5"/>
  <c r="F188" i="5"/>
  <c r="G188" i="5"/>
  <c r="H188" i="5"/>
  <c r="I188" i="5"/>
  <c r="J188" i="5"/>
  <c r="K188" i="5"/>
  <c r="L188" i="5"/>
  <c r="M188" i="5"/>
  <c r="B188" i="5"/>
  <c r="C210" i="5"/>
  <c r="D210" i="5"/>
  <c r="E210" i="5"/>
  <c r="F210" i="5"/>
  <c r="G210" i="5"/>
  <c r="H210" i="5"/>
  <c r="I210" i="5"/>
  <c r="J210" i="5"/>
  <c r="K210" i="5"/>
  <c r="L210" i="5"/>
  <c r="M210" i="5"/>
  <c r="B210" i="5"/>
  <c r="C232" i="5"/>
  <c r="D232" i="5"/>
  <c r="E232" i="5"/>
  <c r="F232" i="5"/>
  <c r="G232" i="5"/>
  <c r="H232" i="5"/>
  <c r="I232" i="5"/>
  <c r="J232" i="5"/>
  <c r="K232" i="5"/>
  <c r="L232" i="5"/>
  <c r="M232" i="5"/>
  <c r="B232" i="5"/>
  <c r="C249" i="5"/>
  <c r="D249" i="5"/>
  <c r="E249" i="5"/>
  <c r="F249" i="5"/>
  <c r="G249" i="5"/>
  <c r="H249" i="5"/>
  <c r="I249" i="5"/>
  <c r="J249" i="5"/>
  <c r="K249" i="5"/>
  <c r="L249" i="5"/>
  <c r="M249" i="5"/>
  <c r="B249" i="5"/>
  <c r="M30" i="5"/>
  <c r="C30" i="5"/>
  <c r="D30" i="5"/>
  <c r="E30" i="5"/>
  <c r="F30" i="5"/>
  <c r="G30" i="5"/>
  <c r="H30" i="5"/>
  <c r="I30" i="5"/>
  <c r="J30" i="5"/>
  <c r="K30" i="5"/>
  <c r="L30" i="5"/>
  <c r="B30" i="5"/>
  <c r="B263" i="5" s="1"/>
  <c r="K263" i="5" l="1"/>
  <c r="C263" i="5"/>
  <c r="F263" i="5"/>
  <c r="J263" i="5"/>
  <c r="M263" i="5"/>
  <c r="G263" i="5"/>
  <c r="O64" i="5"/>
  <c r="O47" i="5"/>
  <c r="O30" i="5"/>
  <c r="D263" i="5"/>
  <c r="AD143" i="2"/>
  <c r="O249" i="5"/>
  <c r="H263" i="5"/>
  <c r="I263" i="5"/>
  <c r="E263" i="5"/>
  <c r="O232" i="5"/>
  <c r="L263" i="5"/>
  <c r="O210" i="5"/>
  <c r="O188" i="5"/>
  <c r="O165" i="5"/>
  <c r="O148" i="5"/>
  <c r="O126" i="5"/>
  <c r="O104" i="5"/>
  <c r="O81" i="5"/>
  <c r="G305" i="2"/>
  <c r="N33" i="4"/>
  <c r="B48" i="4"/>
  <c r="A20" i="4"/>
  <c r="A17" i="4"/>
  <c r="S15" i="4"/>
  <c r="J265" i="5" l="1"/>
  <c r="F265" i="5"/>
  <c r="F142" i="2"/>
  <c r="F56" i="2"/>
  <c r="F57" i="2"/>
  <c r="F58" i="2" s="1"/>
  <c r="F48" i="2"/>
  <c r="F269" i="2"/>
  <c r="F51" i="2"/>
  <c r="F49" i="2"/>
  <c r="F52" i="2"/>
  <c r="F252" i="2"/>
  <c r="J252" i="2" s="1"/>
  <c r="Z252" i="2" s="1"/>
  <c r="F246" i="2"/>
  <c r="F143" i="2"/>
  <c r="O261" i="5"/>
  <c r="AE253" i="2"/>
  <c r="AA253" i="2"/>
  <c r="Y253" i="2"/>
  <c r="N253" i="2"/>
  <c r="L253" i="2"/>
  <c r="AA252" i="2"/>
  <c r="Y252" i="2"/>
  <c r="N252" i="2"/>
  <c r="F32" i="4"/>
  <c r="F153" i="2"/>
  <c r="F138" i="2"/>
  <c r="F137" i="2"/>
  <c r="J55" i="2"/>
  <c r="L55" i="2"/>
  <c r="N55" i="2"/>
  <c r="Y55" i="2"/>
  <c r="Z55" i="2"/>
  <c r="AA55" i="2"/>
  <c r="AD55" i="2"/>
  <c r="H55" i="2" s="1"/>
  <c r="AE55" i="2"/>
  <c r="AM55" i="2" s="1"/>
  <c r="J56" i="2"/>
  <c r="L56" i="2"/>
  <c r="N56" i="2"/>
  <c r="Y56" i="2"/>
  <c r="Z56" i="2"/>
  <c r="AA56" i="2"/>
  <c r="AD56" i="2"/>
  <c r="H56" i="2" s="1"/>
  <c r="AE56" i="2"/>
  <c r="AM56" i="2" s="1"/>
  <c r="L57" i="2"/>
  <c r="N57" i="2"/>
  <c r="Y57" i="2"/>
  <c r="Z57" i="2"/>
  <c r="AA57" i="2"/>
  <c r="AD57" i="2"/>
  <c r="AL57" i="2" s="1"/>
  <c r="AE57" i="2"/>
  <c r="AE54" i="2"/>
  <c r="AM54" i="2" s="1"/>
  <c r="AD54" i="2"/>
  <c r="AL54" i="2" s="1"/>
  <c r="AA54" i="2"/>
  <c r="Y54" i="2"/>
  <c r="N54" i="2"/>
  <c r="L54" i="2"/>
  <c r="J54" i="2"/>
  <c r="Z54" i="2" s="1"/>
  <c r="J57" i="2" l="1"/>
  <c r="AM57" i="2"/>
  <c r="L252" i="2"/>
  <c r="F144" i="2"/>
  <c r="J143" i="2"/>
  <c r="L143" i="2"/>
  <c r="AM143" i="2"/>
  <c r="AL143" i="2"/>
  <c r="H143" i="2"/>
  <c r="H54" i="2"/>
  <c r="I54" i="2" s="1"/>
  <c r="AM253" i="2"/>
  <c r="AD253" i="2"/>
  <c r="H253" i="2" s="1"/>
  <c r="J253" i="2"/>
  <c r="AE252" i="2"/>
  <c r="AM252" i="2" s="1"/>
  <c r="AD252" i="2"/>
  <c r="I55" i="2"/>
  <c r="I56" i="2"/>
  <c r="H57" i="2"/>
  <c r="AL56" i="2"/>
  <c r="AL55" i="2"/>
  <c r="I57" i="2" l="1"/>
  <c r="Z143" i="2"/>
  <c r="I143" i="2"/>
  <c r="F150" i="2"/>
  <c r="F146" i="2"/>
  <c r="F156" i="2"/>
  <c r="F154" i="2"/>
  <c r="F145" i="2"/>
  <c r="AL253" i="2"/>
  <c r="Z253" i="2"/>
  <c r="I253" i="2"/>
  <c r="AL252" i="2"/>
  <c r="H252" i="2"/>
  <c r="I252" i="2" s="1"/>
  <c r="F27" i="4" l="1"/>
  <c r="F26" i="4"/>
  <c r="I10" i="4"/>
  <c r="I12" i="4"/>
  <c r="P33" i="4"/>
  <c r="Y58" i="4"/>
  <c r="Y57" i="4"/>
  <c r="Y56" i="4"/>
  <c r="Y55" i="4"/>
  <c r="Y53" i="4"/>
  <c r="Y52" i="4"/>
  <c r="Y51" i="4"/>
  <c r="Y50" i="4"/>
  <c r="Y49" i="4"/>
  <c r="Y48" i="4"/>
  <c r="Y47" i="4"/>
  <c r="Y45" i="4"/>
  <c r="Y44" i="4"/>
  <c r="Y43" i="4"/>
  <c r="Y42" i="4"/>
  <c r="Y41" i="4"/>
  <c r="Y39" i="4"/>
  <c r="Y38" i="4"/>
  <c r="Y37" i="4"/>
  <c r="Y36" i="4"/>
  <c r="Y35" i="4"/>
  <c r="Y34" i="4"/>
  <c r="Y33" i="4"/>
  <c r="Y31" i="4"/>
  <c r="Y30" i="4"/>
  <c r="Y29" i="4"/>
  <c r="Y28" i="4"/>
  <c r="Y27" i="4"/>
  <c r="Y26" i="4"/>
  <c r="Y25" i="4"/>
  <c r="Y24" i="4"/>
  <c r="Y23" i="4"/>
  <c r="Y22" i="4"/>
  <c r="Y20" i="4"/>
  <c r="Y19" i="4"/>
  <c r="Y18" i="4"/>
  <c r="Y17" i="4"/>
  <c r="Y16" i="4"/>
  <c r="Y15" i="4"/>
  <c r="Y10" i="4"/>
  <c r="Y11" i="4"/>
  <c r="Y12" i="4"/>
  <c r="Y13" i="4"/>
  <c r="Y9" i="4"/>
  <c r="B57" i="4"/>
  <c r="B56" i="4"/>
  <c r="B55" i="4"/>
  <c r="D48" i="4"/>
  <c r="B47" i="4"/>
  <c r="D47" i="4" s="1"/>
  <c r="B42" i="4"/>
  <c r="B41" i="4"/>
  <c r="B34" i="4"/>
  <c r="B33" i="4"/>
  <c r="B23" i="4"/>
  <c r="D23" i="4" s="1"/>
  <c r="D22" i="4"/>
  <c r="B15" i="4"/>
  <c r="B10" i="4"/>
  <c r="B9" i="4"/>
  <c r="D25" i="4"/>
  <c r="D50" i="4"/>
  <c r="D49" i="4"/>
  <c r="U25" i="4"/>
  <c r="U24" i="4"/>
  <c r="U23" i="4"/>
  <c r="U22" i="4"/>
  <c r="U50" i="4"/>
  <c r="U49" i="4"/>
  <c r="U48" i="4"/>
  <c r="U47" i="4"/>
  <c r="M29" i="4" l="1"/>
  <c r="D24" i="4"/>
  <c r="F179" i="2"/>
  <c r="F191" i="2" l="1"/>
  <c r="F218" i="2"/>
  <c r="P49" i="4"/>
  <c r="P48" i="4"/>
  <c r="P47" i="4"/>
  <c r="P46" i="4"/>
  <c r="P45" i="4"/>
  <c r="P44" i="4"/>
  <c r="P43" i="4"/>
  <c r="P51" i="4" l="1"/>
  <c r="F296" i="2"/>
  <c r="D72" i="4" l="1"/>
  <c r="D71" i="4"/>
  <c r="D70" i="4"/>
  <c r="D69" i="4"/>
  <c r="D68" i="4"/>
  <c r="D67" i="4"/>
  <c r="D66" i="4"/>
  <c r="D55" i="4"/>
  <c r="I15" i="4"/>
  <c r="U58" i="4"/>
  <c r="U57" i="4"/>
  <c r="U56" i="4"/>
  <c r="U55" i="4"/>
  <c r="U53" i="4"/>
  <c r="U52" i="4"/>
  <c r="U51" i="4"/>
  <c r="U45" i="4"/>
  <c r="U44" i="4"/>
  <c r="U43" i="4"/>
  <c r="U42" i="4"/>
  <c r="U41" i="4"/>
  <c r="U39" i="4"/>
  <c r="U38" i="4"/>
  <c r="U37" i="4"/>
  <c r="U36" i="4"/>
  <c r="U35" i="4"/>
  <c r="U34" i="4"/>
  <c r="U33" i="4"/>
  <c r="U31" i="4"/>
  <c r="U30" i="4"/>
  <c r="U29" i="4"/>
  <c r="U28" i="4"/>
  <c r="U27" i="4"/>
  <c r="U26" i="4"/>
  <c r="U20" i="4"/>
  <c r="U19" i="4"/>
  <c r="U18" i="4"/>
  <c r="U17" i="4"/>
  <c r="U16" i="4"/>
  <c r="U15" i="4"/>
  <c r="U13" i="4"/>
  <c r="U12" i="4"/>
  <c r="U11" i="4"/>
  <c r="U10" i="4"/>
  <c r="U9" i="4"/>
  <c r="P8" i="4" l="1"/>
  <c r="P12" i="4"/>
  <c r="P14" i="4"/>
  <c r="P10" i="4"/>
  <c r="D74" i="4"/>
  <c r="F267" i="2" s="1"/>
  <c r="F212" i="2" s="1"/>
  <c r="F213" i="2" s="1"/>
  <c r="P13" i="4"/>
  <c r="P11" i="4"/>
  <c r="P9" i="4"/>
  <c r="U60" i="4"/>
  <c r="F63" i="2" l="1"/>
  <c r="F250" i="2"/>
  <c r="F249" i="2" s="1"/>
  <c r="F43" i="2"/>
  <c r="F36" i="2"/>
  <c r="P24" i="4"/>
  <c r="F62" i="2" s="1"/>
  <c r="P23" i="4"/>
  <c r="F198" i="2"/>
  <c r="F183" i="2"/>
  <c r="P16" i="4"/>
  <c r="P19" i="4" s="1"/>
  <c r="F176" i="2" l="1"/>
  <c r="F188" i="2" s="1"/>
  <c r="F263" i="2"/>
  <c r="F264" i="2" s="1"/>
  <c r="F204" i="2"/>
  <c r="F208" i="2"/>
  <c r="F214" i="2"/>
  <c r="F184" i="2"/>
  <c r="F141" i="2"/>
  <c r="F177" i="2" l="1"/>
  <c r="AE174" i="2"/>
  <c r="AM174" i="2" s="1"/>
  <c r="AD174" i="2"/>
  <c r="AL174" i="2" s="1"/>
  <c r="AA174" i="2"/>
  <c r="Y174" i="2"/>
  <c r="N174" i="2"/>
  <c r="L174" i="2"/>
  <c r="J174" i="2"/>
  <c r="Z174" i="2" s="1"/>
  <c r="H174" i="2" l="1"/>
  <c r="I174" i="2" s="1"/>
  <c r="AA259" i="2"/>
  <c r="Y259" i="2"/>
  <c r="N259" i="2"/>
  <c r="AE259" i="2"/>
  <c r="AE258" i="2"/>
  <c r="AM258" i="2" s="1"/>
  <c r="AD258" i="2"/>
  <c r="AL258" i="2" s="1"/>
  <c r="AA258" i="2"/>
  <c r="Y258" i="2"/>
  <c r="N258" i="2"/>
  <c r="L258" i="2"/>
  <c r="J258" i="2"/>
  <c r="Z258" i="2" s="1"/>
  <c r="AE257" i="2"/>
  <c r="AM257" i="2" s="1"/>
  <c r="AD257" i="2"/>
  <c r="H257" i="2" s="1"/>
  <c r="AA257" i="2"/>
  <c r="Y257" i="2"/>
  <c r="N257" i="2"/>
  <c r="L257" i="2"/>
  <c r="J257" i="2"/>
  <c r="Z257" i="2" s="1"/>
  <c r="I257" i="2" l="1"/>
  <c r="AM259" i="2"/>
  <c r="H258" i="2"/>
  <c r="I258" i="2" s="1"/>
  <c r="AD259" i="2"/>
  <c r="H259" i="2" s="1"/>
  <c r="AL257" i="2"/>
  <c r="J259" i="2"/>
  <c r="L259" i="2"/>
  <c r="AL259" i="2" l="1"/>
  <c r="Z259" i="2"/>
  <c r="I259" i="2"/>
  <c r="F215" i="2" l="1"/>
  <c r="F220" i="2"/>
  <c r="F219" i="2" l="1"/>
  <c r="F216" i="2"/>
  <c r="D58" i="4" l="1"/>
  <c r="D57" i="4"/>
  <c r="D56" i="4"/>
  <c r="D53" i="4"/>
  <c r="D52" i="4"/>
  <c r="D51" i="4"/>
  <c r="D45" i="4"/>
  <c r="D44" i="4"/>
  <c r="D43" i="4"/>
  <c r="D42" i="4"/>
  <c r="D41" i="4"/>
  <c r="D39" i="4"/>
  <c r="D38" i="4"/>
  <c r="I37" i="4"/>
  <c r="D37" i="4"/>
  <c r="I36" i="4"/>
  <c r="D36" i="4"/>
  <c r="I35" i="4"/>
  <c r="D35" i="4"/>
  <c r="I34" i="4"/>
  <c r="D34" i="4"/>
  <c r="I33" i="4"/>
  <c r="D33" i="4"/>
  <c r="D31" i="4"/>
  <c r="I30" i="4"/>
  <c r="D30" i="4"/>
  <c r="P29" i="4"/>
  <c r="I29" i="4"/>
  <c r="D29" i="4"/>
  <c r="I28" i="4"/>
  <c r="D28" i="4"/>
  <c r="I27" i="4"/>
  <c r="D27" i="4"/>
  <c r="I26" i="4"/>
  <c r="D26" i="4"/>
  <c r="I20" i="4"/>
  <c r="D20" i="4"/>
  <c r="I19" i="4"/>
  <c r="D19" i="4"/>
  <c r="I18" i="4"/>
  <c r="D18" i="4"/>
  <c r="I17" i="4"/>
  <c r="D17" i="4"/>
  <c r="I16" i="4"/>
  <c r="D16" i="4"/>
  <c r="D15" i="4"/>
  <c r="I13" i="4"/>
  <c r="D13" i="4"/>
  <c r="D12" i="4"/>
  <c r="I11" i="4"/>
  <c r="D11" i="4"/>
  <c r="D10" i="4"/>
  <c r="I9" i="4"/>
  <c r="D9" i="4"/>
  <c r="AD256" i="2"/>
  <c r="AA256" i="2"/>
  <c r="Y256" i="2"/>
  <c r="N256" i="2"/>
  <c r="L256" i="2"/>
  <c r="J255" i="2"/>
  <c r="Z255" i="2" s="1"/>
  <c r="AA255" i="2"/>
  <c r="Y255" i="2"/>
  <c r="N255" i="2"/>
  <c r="L255" i="2"/>
  <c r="AE254" i="2"/>
  <c r="AM254" i="2" s="1"/>
  <c r="AD254" i="2"/>
  <c r="AL254" i="2" s="1"/>
  <c r="AA254" i="2"/>
  <c r="Y254" i="2"/>
  <c r="N254" i="2"/>
  <c r="L254" i="2"/>
  <c r="J254" i="2"/>
  <c r="Z254" i="2" s="1"/>
  <c r="AE161" i="2"/>
  <c r="AM161" i="2" s="1"/>
  <c r="AA161" i="2"/>
  <c r="Y161" i="2"/>
  <c r="N161" i="2"/>
  <c r="L161" i="2"/>
  <c r="F205" i="2"/>
  <c r="F206" i="2"/>
  <c r="J247" i="2" l="1"/>
  <c r="Z247" i="2" s="1"/>
  <c r="J200" i="2"/>
  <c r="Z200" i="2" s="1"/>
  <c r="K9" i="4"/>
  <c r="K15" i="4"/>
  <c r="D60" i="4"/>
  <c r="I32" i="4"/>
  <c r="K32" i="4" s="1"/>
  <c r="J207" i="2"/>
  <c r="Z207" i="2" s="1"/>
  <c r="H254" i="2"/>
  <c r="I254" i="2" s="1"/>
  <c r="AE256" i="2"/>
  <c r="AM256" i="2" s="1"/>
  <c r="J256" i="2"/>
  <c r="Z256" i="2" s="1"/>
  <c r="K26" i="4"/>
  <c r="I22" i="4"/>
  <c r="AD255" i="2"/>
  <c r="AL256" i="2"/>
  <c r="H256" i="2"/>
  <c r="AE255" i="2"/>
  <c r="AM255" i="2" s="1"/>
  <c r="J161" i="2"/>
  <c r="Z161" i="2" s="1"/>
  <c r="AD161" i="2"/>
  <c r="F22" i="1"/>
  <c r="AE275" i="2"/>
  <c r="AM275" i="2" s="1"/>
  <c r="AD275" i="2"/>
  <c r="AL275" i="2" s="1"/>
  <c r="AA275" i="2"/>
  <c r="Y275" i="2"/>
  <c r="N275" i="2"/>
  <c r="L275" i="2"/>
  <c r="J275" i="2"/>
  <c r="Z275" i="2" s="1"/>
  <c r="AE276" i="2"/>
  <c r="AM276" i="2" s="1"/>
  <c r="AD276" i="2"/>
  <c r="AL276" i="2" s="1"/>
  <c r="AA276" i="2"/>
  <c r="Y276" i="2"/>
  <c r="N276" i="2"/>
  <c r="L276" i="2"/>
  <c r="J276" i="2"/>
  <c r="AE71" i="2"/>
  <c r="AM71" i="2" s="1"/>
  <c r="AD71" i="2"/>
  <c r="AL71" i="2" s="1"/>
  <c r="AA71" i="2"/>
  <c r="Y71" i="2"/>
  <c r="N71" i="2"/>
  <c r="L71" i="2"/>
  <c r="J71" i="2"/>
  <c r="Z71" i="2" s="1"/>
  <c r="AE198" i="2"/>
  <c r="AD198" i="2"/>
  <c r="AA198" i="2"/>
  <c r="Y198" i="2"/>
  <c r="N198" i="2"/>
  <c r="AE221" i="2"/>
  <c r="AM221" i="2" s="1"/>
  <c r="AD221" i="2"/>
  <c r="AL221" i="2" s="1"/>
  <c r="AA221" i="2"/>
  <c r="Y221" i="2"/>
  <c r="N221" i="2"/>
  <c r="L221" i="2"/>
  <c r="J221" i="2"/>
  <c r="Z221" i="2" s="1"/>
  <c r="AE190" i="2"/>
  <c r="AM190" i="2" s="1"/>
  <c r="AD190" i="2"/>
  <c r="AA190" i="2"/>
  <c r="Y190" i="2"/>
  <c r="N190" i="2"/>
  <c r="L190" i="2"/>
  <c r="J190" i="2"/>
  <c r="Z190" i="2" s="1"/>
  <c r="AE123" i="2"/>
  <c r="AM123" i="2" s="1"/>
  <c r="AD123" i="2"/>
  <c r="H123" i="2" s="1"/>
  <c r="AA123" i="2"/>
  <c r="Y123" i="2"/>
  <c r="N123" i="2"/>
  <c r="L123" i="2"/>
  <c r="J123" i="2"/>
  <c r="Z123" i="2" s="1"/>
  <c r="AE16" i="2"/>
  <c r="AM16" i="2" s="1"/>
  <c r="AD16" i="2"/>
  <c r="AL16" i="2" s="1"/>
  <c r="AA16" i="2"/>
  <c r="Y16" i="2"/>
  <c r="N16" i="2"/>
  <c r="L16" i="2"/>
  <c r="J16" i="2"/>
  <c r="Z16" i="2" s="1"/>
  <c r="AE274" i="2"/>
  <c r="AM274" i="2" s="1"/>
  <c r="AD274" i="2"/>
  <c r="AL274" i="2" s="1"/>
  <c r="AA274" i="2"/>
  <c r="Y274" i="2"/>
  <c r="L274" i="2"/>
  <c r="J274" i="2"/>
  <c r="Z274" i="2" s="1"/>
  <c r="L273" i="2"/>
  <c r="AE273" i="2"/>
  <c r="AM273" i="2" s="1"/>
  <c r="AD273" i="2"/>
  <c r="AL273" i="2" s="1"/>
  <c r="AA273" i="2"/>
  <c r="Y273" i="2"/>
  <c r="L208" i="2"/>
  <c r="AS31" i="2"/>
  <c r="AS32" i="2" s="1"/>
  <c r="AS33" i="2" s="1"/>
  <c r="K242" i="2"/>
  <c r="L266" i="2"/>
  <c r="L267" i="2"/>
  <c r="L269" i="2"/>
  <c r="L268" i="2"/>
  <c r="AE267" i="2"/>
  <c r="AM267" i="2" s="1"/>
  <c r="AD267" i="2"/>
  <c r="H267" i="2" s="1"/>
  <c r="AA267" i="2"/>
  <c r="Y267" i="2"/>
  <c r="N267" i="2"/>
  <c r="J267" i="2"/>
  <c r="Z267" i="2" s="1"/>
  <c r="L167" i="2"/>
  <c r="J172" i="2"/>
  <c r="J173" i="2"/>
  <c r="Z173" i="2" s="1"/>
  <c r="J171" i="2"/>
  <c r="Z171" i="2" s="1"/>
  <c r="J28" i="2"/>
  <c r="K31" i="2"/>
  <c r="K34" i="2" s="1"/>
  <c r="J269" i="2"/>
  <c r="Z269" i="2" s="1"/>
  <c r="J299" i="2"/>
  <c r="Z299" i="2" s="1"/>
  <c r="J296" i="2"/>
  <c r="N296" i="2" s="1"/>
  <c r="J284" i="2"/>
  <c r="Z284" i="2" s="1"/>
  <c r="J285" i="2"/>
  <c r="J286" i="2"/>
  <c r="J262" i="2"/>
  <c r="Z262" i="2" s="1"/>
  <c r="J263" i="2"/>
  <c r="Z263" i="2" s="1"/>
  <c r="J264" i="2"/>
  <c r="Z264" i="2" s="1"/>
  <c r="J265" i="2"/>
  <c r="Z265" i="2" s="1"/>
  <c r="J266" i="2"/>
  <c r="Z266" i="2" s="1"/>
  <c r="J270" i="2"/>
  <c r="Z270" i="2" s="1"/>
  <c r="J271" i="2"/>
  <c r="Z271" i="2" s="1"/>
  <c r="J233" i="2"/>
  <c r="J234" i="2"/>
  <c r="Z234" i="2" s="1"/>
  <c r="J237" i="2"/>
  <c r="J239" i="2"/>
  <c r="Z239" i="2" s="1"/>
  <c r="J241" i="2"/>
  <c r="Z241" i="2" s="1"/>
  <c r="J213" i="2"/>
  <c r="J199" i="2"/>
  <c r="J194" i="2"/>
  <c r="J177" i="2"/>
  <c r="Z177" i="2" s="1"/>
  <c r="J179" i="2"/>
  <c r="Z179" i="2" s="1"/>
  <c r="J182" i="2"/>
  <c r="J183" i="2"/>
  <c r="Z183" i="2" s="1"/>
  <c r="J187" i="2"/>
  <c r="Z187" i="2" s="1"/>
  <c r="J188" i="2"/>
  <c r="Z188" i="2" s="1"/>
  <c r="J189" i="2"/>
  <c r="Z189" i="2" s="1"/>
  <c r="J191" i="2"/>
  <c r="J133" i="2"/>
  <c r="Z133" i="2" s="1"/>
  <c r="J135" i="2"/>
  <c r="Z135" i="2" s="1"/>
  <c r="J137" i="2"/>
  <c r="J142" i="2"/>
  <c r="J144" i="2"/>
  <c r="J145" i="2"/>
  <c r="Z145" i="2" s="1"/>
  <c r="J147" i="2"/>
  <c r="J148" i="2"/>
  <c r="Z148" i="2" s="1"/>
  <c r="J149" i="2"/>
  <c r="J150" i="2"/>
  <c r="Z150" i="2" s="1"/>
  <c r="J151" i="2"/>
  <c r="Z151" i="2" s="1"/>
  <c r="J152" i="2"/>
  <c r="Z152" i="2" s="1"/>
  <c r="J153" i="2"/>
  <c r="Z153" i="2" s="1"/>
  <c r="J154" i="2"/>
  <c r="Z154" i="2" s="1"/>
  <c r="J155" i="2"/>
  <c r="J156" i="2"/>
  <c r="Z156" i="2" s="1"/>
  <c r="J157" i="2"/>
  <c r="Z157" i="2" s="1"/>
  <c r="J159" i="2"/>
  <c r="Z159" i="2" s="1"/>
  <c r="J162" i="2"/>
  <c r="J163" i="2"/>
  <c r="Z163" i="2" s="1"/>
  <c r="J165" i="2"/>
  <c r="Z165" i="2" s="1"/>
  <c r="J131" i="2"/>
  <c r="Z131" i="2" s="1"/>
  <c r="J125" i="2"/>
  <c r="Z125" i="2" s="1"/>
  <c r="J122" i="2"/>
  <c r="J69" i="2"/>
  <c r="Z69" i="2" s="1"/>
  <c r="J72" i="2"/>
  <c r="Z72" i="2" s="1"/>
  <c r="J73" i="2"/>
  <c r="J75" i="2"/>
  <c r="Z75" i="2" s="1"/>
  <c r="J76" i="2"/>
  <c r="Z76" i="2" s="1"/>
  <c r="J77" i="2"/>
  <c r="J78" i="2"/>
  <c r="Z78" i="2" s="1"/>
  <c r="J79" i="2"/>
  <c r="Z79" i="2" s="1"/>
  <c r="J80" i="2"/>
  <c r="Z80" i="2" s="1"/>
  <c r="J81" i="2"/>
  <c r="J82" i="2"/>
  <c r="Z82" i="2" s="1"/>
  <c r="J83" i="2"/>
  <c r="Z83" i="2" s="1"/>
  <c r="J84" i="2"/>
  <c r="Z84" i="2" s="1"/>
  <c r="J85" i="2"/>
  <c r="Z85" i="2" s="1"/>
  <c r="J86" i="2"/>
  <c r="Z86" i="2" s="1"/>
  <c r="J87" i="2"/>
  <c r="J88" i="2"/>
  <c r="Z88" i="2" s="1"/>
  <c r="J89" i="2"/>
  <c r="Z89" i="2" s="1"/>
  <c r="J90" i="2"/>
  <c r="Z90" i="2" s="1"/>
  <c r="J91" i="2"/>
  <c r="Z91" i="2" s="1"/>
  <c r="J96" i="2"/>
  <c r="J97" i="2"/>
  <c r="Z97" i="2" s="1"/>
  <c r="J100" i="2"/>
  <c r="J101" i="2"/>
  <c r="Z101" i="2" s="1"/>
  <c r="J102" i="2"/>
  <c r="Z102" i="2" s="1"/>
  <c r="J103" i="2"/>
  <c r="J104" i="2"/>
  <c r="Z104" i="2" s="1"/>
  <c r="J105" i="2"/>
  <c r="Z105" i="2" s="1"/>
  <c r="J106" i="2"/>
  <c r="Z106" i="2" s="1"/>
  <c r="J107" i="2"/>
  <c r="Z107" i="2" s="1"/>
  <c r="J108" i="2"/>
  <c r="Z108" i="2" s="1"/>
  <c r="J109" i="2"/>
  <c r="Z109" i="2" s="1"/>
  <c r="J110" i="2"/>
  <c r="Z110" i="2" s="1"/>
  <c r="J111" i="2"/>
  <c r="Z111" i="2" s="1"/>
  <c r="J112" i="2"/>
  <c r="Z112" i="2" s="1"/>
  <c r="J113" i="2"/>
  <c r="J114" i="2"/>
  <c r="Z114" i="2" s="1"/>
  <c r="J115" i="2"/>
  <c r="Z115" i="2" s="1"/>
  <c r="J116" i="2"/>
  <c r="J117" i="2"/>
  <c r="Z117" i="2" s="1"/>
  <c r="J118" i="2"/>
  <c r="Z118" i="2" s="1"/>
  <c r="J119" i="2"/>
  <c r="Z119" i="2" s="1"/>
  <c r="J68" i="2"/>
  <c r="J38" i="2"/>
  <c r="Z38" i="2" s="1"/>
  <c r="J42" i="2"/>
  <c r="Z42" i="2" s="1"/>
  <c r="J53" i="2"/>
  <c r="Z53" i="2" s="1"/>
  <c r="J31" i="2"/>
  <c r="Z31" i="2" s="1"/>
  <c r="J27" i="2"/>
  <c r="J14" i="2"/>
  <c r="Z14" i="2" s="1"/>
  <c r="J13" i="2"/>
  <c r="Y297" i="2"/>
  <c r="AA297" i="2"/>
  <c r="AD297" i="2"/>
  <c r="AE297" i="2"/>
  <c r="AD14" i="2"/>
  <c r="AL14" i="2" s="1"/>
  <c r="AE14" i="2"/>
  <c r="AM14" i="2" s="1"/>
  <c r="AD15" i="2"/>
  <c r="H15" i="2" s="1"/>
  <c r="AE15" i="2"/>
  <c r="AM15" i="2" s="1"/>
  <c r="AD19" i="2"/>
  <c r="AL19" i="2" s="1"/>
  <c r="AE19" i="2"/>
  <c r="AM19" i="2" s="1"/>
  <c r="AD23" i="2"/>
  <c r="H23" i="2" s="1"/>
  <c r="AE23" i="2"/>
  <c r="AM23" i="2" s="1"/>
  <c r="AD24" i="2"/>
  <c r="AE24" i="2"/>
  <c r="AM24" i="2" s="1"/>
  <c r="AD25" i="2"/>
  <c r="AL25" i="2" s="1"/>
  <c r="AE25" i="2"/>
  <c r="AM25" i="2" s="1"/>
  <c r="AD27" i="2"/>
  <c r="H27" i="2" s="1"/>
  <c r="AE27" i="2"/>
  <c r="AM27" i="2" s="1"/>
  <c r="AD28" i="2"/>
  <c r="AL28" i="2" s="1"/>
  <c r="AE28" i="2"/>
  <c r="AM28" i="2" s="1"/>
  <c r="AD29" i="2"/>
  <c r="AL29" i="2" s="1"/>
  <c r="AE29" i="2"/>
  <c r="AM29" i="2" s="1"/>
  <c r="AD31" i="2"/>
  <c r="H31" i="2" s="1"/>
  <c r="AE31" i="2"/>
  <c r="AM31" i="2" s="1"/>
  <c r="AD32" i="2"/>
  <c r="AE32" i="2"/>
  <c r="AD33" i="2"/>
  <c r="AE33" i="2"/>
  <c r="AD34" i="2"/>
  <c r="AE34" i="2"/>
  <c r="AD36" i="2"/>
  <c r="AL36" i="2" s="1"/>
  <c r="AE36" i="2"/>
  <c r="AM36" i="2" s="1"/>
  <c r="AD37" i="2"/>
  <c r="AE37" i="2"/>
  <c r="AD38" i="2"/>
  <c r="H38" i="2" s="1"/>
  <c r="AE38" i="2"/>
  <c r="AM38" i="2" s="1"/>
  <c r="AD40" i="2"/>
  <c r="AE40" i="2"/>
  <c r="AD41" i="2"/>
  <c r="AE41" i="2"/>
  <c r="AD42" i="2"/>
  <c r="AE42" i="2"/>
  <c r="AM42" i="2" s="1"/>
  <c r="AD43" i="2"/>
  <c r="AL43" i="2" s="1"/>
  <c r="AE43" i="2"/>
  <c r="AM43" i="2" s="1"/>
  <c r="AD44" i="2"/>
  <c r="AE44" i="2"/>
  <c r="AD45" i="2"/>
  <c r="AE45" i="2"/>
  <c r="AD46" i="2"/>
  <c r="AE46" i="2"/>
  <c r="AD47" i="2"/>
  <c r="AE47" i="2"/>
  <c r="AD48" i="2"/>
  <c r="AE48" i="2"/>
  <c r="AD49" i="2"/>
  <c r="AL49" i="2" s="1"/>
  <c r="AE49" i="2"/>
  <c r="AM49" i="2" s="1"/>
  <c r="AD50" i="2"/>
  <c r="H50" i="2" s="1"/>
  <c r="AE50" i="2"/>
  <c r="AM50" i="2" s="1"/>
  <c r="AD51" i="2"/>
  <c r="H51" i="2" s="1"/>
  <c r="AE51" i="2"/>
  <c r="AM51" i="2" s="1"/>
  <c r="AD52" i="2"/>
  <c r="AE52" i="2"/>
  <c r="AM52" i="2" s="1"/>
  <c r="AD53" i="2"/>
  <c r="AL53" i="2" s="1"/>
  <c r="AE53" i="2"/>
  <c r="AM53" i="2" s="1"/>
  <c r="AD59" i="2"/>
  <c r="AE59" i="2"/>
  <c r="AD60" i="2"/>
  <c r="AE60" i="2"/>
  <c r="AD62" i="2"/>
  <c r="AE62" i="2"/>
  <c r="AD63" i="2"/>
  <c r="H63" i="2" s="1"/>
  <c r="AE63" i="2"/>
  <c r="AM63" i="2" s="1"/>
  <c r="AD64" i="2"/>
  <c r="AL64" i="2" s="1"/>
  <c r="AE64" i="2"/>
  <c r="AD66" i="2"/>
  <c r="AL66" i="2" s="1"/>
  <c r="AE66" i="2"/>
  <c r="AM66" i="2" s="1"/>
  <c r="AD68" i="2"/>
  <c r="AL68" i="2" s="1"/>
  <c r="AE68" i="2"/>
  <c r="AM68" i="2" s="1"/>
  <c r="AD69" i="2"/>
  <c r="H69" i="2" s="1"/>
  <c r="AE69" i="2"/>
  <c r="AM69" i="2" s="1"/>
  <c r="AD72" i="2"/>
  <c r="AL72" i="2" s="1"/>
  <c r="AE72" i="2"/>
  <c r="AM72" i="2" s="1"/>
  <c r="AD73" i="2"/>
  <c r="AL73" i="2" s="1"/>
  <c r="AE73" i="2"/>
  <c r="AM73" i="2" s="1"/>
  <c r="AD75" i="2"/>
  <c r="AL75" i="2" s="1"/>
  <c r="AE75" i="2"/>
  <c r="AM75" i="2" s="1"/>
  <c r="AD76" i="2"/>
  <c r="H76" i="2" s="1"/>
  <c r="AE76" i="2"/>
  <c r="AM76" i="2" s="1"/>
  <c r="AD77" i="2"/>
  <c r="AL77" i="2" s="1"/>
  <c r="AE77" i="2"/>
  <c r="AM77" i="2" s="1"/>
  <c r="AD78" i="2"/>
  <c r="H78" i="2" s="1"/>
  <c r="AE78" i="2"/>
  <c r="AM78" i="2" s="1"/>
  <c r="AD79" i="2"/>
  <c r="H79" i="2" s="1"/>
  <c r="AE79" i="2"/>
  <c r="AM79" i="2" s="1"/>
  <c r="AD80" i="2"/>
  <c r="H80" i="2" s="1"/>
  <c r="AE80" i="2"/>
  <c r="AM80" i="2" s="1"/>
  <c r="AD81" i="2"/>
  <c r="AL81" i="2" s="1"/>
  <c r="AE81" i="2"/>
  <c r="AM81" i="2" s="1"/>
  <c r="AD82" i="2"/>
  <c r="AL82" i="2" s="1"/>
  <c r="AE82" i="2"/>
  <c r="AM82" i="2" s="1"/>
  <c r="AD83" i="2"/>
  <c r="AE83" i="2"/>
  <c r="AM83" i="2" s="1"/>
  <c r="AD84" i="2"/>
  <c r="AL84" i="2" s="1"/>
  <c r="AE84" i="2"/>
  <c r="AM84" i="2" s="1"/>
  <c r="AD85" i="2"/>
  <c r="H85" i="2" s="1"/>
  <c r="AE85" i="2"/>
  <c r="AM85" i="2" s="1"/>
  <c r="AD86" i="2"/>
  <c r="AL86" i="2" s="1"/>
  <c r="AE86" i="2"/>
  <c r="AM86" i="2" s="1"/>
  <c r="AD87" i="2"/>
  <c r="AL87" i="2" s="1"/>
  <c r="AE87" i="2"/>
  <c r="AM87" i="2" s="1"/>
  <c r="AD88" i="2"/>
  <c r="AL88" i="2" s="1"/>
  <c r="AE88" i="2"/>
  <c r="AM88" i="2" s="1"/>
  <c r="AD89" i="2"/>
  <c r="AL89" i="2" s="1"/>
  <c r="AE89" i="2"/>
  <c r="AM89" i="2" s="1"/>
  <c r="AD90" i="2"/>
  <c r="AL90" i="2" s="1"/>
  <c r="AE90" i="2"/>
  <c r="AM90" i="2" s="1"/>
  <c r="AD91" i="2"/>
  <c r="AL91" i="2" s="1"/>
  <c r="AE91" i="2"/>
  <c r="AM91" i="2" s="1"/>
  <c r="AD96" i="2"/>
  <c r="AE96" i="2"/>
  <c r="AM96" i="2" s="1"/>
  <c r="AD97" i="2"/>
  <c r="H97" i="2" s="1"/>
  <c r="AE97" i="2"/>
  <c r="AM97" i="2" s="1"/>
  <c r="AD100" i="2"/>
  <c r="H100" i="2" s="1"/>
  <c r="AE100" i="2"/>
  <c r="AM100" i="2" s="1"/>
  <c r="AD101" i="2"/>
  <c r="AL101" i="2" s="1"/>
  <c r="AE101" i="2"/>
  <c r="AM101" i="2" s="1"/>
  <c r="AD102" i="2"/>
  <c r="H102" i="2" s="1"/>
  <c r="AE102" i="2"/>
  <c r="AM102" i="2" s="1"/>
  <c r="AD103" i="2"/>
  <c r="H103" i="2" s="1"/>
  <c r="AE103" i="2"/>
  <c r="AM103" i="2" s="1"/>
  <c r="AD104" i="2"/>
  <c r="AL104" i="2" s="1"/>
  <c r="AE104" i="2"/>
  <c r="AM104" i="2" s="1"/>
  <c r="AD105" i="2"/>
  <c r="AL105" i="2" s="1"/>
  <c r="AE105" i="2"/>
  <c r="AM105" i="2" s="1"/>
  <c r="AD106" i="2"/>
  <c r="AL106" i="2" s="1"/>
  <c r="AE106" i="2"/>
  <c r="AD107" i="2"/>
  <c r="AL107" i="2" s="1"/>
  <c r="AE107" i="2"/>
  <c r="AM107" i="2" s="1"/>
  <c r="AD108" i="2"/>
  <c r="AL108" i="2" s="1"/>
  <c r="AE108" i="2"/>
  <c r="AM108" i="2" s="1"/>
  <c r="AD109" i="2"/>
  <c r="AL109" i="2" s="1"/>
  <c r="AE109" i="2"/>
  <c r="AM109" i="2" s="1"/>
  <c r="AD110" i="2"/>
  <c r="AE110" i="2"/>
  <c r="AM110" i="2" s="1"/>
  <c r="AD111" i="2"/>
  <c r="H111" i="2" s="1"/>
  <c r="AE111" i="2"/>
  <c r="AM111" i="2" s="1"/>
  <c r="AD112" i="2"/>
  <c r="H112" i="2" s="1"/>
  <c r="AE112" i="2"/>
  <c r="AM112" i="2" s="1"/>
  <c r="AD113" i="2"/>
  <c r="AL113" i="2" s="1"/>
  <c r="AE113" i="2"/>
  <c r="AM113" i="2" s="1"/>
  <c r="AD114" i="2"/>
  <c r="AL114" i="2" s="1"/>
  <c r="AE114" i="2"/>
  <c r="AM114" i="2" s="1"/>
  <c r="AD115" i="2"/>
  <c r="H115" i="2" s="1"/>
  <c r="AE115" i="2"/>
  <c r="AM115" i="2" s="1"/>
  <c r="AD116" i="2"/>
  <c r="AL116" i="2" s="1"/>
  <c r="AE116" i="2"/>
  <c r="AM116" i="2" s="1"/>
  <c r="AD117" i="2"/>
  <c r="AL117" i="2" s="1"/>
  <c r="AE117" i="2"/>
  <c r="AM117" i="2" s="1"/>
  <c r="AD118" i="2"/>
  <c r="AL118" i="2" s="1"/>
  <c r="AE118" i="2"/>
  <c r="AM118" i="2" s="1"/>
  <c r="AD119" i="2"/>
  <c r="AL119" i="2" s="1"/>
  <c r="AE119" i="2"/>
  <c r="AM119" i="2" s="1"/>
  <c r="AD122" i="2"/>
  <c r="H122" i="2" s="1"/>
  <c r="AE122" i="2"/>
  <c r="AM122" i="2" s="1"/>
  <c r="AD125" i="2"/>
  <c r="H125" i="2" s="1"/>
  <c r="AE125" i="2"/>
  <c r="AM125" i="2" s="1"/>
  <c r="AD126" i="2"/>
  <c r="AL126" i="2" s="1"/>
  <c r="AE126" i="2"/>
  <c r="AM126" i="2" s="1"/>
  <c r="AD128" i="2"/>
  <c r="AL128" i="2" s="1"/>
  <c r="AE128" i="2"/>
  <c r="AM128" i="2" s="1"/>
  <c r="AD131" i="2"/>
  <c r="AL131" i="2" s="1"/>
  <c r="AE131" i="2"/>
  <c r="AM131" i="2" s="1"/>
  <c r="AD132" i="2"/>
  <c r="AL132" i="2" s="1"/>
  <c r="AE132" i="2"/>
  <c r="AM132" i="2" s="1"/>
  <c r="AD133" i="2"/>
  <c r="H133" i="2" s="1"/>
  <c r="AE133" i="2"/>
  <c r="AM133" i="2" s="1"/>
  <c r="AD134" i="2"/>
  <c r="AL134" i="2" s="1"/>
  <c r="AE134" i="2"/>
  <c r="AM134" i="2" s="1"/>
  <c r="AD135" i="2"/>
  <c r="AL135" i="2" s="1"/>
  <c r="AE135" i="2"/>
  <c r="AM135" i="2" s="1"/>
  <c r="AD136" i="2"/>
  <c r="H136" i="2" s="1"/>
  <c r="AE136" i="2"/>
  <c r="AM136" i="2" s="1"/>
  <c r="AD137" i="2"/>
  <c r="AL137" i="2" s="1"/>
  <c r="AE137" i="2"/>
  <c r="AM137" i="2" s="1"/>
  <c r="AD138" i="2"/>
  <c r="AE138" i="2"/>
  <c r="AD139" i="2"/>
  <c r="H139" i="2" s="1"/>
  <c r="AE139" i="2"/>
  <c r="AM139" i="2" s="1"/>
  <c r="AD140" i="2"/>
  <c r="H140" i="2" s="1"/>
  <c r="AE140" i="2"/>
  <c r="AM140" i="2" s="1"/>
  <c r="AD141" i="2"/>
  <c r="AE141" i="2"/>
  <c r="AD142" i="2"/>
  <c r="H142" i="2" s="1"/>
  <c r="AE142" i="2"/>
  <c r="AM142" i="2" s="1"/>
  <c r="AD144" i="2"/>
  <c r="AE144" i="2"/>
  <c r="AM144" i="2" s="1"/>
  <c r="AD145" i="2"/>
  <c r="AL145" i="2" s="1"/>
  <c r="AE145" i="2"/>
  <c r="AM145" i="2" s="1"/>
  <c r="AD146" i="2"/>
  <c r="AE146" i="2"/>
  <c r="AD147" i="2"/>
  <c r="H147" i="2" s="1"/>
  <c r="I147" i="2" s="1"/>
  <c r="AE147" i="2"/>
  <c r="AM147" i="2" s="1"/>
  <c r="AD148" i="2"/>
  <c r="H148" i="2" s="1"/>
  <c r="AE148" i="2"/>
  <c r="AM148" i="2" s="1"/>
  <c r="AD149" i="2"/>
  <c r="AL149" i="2" s="1"/>
  <c r="AE149" i="2"/>
  <c r="AM149" i="2" s="1"/>
  <c r="AD150" i="2"/>
  <c r="AE150" i="2"/>
  <c r="AM150" i="2" s="1"/>
  <c r="AD151" i="2"/>
  <c r="AL151" i="2" s="1"/>
  <c r="AE151" i="2"/>
  <c r="AM151" i="2" s="1"/>
  <c r="AD152" i="2"/>
  <c r="H152" i="2" s="1"/>
  <c r="AE152" i="2"/>
  <c r="AM152" i="2" s="1"/>
  <c r="AD153" i="2"/>
  <c r="H153" i="2" s="1"/>
  <c r="AE153" i="2"/>
  <c r="AM153" i="2" s="1"/>
  <c r="AD154" i="2"/>
  <c r="AL154" i="2" s="1"/>
  <c r="AE154" i="2"/>
  <c r="AM154" i="2" s="1"/>
  <c r="AD155" i="2"/>
  <c r="H155" i="2" s="1"/>
  <c r="AE155" i="2"/>
  <c r="AM155" i="2" s="1"/>
  <c r="AD156" i="2"/>
  <c r="AL156" i="2" s="1"/>
  <c r="AE156" i="2"/>
  <c r="AM156" i="2" s="1"/>
  <c r="AD157" i="2"/>
  <c r="AE157" i="2"/>
  <c r="AM157" i="2" s="1"/>
  <c r="AD158" i="2"/>
  <c r="H158" i="2" s="1"/>
  <c r="AE158" i="2"/>
  <c r="AM158" i="2" s="1"/>
  <c r="AD159" i="2"/>
  <c r="H159" i="2" s="1"/>
  <c r="AE159" i="2"/>
  <c r="AM159" i="2" s="1"/>
  <c r="AD162" i="2"/>
  <c r="H162" i="2" s="1"/>
  <c r="AE162" i="2"/>
  <c r="AM162" i="2" s="1"/>
  <c r="AD163" i="2"/>
  <c r="AE163" i="2"/>
  <c r="AM163" i="2" s="1"/>
  <c r="AD164" i="2"/>
  <c r="AL164" i="2" s="1"/>
  <c r="AE164" i="2"/>
  <c r="AM164" i="2" s="1"/>
  <c r="AD165" i="2"/>
  <c r="H165" i="2" s="1"/>
  <c r="AE165" i="2"/>
  <c r="AM165" i="2" s="1"/>
  <c r="AD166" i="2"/>
  <c r="AL166" i="2" s="1"/>
  <c r="AE166" i="2"/>
  <c r="AM166" i="2" s="1"/>
  <c r="AD167" i="2"/>
  <c r="AL167" i="2" s="1"/>
  <c r="AE167" i="2"/>
  <c r="AD171" i="2"/>
  <c r="H171" i="2" s="1"/>
  <c r="AE171" i="2"/>
  <c r="AM171" i="2" s="1"/>
  <c r="AD172" i="2"/>
  <c r="H172" i="2" s="1"/>
  <c r="AE172" i="2"/>
  <c r="AM172" i="2" s="1"/>
  <c r="AD173" i="2"/>
  <c r="AL173" i="2" s="1"/>
  <c r="AE173" i="2"/>
  <c r="AM173" i="2" s="1"/>
  <c r="AD176" i="2"/>
  <c r="AL176" i="2" s="1"/>
  <c r="AE176" i="2"/>
  <c r="AM176" i="2" s="1"/>
  <c r="AD177" i="2"/>
  <c r="AE177" i="2"/>
  <c r="AM177" i="2" s="1"/>
  <c r="AD178" i="2"/>
  <c r="AE178" i="2"/>
  <c r="AD179" i="2"/>
  <c r="AL179" i="2" s="1"/>
  <c r="AE179" i="2"/>
  <c r="AM179" i="2" s="1"/>
  <c r="AD180" i="2"/>
  <c r="AE180" i="2"/>
  <c r="AD182" i="2"/>
  <c r="H182" i="2" s="1"/>
  <c r="AE182" i="2"/>
  <c r="AM182" i="2" s="1"/>
  <c r="AD183" i="2"/>
  <c r="AL183" i="2" s="1"/>
  <c r="AE183" i="2"/>
  <c r="AM183" i="2" s="1"/>
  <c r="AD184" i="2"/>
  <c r="AL184" i="2" s="1"/>
  <c r="AE184" i="2"/>
  <c r="AM184" i="2" s="1"/>
  <c r="AD185" i="2"/>
  <c r="AE185" i="2"/>
  <c r="AD186" i="2"/>
  <c r="AE186" i="2"/>
  <c r="AD187" i="2"/>
  <c r="AL187" i="2" s="1"/>
  <c r="AE187" i="2"/>
  <c r="AM187" i="2" s="1"/>
  <c r="AD188" i="2"/>
  <c r="H188" i="2" s="1"/>
  <c r="AE188" i="2"/>
  <c r="AM188" i="2" s="1"/>
  <c r="AD189" i="2"/>
  <c r="H189" i="2" s="1"/>
  <c r="I189" i="2" s="1"/>
  <c r="AE189" i="2"/>
  <c r="AM189" i="2" s="1"/>
  <c r="AD191" i="2"/>
  <c r="AL191" i="2" s="1"/>
  <c r="AE191" i="2"/>
  <c r="AM191" i="2" s="1"/>
  <c r="AD194" i="2"/>
  <c r="AL194" i="2" s="1"/>
  <c r="AE194" i="2"/>
  <c r="AM194" i="2" s="1"/>
  <c r="AD195" i="2"/>
  <c r="H195" i="2" s="1"/>
  <c r="AE195" i="2"/>
  <c r="AM195" i="2" s="1"/>
  <c r="AD197" i="2"/>
  <c r="H197" i="2" s="1"/>
  <c r="AE197" i="2"/>
  <c r="AM197" i="2" s="1"/>
  <c r="AD199" i="2"/>
  <c r="AL199" i="2" s="1"/>
  <c r="AE199" i="2"/>
  <c r="AM199" i="2" s="1"/>
  <c r="AD200" i="2"/>
  <c r="AE200" i="2"/>
  <c r="AD201" i="2"/>
  <c r="AE201" i="2"/>
  <c r="AD203" i="2"/>
  <c r="AE203" i="2"/>
  <c r="AD204" i="2"/>
  <c r="AE204" i="2"/>
  <c r="AM204" i="2" s="1"/>
  <c r="AD205" i="2"/>
  <c r="H205" i="2" s="1"/>
  <c r="AE205" i="2"/>
  <c r="AD206" i="2"/>
  <c r="AE206" i="2"/>
  <c r="AM206" i="2" s="1"/>
  <c r="AD207" i="2"/>
  <c r="AE207" i="2"/>
  <c r="AD209" i="2"/>
  <c r="AE209" i="2"/>
  <c r="AD212" i="2"/>
  <c r="H212" i="2" s="1"/>
  <c r="AE212" i="2"/>
  <c r="AM212" i="2" s="1"/>
  <c r="AD213" i="2"/>
  <c r="H213" i="2" s="1"/>
  <c r="AE213" i="2"/>
  <c r="AM213" i="2" s="1"/>
  <c r="AD214" i="2"/>
  <c r="AE214" i="2"/>
  <c r="AD215" i="2"/>
  <c r="AL215" i="2" s="1"/>
  <c r="AE215" i="2"/>
  <c r="AD216" i="2"/>
  <c r="AE216" i="2"/>
  <c r="AM216" i="2" s="1"/>
  <c r="AD217" i="2"/>
  <c r="AL217" i="2" s="1"/>
  <c r="AE217" i="2"/>
  <c r="AM217" i="2" s="1"/>
  <c r="AD218" i="2"/>
  <c r="AL218" i="2" s="1"/>
  <c r="AE218" i="2"/>
  <c r="AM218" i="2" s="1"/>
  <c r="AD220" i="2"/>
  <c r="AE220" i="2"/>
  <c r="AM220" i="2" s="1"/>
  <c r="AD222" i="2"/>
  <c r="H222" i="2" s="1"/>
  <c r="AE222" i="2"/>
  <c r="AM222" i="2" s="1"/>
  <c r="AD225" i="2"/>
  <c r="AE225" i="2"/>
  <c r="AD226" i="2"/>
  <c r="AE226" i="2"/>
  <c r="AD227" i="2"/>
  <c r="AL227" i="2" s="1"/>
  <c r="AE227" i="2"/>
  <c r="AM227" i="2" s="1"/>
  <c r="AD228" i="2"/>
  <c r="AE228" i="2"/>
  <c r="AD229" i="2"/>
  <c r="AE229" i="2"/>
  <c r="AD230" i="2"/>
  <c r="AE230" i="2"/>
  <c r="AD232" i="2"/>
  <c r="AE232" i="2"/>
  <c r="AD233" i="2"/>
  <c r="H233" i="2" s="1"/>
  <c r="AE233" i="2"/>
  <c r="AM233" i="2" s="1"/>
  <c r="AD234" i="2"/>
  <c r="H234" i="2" s="1"/>
  <c r="AE234" i="2"/>
  <c r="AM234" i="2" s="1"/>
  <c r="AD235" i="2"/>
  <c r="AE235" i="2"/>
  <c r="AD236" i="2"/>
  <c r="AE236" i="2"/>
  <c r="AD237" i="2"/>
  <c r="AE237" i="2"/>
  <c r="AM237" i="2" s="1"/>
  <c r="AD238" i="2"/>
  <c r="AE238" i="2"/>
  <c r="AD239" i="2"/>
  <c r="H239" i="2" s="1"/>
  <c r="AE239" i="2"/>
  <c r="AM239" i="2" s="1"/>
  <c r="AD241" i="2"/>
  <c r="H241" i="2" s="1"/>
  <c r="AE241" i="2"/>
  <c r="AM241" i="2" s="1"/>
  <c r="AD246" i="2"/>
  <c r="AL246" i="2" s="1"/>
  <c r="AE246" i="2"/>
  <c r="AD247" i="2"/>
  <c r="H247" i="2" s="1"/>
  <c r="AE247" i="2"/>
  <c r="AM247" i="2" s="1"/>
  <c r="AD249" i="2"/>
  <c r="AE249" i="2"/>
  <c r="AM249" i="2" s="1"/>
  <c r="AD250" i="2"/>
  <c r="AL250" i="2" s="1"/>
  <c r="AE250" i="2"/>
  <c r="AM250" i="2" s="1"/>
  <c r="AD251" i="2"/>
  <c r="AE251" i="2"/>
  <c r="AD261" i="2"/>
  <c r="AE261" i="2"/>
  <c r="AD262" i="2"/>
  <c r="H262" i="2" s="1"/>
  <c r="AE262" i="2"/>
  <c r="AM262" i="2" s="1"/>
  <c r="AD263" i="2"/>
  <c r="H263" i="2" s="1"/>
  <c r="AE263" i="2"/>
  <c r="AM263" i="2" s="1"/>
  <c r="AD264" i="2"/>
  <c r="H264" i="2" s="1"/>
  <c r="AE264" i="2"/>
  <c r="AM264" i="2" s="1"/>
  <c r="AD265" i="2"/>
  <c r="H265" i="2" s="1"/>
  <c r="AE265" i="2"/>
  <c r="AM265" i="2" s="1"/>
  <c r="AD266" i="2"/>
  <c r="AL266" i="2" s="1"/>
  <c r="AE266" i="2"/>
  <c r="AM266" i="2" s="1"/>
  <c r="AD268" i="2"/>
  <c r="H268" i="2" s="1"/>
  <c r="AE268" i="2"/>
  <c r="AM268" i="2" s="1"/>
  <c r="AD269" i="2"/>
  <c r="H269" i="2" s="1"/>
  <c r="AE269" i="2"/>
  <c r="AM269" i="2" s="1"/>
  <c r="AD270" i="2"/>
  <c r="H270" i="2" s="1"/>
  <c r="AE270" i="2"/>
  <c r="AM270" i="2" s="1"/>
  <c r="AD271" i="2"/>
  <c r="AL271" i="2" s="1"/>
  <c r="AE271" i="2"/>
  <c r="AM271" i="2" s="1"/>
  <c r="AD277" i="2"/>
  <c r="AL277" i="2" s="1"/>
  <c r="AE277" i="2"/>
  <c r="AM277" i="2" s="1"/>
  <c r="AD278" i="2"/>
  <c r="AL278" i="2" s="1"/>
  <c r="AE278" i="2"/>
  <c r="AM278" i="2" s="1"/>
  <c r="AD279" i="2"/>
  <c r="H279" i="2" s="1"/>
  <c r="AE279" i="2"/>
  <c r="AM279" i="2" s="1"/>
  <c r="AD280" i="2"/>
  <c r="AL280" i="2" s="1"/>
  <c r="AE280" i="2"/>
  <c r="AM280" i="2" s="1"/>
  <c r="AD281" i="2"/>
  <c r="H281" i="2" s="1"/>
  <c r="AE281" i="2"/>
  <c r="AM281" i="2" s="1"/>
  <c r="AD284" i="2"/>
  <c r="AL284" i="2" s="1"/>
  <c r="AE284" i="2"/>
  <c r="AM284" i="2" s="1"/>
  <c r="AD285" i="2"/>
  <c r="AL285" i="2" s="1"/>
  <c r="AE285" i="2"/>
  <c r="AM285" i="2" s="1"/>
  <c r="AD286" i="2"/>
  <c r="AL286" i="2" s="1"/>
  <c r="AE286" i="2"/>
  <c r="AM286" i="2" s="1"/>
  <c r="AD288" i="2"/>
  <c r="AE288" i="2"/>
  <c r="AD289" i="2"/>
  <c r="AE289" i="2"/>
  <c r="AD290" i="2"/>
  <c r="AE290" i="2"/>
  <c r="AD291" i="2"/>
  <c r="AE291" i="2"/>
  <c r="AD292" i="2"/>
  <c r="AE292" i="2"/>
  <c r="AD293" i="2"/>
  <c r="AE293" i="2"/>
  <c r="AD294" i="2"/>
  <c r="AE294" i="2"/>
  <c r="AD295" i="2"/>
  <c r="AE295" i="2"/>
  <c r="AD296" i="2"/>
  <c r="H296" i="2" s="1"/>
  <c r="AE296" i="2"/>
  <c r="AM296" i="2" s="1"/>
  <c r="AD299" i="2"/>
  <c r="AL299" i="2" s="1"/>
  <c r="AE299" i="2"/>
  <c r="AM299" i="2" s="1"/>
  <c r="AD300" i="2"/>
  <c r="H300" i="2" s="1"/>
  <c r="AE300" i="2"/>
  <c r="AM300" i="2" s="1"/>
  <c r="AD301" i="2"/>
  <c r="H301" i="2" s="1"/>
  <c r="AE301" i="2"/>
  <c r="AM301" i="2" s="1"/>
  <c r="AD302" i="2"/>
  <c r="AL302" i="2" s="1"/>
  <c r="AE302" i="2"/>
  <c r="AM302" i="2" s="1"/>
  <c r="AD305" i="2"/>
  <c r="AL305" i="2" s="1"/>
  <c r="AE305" i="2"/>
  <c r="AM305" i="2" s="1"/>
  <c r="AD306" i="2"/>
  <c r="AL306" i="2" s="1"/>
  <c r="AE306" i="2"/>
  <c r="AM306" i="2" s="1"/>
  <c r="Y14" i="2"/>
  <c r="AA14" i="2"/>
  <c r="Y15" i="2"/>
  <c r="AA15" i="2"/>
  <c r="Y17" i="2"/>
  <c r="AA17" i="2"/>
  <c r="Y18" i="2"/>
  <c r="AA18" i="2"/>
  <c r="Y19" i="2"/>
  <c r="AA19" i="2"/>
  <c r="Y20" i="2"/>
  <c r="AA20" i="2"/>
  <c r="Y21" i="2"/>
  <c r="AA21" i="2"/>
  <c r="Y22" i="2"/>
  <c r="AA22" i="2"/>
  <c r="Y23" i="2"/>
  <c r="AA23" i="2"/>
  <c r="Y24" i="2"/>
  <c r="AA24" i="2"/>
  <c r="Y25" i="2"/>
  <c r="AA25" i="2"/>
  <c r="Y27" i="2"/>
  <c r="AA27" i="2"/>
  <c r="Y28" i="2"/>
  <c r="AA28" i="2"/>
  <c r="Y29" i="2"/>
  <c r="AA29" i="2"/>
  <c r="Y31" i="2"/>
  <c r="AA31" i="2"/>
  <c r="Y32" i="2"/>
  <c r="AA32" i="2"/>
  <c r="Y33" i="2"/>
  <c r="AA33" i="2"/>
  <c r="Y34" i="2"/>
  <c r="AA34" i="2"/>
  <c r="Y35" i="2"/>
  <c r="AA35" i="2"/>
  <c r="Y36" i="2"/>
  <c r="AA36" i="2"/>
  <c r="Y37" i="2"/>
  <c r="AA37" i="2"/>
  <c r="Y38" i="2"/>
  <c r="AA38" i="2"/>
  <c r="Y39" i="2"/>
  <c r="AA39" i="2"/>
  <c r="Y40" i="2"/>
  <c r="AA40" i="2"/>
  <c r="Y41" i="2"/>
  <c r="AA41" i="2"/>
  <c r="Y42" i="2"/>
  <c r="AA42" i="2"/>
  <c r="Y43" i="2"/>
  <c r="AA43" i="2"/>
  <c r="Y44" i="2"/>
  <c r="AA44" i="2"/>
  <c r="Y45" i="2"/>
  <c r="AA45" i="2"/>
  <c r="Y46" i="2"/>
  <c r="AA46" i="2"/>
  <c r="Y47" i="2"/>
  <c r="AA47" i="2"/>
  <c r="Y48" i="2"/>
  <c r="AA48" i="2"/>
  <c r="Y49" i="2"/>
  <c r="AA49" i="2"/>
  <c r="Y50" i="2"/>
  <c r="AA50" i="2"/>
  <c r="Y51" i="2"/>
  <c r="AA51" i="2"/>
  <c r="Y52" i="2"/>
  <c r="AA52" i="2"/>
  <c r="Y53" i="2"/>
  <c r="AA53" i="2"/>
  <c r="Y58" i="2"/>
  <c r="AA58" i="2"/>
  <c r="Y59" i="2"/>
  <c r="AA59" i="2"/>
  <c r="Y60" i="2"/>
  <c r="AA60" i="2"/>
  <c r="Y62" i="2"/>
  <c r="AA62" i="2"/>
  <c r="Y63" i="2"/>
  <c r="AA63" i="2"/>
  <c r="Y64" i="2"/>
  <c r="AA64" i="2"/>
  <c r="Y66" i="2"/>
  <c r="AH65" i="2" s="1"/>
  <c r="AA66" i="2"/>
  <c r="AJ65" i="2" s="1"/>
  <c r="Y68" i="2"/>
  <c r="AA68" i="2"/>
  <c r="Y69" i="2"/>
  <c r="AA69" i="2"/>
  <c r="Y70" i="2"/>
  <c r="AA70" i="2"/>
  <c r="Y72" i="2"/>
  <c r="AA72" i="2"/>
  <c r="Y73" i="2"/>
  <c r="AA73" i="2"/>
  <c r="Y74" i="2"/>
  <c r="AA74" i="2"/>
  <c r="Y75" i="2"/>
  <c r="AA75" i="2"/>
  <c r="Y76" i="2"/>
  <c r="AA76" i="2"/>
  <c r="Y77" i="2"/>
  <c r="AA77" i="2"/>
  <c r="Y78" i="2"/>
  <c r="AA78" i="2"/>
  <c r="Y79" i="2"/>
  <c r="AA79" i="2"/>
  <c r="Y80" i="2"/>
  <c r="AA80" i="2"/>
  <c r="Y81" i="2"/>
  <c r="AA81" i="2"/>
  <c r="Y82" i="2"/>
  <c r="AA82" i="2"/>
  <c r="Y83" i="2"/>
  <c r="AA83" i="2"/>
  <c r="Y84" i="2"/>
  <c r="AA84" i="2"/>
  <c r="Y85" i="2"/>
  <c r="AA85" i="2"/>
  <c r="Y86" i="2"/>
  <c r="AA86" i="2"/>
  <c r="Y87" i="2"/>
  <c r="AA87" i="2"/>
  <c r="Y88" i="2"/>
  <c r="AA88" i="2"/>
  <c r="Y89" i="2"/>
  <c r="AA89" i="2"/>
  <c r="Y90" i="2"/>
  <c r="AA90" i="2"/>
  <c r="Y91" i="2"/>
  <c r="AA91" i="2"/>
  <c r="Y92" i="2"/>
  <c r="AA92" i="2"/>
  <c r="Y93" i="2"/>
  <c r="AA93" i="2"/>
  <c r="Y94" i="2"/>
  <c r="AA94" i="2"/>
  <c r="Y95" i="2"/>
  <c r="AA95" i="2"/>
  <c r="Y96" i="2"/>
  <c r="AA96" i="2"/>
  <c r="Y97" i="2"/>
  <c r="AA97" i="2"/>
  <c r="Y98" i="2"/>
  <c r="AA98" i="2"/>
  <c r="Y99" i="2"/>
  <c r="AA99" i="2"/>
  <c r="Y100" i="2"/>
  <c r="AA100" i="2"/>
  <c r="Y101" i="2"/>
  <c r="AA101" i="2"/>
  <c r="Y102" i="2"/>
  <c r="AA102" i="2"/>
  <c r="Y103" i="2"/>
  <c r="AA103" i="2"/>
  <c r="Y104" i="2"/>
  <c r="AA104" i="2"/>
  <c r="Y105" i="2"/>
  <c r="AA105" i="2"/>
  <c r="Y106" i="2"/>
  <c r="AA106" i="2"/>
  <c r="Y107" i="2"/>
  <c r="AA107" i="2"/>
  <c r="Y108" i="2"/>
  <c r="AA108" i="2"/>
  <c r="Y109" i="2"/>
  <c r="AA109" i="2"/>
  <c r="Y110" i="2"/>
  <c r="AA110" i="2"/>
  <c r="Y111" i="2"/>
  <c r="AA111" i="2"/>
  <c r="Y112" i="2"/>
  <c r="AA112" i="2"/>
  <c r="Y113" i="2"/>
  <c r="AA113" i="2"/>
  <c r="Y114" i="2"/>
  <c r="AA114" i="2"/>
  <c r="Y115" i="2"/>
  <c r="AA115" i="2"/>
  <c r="Y116" i="2"/>
  <c r="AA116" i="2"/>
  <c r="Y117" i="2"/>
  <c r="AA117" i="2"/>
  <c r="Y118" i="2"/>
  <c r="AA118" i="2"/>
  <c r="Y119" i="2"/>
  <c r="AA119" i="2"/>
  <c r="Y120" i="2"/>
  <c r="AA120" i="2"/>
  <c r="Y122" i="2"/>
  <c r="AH121" i="2" s="1"/>
  <c r="AA122" i="2"/>
  <c r="AJ121" i="2" s="1"/>
  <c r="Y125" i="2"/>
  <c r="AA125" i="2"/>
  <c r="Y126" i="2"/>
  <c r="AA126" i="2"/>
  <c r="Y127" i="2"/>
  <c r="AA127" i="2"/>
  <c r="Y128" i="2"/>
  <c r="AA128" i="2"/>
  <c r="Y129" i="2"/>
  <c r="AA129" i="2"/>
  <c r="Y131" i="2"/>
  <c r="AA131" i="2"/>
  <c r="Y132" i="2"/>
  <c r="AA132" i="2"/>
  <c r="Y133" i="2"/>
  <c r="AA133" i="2"/>
  <c r="Y134" i="2"/>
  <c r="AA134" i="2"/>
  <c r="Y135" i="2"/>
  <c r="AA135" i="2"/>
  <c r="Y136" i="2"/>
  <c r="AA136" i="2"/>
  <c r="Y137" i="2"/>
  <c r="AA137" i="2"/>
  <c r="Y138" i="2"/>
  <c r="AA138" i="2"/>
  <c r="Y139" i="2"/>
  <c r="AA139" i="2"/>
  <c r="Y140" i="2"/>
  <c r="AA140" i="2"/>
  <c r="Y141" i="2"/>
  <c r="AA141" i="2"/>
  <c r="Y142" i="2"/>
  <c r="AA142" i="2"/>
  <c r="Y144" i="2"/>
  <c r="AA144" i="2"/>
  <c r="Y145" i="2"/>
  <c r="AA145" i="2"/>
  <c r="Y146" i="2"/>
  <c r="AA146" i="2"/>
  <c r="Y147" i="2"/>
  <c r="AA147" i="2"/>
  <c r="Y148" i="2"/>
  <c r="AA148" i="2"/>
  <c r="Y149" i="2"/>
  <c r="AA149" i="2"/>
  <c r="Y150" i="2"/>
  <c r="AA150" i="2"/>
  <c r="Y151" i="2"/>
  <c r="AA151" i="2"/>
  <c r="Y152" i="2"/>
  <c r="AA152" i="2"/>
  <c r="Y153" i="2"/>
  <c r="AA153" i="2"/>
  <c r="Y154" i="2"/>
  <c r="AA154" i="2"/>
  <c r="Y155" i="2"/>
  <c r="AA155" i="2"/>
  <c r="Y156" i="2"/>
  <c r="AA156" i="2"/>
  <c r="Y157" i="2"/>
  <c r="AA157" i="2"/>
  <c r="Y158" i="2"/>
  <c r="AA158" i="2"/>
  <c r="Y159" i="2"/>
  <c r="AA159" i="2"/>
  <c r="Y160" i="2"/>
  <c r="AA160" i="2"/>
  <c r="Y162" i="2"/>
  <c r="AA162" i="2"/>
  <c r="Y163" i="2"/>
  <c r="AA163" i="2"/>
  <c r="Y164" i="2"/>
  <c r="AA164" i="2"/>
  <c r="Y165" i="2"/>
  <c r="AA165" i="2"/>
  <c r="Y166" i="2"/>
  <c r="AA166" i="2"/>
  <c r="Y167" i="2"/>
  <c r="AA167" i="2"/>
  <c r="Y168" i="2"/>
  <c r="AA168" i="2"/>
  <c r="Y169" i="2"/>
  <c r="AA169" i="2"/>
  <c r="Y171" i="2"/>
  <c r="AA171" i="2"/>
  <c r="Y172" i="2"/>
  <c r="AA172" i="2"/>
  <c r="Y173" i="2"/>
  <c r="AA173" i="2"/>
  <c r="Y176" i="2"/>
  <c r="AA176" i="2"/>
  <c r="Y177" i="2"/>
  <c r="AA177" i="2"/>
  <c r="Y178" i="2"/>
  <c r="AA178" i="2"/>
  <c r="Y179" i="2"/>
  <c r="AA179" i="2"/>
  <c r="Y180" i="2"/>
  <c r="AA180" i="2"/>
  <c r="Y181" i="2"/>
  <c r="AA181" i="2"/>
  <c r="Y182" i="2"/>
  <c r="AA182" i="2"/>
  <c r="Y183" i="2"/>
  <c r="AA183" i="2"/>
  <c r="Y184" i="2"/>
  <c r="AA184" i="2"/>
  <c r="Y185" i="2"/>
  <c r="AA185" i="2"/>
  <c r="Y186" i="2"/>
  <c r="AA186" i="2"/>
  <c r="Y187" i="2"/>
  <c r="AA187" i="2"/>
  <c r="Y188" i="2"/>
  <c r="AA188" i="2"/>
  <c r="Y189" i="2"/>
  <c r="AA189" i="2"/>
  <c r="Y191" i="2"/>
  <c r="AA191" i="2"/>
  <c r="Y192" i="2"/>
  <c r="AA192" i="2"/>
  <c r="Y194" i="2"/>
  <c r="AA194" i="2"/>
  <c r="Y195" i="2"/>
  <c r="AA195" i="2"/>
  <c r="Y197" i="2"/>
  <c r="AA197" i="2"/>
  <c r="Y199" i="2"/>
  <c r="AA199" i="2"/>
  <c r="Y200" i="2"/>
  <c r="AA200" i="2"/>
  <c r="Y201" i="2"/>
  <c r="AA201" i="2"/>
  <c r="Y202" i="2"/>
  <c r="AA202" i="2"/>
  <c r="Y203" i="2"/>
  <c r="AA203" i="2"/>
  <c r="Y204" i="2"/>
  <c r="AA204" i="2"/>
  <c r="Y205" i="2"/>
  <c r="AA205" i="2"/>
  <c r="Y206" i="2"/>
  <c r="AA206" i="2"/>
  <c r="Y207" i="2"/>
  <c r="AA207" i="2"/>
  <c r="Y208" i="2"/>
  <c r="AA208" i="2"/>
  <c r="Y209" i="2"/>
  <c r="AA209" i="2"/>
  <c r="Y210" i="2"/>
  <c r="AA210" i="2"/>
  <c r="Y212" i="2"/>
  <c r="AA212" i="2"/>
  <c r="Y213" i="2"/>
  <c r="AA213" i="2"/>
  <c r="Y214" i="2"/>
  <c r="AA214" i="2"/>
  <c r="Y215" i="2"/>
  <c r="AA215" i="2"/>
  <c r="Y216" i="2"/>
  <c r="AA216" i="2"/>
  <c r="Y217" i="2"/>
  <c r="AA217" i="2"/>
  <c r="Y218" i="2"/>
  <c r="AA218" i="2"/>
  <c r="Y219" i="2"/>
  <c r="AA219" i="2"/>
  <c r="Y220" i="2"/>
  <c r="AA220" i="2"/>
  <c r="Y222" i="2"/>
  <c r="AA222" i="2"/>
  <c r="Y223" i="2"/>
  <c r="AA223" i="2"/>
  <c r="Y225" i="2"/>
  <c r="AA225" i="2"/>
  <c r="Y226" i="2"/>
  <c r="AA226" i="2"/>
  <c r="Y227" i="2"/>
  <c r="AA227" i="2"/>
  <c r="Y228" i="2"/>
  <c r="AA228" i="2"/>
  <c r="Y229" i="2"/>
  <c r="AA229" i="2"/>
  <c r="Y230" i="2"/>
  <c r="AA230" i="2"/>
  <c r="Y232" i="2"/>
  <c r="AA232" i="2"/>
  <c r="Y233" i="2"/>
  <c r="AA233" i="2"/>
  <c r="Y234" i="2"/>
  <c r="AA234" i="2"/>
  <c r="Y235" i="2"/>
  <c r="AA235" i="2"/>
  <c r="Y236" i="2"/>
  <c r="AA236" i="2"/>
  <c r="Y237" i="2"/>
  <c r="AA237" i="2"/>
  <c r="Y238" i="2"/>
  <c r="AA238" i="2"/>
  <c r="Y239" i="2"/>
  <c r="AA239" i="2"/>
  <c r="Y240" i="2"/>
  <c r="AA240" i="2"/>
  <c r="Y241" i="2"/>
  <c r="AA241" i="2"/>
  <c r="Y242" i="2"/>
  <c r="AA242" i="2"/>
  <c r="Y243" i="2"/>
  <c r="AA243" i="2"/>
  <c r="Y244" i="2"/>
  <c r="AA244" i="2"/>
  <c r="Y245" i="2"/>
  <c r="AA245" i="2"/>
  <c r="Y246" i="2"/>
  <c r="AA246" i="2"/>
  <c r="Y247" i="2"/>
  <c r="AA247" i="2"/>
  <c r="Y249" i="2"/>
  <c r="AA249" i="2"/>
  <c r="Y250" i="2"/>
  <c r="AA250" i="2"/>
  <c r="Y251" i="2"/>
  <c r="AA251" i="2"/>
  <c r="Y261" i="2"/>
  <c r="AA261" i="2"/>
  <c r="Y262" i="2"/>
  <c r="AA262" i="2"/>
  <c r="Y263" i="2"/>
  <c r="AA263" i="2"/>
  <c r="Y264" i="2"/>
  <c r="AA264" i="2"/>
  <c r="Y265" i="2"/>
  <c r="AA265" i="2"/>
  <c r="Y266" i="2"/>
  <c r="AA266" i="2"/>
  <c r="Y268" i="2"/>
  <c r="AA268" i="2"/>
  <c r="Y269" i="2"/>
  <c r="AA269" i="2"/>
  <c r="Y270" i="2"/>
  <c r="AA270" i="2"/>
  <c r="Y271" i="2"/>
  <c r="AA271" i="2"/>
  <c r="Y277" i="2"/>
  <c r="AA277" i="2"/>
  <c r="Y278" i="2"/>
  <c r="AA278" i="2"/>
  <c r="Y279" i="2"/>
  <c r="AA279" i="2"/>
  <c r="Y280" i="2"/>
  <c r="AA280" i="2"/>
  <c r="Y281" i="2"/>
  <c r="AA281" i="2"/>
  <c r="Y282" i="2"/>
  <c r="AA282" i="2"/>
  <c r="Y284" i="2"/>
  <c r="AA284" i="2"/>
  <c r="Y285" i="2"/>
  <c r="AA285" i="2"/>
  <c r="Y286" i="2"/>
  <c r="AA286" i="2"/>
  <c r="Y288" i="2"/>
  <c r="AA288" i="2"/>
  <c r="Y289" i="2"/>
  <c r="AA289" i="2"/>
  <c r="Y290" i="2"/>
  <c r="AA290" i="2"/>
  <c r="Y291" i="2"/>
  <c r="AA291" i="2"/>
  <c r="Y292" i="2"/>
  <c r="AA292" i="2"/>
  <c r="Y293" i="2"/>
  <c r="AA293" i="2"/>
  <c r="Y294" i="2"/>
  <c r="AA294" i="2"/>
  <c r="Y295" i="2"/>
  <c r="AA295" i="2"/>
  <c r="Y296" i="2"/>
  <c r="AA296" i="2"/>
  <c r="Y299" i="2"/>
  <c r="AA299" i="2"/>
  <c r="Y300" i="2"/>
  <c r="AA300" i="2"/>
  <c r="Y301" i="2"/>
  <c r="AA301" i="2"/>
  <c r="Y302" i="2"/>
  <c r="AA302" i="2"/>
  <c r="Y304" i="2"/>
  <c r="AA304" i="2"/>
  <c r="Y305" i="2"/>
  <c r="AA305" i="2"/>
  <c r="Y306" i="2"/>
  <c r="AA306" i="2"/>
  <c r="N127" i="2"/>
  <c r="N109" i="2"/>
  <c r="N98" i="2"/>
  <c r="L98" i="2"/>
  <c r="N99" i="2"/>
  <c r="L99" i="2"/>
  <c r="N93" i="2"/>
  <c r="L93" i="2"/>
  <c r="N74" i="2"/>
  <c r="L74" i="2"/>
  <c r="N92" i="2"/>
  <c r="L92" i="2"/>
  <c r="N163" i="2"/>
  <c r="L163" i="2"/>
  <c r="N236" i="2"/>
  <c r="N189" i="2"/>
  <c r="L189" i="2"/>
  <c r="N188" i="2"/>
  <c r="L188" i="2"/>
  <c r="N187" i="2"/>
  <c r="L187" i="2"/>
  <c r="N172" i="2"/>
  <c r="L172" i="2"/>
  <c r="N153" i="2"/>
  <c r="L153" i="2"/>
  <c r="N157" i="2"/>
  <c r="L157" i="2"/>
  <c r="N155" i="2"/>
  <c r="L155" i="2"/>
  <c r="N151" i="2"/>
  <c r="L151" i="2"/>
  <c r="N152" i="2"/>
  <c r="L152" i="2"/>
  <c r="N42" i="2"/>
  <c r="L42" i="2"/>
  <c r="N41" i="2"/>
  <c r="N40" i="2"/>
  <c r="N28" i="2"/>
  <c r="L28" i="2"/>
  <c r="N263" i="2"/>
  <c r="L263" i="2"/>
  <c r="N62" i="2"/>
  <c r="N137" i="2"/>
  <c r="N222" i="2"/>
  <c r="J222" i="2"/>
  <c r="AE168" i="2"/>
  <c r="AM168" i="2" s="1"/>
  <c r="AE39" i="2"/>
  <c r="AM39" i="2" s="1"/>
  <c r="N37" i="2"/>
  <c r="J277" i="2"/>
  <c r="Z277" i="2" s="1"/>
  <c r="Z13" i="2"/>
  <c r="J268" i="2"/>
  <c r="Z268" i="2" s="1"/>
  <c r="J249" i="2"/>
  <c r="Z249" i="2" s="1"/>
  <c r="N243" i="2"/>
  <c r="L243" i="2"/>
  <c r="J243" i="2"/>
  <c r="Z243" i="2" s="1"/>
  <c r="N240" i="2"/>
  <c r="J244" i="2"/>
  <c r="Z244" i="2" s="1"/>
  <c r="N244" i="2"/>
  <c r="L244" i="2"/>
  <c r="N242" i="2"/>
  <c r="N241" i="2"/>
  <c r="L241" i="2"/>
  <c r="J218" i="2"/>
  <c r="L217" i="2"/>
  <c r="J166" i="2"/>
  <c r="Z166" i="2" s="1"/>
  <c r="J164" i="2"/>
  <c r="Z164" i="2" s="1"/>
  <c r="L164" i="2"/>
  <c r="L135" i="2"/>
  <c r="L134" i="2"/>
  <c r="N102" i="2"/>
  <c r="L102" i="2"/>
  <c r="N101" i="2"/>
  <c r="L101" i="2"/>
  <c r="N96" i="2"/>
  <c r="L96" i="2"/>
  <c r="N90" i="2"/>
  <c r="L90" i="2"/>
  <c r="L89" i="2"/>
  <c r="N89" i="2"/>
  <c r="N79" i="2"/>
  <c r="L79" i="2"/>
  <c r="J136" i="2"/>
  <c r="Z136" i="2" s="1"/>
  <c r="N44" i="2"/>
  <c r="AE35" i="2"/>
  <c r="AM35" i="2" s="1"/>
  <c r="N35" i="2"/>
  <c r="N36" i="2"/>
  <c r="N34" i="2"/>
  <c r="N284" i="2"/>
  <c r="L284" i="2"/>
  <c r="N285" i="2"/>
  <c r="L285" i="2"/>
  <c r="AE245" i="2"/>
  <c r="AM245" i="2" s="1"/>
  <c r="J245" i="2"/>
  <c r="N246" i="2"/>
  <c r="N245" i="2"/>
  <c r="L245" i="2"/>
  <c r="N265" i="2"/>
  <c r="L265" i="2"/>
  <c r="N168" i="2"/>
  <c r="N167" i="2"/>
  <c r="N147" i="2"/>
  <c r="L147" i="2"/>
  <c r="N158" i="2"/>
  <c r="N156" i="2"/>
  <c r="L156" i="2"/>
  <c r="N154" i="2"/>
  <c r="L154" i="2"/>
  <c r="N150" i="2"/>
  <c r="L150" i="2"/>
  <c r="N141" i="2"/>
  <c r="N146" i="2"/>
  <c r="N144" i="2"/>
  <c r="L144" i="2"/>
  <c r="L145" i="2"/>
  <c r="N145" i="2"/>
  <c r="N142" i="2"/>
  <c r="L142" i="2"/>
  <c r="N140" i="2"/>
  <c r="N139" i="2"/>
  <c r="N138" i="2"/>
  <c r="N135" i="2"/>
  <c r="N132" i="2"/>
  <c r="N134" i="2"/>
  <c r="N133" i="2"/>
  <c r="L133" i="2"/>
  <c r="N131" i="2"/>
  <c r="L131" i="2"/>
  <c r="L109" i="2"/>
  <c r="N108" i="2"/>
  <c r="L108" i="2"/>
  <c r="N107" i="2"/>
  <c r="L107" i="2"/>
  <c r="AM106" i="2"/>
  <c r="N106" i="2"/>
  <c r="L106" i="2"/>
  <c r="N87" i="2"/>
  <c r="L87" i="2"/>
  <c r="N103" i="2"/>
  <c r="L103" i="2"/>
  <c r="N104" i="2"/>
  <c r="L104" i="2"/>
  <c r="N88" i="2"/>
  <c r="L88" i="2"/>
  <c r="N100" i="2"/>
  <c r="L100" i="2"/>
  <c r="N81" i="2"/>
  <c r="L81" i="2"/>
  <c r="N97" i="2"/>
  <c r="L97" i="2"/>
  <c r="N94" i="2"/>
  <c r="L94" i="2"/>
  <c r="N95" i="2"/>
  <c r="L95" i="2"/>
  <c r="N91" i="2"/>
  <c r="L91" i="2"/>
  <c r="N86" i="2"/>
  <c r="L86" i="2"/>
  <c r="N85" i="2"/>
  <c r="L85" i="2"/>
  <c r="N75" i="2"/>
  <c r="L75" i="2"/>
  <c r="N80" i="2"/>
  <c r="L80" i="2"/>
  <c r="N82" i="2"/>
  <c r="L82" i="2"/>
  <c r="N77" i="2"/>
  <c r="L77" i="2"/>
  <c r="N76" i="2"/>
  <c r="L76" i="2"/>
  <c r="N70" i="2"/>
  <c r="L70" i="2"/>
  <c r="N78" i="2"/>
  <c r="L78" i="2"/>
  <c r="N72" i="2"/>
  <c r="L72" i="2"/>
  <c r="N68" i="2"/>
  <c r="L68" i="2"/>
  <c r="N136" i="2"/>
  <c r="N262" i="2"/>
  <c r="L262" i="2"/>
  <c r="N266" i="2"/>
  <c r="N119" i="2"/>
  <c r="L119" i="2"/>
  <c r="N118" i="2"/>
  <c r="L118" i="2"/>
  <c r="N59" i="2"/>
  <c r="N281" i="2"/>
  <c r="N199" i="2"/>
  <c r="N63" i="2"/>
  <c r="N43" i="2"/>
  <c r="N39" i="2"/>
  <c r="L39" i="2"/>
  <c r="N38" i="2"/>
  <c r="L38" i="2"/>
  <c r="N128" i="2"/>
  <c r="L128" i="2"/>
  <c r="J128" i="2"/>
  <c r="Z128" i="2" s="1"/>
  <c r="N286" i="2"/>
  <c r="L286" i="2"/>
  <c r="N115" i="2"/>
  <c r="L115" i="2"/>
  <c r="N235" i="2"/>
  <c r="N234" i="2"/>
  <c r="L234" i="2"/>
  <c r="N233" i="2"/>
  <c r="L233" i="2"/>
  <c r="N209" i="2"/>
  <c r="N197" i="2"/>
  <c r="N180" i="2"/>
  <c r="N148" i="2"/>
  <c r="L148" i="2"/>
  <c r="N126" i="2"/>
  <c r="L126" i="2"/>
  <c r="J126" i="2"/>
  <c r="Z126" i="2" s="1"/>
  <c r="N125" i="2"/>
  <c r="L125" i="2"/>
  <c r="W124" i="2"/>
  <c r="U124" i="2"/>
  <c r="Q124" i="2"/>
  <c r="N122" i="2"/>
  <c r="O121" i="2" s="1"/>
  <c r="L122" i="2"/>
  <c r="L121" i="2" s="1"/>
  <c r="W121" i="2"/>
  <c r="U121" i="2"/>
  <c r="Q121" i="2"/>
  <c r="N114" i="2"/>
  <c r="L114" i="2"/>
  <c r="N113" i="2"/>
  <c r="L113" i="2"/>
  <c r="N112" i="2"/>
  <c r="L112" i="2"/>
  <c r="N111" i="2"/>
  <c r="L111" i="2"/>
  <c r="N110" i="2"/>
  <c r="L110" i="2"/>
  <c r="N105" i="2"/>
  <c r="L105" i="2"/>
  <c r="N29" i="2"/>
  <c r="L29" i="2"/>
  <c r="J29" i="2"/>
  <c r="Z29" i="2" s="1"/>
  <c r="N27" i="2"/>
  <c r="L27" i="2"/>
  <c r="W26" i="2"/>
  <c r="U26" i="2"/>
  <c r="S26" i="2"/>
  <c r="N15" i="2"/>
  <c r="N14" i="2"/>
  <c r="L14" i="2"/>
  <c r="AE13" i="2"/>
  <c r="AM13" i="2" s="1"/>
  <c r="AD13" i="2"/>
  <c r="H13" i="2" s="1"/>
  <c r="AA13" i="2"/>
  <c r="Y13" i="2"/>
  <c r="N13" i="2"/>
  <c r="L13" i="2"/>
  <c r="N205" i="2"/>
  <c r="K32" i="2"/>
  <c r="K33" i="2" s="1"/>
  <c r="N213" i="2"/>
  <c r="L213" i="2"/>
  <c r="N33" i="2"/>
  <c r="N32" i="2"/>
  <c r="N31" i="2"/>
  <c r="N183" i="2"/>
  <c r="L183" i="2"/>
  <c r="N182" i="2"/>
  <c r="L182" i="2"/>
  <c r="N179" i="2"/>
  <c r="L179" i="2"/>
  <c r="N22" i="2"/>
  <c r="N305" i="2"/>
  <c r="N306" i="2"/>
  <c r="N304" i="2"/>
  <c r="N301" i="2"/>
  <c r="L301" i="2"/>
  <c r="J301" i="2"/>
  <c r="Z301" i="2" s="1"/>
  <c r="N227" i="2"/>
  <c r="N226" i="2"/>
  <c r="N159" i="2"/>
  <c r="L159" i="2"/>
  <c r="N116" i="2"/>
  <c r="L116" i="2"/>
  <c r="AD282" i="2"/>
  <c r="L237" i="2"/>
  <c r="N251" i="2"/>
  <c r="N48" i="2"/>
  <c r="N47" i="2"/>
  <c r="N186" i="2"/>
  <c r="N185" i="2"/>
  <c r="N181" i="2"/>
  <c r="N195" i="2"/>
  <c r="L195" i="2"/>
  <c r="J195" i="2"/>
  <c r="Z195" i="2" s="1"/>
  <c r="N217" i="2"/>
  <c r="N218" i="2"/>
  <c r="N228" i="2"/>
  <c r="N229" i="2"/>
  <c r="N282" i="2"/>
  <c r="N280" i="2"/>
  <c r="N279" i="2"/>
  <c r="N278" i="2"/>
  <c r="N277" i="2"/>
  <c r="AE202" i="2"/>
  <c r="N202" i="2"/>
  <c r="N18" i="2"/>
  <c r="N269" i="2"/>
  <c r="N58" i="2"/>
  <c r="W303" i="2"/>
  <c r="S303" i="2"/>
  <c r="Q303" i="2"/>
  <c r="W298" i="2"/>
  <c r="U298" i="2"/>
  <c r="S298" i="2"/>
  <c r="L306" i="2"/>
  <c r="J306" i="2"/>
  <c r="Z306" i="2" s="1"/>
  <c r="I306" i="2"/>
  <c r="H306" i="2"/>
  <c r="L305" i="2"/>
  <c r="I305" i="2"/>
  <c r="L304" i="2"/>
  <c r="I304" i="2"/>
  <c r="N51" i="2"/>
  <c r="N23" i="2"/>
  <c r="N24" i="2"/>
  <c r="L58" i="2"/>
  <c r="I58" i="2"/>
  <c r="AD58" i="2"/>
  <c r="AL58" i="2" s="1"/>
  <c r="N300" i="2"/>
  <c r="L300" i="2"/>
  <c r="J300" i="2"/>
  <c r="Z300" i="2" s="1"/>
  <c r="N299" i="2"/>
  <c r="L299" i="2"/>
  <c r="L302" i="2"/>
  <c r="H302" i="2"/>
  <c r="I302" i="2"/>
  <c r="N53" i="2"/>
  <c r="L53" i="2"/>
  <c r="N52" i="2"/>
  <c r="N162" i="2"/>
  <c r="L162" i="2"/>
  <c r="Z162" i="2"/>
  <c r="N160" i="2"/>
  <c r="L160" i="2"/>
  <c r="S12" i="2"/>
  <c r="U12" i="2"/>
  <c r="W12" i="2"/>
  <c r="N17" i="2"/>
  <c r="N19" i="2"/>
  <c r="N20" i="2"/>
  <c r="N21" i="2"/>
  <c r="N25" i="2"/>
  <c r="S30" i="2"/>
  <c r="U30" i="2"/>
  <c r="W30" i="2"/>
  <c r="N45" i="2"/>
  <c r="N46" i="2"/>
  <c r="N49" i="2"/>
  <c r="N50" i="2"/>
  <c r="N60" i="2"/>
  <c r="S61" i="2"/>
  <c r="U61" i="2"/>
  <c r="W61" i="2"/>
  <c r="N64" i="2"/>
  <c r="Q65" i="2"/>
  <c r="U65" i="2"/>
  <c r="W65" i="2"/>
  <c r="N66" i="2"/>
  <c r="O65" i="2" s="1"/>
  <c r="Q67" i="2"/>
  <c r="U67" i="2"/>
  <c r="W67" i="2"/>
  <c r="L69" i="2"/>
  <c r="N69" i="2"/>
  <c r="L73" i="2"/>
  <c r="N73" i="2"/>
  <c r="L83" i="2"/>
  <c r="N83" i="2"/>
  <c r="L84" i="2"/>
  <c r="N84" i="2"/>
  <c r="L117" i="2"/>
  <c r="N117" i="2"/>
  <c r="Q130" i="2"/>
  <c r="U130" i="2"/>
  <c r="W130" i="2"/>
  <c r="L149" i="2"/>
  <c r="N149" i="2"/>
  <c r="N164" i="2"/>
  <c r="L165" i="2"/>
  <c r="N165" i="2"/>
  <c r="N166" i="2"/>
  <c r="Q170" i="2"/>
  <c r="U170" i="2"/>
  <c r="W170" i="2"/>
  <c r="L171" i="2"/>
  <c r="N171" i="2"/>
  <c r="L173" i="2"/>
  <c r="N173" i="2"/>
  <c r="Q175" i="2"/>
  <c r="U175" i="2"/>
  <c r="W175" i="2"/>
  <c r="N176" i="2"/>
  <c r="L177" i="2"/>
  <c r="N177" i="2"/>
  <c r="N178" i="2"/>
  <c r="N184" i="2"/>
  <c r="N191" i="2"/>
  <c r="Q193" i="2"/>
  <c r="U193" i="2"/>
  <c r="W193" i="2"/>
  <c r="L194" i="2"/>
  <c r="N194" i="2"/>
  <c r="Q196" i="2"/>
  <c r="U196" i="2"/>
  <c r="W196" i="2"/>
  <c r="N200" i="2"/>
  <c r="N201" i="2"/>
  <c r="N203" i="2"/>
  <c r="N204" i="2"/>
  <c r="N206" i="2"/>
  <c r="N207" i="2"/>
  <c r="N208" i="2"/>
  <c r="Q211" i="2"/>
  <c r="U211" i="2"/>
  <c r="W211" i="2"/>
  <c r="N212" i="2"/>
  <c r="N214" i="2"/>
  <c r="N215" i="2"/>
  <c r="N216" i="2"/>
  <c r="N219" i="2"/>
  <c r="N220" i="2"/>
  <c r="Q224" i="2"/>
  <c r="U224" i="2"/>
  <c r="W224" i="2"/>
  <c r="N225" i="2"/>
  <c r="N230" i="2"/>
  <c r="Q231" i="2"/>
  <c r="U231" i="2"/>
  <c r="W231" i="2"/>
  <c r="N232" i="2"/>
  <c r="N237" i="2"/>
  <c r="N238" i="2"/>
  <c r="L239" i="2"/>
  <c r="N239" i="2"/>
  <c r="L247" i="2"/>
  <c r="N247" i="2"/>
  <c r="S248" i="2"/>
  <c r="U248" i="2"/>
  <c r="W248" i="2"/>
  <c r="N249" i="2"/>
  <c r="N250" i="2"/>
  <c r="S260" i="2"/>
  <c r="U260" i="2"/>
  <c r="W260" i="2"/>
  <c r="L264" i="2"/>
  <c r="N264" i="2"/>
  <c r="N268" i="2"/>
  <c r="L270" i="2"/>
  <c r="N270" i="2"/>
  <c r="L271" i="2"/>
  <c r="N271" i="2"/>
  <c r="S272" i="2"/>
  <c r="U272" i="2"/>
  <c r="W272" i="2"/>
  <c r="Q283" i="2"/>
  <c r="S283" i="2"/>
  <c r="W283" i="2"/>
  <c r="S287" i="2"/>
  <c r="U287" i="2"/>
  <c r="W287" i="2"/>
  <c r="H305" i="2"/>
  <c r="J302" i="2"/>
  <c r="Z302" i="2" s="1"/>
  <c r="J305" i="2"/>
  <c r="Z305" i="2" s="1"/>
  <c r="N302" i="2"/>
  <c r="M298" i="2"/>
  <c r="L17" i="2"/>
  <c r="L191" i="2"/>
  <c r="L199" i="2"/>
  <c r="L137" i="2"/>
  <c r="F47" i="2"/>
  <c r="L279" i="2"/>
  <c r="H304" i="2"/>
  <c r="L66" i="2"/>
  <c r="L65" i="2" s="1"/>
  <c r="L281" i="2"/>
  <c r="H154" i="2"/>
  <c r="L23" i="2"/>
  <c r="L141" i="2"/>
  <c r="L218" i="2"/>
  <c r="L24" i="2"/>
  <c r="L51" i="2"/>
  <c r="L249" i="2"/>
  <c r="J280" i="2"/>
  <c r="Z280" i="2" s="1"/>
  <c r="L277" i="2"/>
  <c r="L227" i="2"/>
  <c r="J227" i="2"/>
  <c r="Z227" i="2" s="1"/>
  <c r="L36" i="2"/>
  <c r="L48" i="2"/>
  <c r="AD245" i="2"/>
  <c r="H245" i="2" s="1"/>
  <c r="AD95" i="2"/>
  <c r="H95" i="2" s="1"/>
  <c r="AD202" i="2"/>
  <c r="AD94" i="2"/>
  <c r="H94" i="2" s="1"/>
  <c r="AD21" i="2"/>
  <c r="AL21" i="2" s="1"/>
  <c r="AD70" i="2"/>
  <c r="AL70" i="2" s="1"/>
  <c r="Z147" i="2"/>
  <c r="AD304" i="2"/>
  <c r="AL304" i="2" s="1"/>
  <c r="AE304" i="2"/>
  <c r="AM304" i="2" s="1"/>
  <c r="J304" i="2"/>
  <c r="Z304" i="2" s="1"/>
  <c r="AD240" i="2"/>
  <c r="AL240" i="2" s="1"/>
  <c r="AE240" i="2"/>
  <c r="AM240" i="2" s="1"/>
  <c r="AE181" i="2"/>
  <c r="AD181" i="2"/>
  <c r="AE243" i="2"/>
  <c r="AM243" i="2" s="1"/>
  <c r="AD243" i="2"/>
  <c r="AL243" i="2" s="1"/>
  <c r="AE20" i="2"/>
  <c r="AM20" i="2" s="1"/>
  <c r="AD20" i="2"/>
  <c r="H20" i="2" s="1"/>
  <c r="AD244" i="2"/>
  <c r="H244" i="2" s="1"/>
  <c r="I244" i="2" s="1"/>
  <c r="AE244" i="2"/>
  <c r="AM244" i="2" s="1"/>
  <c r="AD208" i="2"/>
  <c r="AE208" i="2"/>
  <c r="AM208" i="2" s="1"/>
  <c r="AE282" i="2"/>
  <c r="AD168" i="2"/>
  <c r="AE93" i="2"/>
  <c r="AM93" i="2" s="1"/>
  <c r="J22" i="2"/>
  <c r="Z22" i="2" s="1"/>
  <c r="J94" i="2"/>
  <c r="Z94" i="2" s="1"/>
  <c r="AE94" i="2"/>
  <c r="AM94" i="2" s="1"/>
  <c r="J99" i="2"/>
  <c r="Z99" i="2" s="1"/>
  <c r="AE99" i="2"/>
  <c r="AM99" i="2" s="1"/>
  <c r="AD99" i="2"/>
  <c r="H99" i="2" s="1"/>
  <c r="J176" i="2"/>
  <c r="Z176" i="2" s="1"/>
  <c r="AD35" i="2"/>
  <c r="H35" i="2" s="1"/>
  <c r="J132" i="2"/>
  <c r="Z132" i="2" s="1"/>
  <c r="L132" i="2"/>
  <c r="L139" i="2"/>
  <c r="J139" i="2"/>
  <c r="J70" i="2"/>
  <c r="AE70" i="2"/>
  <c r="AM70" i="2" s="1"/>
  <c r="J15" i="2"/>
  <c r="L15" i="2"/>
  <c r="J20" i="2"/>
  <c r="Z20" i="2" s="1"/>
  <c r="L20" i="2"/>
  <c r="J49" i="2"/>
  <c r="Z49" i="2" s="1"/>
  <c r="L49" i="2"/>
  <c r="J66" i="2"/>
  <c r="Z66" i="2" s="1"/>
  <c r="AI65" i="2" s="1"/>
  <c r="J184" i="2"/>
  <c r="Z184" i="2" s="1"/>
  <c r="L184" i="2"/>
  <c r="J24" i="2"/>
  <c r="Z24" i="2" s="1"/>
  <c r="L212" i="2"/>
  <c r="J93" i="2"/>
  <c r="Z93" i="2" s="1"/>
  <c r="AD93" i="2"/>
  <c r="H93" i="2" s="1"/>
  <c r="J278" i="2"/>
  <c r="Z278" i="2" s="1"/>
  <c r="L278" i="2"/>
  <c r="J25" i="2"/>
  <c r="Z25" i="2" s="1"/>
  <c r="L222" i="2"/>
  <c r="L50" i="2"/>
  <c r="AL269" i="2"/>
  <c r="AE242" i="2"/>
  <c r="AD242" i="2"/>
  <c r="J19" i="2"/>
  <c r="Z19" i="2" s="1"/>
  <c r="J50" i="2"/>
  <c r="Z50" i="2" s="1"/>
  <c r="J39" i="2"/>
  <c r="Z39" i="2" s="1"/>
  <c r="AD39" i="2"/>
  <c r="AL39" i="2" s="1"/>
  <c r="F203" i="2"/>
  <c r="J17" i="2"/>
  <c r="AE17" i="2"/>
  <c r="AM17" i="2" s="1"/>
  <c r="AD17" i="2"/>
  <c r="H17" i="2" s="1"/>
  <c r="AE21" i="2"/>
  <c r="AM21" i="2" s="1"/>
  <c r="L214" i="2"/>
  <c r="J212" i="2"/>
  <c r="Z212" i="2" s="1"/>
  <c r="L25" i="2"/>
  <c r="L59" i="2"/>
  <c r="J158" i="2"/>
  <c r="Z158" i="2" s="1"/>
  <c r="L158" i="2"/>
  <c r="L250" i="2"/>
  <c r="J250" i="2"/>
  <c r="Z250" i="2" s="1"/>
  <c r="AE22" i="2"/>
  <c r="AM22" i="2" s="1"/>
  <c r="AD22" i="2"/>
  <c r="J36" i="2"/>
  <c r="Z36" i="2" s="1"/>
  <c r="L21" i="2"/>
  <c r="J21" i="2"/>
  <c r="Z21" i="2" s="1"/>
  <c r="AE219" i="2"/>
  <c r="AD219" i="2"/>
  <c r="H219" i="2" s="1"/>
  <c r="L200" i="2"/>
  <c r="L219" i="2"/>
  <c r="H58" i="2"/>
  <c r="AE58" i="2"/>
  <c r="AM58" i="2" s="1"/>
  <c r="J58" i="2"/>
  <c r="Z58" i="2" s="1"/>
  <c r="L240" i="2"/>
  <c r="F185" i="2"/>
  <c r="L185" i="2" s="1"/>
  <c r="L180" i="2"/>
  <c r="F181" i="2"/>
  <c r="J181" i="2" s="1"/>
  <c r="F186" i="2"/>
  <c r="L176" i="2"/>
  <c r="F178" i="2"/>
  <c r="AL178" i="2" s="1"/>
  <c r="L22" i="2"/>
  <c r="L166" i="2"/>
  <c r="J281" i="2"/>
  <c r="J95" i="2"/>
  <c r="AE95" i="2"/>
  <c r="AM95" i="2" s="1"/>
  <c r="AE127" i="2"/>
  <c r="AM127" i="2" s="1"/>
  <c r="J127" i="2"/>
  <c r="AD127" i="2"/>
  <c r="H127" i="2" s="1"/>
  <c r="J140" i="2"/>
  <c r="L140" i="2"/>
  <c r="J52" i="2"/>
  <c r="Z52" i="2" s="1"/>
  <c r="L52" i="2"/>
  <c r="L280" i="2"/>
  <c r="J279" i="2"/>
  <c r="Z279" i="2" s="1"/>
  <c r="F46" i="2"/>
  <c r="J23" i="2"/>
  <c r="Z23" i="2" s="1"/>
  <c r="AE160" i="2"/>
  <c r="AM160" i="2" s="1"/>
  <c r="AD160" i="2"/>
  <c r="AL160" i="2" s="1"/>
  <c r="J160" i="2"/>
  <c r="Z160" i="2" s="1"/>
  <c r="L43" i="2"/>
  <c r="J43" i="2"/>
  <c r="Z43" i="2" s="1"/>
  <c r="F202" i="2"/>
  <c r="J202" i="2" s="1"/>
  <c r="J197" i="2"/>
  <c r="J206" i="2"/>
  <c r="J240" i="2"/>
  <c r="Z240" i="2" s="1"/>
  <c r="AD98" i="2"/>
  <c r="AL98" i="2" s="1"/>
  <c r="J98" i="2"/>
  <c r="Z98" i="2" s="1"/>
  <c r="AE98" i="2"/>
  <c r="AM98" i="2" s="1"/>
  <c r="AD92" i="2"/>
  <c r="H92" i="2" s="1"/>
  <c r="AE92" i="2"/>
  <c r="AM92" i="2" s="1"/>
  <c r="J92" i="2"/>
  <c r="Z92" i="2" s="1"/>
  <c r="AE74" i="2"/>
  <c r="AM74" i="2" s="1"/>
  <c r="AD74" i="2"/>
  <c r="AL74" i="2" s="1"/>
  <c r="J74" i="2"/>
  <c r="Z74" i="2" s="1"/>
  <c r="L246" i="2"/>
  <c r="J246" i="2"/>
  <c r="Z246" i="2" s="1"/>
  <c r="J35" i="2"/>
  <c r="L35" i="2"/>
  <c r="J63" i="2"/>
  <c r="Z63" i="2" s="1"/>
  <c r="L63" i="2"/>
  <c r="AE18" i="2"/>
  <c r="AM18" i="2" s="1"/>
  <c r="AD18" i="2"/>
  <c r="H18" i="2" s="1"/>
  <c r="J51" i="2"/>
  <c r="Z51" i="2" s="1"/>
  <c r="L136" i="2"/>
  <c r="J134" i="2"/>
  <c r="J217" i="2"/>
  <c r="Z217" i="2" s="1"/>
  <c r="F282" i="2"/>
  <c r="L282" i="2" s="1"/>
  <c r="F209" i="2"/>
  <c r="J209" i="2" s="1"/>
  <c r="L197" i="2"/>
  <c r="J18" i="2"/>
  <c r="Z18" i="2" s="1"/>
  <c r="L18" i="2"/>
  <c r="L19" i="2"/>
  <c r="J138" i="2"/>
  <c r="H88" i="2"/>
  <c r="L205" i="2"/>
  <c r="J220" i="2"/>
  <c r="Z220" i="2" s="1"/>
  <c r="L146" i="2"/>
  <c r="J216" i="2"/>
  <c r="Z216" i="2" s="1"/>
  <c r="H16" i="2"/>
  <c r="Z155" i="2"/>
  <c r="AL213" i="2"/>
  <c r="L31" i="2"/>
  <c r="J273" i="2"/>
  <c r="N273" i="2" s="1"/>
  <c r="H176" i="2"/>
  <c r="J168" i="2"/>
  <c r="Z168" i="2" s="1"/>
  <c r="J219" i="2"/>
  <c r="Z219" i="2" s="1"/>
  <c r="H215" i="2"/>
  <c r="H217" i="2"/>
  <c r="H86" i="2"/>
  <c r="F225" i="2" l="1"/>
  <c r="F228" i="2"/>
  <c r="F232" i="2"/>
  <c r="F44" i="2"/>
  <c r="AL44" i="2" s="1"/>
  <c r="F34" i="2"/>
  <c r="I162" i="2"/>
  <c r="AL162" i="2"/>
  <c r="I115" i="2"/>
  <c r="I111" i="2"/>
  <c r="AL51" i="2"/>
  <c r="AL200" i="2"/>
  <c r="J32" i="2"/>
  <c r="Z32" i="2" s="1"/>
  <c r="AL279" i="2"/>
  <c r="H126" i="2"/>
  <c r="H73" i="2"/>
  <c r="AL63" i="2"/>
  <c r="H49" i="2"/>
  <c r="I49" i="2" s="1"/>
  <c r="AL38" i="2"/>
  <c r="H84" i="2"/>
  <c r="H274" i="2"/>
  <c r="I274" i="2" s="1"/>
  <c r="L225" i="2"/>
  <c r="AM246" i="2"/>
  <c r="F201" i="2"/>
  <c r="AM201" i="2" s="1"/>
  <c r="AM200" i="2"/>
  <c r="J33" i="2"/>
  <c r="Z33" i="2" s="1"/>
  <c r="Z127" i="2"/>
  <c r="J129" i="2"/>
  <c r="Z273" i="2"/>
  <c r="H53" i="2"/>
  <c r="I53" i="2" s="1"/>
  <c r="H246" i="2"/>
  <c r="I246" i="2" s="1"/>
  <c r="AL165" i="2"/>
  <c r="AL267" i="2"/>
  <c r="H113" i="2"/>
  <c r="AL159" i="2"/>
  <c r="H151" i="2"/>
  <c r="H183" i="2"/>
  <c r="I183" i="2" s="1"/>
  <c r="H299" i="2"/>
  <c r="H298" i="2" s="1"/>
  <c r="Q298" i="2" s="1"/>
  <c r="AL142" i="2"/>
  <c r="H128" i="2"/>
  <c r="I128" i="2" s="1"/>
  <c r="I154" i="2"/>
  <c r="I102" i="2"/>
  <c r="I80" i="2"/>
  <c r="I76" i="2"/>
  <c r="H187" i="2"/>
  <c r="I187" i="2" s="1"/>
  <c r="AL301" i="2"/>
  <c r="I140" i="2"/>
  <c r="H119" i="2"/>
  <c r="I119" i="2" s="1"/>
  <c r="AL147" i="2"/>
  <c r="H286" i="2"/>
  <c r="I286" i="2" s="1"/>
  <c r="H43" i="2"/>
  <c r="I43" i="2" s="1"/>
  <c r="AM46" i="2"/>
  <c r="H132" i="2"/>
  <c r="I132" i="2" s="1"/>
  <c r="I188" i="2"/>
  <c r="H251" i="2"/>
  <c r="J48" i="2"/>
  <c r="Z48" i="2" s="1"/>
  <c r="H278" i="2"/>
  <c r="I278" i="2" s="1"/>
  <c r="H266" i="2"/>
  <c r="I266" i="2" s="1"/>
  <c r="H134" i="2"/>
  <c r="I134" i="2" s="1"/>
  <c r="AL31" i="2"/>
  <c r="H28" i="2"/>
  <c r="H25" i="2"/>
  <c r="I25" i="2" s="1"/>
  <c r="AL15" i="2"/>
  <c r="I15" i="2"/>
  <c r="I222" i="2"/>
  <c r="K22" i="4"/>
  <c r="F226" i="2"/>
  <c r="AM226" i="2" s="1"/>
  <c r="AM207" i="2"/>
  <c r="L207" i="2"/>
  <c r="H207" i="2"/>
  <c r="I207" i="2" s="1"/>
  <c r="H209" i="2"/>
  <c r="AL60" i="2"/>
  <c r="J242" i="2"/>
  <c r="Z242" i="2" s="1"/>
  <c r="AL232" i="2"/>
  <c r="H236" i="2"/>
  <c r="H156" i="2"/>
  <c r="I156" i="2" s="1"/>
  <c r="AL133" i="2"/>
  <c r="AL139" i="2"/>
  <c r="AL186" i="2"/>
  <c r="AL76" i="2"/>
  <c r="H273" i="2"/>
  <c r="I273" i="2" s="1"/>
  <c r="H137" i="2"/>
  <c r="I137" i="2" s="1"/>
  <c r="H227" i="2"/>
  <c r="I227" i="2" s="1"/>
  <c r="AL78" i="2"/>
  <c r="I153" i="2"/>
  <c r="H280" i="2"/>
  <c r="I280" i="2" s="1"/>
  <c r="AL47" i="2"/>
  <c r="J45" i="2"/>
  <c r="Z45" i="2" s="1"/>
  <c r="AL265" i="2"/>
  <c r="H184" i="2"/>
  <c r="I184" i="2" s="1"/>
  <c r="H173" i="2"/>
  <c r="H170" i="2" s="1"/>
  <c r="AL152" i="2"/>
  <c r="H131" i="2"/>
  <c r="I131" i="2" s="1"/>
  <c r="H121" i="2"/>
  <c r="S121" i="2" s="1"/>
  <c r="AL102" i="2"/>
  <c r="I97" i="2"/>
  <c r="H39" i="2"/>
  <c r="I39" i="2" s="1"/>
  <c r="AL27" i="2"/>
  <c r="I16" i="2"/>
  <c r="H285" i="2"/>
  <c r="H277" i="2"/>
  <c r="I277" i="2" s="1"/>
  <c r="I39" i="4"/>
  <c r="K39" i="4"/>
  <c r="I159" i="2"/>
  <c r="H118" i="2"/>
  <c r="I118" i="2" s="1"/>
  <c r="AL268" i="2"/>
  <c r="AL270" i="2"/>
  <c r="AL195" i="2"/>
  <c r="H178" i="2"/>
  <c r="I195" i="2"/>
  <c r="H164" i="2"/>
  <c r="I164" i="2" s="1"/>
  <c r="AL234" i="2"/>
  <c r="AL241" i="2"/>
  <c r="AL247" i="2"/>
  <c r="AJ196" i="2"/>
  <c r="AM185" i="2"/>
  <c r="H114" i="2"/>
  <c r="I114" i="2" s="1"/>
  <c r="H108" i="2"/>
  <c r="I108" i="2" s="1"/>
  <c r="AL112" i="2"/>
  <c r="I88" i="2"/>
  <c r="AL94" i="2"/>
  <c r="L303" i="2"/>
  <c r="I217" i="2"/>
  <c r="AL95" i="2"/>
  <c r="J64" i="2"/>
  <c r="Z64" i="2" s="1"/>
  <c r="L202" i="2"/>
  <c r="AM202" i="2"/>
  <c r="L298" i="2"/>
  <c r="AJ26" i="2"/>
  <c r="J178" i="2"/>
  <c r="Z178" i="2" s="1"/>
  <c r="H180" i="2"/>
  <c r="L178" i="2"/>
  <c r="AL115" i="2"/>
  <c r="H75" i="2"/>
  <c r="I75" i="2" s="1"/>
  <c r="AL79" i="2"/>
  <c r="H107" i="2"/>
  <c r="I107" i="2" s="1"/>
  <c r="H91" i="2"/>
  <c r="I91" i="2" s="1"/>
  <c r="H72" i="2"/>
  <c r="I72" i="2" s="1"/>
  <c r="H89" i="2"/>
  <c r="I89" i="2" s="1"/>
  <c r="H98" i="2"/>
  <c r="I98" i="2" s="1"/>
  <c r="AL85" i="2"/>
  <c r="I264" i="2"/>
  <c r="I269" i="2"/>
  <c r="I267" i="2"/>
  <c r="I256" i="2"/>
  <c r="I219" i="2"/>
  <c r="AM47" i="2"/>
  <c r="Z197" i="2"/>
  <c r="AI298" i="2"/>
  <c r="Z68" i="2"/>
  <c r="I213" i="2"/>
  <c r="Z142" i="2"/>
  <c r="I142" i="2"/>
  <c r="AL111" i="2"/>
  <c r="AM59" i="2"/>
  <c r="I152" i="2"/>
  <c r="J208" i="2"/>
  <c r="Z208" i="2" s="1"/>
  <c r="I92" i="2"/>
  <c r="AL189" i="2"/>
  <c r="AL158" i="2"/>
  <c r="I139" i="2"/>
  <c r="H208" i="2"/>
  <c r="O303" i="2"/>
  <c r="L26" i="2"/>
  <c r="AJ170" i="2"/>
  <c r="AH61" i="2"/>
  <c r="AH26" i="2"/>
  <c r="I265" i="2"/>
  <c r="AL208" i="2"/>
  <c r="AL127" i="2"/>
  <c r="AL300" i="2"/>
  <c r="H74" i="2"/>
  <c r="I74" i="2" s="1"/>
  <c r="I31" i="2"/>
  <c r="H101" i="2"/>
  <c r="I101" i="2" s="1"/>
  <c r="L216" i="2"/>
  <c r="AL216" i="2"/>
  <c r="AL233" i="2"/>
  <c r="AL59" i="2"/>
  <c r="H109" i="2"/>
  <c r="I109" i="2" s="1"/>
  <c r="L64" i="2"/>
  <c r="H202" i="2"/>
  <c r="I202" i="2" s="1"/>
  <c r="H194" i="2"/>
  <c r="I194" i="2" s="1"/>
  <c r="O272" i="2"/>
  <c r="O26" i="2"/>
  <c r="AL18" i="2"/>
  <c r="AL222" i="2"/>
  <c r="J59" i="2"/>
  <c r="Z59" i="2" s="1"/>
  <c r="I38" i="2"/>
  <c r="O12" i="2"/>
  <c r="O298" i="2"/>
  <c r="I303" i="2"/>
  <c r="L124" i="2"/>
  <c r="AJ260" i="2"/>
  <c r="I262" i="2"/>
  <c r="AL255" i="2"/>
  <c r="H255" i="2"/>
  <c r="I255" i="2" s="1"/>
  <c r="AJ30" i="2"/>
  <c r="I247" i="2"/>
  <c r="AL161" i="2"/>
  <c r="H161" i="2"/>
  <c r="I161" i="2" s="1"/>
  <c r="AL207" i="2"/>
  <c r="AL203" i="2"/>
  <c r="AL202" i="2"/>
  <c r="H200" i="2"/>
  <c r="I200" i="2" s="1"/>
  <c r="H203" i="2"/>
  <c r="J141" i="2"/>
  <c r="Z141" i="2" s="1"/>
  <c r="AM141" i="2"/>
  <c r="Z209" i="2"/>
  <c r="I209" i="2"/>
  <c r="I301" i="2"/>
  <c r="H216" i="2"/>
  <c r="I216" i="2" s="1"/>
  <c r="H206" i="2"/>
  <c r="I206" i="2" s="1"/>
  <c r="AL204" i="2"/>
  <c r="H48" i="2"/>
  <c r="AL46" i="2"/>
  <c r="H276" i="2"/>
  <c r="I276" i="2" s="1"/>
  <c r="AH130" i="2"/>
  <c r="AJ61" i="2"/>
  <c r="I268" i="2"/>
  <c r="I85" i="2"/>
  <c r="H64" i="2"/>
  <c r="H59" i="2"/>
  <c r="J215" i="2"/>
  <c r="I215" i="2" s="1"/>
  <c r="J204" i="2"/>
  <c r="Z204" i="2" s="1"/>
  <c r="H21" i="2"/>
  <c r="I21" i="2" s="1"/>
  <c r="AL244" i="2"/>
  <c r="AL48" i="2"/>
  <c r="H168" i="2"/>
  <c r="I168" i="2" s="1"/>
  <c r="L67" i="2"/>
  <c r="AJ303" i="2"/>
  <c r="AJ298" i="2"/>
  <c r="AJ283" i="2"/>
  <c r="AJ231" i="2"/>
  <c r="AJ211" i="2"/>
  <c r="AJ130" i="2"/>
  <c r="Y307" i="2"/>
  <c r="I300" i="2"/>
  <c r="AL220" i="2"/>
  <c r="AM180" i="2"/>
  <c r="I148" i="2"/>
  <c r="I136" i="2"/>
  <c r="I125" i="2"/>
  <c r="AL198" i="2"/>
  <c r="AI303" i="2"/>
  <c r="L209" i="2"/>
  <c r="AM178" i="2"/>
  <c r="L215" i="2"/>
  <c r="L46" i="2"/>
  <c r="J180" i="2"/>
  <c r="Z180" i="2" s="1"/>
  <c r="L204" i="2"/>
  <c r="F297" i="2" s="1"/>
  <c r="H243" i="2"/>
  <c r="I243" i="2" s="1"/>
  <c r="Z134" i="2"/>
  <c r="AL209" i="2"/>
  <c r="L168" i="2"/>
  <c r="I127" i="2"/>
  <c r="AM215" i="2"/>
  <c r="J46" i="2"/>
  <c r="Z46" i="2" s="1"/>
  <c r="J185" i="2"/>
  <c r="Z185" i="2" s="1"/>
  <c r="H160" i="2"/>
  <c r="I160" i="2" s="1"/>
  <c r="AL180" i="2"/>
  <c r="AL93" i="2"/>
  <c r="I18" i="2"/>
  <c r="O170" i="2"/>
  <c r="L193" i="2"/>
  <c r="AL141" i="2"/>
  <c r="I23" i="2"/>
  <c r="I28" i="2"/>
  <c r="Z206" i="2"/>
  <c r="I239" i="2"/>
  <c r="I122" i="2"/>
  <c r="Z181" i="2"/>
  <c r="I95" i="2"/>
  <c r="I103" i="2"/>
  <c r="L12" i="2"/>
  <c r="L170" i="2"/>
  <c r="L272" i="2"/>
  <c r="Z191" i="2"/>
  <c r="AL23" i="2"/>
  <c r="AM181" i="2"/>
  <c r="AL122" i="2"/>
  <c r="O283" i="2"/>
  <c r="AL281" i="2"/>
  <c r="AL239" i="2"/>
  <c r="H191" i="2"/>
  <c r="I191" i="2" s="1"/>
  <c r="AL50" i="2"/>
  <c r="H14" i="2"/>
  <c r="I14" i="2" s="1"/>
  <c r="Z103" i="2"/>
  <c r="I165" i="2"/>
  <c r="Z276" i="2"/>
  <c r="H275" i="2"/>
  <c r="I275" i="2" s="1"/>
  <c r="I93" i="2"/>
  <c r="C27" i="1"/>
  <c r="AL148" i="2"/>
  <c r="H70" i="2"/>
  <c r="I70" i="2" s="1"/>
  <c r="AL168" i="2"/>
  <c r="J167" i="2"/>
  <c r="Z167" i="2" s="1"/>
  <c r="AL69" i="2"/>
  <c r="H87" i="2"/>
  <c r="I87" i="2" s="1"/>
  <c r="H117" i="2"/>
  <c r="I117" i="2" s="1"/>
  <c r="AL219" i="2"/>
  <c r="H135" i="2"/>
  <c r="I135" i="2" s="1"/>
  <c r="AL262" i="2"/>
  <c r="I133" i="2"/>
  <c r="H29" i="2"/>
  <c r="I29" i="2" s="1"/>
  <c r="H77" i="2"/>
  <c r="I77" i="2" s="1"/>
  <c r="AL264" i="2"/>
  <c r="H220" i="2"/>
  <c r="I220" i="2" s="1"/>
  <c r="H271" i="2"/>
  <c r="I271" i="2" s="1"/>
  <c r="H145" i="2"/>
  <c r="I145" i="2" s="1"/>
  <c r="L220" i="2"/>
  <c r="L206" i="2"/>
  <c r="AL100" i="2"/>
  <c r="Z139" i="2"/>
  <c r="Z218" i="2"/>
  <c r="I35" i="2"/>
  <c r="Z95" i="2"/>
  <c r="H166" i="2"/>
  <c r="I166" i="2" s="1"/>
  <c r="I17" i="2"/>
  <c r="Z15" i="2"/>
  <c r="AL20" i="2"/>
  <c r="H181" i="2"/>
  <c r="I181" i="2" s="1"/>
  <c r="H240" i="2"/>
  <c r="I240" i="2" s="1"/>
  <c r="AL13" i="2"/>
  <c r="AM48" i="2"/>
  <c r="H303" i="2"/>
  <c r="U303" i="2" s="1"/>
  <c r="AL103" i="2"/>
  <c r="O248" i="2"/>
  <c r="AJ248" i="2"/>
  <c r="AJ193" i="2"/>
  <c r="I270" i="2"/>
  <c r="AL263" i="2"/>
  <c r="H218" i="2"/>
  <c r="I218" i="2" s="1"/>
  <c r="AL153" i="2"/>
  <c r="I79" i="2"/>
  <c r="AM64" i="2"/>
  <c r="H19" i="2"/>
  <c r="I19" i="2" s="1"/>
  <c r="Z122" i="2"/>
  <c r="AI121" i="2" s="1"/>
  <c r="AL123" i="2"/>
  <c r="J198" i="2"/>
  <c r="Z198" i="2" s="1"/>
  <c r="AH67" i="2"/>
  <c r="AH30" i="2"/>
  <c r="AM167" i="2"/>
  <c r="H46" i="2"/>
  <c r="AL99" i="2"/>
  <c r="I151" i="2"/>
  <c r="H90" i="2"/>
  <c r="I90" i="2" s="1"/>
  <c r="Z213" i="2"/>
  <c r="AL136" i="2"/>
  <c r="Z202" i="2"/>
  <c r="I86" i="2"/>
  <c r="L181" i="2"/>
  <c r="AM219" i="2"/>
  <c r="H167" i="2"/>
  <c r="I176" i="2"/>
  <c r="AL35" i="2"/>
  <c r="I20" i="2"/>
  <c r="I51" i="2"/>
  <c r="H199" i="2"/>
  <c r="I199" i="2" s="1"/>
  <c r="I158" i="2"/>
  <c r="O224" i="2"/>
  <c r="C20" i="1"/>
  <c r="AH303" i="2"/>
  <c r="AH287" i="2"/>
  <c r="AH283" i="2"/>
  <c r="AH260" i="2"/>
  <c r="AH248" i="2"/>
  <c r="AH231" i="2"/>
  <c r="AH196" i="2"/>
  <c r="AH193" i="2"/>
  <c r="AH170" i="2"/>
  <c r="AH124" i="2"/>
  <c r="AJ67" i="2"/>
  <c r="I279" i="2"/>
  <c r="AM209" i="2"/>
  <c r="I63" i="2"/>
  <c r="I78" i="2"/>
  <c r="I73" i="2"/>
  <c r="Z138" i="2"/>
  <c r="R303" i="2"/>
  <c r="T303" i="2"/>
  <c r="I13" i="2"/>
  <c r="I171" i="2"/>
  <c r="V121" i="2"/>
  <c r="AL138" i="2"/>
  <c r="L138" i="2"/>
  <c r="Z281" i="2"/>
  <c r="I281" i="2"/>
  <c r="L186" i="2"/>
  <c r="AM186" i="2"/>
  <c r="AL177" i="2"/>
  <c r="H177" i="2"/>
  <c r="H83" i="2"/>
  <c r="I83" i="2" s="1"/>
  <c r="AL83" i="2"/>
  <c r="Z27" i="2"/>
  <c r="I27" i="2"/>
  <c r="J62" i="2"/>
  <c r="AM62" i="2"/>
  <c r="H237" i="2"/>
  <c r="I237" i="2" s="1"/>
  <c r="AL237" i="2"/>
  <c r="Z81" i="2"/>
  <c r="J205" i="2"/>
  <c r="AM205" i="2"/>
  <c r="AL205" i="2"/>
  <c r="J282" i="2"/>
  <c r="H282" i="2"/>
  <c r="AM282" i="2"/>
  <c r="AL282" i="2"/>
  <c r="Z245" i="2"/>
  <c r="I245" i="2"/>
  <c r="AL157" i="2"/>
  <c r="H157" i="2"/>
  <c r="I157" i="2" s="1"/>
  <c r="H42" i="2"/>
  <c r="I42" i="2" s="1"/>
  <c r="AL42" i="2"/>
  <c r="Z116" i="2"/>
  <c r="Z100" i="2"/>
  <c r="I100" i="2"/>
  <c r="Z194" i="2"/>
  <c r="AI193" i="2" s="1"/>
  <c r="I233" i="2"/>
  <c r="Z233" i="2"/>
  <c r="L198" i="2"/>
  <c r="H198" i="2"/>
  <c r="AM198" i="2"/>
  <c r="O30" i="2"/>
  <c r="O231" i="2"/>
  <c r="AH272" i="2"/>
  <c r="AH175" i="2"/>
  <c r="I172" i="2"/>
  <c r="AL181" i="2"/>
  <c r="AL92" i="2"/>
  <c r="I123" i="2"/>
  <c r="I212" i="2"/>
  <c r="I234" i="2"/>
  <c r="Z17" i="2"/>
  <c r="H68" i="2"/>
  <c r="Z87" i="2"/>
  <c r="Z73" i="2"/>
  <c r="L283" i="2"/>
  <c r="H221" i="2"/>
  <c r="I221" i="2" s="1"/>
  <c r="H138" i="2"/>
  <c r="Z70" i="2"/>
  <c r="I84" i="2"/>
  <c r="AL62" i="2"/>
  <c r="H66" i="2"/>
  <c r="H36" i="2"/>
  <c r="I36" i="2" s="1"/>
  <c r="Z222" i="2"/>
  <c r="H179" i="2"/>
  <c r="I179" i="2" s="1"/>
  <c r="H284" i="2"/>
  <c r="I284" i="2" s="1"/>
  <c r="AL125" i="2"/>
  <c r="Z296" i="2"/>
  <c r="Z140" i="2"/>
  <c r="AL188" i="2"/>
  <c r="Z35" i="2"/>
  <c r="H250" i="2"/>
  <c r="I250" i="2" s="1"/>
  <c r="I99" i="2"/>
  <c r="AL245" i="2"/>
  <c r="AL140" i="2"/>
  <c r="H106" i="2"/>
  <c r="I106" i="2" s="1"/>
  <c r="L62" i="2"/>
  <c r="AL171" i="2"/>
  <c r="AJ287" i="2"/>
  <c r="AJ272" i="2"/>
  <c r="AJ224" i="2"/>
  <c r="AJ175" i="2"/>
  <c r="AJ124" i="2"/>
  <c r="I241" i="2"/>
  <c r="H149" i="2"/>
  <c r="I149" i="2" s="1"/>
  <c r="H116" i="2"/>
  <c r="I116" i="2" s="1"/>
  <c r="I112" i="2"/>
  <c r="I263" i="2"/>
  <c r="I113" i="2"/>
  <c r="Z113" i="2"/>
  <c r="Z96" i="2"/>
  <c r="Z237" i="2"/>
  <c r="I285" i="2"/>
  <c r="Z285" i="2"/>
  <c r="AM214" i="2"/>
  <c r="J214" i="2"/>
  <c r="H214" i="2"/>
  <c r="AJ12" i="2"/>
  <c r="C29" i="1"/>
  <c r="F29" i="1" s="1"/>
  <c r="AA307" i="2"/>
  <c r="H146" i="2"/>
  <c r="J146" i="2"/>
  <c r="AM146" i="2"/>
  <c r="AL144" i="2"/>
  <c r="H144" i="2"/>
  <c r="I144" i="2" s="1"/>
  <c r="AL110" i="2"/>
  <c r="H110" i="2"/>
  <c r="I110" i="2" s="1"/>
  <c r="AL24" i="2"/>
  <c r="H24" i="2"/>
  <c r="I24" i="2" s="1"/>
  <c r="Z149" i="2"/>
  <c r="Z144" i="2"/>
  <c r="Z286" i="2"/>
  <c r="H22" i="2"/>
  <c r="AL22" i="2"/>
  <c r="L203" i="2"/>
  <c r="AM203" i="2"/>
  <c r="J203" i="2"/>
  <c r="H47" i="2"/>
  <c r="J47" i="2"/>
  <c r="L47" i="2"/>
  <c r="H249" i="2"/>
  <c r="AL249" i="2"/>
  <c r="H185" i="2"/>
  <c r="AL185" i="2"/>
  <c r="AL163" i="2"/>
  <c r="H163" i="2"/>
  <c r="I163" i="2" s="1"/>
  <c r="AL150" i="2"/>
  <c r="H150" i="2"/>
  <c r="I150" i="2" s="1"/>
  <c r="AL96" i="2"/>
  <c r="H96" i="2"/>
  <c r="I96" i="2" s="1"/>
  <c r="AL52" i="2"/>
  <c r="H52" i="2"/>
  <c r="I52" i="2" s="1"/>
  <c r="I182" i="2"/>
  <c r="Z182" i="2"/>
  <c r="Z199" i="2"/>
  <c r="AL190" i="2"/>
  <c r="H190" i="2"/>
  <c r="I190" i="2" s="1"/>
  <c r="AH298" i="2"/>
  <c r="AH224" i="2"/>
  <c r="AH211" i="2"/>
  <c r="N274" i="2"/>
  <c r="I299" i="2"/>
  <c r="H204" i="2"/>
  <c r="H186" i="2"/>
  <c r="AH12" i="2"/>
  <c r="H105" i="2"/>
  <c r="I105" i="2" s="1"/>
  <c r="Z172" i="2"/>
  <c r="AI170" i="2" s="1"/>
  <c r="AS34" i="2"/>
  <c r="I69" i="2"/>
  <c r="AM138" i="2"/>
  <c r="AL17" i="2"/>
  <c r="I126" i="2"/>
  <c r="H141" i="2"/>
  <c r="AL197" i="2"/>
  <c r="I296" i="2"/>
  <c r="AL97" i="2"/>
  <c r="AL212" i="2"/>
  <c r="Z77" i="2"/>
  <c r="H104" i="2"/>
  <c r="I104" i="2" s="1"/>
  <c r="H71" i="2"/>
  <c r="I71" i="2" s="1"/>
  <c r="AL206" i="2"/>
  <c r="I50" i="2"/>
  <c r="Z28" i="2"/>
  <c r="AL146" i="2"/>
  <c r="H82" i="2"/>
  <c r="I82" i="2" s="1"/>
  <c r="J186" i="2"/>
  <c r="I197" i="2"/>
  <c r="AL172" i="2"/>
  <c r="AL214" i="2"/>
  <c r="I94" i="2"/>
  <c r="AL182" i="2"/>
  <c r="AL296" i="2"/>
  <c r="O193" i="2"/>
  <c r="O61" i="2"/>
  <c r="L260" i="2"/>
  <c r="H62" i="2"/>
  <c r="AL155" i="2"/>
  <c r="H81" i="2"/>
  <c r="I81" i="2" s="1"/>
  <c r="AL80" i="2"/>
  <c r="I155" i="2"/>
  <c r="Z137" i="2"/>
  <c r="I173" i="2" l="1"/>
  <c r="L201" i="2"/>
  <c r="L196" i="2" s="1"/>
  <c r="AM225" i="2"/>
  <c r="AL225" i="2"/>
  <c r="H225" i="2"/>
  <c r="J225" i="2"/>
  <c r="Z225" i="2" s="1"/>
  <c r="F230" i="2"/>
  <c r="H230" i="2" s="1"/>
  <c r="L32" i="2"/>
  <c r="H32" i="2"/>
  <c r="I32" i="2" s="1"/>
  <c r="AL32" i="2"/>
  <c r="AM32" i="2"/>
  <c r="H201" i="2"/>
  <c r="I59" i="2"/>
  <c r="AL201" i="2"/>
  <c r="J201" i="2"/>
  <c r="Z201" i="2" s="1"/>
  <c r="AM33" i="2"/>
  <c r="H33" i="2"/>
  <c r="I33" i="2" s="1"/>
  <c r="AL33" i="2"/>
  <c r="L33" i="2"/>
  <c r="F37" i="2"/>
  <c r="AL37" i="2" s="1"/>
  <c r="I298" i="2"/>
  <c r="J298" i="2" s="1"/>
  <c r="I48" i="2"/>
  <c r="AL251" i="2"/>
  <c r="J34" i="2"/>
  <c r="Z34" i="2" s="1"/>
  <c r="I141" i="2"/>
  <c r="AL226" i="2"/>
  <c r="H34" i="2"/>
  <c r="AL242" i="2"/>
  <c r="H44" i="2"/>
  <c r="AL236" i="2"/>
  <c r="AM242" i="2"/>
  <c r="AM34" i="2"/>
  <c r="L242" i="2"/>
  <c r="AL34" i="2"/>
  <c r="L34" i="2"/>
  <c r="I193" i="2"/>
  <c r="T193" i="2" s="1"/>
  <c r="J226" i="2"/>
  <c r="H226" i="2"/>
  <c r="L226" i="2"/>
  <c r="AM236" i="2"/>
  <c r="H242" i="2"/>
  <c r="I242" i="2" s="1"/>
  <c r="H60" i="2"/>
  <c r="AM60" i="2"/>
  <c r="L236" i="2"/>
  <c r="J236" i="2"/>
  <c r="Z236" i="2" s="1"/>
  <c r="F238" i="2"/>
  <c r="J232" i="2"/>
  <c r="AM232" i="2"/>
  <c r="L232" i="2"/>
  <c r="J251" i="2"/>
  <c r="AM251" i="2"/>
  <c r="L251" i="2"/>
  <c r="L248" i="2" s="1"/>
  <c r="J60" i="2"/>
  <c r="Z60" i="2" s="1"/>
  <c r="L60" i="2"/>
  <c r="H232" i="2"/>
  <c r="J44" i="2"/>
  <c r="L44" i="2"/>
  <c r="AM44" i="2"/>
  <c r="I178" i="2"/>
  <c r="I170" i="2"/>
  <c r="R121" i="2"/>
  <c r="I121" i="2"/>
  <c r="J121" i="2" s="1"/>
  <c r="H248" i="2"/>
  <c r="Q248" i="2" s="1"/>
  <c r="AD223" i="2"/>
  <c r="H193" i="2"/>
  <c r="S193" i="2" s="1"/>
  <c r="Z215" i="2"/>
  <c r="I208" i="2"/>
  <c r="I180" i="2"/>
  <c r="L61" i="2"/>
  <c r="I64" i="2"/>
  <c r="J169" i="2"/>
  <c r="AI12" i="2"/>
  <c r="I204" i="2"/>
  <c r="L130" i="2"/>
  <c r="H61" i="2"/>
  <c r="Q61" i="2" s="1"/>
  <c r="I185" i="2"/>
  <c r="I167" i="2"/>
  <c r="I46" i="2"/>
  <c r="J120" i="2"/>
  <c r="AE120" i="2"/>
  <c r="AM120" i="2" s="1"/>
  <c r="AD120" i="2"/>
  <c r="V303" i="2"/>
  <c r="I26" i="2"/>
  <c r="R26" i="2" s="1"/>
  <c r="J303" i="2"/>
  <c r="L211" i="2"/>
  <c r="H45" i="2"/>
  <c r="I45" i="2" s="1"/>
  <c r="AM45" i="2"/>
  <c r="AL45" i="2"/>
  <c r="L45" i="2"/>
  <c r="H272" i="2"/>
  <c r="Q272" i="2" s="1"/>
  <c r="L175" i="2"/>
  <c r="I198" i="2"/>
  <c r="H26" i="2"/>
  <c r="H12" i="2"/>
  <c r="Q12" i="2" s="1"/>
  <c r="R124" i="2"/>
  <c r="V124" i="2"/>
  <c r="I186" i="2"/>
  <c r="Z186" i="2"/>
  <c r="Z203" i="2"/>
  <c r="I203" i="2"/>
  <c r="S170" i="2"/>
  <c r="V298" i="2"/>
  <c r="R298" i="2"/>
  <c r="T298" i="2"/>
  <c r="AM297" i="2"/>
  <c r="H297" i="2"/>
  <c r="AL297" i="2"/>
  <c r="J297" i="2"/>
  <c r="R193" i="2"/>
  <c r="V193" i="2"/>
  <c r="Z282" i="2"/>
  <c r="AI272" i="2" s="1"/>
  <c r="I282" i="2"/>
  <c r="I272" i="2" s="1"/>
  <c r="I177" i="2"/>
  <c r="Z47" i="2"/>
  <c r="I47" i="2"/>
  <c r="I146" i="2"/>
  <c r="Z146" i="2"/>
  <c r="I68" i="2"/>
  <c r="Z205" i="2"/>
  <c r="I205" i="2"/>
  <c r="I22" i="2"/>
  <c r="I12" i="2" s="1"/>
  <c r="I138" i="2"/>
  <c r="AI26" i="2"/>
  <c r="I214" i="2"/>
  <c r="Z214" i="2"/>
  <c r="Z62" i="2"/>
  <c r="AI61" i="2" s="1"/>
  <c r="I62" i="2"/>
  <c r="I66" i="2"/>
  <c r="I65" i="2" s="1"/>
  <c r="H65" i="2"/>
  <c r="T26" i="2"/>
  <c r="V26" i="2"/>
  <c r="I249" i="2"/>
  <c r="AL230" i="2" l="1"/>
  <c r="J230" i="2"/>
  <c r="I230" i="2" s="1"/>
  <c r="AM230" i="2"/>
  <c r="L230" i="2"/>
  <c r="I225" i="2"/>
  <c r="I201" i="2"/>
  <c r="AD210" i="2"/>
  <c r="I34" i="2"/>
  <c r="J40" i="2"/>
  <c r="L40" i="2"/>
  <c r="AM40" i="2"/>
  <c r="AL40" i="2"/>
  <c r="H40" i="2"/>
  <c r="L41" i="2"/>
  <c r="J41" i="2"/>
  <c r="Z41" i="2" s="1"/>
  <c r="AL41" i="2"/>
  <c r="AM41" i="2"/>
  <c r="H41" i="2"/>
  <c r="I61" i="2"/>
  <c r="J61" i="2" s="1"/>
  <c r="T121" i="2"/>
  <c r="F229" i="2"/>
  <c r="L228" i="2"/>
  <c r="F289" i="2" s="1"/>
  <c r="F292" i="2" s="1"/>
  <c r="H228" i="2"/>
  <c r="J228" i="2"/>
  <c r="AL228" i="2"/>
  <c r="AM228" i="2"/>
  <c r="I226" i="2"/>
  <c r="Z226" i="2"/>
  <c r="I236" i="2"/>
  <c r="Z44" i="2"/>
  <c r="I44" i="2"/>
  <c r="H235" i="2"/>
  <c r="J235" i="2"/>
  <c r="L235" i="2"/>
  <c r="AM235" i="2"/>
  <c r="AL235" i="2"/>
  <c r="Z251" i="2"/>
  <c r="AI248" i="2" s="1"/>
  <c r="I251" i="2"/>
  <c r="I248" i="2" s="1"/>
  <c r="J248" i="2" s="1"/>
  <c r="L238" i="2"/>
  <c r="AL238" i="2"/>
  <c r="H238" i="2"/>
  <c r="J238" i="2"/>
  <c r="AM238" i="2"/>
  <c r="I60" i="2"/>
  <c r="Z232" i="2"/>
  <c r="I232" i="2"/>
  <c r="J193" i="2"/>
  <c r="AE223" i="2"/>
  <c r="AM223" i="2" s="1"/>
  <c r="J223" i="2"/>
  <c r="Z223" i="2" s="1"/>
  <c r="AI211" i="2" s="1"/>
  <c r="AD169" i="2"/>
  <c r="AL169" i="2" s="1"/>
  <c r="AE169" i="2"/>
  <c r="AM169" i="2" s="1"/>
  <c r="H223" i="2"/>
  <c r="H211" i="2" s="1"/>
  <c r="S211" i="2" s="1"/>
  <c r="AL223" i="2"/>
  <c r="AD192" i="2"/>
  <c r="AE192" i="2"/>
  <c r="AM192" i="2" s="1"/>
  <c r="J192" i="2"/>
  <c r="AM37" i="2"/>
  <c r="N120" i="2"/>
  <c r="O67" i="2" s="1"/>
  <c r="Z120" i="2"/>
  <c r="AI67" i="2" s="1"/>
  <c r="AL120" i="2"/>
  <c r="H120" i="2"/>
  <c r="AE210" i="2"/>
  <c r="AM210" i="2" s="1"/>
  <c r="J210" i="2"/>
  <c r="Z169" i="2"/>
  <c r="AI130" i="2" s="1"/>
  <c r="N169" i="2"/>
  <c r="O130" i="2" s="1"/>
  <c r="J272" i="2"/>
  <c r="L37" i="2"/>
  <c r="H37" i="2"/>
  <c r="J37" i="2"/>
  <c r="Q26" i="2"/>
  <c r="J26" i="2"/>
  <c r="R130" i="2"/>
  <c r="V130" i="2"/>
  <c r="V12" i="2"/>
  <c r="T12" i="2"/>
  <c r="R12" i="2"/>
  <c r="J12" i="2"/>
  <c r="R211" i="2"/>
  <c r="V211" i="2"/>
  <c r="V196" i="2"/>
  <c r="R196" i="2"/>
  <c r="V231" i="2"/>
  <c r="R231" i="2"/>
  <c r="V170" i="2"/>
  <c r="T170" i="2"/>
  <c r="R170" i="2"/>
  <c r="R67" i="2"/>
  <c r="V67" i="2"/>
  <c r="R65" i="2"/>
  <c r="T65" i="2"/>
  <c r="V65" i="2"/>
  <c r="V272" i="2"/>
  <c r="R272" i="2"/>
  <c r="T272" i="2"/>
  <c r="S65" i="2"/>
  <c r="J65" i="2"/>
  <c r="Z297" i="2"/>
  <c r="N297" i="2"/>
  <c r="I297" i="2"/>
  <c r="J170" i="2"/>
  <c r="T61" i="2"/>
  <c r="V61" i="2"/>
  <c r="R175" i="2"/>
  <c r="V175" i="2"/>
  <c r="V248" i="2"/>
  <c r="T248" i="2"/>
  <c r="R283" i="2"/>
  <c r="T283" i="2"/>
  <c r="F288" i="2" l="1"/>
  <c r="AM288" i="2" s="1"/>
  <c r="AL292" i="2"/>
  <c r="Z230" i="2"/>
  <c r="F293" i="2"/>
  <c r="J293" i="2" s="1"/>
  <c r="N293" i="2" s="1"/>
  <c r="H30" i="2"/>
  <c r="Q30" i="2" s="1"/>
  <c r="L30" i="2"/>
  <c r="I41" i="2"/>
  <c r="Z40" i="2"/>
  <c r="I40" i="2"/>
  <c r="R61" i="2"/>
  <c r="F291" i="2"/>
  <c r="AL291" i="2" s="1"/>
  <c r="H229" i="2"/>
  <c r="H224" i="2" s="1"/>
  <c r="AL229" i="2"/>
  <c r="L229" i="2"/>
  <c r="L224" i="2" s="1"/>
  <c r="J229" i="2"/>
  <c r="AM229" i="2"/>
  <c r="F294" i="2"/>
  <c r="H294" i="2" s="1"/>
  <c r="AM289" i="2"/>
  <c r="F290" i="2"/>
  <c r="AM290" i="2" s="1"/>
  <c r="I228" i="2"/>
  <c r="Z228" i="2"/>
  <c r="H231" i="2"/>
  <c r="S231" i="2" s="1"/>
  <c r="L231" i="2"/>
  <c r="I238" i="2"/>
  <c r="Z238" i="2"/>
  <c r="R248" i="2"/>
  <c r="I235" i="2"/>
  <c r="Z235" i="2"/>
  <c r="N223" i="2"/>
  <c r="O211" i="2" s="1"/>
  <c r="H283" i="2"/>
  <c r="U283" i="2" s="1"/>
  <c r="C18" i="1" s="1"/>
  <c r="AI283" i="2"/>
  <c r="H169" i="2"/>
  <c r="I169" i="2" s="1"/>
  <c r="I130" i="2" s="1"/>
  <c r="I223" i="2"/>
  <c r="I211" i="2" s="1"/>
  <c r="Z192" i="2"/>
  <c r="AI175" i="2" s="1"/>
  <c r="N192" i="2"/>
  <c r="O175" i="2" s="1"/>
  <c r="H192" i="2"/>
  <c r="H175" i="2" s="1"/>
  <c r="AL192" i="2"/>
  <c r="H210" i="2"/>
  <c r="H196" i="2" s="1"/>
  <c r="S196" i="2" s="1"/>
  <c r="AL210" i="2"/>
  <c r="I120" i="2"/>
  <c r="I67" i="2" s="1"/>
  <c r="T67" i="2" s="1"/>
  <c r="H67" i="2"/>
  <c r="N210" i="2"/>
  <c r="O196" i="2" s="1"/>
  <c r="Z210" i="2"/>
  <c r="AI196" i="2" s="1"/>
  <c r="I37" i="2"/>
  <c r="Z37" i="2"/>
  <c r="AL289" i="2"/>
  <c r="J289" i="2"/>
  <c r="N289" i="2" s="1"/>
  <c r="H289" i="2"/>
  <c r="V30" i="2"/>
  <c r="T30" i="2"/>
  <c r="R224" i="2"/>
  <c r="V224" i="2"/>
  <c r="Z293" i="2" l="1"/>
  <c r="AM293" i="2"/>
  <c r="H293" i="2"/>
  <c r="I293" i="2" s="1"/>
  <c r="AL293" i="2"/>
  <c r="AI30" i="2"/>
  <c r="I30" i="2"/>
  <c r="J30" i="2" s="1"/>
  <c r="H290" i="2"/>
  <c r="J292" i="2"/>
  <c r="N292" i="2" s="1"/>
  <c r="AM292" i="2"/>
  <c r="H292" i="2"/>
  <c r="J294" i="2"/>
  <c r="I294" i="2" s="1"/>
  <c r="AM294" i="2"/>
  <c r="AL294" i="2"/>
  <c r="F295" i="2"/>
  <c r="H295" i="2" s="1"/>
  <c r="AL290" i="2"/>
  <c r="H291" i="2"/>
  <c r="AL288" i="2"/>
  <c r="J290" i="2"/>
  <c r="N290" i="2" s="1"/>
  <c r="J291" i="2"/>
  <c r="Z291" i="2" s="1"/>
  <c r="AM291" i="2"/>
  <c r="S224" i="2"/>
  <c r="H288" i="2"/>
  <c r="J288" i="2"/>
  <c r="Z288" i="2" s="1"/>
  <c r="F261" i="2"/>
  <c r="H261" i="2" s="1"/>
  <c r="H260" i="2" s="1"/>
  <c r="Q260" i="2" s="1"/>
  <c r="Z229" i="2"/>
  <c r="AI224" i="2" s="1"/>
  <c r="I229" i="2"/>
  <c r="I224" i="2" s="1"/>
  <c r="T224" i="2" s="1"/>
  <c r="I231" i="2"/>
  <c r="AI231" i="2"/>
  <c r="I283" i="2"/>
  <c r="V283" i="2" s="1"/>
  <c r="I210" i="2"/>
  <c r="I196" i="2" s="1"/>
  <c r="J196" i="2" s="1"/>
  <c r="H130" i="2"/>
  <c r="S130" i="2" s="1"/>
  <c r="T211" i="2"/>
  <c r="J211" i="2"/>
  <c r="S175" i="2"/>
  <c r="I192" i="2"/>
  <c r="I175" i="2" s="1"/>
  <c r="T175" i="2" s="1"/>
  <c r="J67" i="2"/>
  <c r="S67" i="2"/>
  <c r="T130" i="2"/>
  <c r="I289" i="2"/>
  <c r="Z289" i="2"/>
  <c r="R30" i="2" l="1"/>
  <c r="Z292" i="2"/>
  <c r="AM295" i="2"/>
  <c r="N288" i="2"/>
  <c r="Z294" i="2"/>
  <c r="I292" i="2"/>
  <c r="N294" i="2"/>
  <c r="I291" i="2"/>
  <c r="N291" i="2"/>
  <c r="AL295" i="2"/>
  <c r="I290" i="2"/>
  <c r="J295" i="2"/>
  <c r="I295" i="2" s="1"/>
  <c r="Z290" i="2"/>
  <c r="I288" i="2"/>
  <c r="H287" i="2"/>
  <c r="Q287" i="2" s="1"/>
  <c r="C14" i="1" s="1"/>
  <c r="AL261" i="2"/>
  <c r="J261" i="2"/>
  <c r="N261" i="2" s="1"/>
  <c r="O260" i="2" s="1"/>
  <c r="AM261" i="2"/>
  <c r="J224" i="2"/>
  <c r="T231" i="2"/>
  <c r="J231" i="2"/>
  <c r="T196" i="2"/>
  <c r="J283" i="2"/>
  <c r="J130" i="2"/>
  <c r="J175" i="2"/>
  <c r="T287" i="2"/>
  <c r="T260" i="2"/>
  <c r="V260" i="2"/>
  <c r="Z295" i="2" l="1"/>
  <c r="AI287" i="2" s="1"/>
  <c r="N295" i="2"/>
  <c r="O287" i="2" s="1"/>
  <c r="I287" i="2"/>
  <c r="V287" i="2" s="1"/>
  <c r="C19" i="1" s="1"/>
  <c r="I261" i="2"/>
  <c r="I260" i="2" s="1"/>
  <c r="Z261" i="2"/>
  <c r="AI260" i="2" s="1"/>
  <c r="R287" i="2" l="1"/>
  <c r="J287" i="2"/>
  <c r="J260" i="2"/>
  <c r="R260" i="2"/>
  <c r="C15" i="1" l="1"/>
  <c r="AE129" i="2"/>
  <c r="AM129" i="2" s="1"/>
  <c r="Z129" i="2"/>
  <c r="AI124" i="2" s="1"/>
  <c r="N129" i="2"/>
  <c r="O124" i="2" s="1"/>
  <c r="C21" i="1" s="1"/>
  <c r="AD129" i="2"/>
  <c r="AL129" i="2" s="1"/>
  <c r="H129" i="2" l="1"/>
  <c r="H124" i="2" s="1"/>
  <c r="S124" i="2" s="1"/>
  <c r="C16" i="1" s="1"/>
  <c r="Z307" i="2"/>
  <c r="I129" i="2" l="1"/>
  <c r="I124" i="2" s="1"/>
  <c r="T124" i="2" s="1"/>
  <c r="C17" i="1" s="1"/>
  <c r="C22" i="1" s="1"/>
  <c r="J124" i="2" l="1"/>
  <c r="J307" i="2" s="1"/>
  <c r="I19" i="1"/>
  <c r="I14" i="1"/>
  <c r="I18" i="1"/>
  <c r="I17" i="1"/>
  <c r="I16" i="1"/>
  <c r="I15" i="1"/>
  <c r="I22" i="1" l="1"/>
  <c r="C28" i="1" s="1"/>
  <c r="F28" i="1" s="1"/>
  <c r="I28" i="1" l="1"/>
  <c r="I29" i="1" s="1"/>
</calcChain>
</file>

<file path=xl/sharedStrings.xml><?xml version="1.0" encoding="utf-8"?>
<sst xmlns="http://schemas.openxmlformats.org/spreadsheetml/2006/main" count="3032" uniqueCount="1141">
  <si>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</si>
  <si>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</si>
  <si>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</si>
  <si>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</si>
  <si>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</si>
  <si>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</si>
  <si>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</si>
  <si>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</si>
  <si>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</si>
  <si>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</si>
  <si>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</si>
  <si>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</si>
  <si>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</si>
  <si>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</si>
  <si>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</si>
  <si>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</si>
  <si>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</si>
  <si>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</si>
  <si>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</si>
  <si>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</si>
  <si>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</si>
  <si>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</si>
  <si>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</si>
  <si>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</si>
  <si>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</si>
  <si>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</si>
  <si>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</si>
  <si>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</si>
  <si>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</si>
  <si>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</si>
  <si>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</si>
  <si>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</si>
  <si>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</si>
  <si>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</si>
  <si>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</si>
  <si>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</si>
  <si>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</si>
  <si>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</si>
  <si>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</si>
  <si>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</si>
  <si>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</si>
  <si>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</si>
  <si>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</si>
  <si>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</si>
  <si>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</si>
  <si>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</si>
  <si>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</si>
  <si>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</si>
  <si>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</si>
  <si>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</si>
  <si>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</si>
  <si>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</si>
  <si>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</si>
  <si>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</si>
  <si>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</si>
  <si>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</si>
  <si>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</si>
  <si>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</si>
  <si>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57</t>
  </si>
  <si>
    <t>58</t>
  </si>
  <si>
    <t>59</t>
  </si>
  <si>
    <t>60</t>
  </si>
  <si>
    <t>61</t>
  </si>
  <si>
    <t>63</t>
  </si>
  <si>
    <t>65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</si>
  <si>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</si>
  <si>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</si>
  <si>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</si>
  <si>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</si>
  <si>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</si>
  <si>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</si>
  <si>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</si>
  <si>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</si>
  <si>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</si>
  <si>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</si>
  <si>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</si>
  <si>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</si>
  <si>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</si>
  <si>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</si>
  <si>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</si>
  <si>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</si>
  <si>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</si>
  <si>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</si>
  <si>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</si>
  <si>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</si>
  <si>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</si>
  <si>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</si>
  <si>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</si>
  <si>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</si>
  <si>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</si>
  <si>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</si>
  <si>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</si>
  <si>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</si>
  <si>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</si>
  <si>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</si>
  <si>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</si>
  <si>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</si>
  <si>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</si>
  <si>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</si>
  <si>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Poznámka:</t>
  </si>
  <si>
    <t>Objekt</t>
  </si>
  <si>
    <t>Kód</t>
  </si>
  <si>
    <t>346244311R00</t>
  </si>
  <si>
    <t>342263410R00</t>
  </si>
  <si>
    <t>55347626</t>
  </si>
  <si>
    <t>342270041RA0</t>
  </si>
  <si>
    <t>342948111R00</t>
  </si>
  <si>
    <t>342668111R00</t>
  </si>
  <si>
    <t>612423531RT2</t>
  </si>
  <si>
    <t>612481211RT8</t>
  </si>
  <si>
    <t>612409991RT2</t>
  </si>
  <si>
    <t>611401111R00</t>
  </si>
  <si>
    <t>611471413R00</t>
  </si>
  <si>
    <t>632473102R00</t>
  </si>
  <si>
    <t>722</t>
  </si>
  <si>
    <t>725</t>
  </si>
  <si>
    <t>725013131R00</t>
  </si>
  <si>
    <t>725017132R00</t>
  </si>
  <si>
    <t>725018105R00</t>
  </si>
  <si>
    <t>725210821R00</t>
  </si>
  <si>
    <t>725220841R00</t>
  </si>
  <si>
    <t>725224137R00</t>
  </si>
  <si>
    <t>725823111RT1</t>
  </si>
  <si>
    <t>725835113R00</t>
  </si>
  <si>
    <t>725840850R00</t>
  </si>
  <si>
    <t>725860107R00</t>
  </si>
  <si>
    <t>725860182RT1</t>
  </si>
  <si>
    <t>725860190R00</t>
  </si>
  <si>
    <t>725110811R00</t>
  </si>
  <si>
    <t>725980113R00</t>
  </si>
  <si>
    <t>766</t>
  </si>
  <si>
    <t>766661112R00</t>
  </si>
  <si>
    <t>766661422R00</t>
  </si>
  <si>
    <t>766669922R00</t>
  </si>
  <si>
    <t>766670021R00</t>
  </si>
  <si>
    <t>549146452</t>
  </si>
  <si>
    <t>54914585</t>
  </si>
  <si>
    <t>54914582</t>
  </si>
  <si>
    <t>766825821R00</t>
  </si>
  <si>
    <t>766692114R00</t>
  </si>
  <si>
    <t>766692112R00</t>
  </si>
  <si>
    <t>767</t>
  </si>
  <si>
    <t>767584811R00</t>
  </si>
  <si>
    <t>767612911R00</t>
  </si>
  <si>
    <t>771</t>
  </si>
  <si>
    <t>771575109RT6</t>
  </si>
  <si>
    <t>771101111R00</t>
  </si>
  <si>
    <t>771101121R00</t>
  </si>
  <si>
    <t>771578011R00</t>
  </si>
  <si>
    <t>775</t>
  </si>
  <si>
    <t>775981113RV2</t>
  </si>
  <si>
    <t>775411820R00</t>
  </si>
  <si>
    <t>776</t>
  </si>
  <si>
    <t>776401800R00</t>
  </si>
  <si>
    <t>776421100R00</t>
  </si>
  <si>
    <t>28342401</t>
  </si>
  <si>
    <t>776511820R00</t>
  </si>
  <si>
    <t>776521110R00</t>
  </si>
  <si>
    <t>776994111RT1</t>
  </si>
  <si>
    <t>28412285</t>
  </si>
  <si>
    <t>781</t>
  </si>
  <si>
    <t>781101111R00</t>
  </si>
  <si>
    <t>781101210R00</t>
  </si>
  <si>
    <t>781415016RT6</t>
  </si>
  <si>
    <t>781419701R00</t>
  </si>
  <si>
    <t>597813623</t>
  </si>
  <si>
    <t>781779705RT3</t>
  </si>
  <si>
    <t>783</t>
  </si>
  <si>
    <t>783225400R00</t>
  </si>
  <si>
    <t>783226100R00</t>
  </si>
  <si>
    <t>784</t>
  </si>
  <si>
    <t>784111201R00</t>
  </si>
  <si>
    <t>784127101R00</t>
  </si>
  <si>
    <t>784195212R00</t>
  </si>
  <si>
    <t>784402801R00</t>
  </si>
  <si>
    <t>784471112R00</t>
  </si>
  <si>
    <t>952902110R00</t>
  </si>
  <si>
    <t>952901111R00</t>
  </si>
  <si>
    <t>953946111R00</t>
  </si>
  <si>
    <t>42972741</t>
  </si>
  <si>
    <t>968061125R00</t>
  </si>
  <si>
    <t>998011003R00</t>
  </si>
  <si>
    <t>965048150R00</t>
  </si>
  <si>
    <t>965081712R00</t>
  </si>
  <si>
    <t>966079851R00</t>
  </si>
  <si>
    <t>962031133R00</t>
  </si>
  <si>
    <t>962031135R00</t>
  </si>
  <si>
    <t>978059531R00</t>
  </si>
  <si>
    <t>M21</t>
  </si>
  <si>
    <t>S</t>
  </si>
  <si>
    <t>979011121R00</t>
  </si>
  <si>
    <t>979081111R00</t>
  </si>
  <si>
    <t>979081121R00</t>
  </si>
  <si>
    <t>979082111R00</t>
  </si>
  <si>
    <t>979082121R00</t>
  </si>
  <si>
    <t>979087112R00</t>
  </si>
  <si>
    <t>979990001R00</t>
  </si>
  <si>
    <t>979011111R00</t>
  </si>
  <si>
    <t>Zkrácený popis</t>
  </si>
  <si>
    <t>Rozměry</t>
  </si>
  <si>
    <t>Stěny a příčky</t>
  </si>
  <si>
    <t>Dvířka revizní se zámkem bílá 600x600 mm</t>
  </si>
  <si>
    <t>Příčka z desek Ytong hladkých, tloušťka 7,5 cm</t>
  </si>
  <si>
    <t>Ukotvení příček k cihel.konstr. kotvami na hmožd.</t>
  </si>
  <si>
    <t>Těsnění styku příčky se stáv. konstrukcí PU pěnou</t>
  </si>
  <si>
    <t>Úprava povrchů vnitřní</t>
  </si>
  <si>
    <t>Montáž výztužné sítě (perlinky) do stěrky-stěny</t>
  </si>
  <si>
    <t>Podlahy a podlahové konstrukce</t>
  </si>
  <si>
    <t>Vnitřní vodovod</t>
  </si>
  <si>
    <t>Zařizovací předměty</t>
  </si>
  <si>
    <t>Demontáž umyvadel bez výtokových armatur</t>
  </si>
  <si>
    <t>Demontáž ocelové vany</t>
  </si>
  <si>
    <t>Baterie umyvadlová stoján. ruční, bez otvír.odpadu</t>
  </si>
  <si>
    <t>Uzávěrka zápachová umyvadlová T 1015,D 40</t>
  </si>
  <si>
    <t>Sifon pračkový HL405, D 40/50 mm</t>
  </si>
  <si>
    <t>Sifon vanový PP HL500, D 40,50 mm</t>
  </si>
  <si>
    <t>Demontáž klozetů splachovacích</t>
  </si>
  <si>
    <t>Konstrukce truhlářské</t>
  </si>
  <si>
    <t>Montáž dveří do zárubně,otevíravých 1kř.do 0,8 m</t>
  </si>
  <si>
    <t>Montáž dveří protipožárních 1kříd. nad 80 cm</t>
  </si>
  <si>
    <t>Oprava dveří - výměna vložky Fab</t>
  </si>
  <si>
    <t>Montáž kliky a štítku</t>
  </si>
  <si>
    <t>Bezp. kování BK RX4 Klika-klika nerez mat Ti</t>
  </si>
  <si>
    <t>Kliky se štítem mezip  804 Cr</t>
  </si>
  <si>
    <t>Demontáž vestavěných skříní 2křídlových</t>
  </si>
  <si>
    <t>Demontáž záclon.krytů, do 360 cm</t>
  </si>
  <si>
    <t>Demontáž záclon.krytů,  do 270 cm</t>
  </si>
  <si>
    <t>Konstrukce doplňkové stavební (zámečnické)</t>
  </si>
  <si>
    <t>Demontáž doplňků podhledů-vzduchotech.mřížek</t>
  </si>
  <si>
    <t>Podlahy z dlaždic</t>
  </si>
  <si>
    <t>Montáž podlah keram.,hladké, tmel, 30x30 cm</t>
  </si>
  <si>
    <t>Vyrovnání podkladů maltou ze SMS tl. do 10 mm</t>
  </si>
  <si>
    <t>Provedení penetrace podkladu</t>
  </si>
  <si>
    <t>Podlahy vlysové a parketové</t>
  </si>
  <si>
    <t>Lišta hliníková přechodová, různá výška krytin</t>
  </si>
  <si>
    <t>Demontáž lišt dřevěných, šroubovaných</t>
  </si>
  <si>
    <t>Podlahy povlakové</t>
  </si>
  <si>
    <t>Demontáž soklíků nebo lišt, pryžových nebo z PVC</t>
  </si>
  <si>
    <t>Lepení podlahových soklíků z PVC a vinylu</t>
  </si>
  <si>
    <t>Soklík profil z měkčeného PVC č. h. 2198 lišta</t>
  </si>
  <si>
    <t>Odstranění PVC a koberců lepených s podložkou</t>
  </si>
  <si>
    <t>Lepení povlak.podlah z pásů PVC na lepidlo V7508</t>
  </si>
  <si>
    <t>Svařování povlakových podlah z pásů nebo čtverců</t>
  </si>
  <si>
    <t>Obklady (keramické)</t>
  </si>
  <si>
    <t>Vyrovnání podkladu maltou ze SMS tl. do 7 mm</t>
  </si>
  <si>
    <t>Penetrace podkladu pod obklady</t>
  </si>
  <si>
    <t>Příplatek za práci v omezeném prostoru</t>
  </si>
  <si>
    <t>Příplatek za spárovací hmotu - plošně</t>
  </si>
  <si>
    <t>Nátěr syntetický kov. konstr. 2x + 1x email + tmel</t>
  </si>
  <si>
    <t>Nátěr syntetický kovových konstrukcí základní</t>
  </si>
  <si>
    <t>Malby</t>
  </si>
  <si>
    <t>Penetrace podkladu nátěrem Barlet Extra V1308 1 x</t>
  </si>
  <si>
    <t>Malba tekutá Primalex Plus, bílá, 2 x</t>
  </si>
  <si>
    <t>Odstranění malby oškrábáním v místnosti H do 3,8 m</t>
  </si>
  <si>
    <t>Bandážování spojů šířky 10 cm, místnost do 5 m</t>
  </si>
  <si>
    <t>Různé dokončovací konstrukce a práce na pozemních stavbách</t>
  </si>
  <si>
    <t>Čištění zametáním v místnostech a chodbách</t>
  </si>
  <si>
    <t>Vyčištění budov o výšce podlaží do 4 m</t>
  </si>
  <si>
    <t>Osazení ventilačních mřížek</t>
  </si>
  <si>
    <t>Mřížka kruhová KMM pr.160.20, na konec potrubí</t>
  </si>
  <si>
    <t>Bourání konstrukcí</t>
  </si>
  <si>
    <t>Vyvěšení dřevěných dveřních křídel pl. do 2 m2</t>
  </si>
  <si>
    <t>Přesun hmot pro budovy zděné výšky do 24 m</t>
  </si>
  <si>
    <t>Dočištění povrchu po vybourání dlažeb, tmel do 50%</t>
  </si>
  <si>
    <t>Bourání dlaždic keramických tl.1 cm, pl. do 1 m2</t>
  </si>
  <si>
    <t>Přerušení ocelových profilů - hřeby garnyže</t>
  </si>
  <si>
    <t>Bourání příček cihelných tl. 15 cm</t>
  </si>
  <si>
    <t>Bourání příček z tvárnic tl. 5 cm</t>
  </si>
  <si>
    <t>Prorážení otvorů a ostatní bourací práce</t>
  </si>
  <si>
    <t>Elektromontáže</t>
  </si>
  <si>
    <t>Přesuny sutí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</si>
  <si>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</si>
  <si>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</si>
  <si>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</si>
  <si>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</si>
  <si>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</si>
  <si>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</si>
  <si>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stavební suti</t>
  </si>
  <si>
    <t>Svislá doprava suti a vybour. hmot za 2.NP a 1.PP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</si>
  <si>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</si>
  <si>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</si>
  <si>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</si>
  <si>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</si>
  <si>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</si>
  <si>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</si>
  <si>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</si>
  <si>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</si>
  <si>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soubor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</si>
  <si>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</si>
  <si>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</si>
  <si>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</si>
  <si>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</si>
  <si>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</si>
  <si>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</si>
  <si>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</si>
  <si>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</si>
  <si>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</si>
  <si>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</si>
  <si>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</si>
  <si>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</si>
  <si>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</si>
  <si>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</si>
  <si>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</si>
  <si>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</si>
  <si>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</si>
  <si>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</si>
  <si>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</si>
  <si>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</si>
  <si>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</si>
  <si>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</si>
  <si>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</si>
  <si>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</si>
  <si>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</si>
  <si>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</si>
  <si>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</si>
  <si>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</si>
  <si>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</si>
  <si>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</si>
  <si>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722_</t>
  </si>
  <si>
    <t>725_</t>
  </si>
  <si>
    <t>766_</t>
  </si>
  <si>
    <t>767_</t>
  </si>
  <si>
    <t>771_</t>
  </si>
  <si>
    <t>775_</t>
  </si>
  <si>
    <t>776_</t>
  </si>
  <si>
    <t>781_</t>
  </si>
  <si>
    <t>783_</t>
  </si>
  <si>
    <t>784_</t>
  </si>
  <si>
    <t>95_</t>
  </si>
  <si>
    <t>96_</t>
  </si>
  <si>
    <t>97_</t>
  </si>
  <si>
    <t>S_</t>
  </si>
  <si>
    <t>3_</t>
  </si>
  <si>
    <t>6_</t>
  </si>
  <si>
    <t>72_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</si>
  <si>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</si>
  <si>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</si>
  <si>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</si>
  <si>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</si>
  <si>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</si>
  <si>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</si>
  <si>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</si>
  <si>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</si>
  <si>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</si>
  <si>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</si>
  <si>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</si>
  <si>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</si>
  <si>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</si>
  <si>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</si>
  <si>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</si>
  <si>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</si>
  <si>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</si>
  <si>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</si>
  <si>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</si>
  <si>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</si>
  <si>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</si>
  <si>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</si>
  <si>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</si>
  <si>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</si>
  <si>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</si>
  <si>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</si>
  <si>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</si>
  <si>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</si>
  <si>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</si>
  <si>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</si>
  <si>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</si>
  <si>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</si>
  <si>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</si>
  <si>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</si>
  <si>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</si>
  <si>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</si>
  <si>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</si>
  <si>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</si>
  <si>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</si>
  <si>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</si>
  <si>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</si>
  <si>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</si>
  <si>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</si>
  <si>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</si>
  <si>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</si>
  <si>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</si>
  <si>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</si>
  <si>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</si>
  <si>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kom.</t>
  </si>
  <si>
    <t>615290352</t>
  </si>
  <si>
    <t xml:space="preserve">Montáž a dod.skříňka DOMINO univerzální </t>
  </si>
  <si>
    <t>612403386R00</t>
  </si>
  <si>
    <t>610991111R00</t>
  </si>
  <si>
    <t>Zakrývání výplní vnitřních otvorů</t>
  </si>
  <si>
    <t>642942111RZ1</t>
  </si>
  <si>
    <t>Osazení zárubní dveřních ocelových, pl. do 2,5 m2</t>
  </si>
  <si>
    <t>64_</t>
  </si>
  <si>
    <t>115</t>
  </si>
  <si>
    <t>55330368</t>
  </si>
  <si>
    <t>766662811R00</t>
  </si>
  <si>
    <t>Demontáž prahů dveří 1křídlových</t>
  </si>
  <si>
    <t>766695213R00</t>
  </si>
  <si>
    <t>Montáž prahů dveří jednokřídlových š. nad 10 cm</t>
  </si>
  <si>
    <t>114</t>
  </si>
  <si>
    <t>61187181</t>
  </si>
  <si>
    <t>Prah dubový délka 90 cm šířka 15 cm tl. 2 cm</t>
  </si>
  <si>
    <t>725814122R00</t>
  </si>
  <si>
    <t>Ventil pračkový se zpět.kl. IVAR.08101 DN15 x DN20</t>
  </si>
  <si>
    <t>725814105R00</t>
  </si>
  <si>
    <t>Ventil rohový s filtrem IVAR.70872 DN 15 x DN 10</t>
  </si>
  <si>
    <t/>
  </si>
  <si>
    <t>791</t>
  </si>
  <si>
    <t>Zařízení kuchyní</t>
  </si>
  <si>
    <t>MAT</t>
  </si>
  <si>
    <t>sporák elektrický bílý CS 110 GW</t>
  </si>
  <si>
    <t>731249131R00</t>
  </si>
  <si>
    <t>731_</t>
  </si>
  <si>
    <t>73_</t>
  </si>
  <si>
    <t>732291812R00</t>
  </si>
  <si>
    <t>732_</t>
  </si>
  <si>
    <t>Montáž sporáku, elektrický do 12 kW</t>
  </si>
  <si>
    <t>340235211RT2</t>
  </si>
  <si>
    <t>612401191RT2</t>
  </si>
  <si>
    <t>Omítka malých ploch vnitřních stěn do 0,09 m2</t>
  </si>
  <si>
    <t>24-M</t>
  </si>
  <si>
    <t>Montáže vzduchotechnických zařízení</t>
  </si>
  <si>
    <t>924</t>
  </si>
  <si>
    <t>VZT- úprava odsávacího potrubí a trasy včetně dopojení</t>
  </si>
  <si>
    <t>Digestoř nad sporák s odtahem</t>
  </si>
  <si>
    <t>29</t>
  </si>
  <si>
    <t>105</t>
  </si>
  <si>
    <t>106</t>
  </si>
  <si>
    <t>107</t>
  </si>
  <si>
    <t>109</t>
  </si>
  <si>
    <t>110</t>
  </si>
  <si>
    <t>111</t>
  </si>
  <si>
    <t>112</t>
  </si>
  <si>
    <t>113</t>
  </si>
  <si>
    <t>116</t>
  </si>
  <si>
    <t>117</t>
  </si>
  <si>
    <t>Demontáž el.sporáku do 7500 W</t>
  </si>
  <si>
    <r>
      <t xml:space="preserve">Montáž obkladů stěn, porovin.,tmel, nad </t>
    </r>
    <r>
      <rPr>
        <sz val="10"/>
        <color indexed="10"/>
        <rFont val="Arial"/>
        <family val="2"/>
        <charset val="238"/>
      </rPr>
      <t>20x25 cm</t>
    </r>
  </si>
  <si>
    <r>
      <t xml:space="preserve">Hrubá výplň rýh ve stěnách maltou </t>
    </r>
    <r>
      <rPr>
        <sz val="10"/>
        <color indexed="10"/>
        <rFont val="Arial"/>
        <family val="2"/>
        <charset val="238"/>
      </rPr>
      <t>šíře rýhy 10 cm</t>
    </r>
  </si>
  <si>
    <t>dle rozpisu elektro 260 m kabelů a 78 m NN a STA</t>
  </si>
  <si>
    <t>stropy z V.V.</t>
  </si>
  <si>
    <t>776590100</t>
  </si>
  <si>
    <t xml:space="preserve">Úprava nášlapných ploch vysátím </t>
  </si>
  <si>
    <t>57 m rýhh v šíři 15 cm</t>
  </si>
  <si>
    <t>37 el.krabic</t>
  </si>
  <si>
    <t>974049121R00</t>
  </si>
  <si>
    <t>Vysekání rýh v betonových zdech 3x3 cm</t>
  </si>
  <si>
    <t>974049122R00</t>
  </si>
  <si>
    <t>Vysekání rýh v betonových zdech 3x7 cm</t>
  </si>
  <si>
    <t>974049223R00</t>
  </si>
  <si>
    <t>974082821R00</t>
  </si>
  <si>
    <t>Vysekání rýh pro vodiče podhled beton. 3x3 cm</t>
  </si>
  <si>
    <t>970251100R00</t>
  </si>
  <si>
    <t>Vysekání rýh zeď betonová  3x10 cm</t>
  </si>
  <si>
    <t>122</t>
  </si>
  <si>
    <t>783903811R00</t>
  </si>
  <si>
    <t>Odmaštění chemickými rozpouštědly</t>
  </si>
  <si>
    <t>120</t>
  </si>
  <si>
    <t>783201811R00</t>
  </si>
  <si>
    <t>Odstranění nátěrů z kovových konstrukcí oškrábáním</t>
  </si>
  <si>
    <t>59760150.A</t>
  </si>
  <si>
    <t>Lišta  plast Schlüter DILEX MOP 35 G do malt lože</t>
  </si>
  <si>
    <t>781111121R00</t>
  </si>
  <si>
    <t>Montáž lišt rohových, vanových a dilatačních</t>
  </si>
  <si>
    <t>775531800R</t>
  </si>
  <si>
    <t>597623142</t>
  </si>
  <si>
    <t>771589791R00</t>
  </si>
  <si>
    <t>Příplatek za plochu do 5 m2 jednotlivě</t>
  </si>
  <si>
    <t>771589792R00</t>
  </si>
  <si>
    <t>61162111</t>
  </si>
  <si>
    <t>Dveře vnitřní fóliované 2/3 sklo 1kř. 70x197 cm</t>
  </si>
  <si>
    <t>61162101</t>
  </si>
  <si>
    <t>Dveře vnitřní fóliované plné 1kř.60x197 cm</t>
  </si>
  <si>
    <t>61162102</t>
  </si>
  <si>
    <t>Dveře vnitřní fóliované plné 1kř.70x197 cm</t>
  </si>
  <si>
    <t>612403380R00</t>
  </si>
  <si>
    <t>Hrubá výplň rýh ve stěnách do 3x3 cm maltou ze SMS</t>
  </si>
  <si>
    <t>612403382R00</t>
  </si>
  <si>
    <t>941955001R00</t>
  </si>
  <si>
    <t>Lešení lehké pomocné, výška podlahy do 1,2 m</t>
  </si>
  <si>
    <t>94_</t>
  </si>
  <si>
    <r>
      <t>Demontáž parketových tabulí,</t>
    </r>
    <r>
      <rPr>
        <sz val="10"/>
        <color indexed="10"/>
        <rFont val="Arial"/>
        <family val="2"/>
        <charset val="238"/>
      </rPr>
      <t xml:space="preserve"> plov.podlahovin</t>
    </r>
  </si>
  <si>
    <r>
      <t xml:space="preserve">Řezání železobetonu hl. řezu </t>
    </r>
    <r>
      <rPr>
        <sz val="10"/>
        <color indexed="10"/>
        <rFont val="Arial"/>
        <family val="2"/>
        <charset val="238"/>
      </rPr>
      <t>30 mm</t>
    </r>
  </si>
  <si>
    <t>612421431</t>
  </si>
  <si>
    <t>54</t>
  </si>
  <si>
    <t>55</t>
  </si>
  <si>
    <t>56</t>
  </si>
  <si>
    <t>62</t>
  </si>
  <si>
    <t>64</t>
  </si>
  <si>
    <t>66</t>
  </si>
  <si>
    <t>70</t>
  </si>
  <si>
    <t>87</t>
  </si>
  <si>
    <t>118</t>
  </si>
  <si>
    <t>121</t>
  </si>
  <si>
    <t>123</t>
  </si>
  <si>
    <t>124</t>
  </si>
  <si>
    <t>125</t>
  </si>
  <si>
    <t>126</t>
  </si>
  <si>
    <t>127</t>
  </si>
  <si>
    <t>%</t>
  </si>
  <si>
    <t>61165619</t>
  </si>
  <si>
    <t>725249102R00</t>
  </si>
  <si>
    <t>Montáž sprchových mís a vaniček</t>
  </si>
  <si>
    <t>725249103R00</t>
  </si>
  <si>
    <t>Montáž sprchových koutů</t>
  </si>
  <si>
    <t>725860221RT1</t>
  </si>
  <si>
    <t>Sifon sprchový PP/PE HL514, D 40/50 mm</t>
  </si>
  <si>
    <t>642938080</t>
  </si>
  <si>
    <t>Vanička sprchová keramická čtverec ABELE 90x90 cm</t>
  </si>
  <si>
    <t>55428100.A</t>
  </si>
  <si>
    <t>Kout sprchov 1/4kruh 90x90xR50 SKKH2/90R50 S</t>
  </si>
  <si>
    <t>735171134R00</t>
  </si>
  <si>
    <t>Těleso trub.Koralux Linear Comfort</t>
  </si>
  <si>
    <t>735_</t>
  </si>
  <si>
    <t>766812840R00</t>
  </si>
  <si>
    <t>783324340R00</t>
  </si>
  <si>
    <t>783424340R00</t>
  </si>
  <si>
    <t>Nátěr syntet. potrubí do DN 50 mm  Z+2x +1x email</t>
  </si>
  <si>
    <t>Dodávka a montáž el.dvouplotýnky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</si>
  <si>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</si>
  <si>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</si>
  <si>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</si>
  <si>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</si>
  <si>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</si>
  <si>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</si>
  <si>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</si>
  <si>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</si>
  <si>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</si>
  <si>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</si>
  <si>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</si>
  <si>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Příčka z desek Ytong hladkých, tloušťka 10 cm</t>
  </si>
  <si>
    <t>342255024R00</t>
  </si>
  <si>
    <t>139</t>
  </si>
  <si>
    <t>725860211RT1</t>
  </si>
  <si>
    <t>Sifon umyvadlový HL133, 5/4 " přípoj pračka</t>
  </si>
  <si>
    <t>140</t>
  </si>
  <si>
    <t>771101147R00</t>
  </si>
  <si>
    <t>Bandáž koutů - provedení</t>
  </si>
  <si>
    <t>28355125.A</t>
  </si>
  <si>
    <t>Mapeband modrý pás těsnicí š.120 mm Mapei</t>
  </si>
  <si>
    <t>711212002R00</t>
  </si>
  <si>
    <t>Hydroizolační povlak - nátěr nebo stěrka</t>
  </si>
  <si>
    <t>612421131</t>
  </si>
  <si>
    <t>612421231</t>
  </si>
  <si>
    <t>612421331</t>
  </si>
  <si>
    <t>781101142R00</t>
  </si>
  <si>
    <t>Hydroizolační stěrka dvouvrstvá</t>
  </si>
  <si>
    <t>141</t>
  </si>
  <si>
    <t>142</t>
  </si>
  <si>
    <t>143</t>
  </si>
  <si>
    <t>144</t>
  </si>
  <si>
    <t>776511820RT4</t>
  </si>
  <si>
    <t>Odstranění lepidla a stěrky</t>
  </si>
  <si>
    <t>317121047RT2</t>
  </si>
  <si>
    <t>31_</t>
  </si>
  <si>
    <t>317121047RT3</t>
  </si>
  <si>
    <t>317120033RAA</t>
  </si>
  <si>
    <t>Stropy a stropní konstrukce (pro pozemní stavby)</t>
  </si>
  <si>
    <t>416020113R00</t>
  </si>
  <si>
    <t>Podhledy SDK, kovová kce.HUT 1x deska RBI 12,5 mm</t>
  </si>
  <si>
    <t>41_</t>
  </si>
  <si>
    <t>4_</t>
  </si>
  <si>
    <t>416091082R00</t>
  </si>
  <si>
    <t>725212370R00</t>
  </si>
  <si>
    <t>Umyvadlo pro invalidy, se zápachovou uzávěrkou</t>
  </si>
  <si>
    <t>725229107R00</t>
  </si>
  <si>
    <t>Montáž vanových zástěn oboustranně upevněných</t>
  </si>
  <si>
    <t>725829301R00</t>
  </si>
  <si>
    <t>725291114R00</t>
  </si>
  <si>
    <t>Madlo rovné bílé Novaservis dl. 600 mm</t>
  </si>
  <si>
    <t>725291116R00</t>
  </si>
  <si>
    <t>Madlo rovné bílé Novaservis dl. 700 mm</t>
  </si>
  <si>
    <t>725291136R00</t>
  </si>
  <si>
    <t>Madlo dvojité sklopné bílé Novaservis dl. 830 mm</t>
  </si>
  <si>
    <t>725291132R00</t>
  </si>
  <si>
    <t>Madlo dvojité pevné bílé Novaservis dl. 830 mm</t>
  </si>
  <si>
    <t>725291171R00</t>
  </si>
  <si>
    <t>Sedátko sklopné bílé Novaservis</t>
  </si>
  <si>
    <t>734</t>
  </si>
  <si>
    <t>Armatury</t>
  </si>
  <si>
    <t>734119111R00</t>
  </si>
  <si>
    <t>734_</t>
  </si>
  <si>
    <t>735</t>
  </si>
  <si>
    <t>Otopná tělesa</t>
  </si>
  <si>
    <t>735159111R00</t>
  </si>
  <si>
    <t>Montáž panelových těles Radik do délky 1600 mm</t>
  </si>
  <si>
    <t>735151811R00</t>
  </si>
  <si>
    <t>Demontáž otopných těles panelových 1řadých,1500 mm</t>
  </si>
  <si>
    <t>766666112R00</t>
  </si>
  <si>
    <t>Montáž dveří posuvných, osazení závěsu, 1kř.</t>
  </si>
  <si>
    <t>Montáž záclon.krytů, bez lišt, natřené do 270 cm</t>
  </si>
  <si>
    <t>771111141R00</t>
  </si>
  <si>
    <t>Příplatek za diagonální kladení dlažby</t>
  </si>
  <si>
    <t>776101121R00</t>
  </si>
  <si>
    <t>777561020R00</t>
  </si>
  <si>
    <t>Vyrovnání podlahy stěrkou Unirovnal tloušťky 2 mm</t>
  </si>
  <si>
    <t>777_</t>
  </si>
  <si>
    <t>784118101R00</t>
  </si>
  <si>
    <t>Izolování přípravkem Teluria,Telsal 1x</t>
  </si>
  <si>
    <t>784118102R00</t>
  </si>
  <si>
    <t>Izolování přípravkem Teluria,Telsal 2x</t>
  </si>
  <si>
    <t>784403801R00</t>
  </si>
  <si>
    <t>Odstranění maleb omytím v místnosti H do 3,8 m</t>
  </si>
  <si>
    <t>965048250R00</t>
  </si>
  <si>
    <t>Dočištění povrchu po vybourání dlažeb, MC do 50%</t>
  </si>
  <si>
    <t>Přesun hmot pro zařizovací předměty, výšky do 12 m</t>
  </si>
  <si>
    <t>H725_</t>
  </si>
  <si>
    <t>Přesun hmot pro otopná tělesa, výšky do 12 m</t>
  </si>
  <si>
    <t>H735_</t>
  </si>
  <si>
    <t>H766_</t>
  </si>
  <si>
    <t>998771201R00</t>
  </si>
  <si>
    <t>H771_</t>
  </si>
  <si>
    <t>Přesun hmot pro podlahy povlakové, výšky do 12 m</t>
  </si>
  <si>
    <t>H776_</t>
  </si>
  <si>
    <t>998781201R00</t>
  </si>
  <si>
    <t>Přesun hmot pro obklady keramické, výšky do 6 m</t>
  </si>
  <si>
    <t>H781_</t>
  </si>
  <si>
    <t>979990162R00</t>
  </si>
  <si>
    <t>Poplatek za skládku suti - dřevo+sklo</t>
  </si>
  <si>
    <t>979990181R00</t>
  </si>
  <si>
    <t>Poplatek za skládku suti - PVC podlahová krytina</t>
  </si>
  <si>
    <t>55143605</t>
  </si>
  <si>
    <t>Baterie dřezová CERAPLAN NEW B 5206 AA</t>
  </si>
  <si>
    <t>Z99999_</t>
  </si>
  <si>
    <t>55167391</t>
  </si>
  <si>
    <t>55221002.A</t>
  </si>
  <si>
    <t>Nohy kovové pro standard. vany RIGA a anatom. ALMA</t>
  </si>
  <si>
    <t>pár</t>
  </si>
  <si>
    <t>55231080</t>
  </si>
  <si>
    <t>Dřez nerez s miskou vestavný typ 528 Mono plus 1a</t>
  </si>
  <si>
    <t>429148015</t>
  </si>
  <si>
    <t>Ventilátor axiální do koupelny VENTS 100STH</t>
  </si>
  <si>
    <t>48457008</t>
  </si>
  <si>
    <t>Těleso otopné des. Radik Klasik typ11 v.300dl.1200</t>
  </si>
  <si>
    <t>61169501</t>
  </si>
  <si>
    <t>Dveře posuvné na stěnu UNO 60-90x197 ERKADO</t>
  </si>
  <si>
    <t>998735202R00</t>
  </si>
  <si>
    <t>998776202R00</t>
  </si>
  <si>
    <r>
      <t>Přesun hmot pro podlahy z dlaždic, výšky do</t>
    </r>
    <r>
      <rPr>
        <sz val="10"/>
        <color indexed="10"/>
        <rFont val="Arial"/>
        <family val="2"/>
        <charset val="238"/>
      </rPr>
      <t xml:space="preserve"> 6 m</t>
    </r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</si>
  <si>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</si>
  <si>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</si>
  <si>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</si>
  <si>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</si>
  <si>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</si>
  <si>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</si>
  <si>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</si>
  <si>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</si>
  <si>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</si>
  <si>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</si>
  <si>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</si>
  <si>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</si>
  <si>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</si>
  <si>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</si>
  <si>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</si>
  <si>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</si>
  <si>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</si>
  <si>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</si>
  <si>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</si>
  <si>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</si>
  <si>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</si>
  <si>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</si>
  <si>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</si>
  <si>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</si>
  <si>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</si>
  <si>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</si>
  <si>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</si>
  <si>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</si>
  <si>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</si>
  <si>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</si>
  <si>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</si>
  <si>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</si>
  <si>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</si>
  <si>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</si>
  <si>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</si>
  <si>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</si>
  <si>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</si>
  <si>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</si>
  <si>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</si>
  <si>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</si>
  <si>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</si>
  <si>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</si>
  <si>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</si>
  <si>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</si>
  <si>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</si>
  <si>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</si>
  <si>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Překlad nenosný porobeton, světlost otv. do 105 cm, š.10 cm</t>
  </si>
  <si>
    <t>Překlad nenosný porobeton, světlost otv. do 105 cm, š.12,5 cm</t>
  </si>
  <si>
    <t>Překlad nenosný Ytong tl.7,5 cm</t>
  </si>
  <si>
    <t>601016143RT1</t>
  </si>
  <si>
    <t>Stěrka na stropech PROFI Finalspachtel vnit. ručně</t>
  </si>
  <si>
    <t>602011147RT1</t>
  </si>
  <si>
    <t>611481211RT2</t>
  </si>
  <si>
    <t>Montáž výztužné sítě (perlinky) do stěrky-stropy</t>
  </si>
  <si>
    <t>725814121R00</t>
  </si>
  <si>
    <t>Ventil kombi. IVAR.ART.250 DN 15 x (DN 20 + DN 10)</t>
  </si>
  <si>
    <t>632413150R00</t>
  </si>
  <si>
    <t>776551830RT3</t>
  </si>
  <si>
    <t>973026161R00</t>
  </si>
  <si>
    <t>Vysekání kapes zeď kam. špalíky, krabice 10x10x5cm</t>
  </si>
  <si>
    <t>Oškrabání  štuků stěn v rozsahu 100%</t>
  </si>
  <si>
    <t>Akrylování koutů stěn, stropů, ukončení obkladů,…</t>
  </si>
  <si>
    <t>Montáž baterie umyvadlové</t>
  </si>
  <si>
    <t>Montáž baterie dřezové stojánkové</t>
  </si>
  <si>
    <t>Demontáž baterie umyvadlové</t>
  </si>
  <si>
    <t>Demontáž baterie dřezové</t>
  </si>
  <si>
    <t>Montáž vany</t>
  </si>
  <si>
    <t>61162112</t>
  </si>
  <si>
    <t>Dveře vnitřní fóliované 2/3 sklo 1kř. 80x197 cm</t>
  </si>
  <si>
    <t>Z_</t>
  </si>
  <si>
    <t>61162103</t>
  </si>
  <si>
    <t>Dveře vnitřní fóliované plné 1kř.80x197 cm</t>
  </si>
  <si>
    <t>Dodávka záclon.krytů, natřených do 270 cm</t>
  </si>
  <si>
    <t>429148041</t>
  </si>
  <si>
    <t>Ventilátor do koupelny VENTS 100 MATL TURBO</t>
  </si>
  <si>
    <t>429148041R</t>
  </si>
  <si>
    <t>771578011R00R</t>
  </si>
  <si>
    <t>766692112R00R</t>
  </si>
  <si>
    <t>785412800R00</t>
  </si>
  <si>
    <t>Odstranění tapet lepených ostatních s podl. 3,8 m</t>
  </si>
  <si>
    <t>785_</t>
  </si>
  <si>
    <t>611471413R00R</t>
  </si>
  <si>
    <t>Montáž umyvadel</t>
  </si>
  <si>
    <t>725219201R00R</t>
  </si>
  <si>
    <t>Montáž baterie vanové</t>
  </si>
  <si>
    <t>Montáž baterie sprchové</t>
  </si>
  <si>
    <t>Oškrabání  štuků stropů v rozsahu 100%</t>
  </si>
  <si>
    <t>Oškrabání  štuků stěn v rozsahu do 60%</t>
  </si>
  <si>
    <t>ok</t>
  </si>
  <si>
    <t>vytvořená</t>
  </si>
  <si>
    <t>ok -přesunutá</t>
  </si>
  <si>
    <t>přidaná</t>
  </si>
  <si>
    <t>ok -přesunutá bourání</t>
  </si>
  <si>
    <t>vytvořená (50) MT sprch. Mís a vaniček</t>
  </si>
  <si>
    <t>ok -vytvořená (60) - opakování</t>
  </si>
  <si>
    <t>ok - vytvořená (42)</t>
  </si>
  <si>
    <t>ok - vytvořená (61)</t>
  </si>
  <si>
    <t>ok - vytvořená (62)</t>
  </si>
  <si>
    <r>
      <t xml:space="preserve">Spára stěn akrylát - </t>
    </r>
    <r>
      <rPr>
        <sz val="10"/>
        <color indexed="10"/>
        <rFont val="Arial"/>
        <family val="2"/>
        <charset val="238"/>
      </rPr>
      <t>napojení vyzdívek</t>
    </r>
  </si>
  <si>
    <r>
      <t xml:space="preserve">Penetrace podkladu pod </t>
    </r>
    <r>
      <rPr>
        <sz val="10"/>
        <color indexed="10"/>
        <rFont val="Arial"/>
        <family val="2"/>
        <charset val="238"/>
      </rPr>
      <t>omítky</t>
    </r>
  </si>
  <si>
    <r>
      <t xml:space="preserve">Stěrka sádrová </t>
    </r>
    <r>
      <rPr>
        <sz val="10"/>
        <color indexed="10"/>
        <rFont val="Arial"/>
        <family val="2"/>
        <charset val="238"/>
      </rPr>
      <t>stěn,</t>
    </r>
    <r>
      <rPr>
        <sz val="10"/>
        <color indexed="61"/>
        <rFont val="Arial"/>
        <family val="2"/>
        <charset val="238"/>
      </rPr>
      <t xml:space="preserve"> Cemix 106, ručně</t>
    </r>
  </si>
  <si>
    <r>
      <t xml:space="preserve">Montáž uzavíracích ventilů DN 15 </t>
    </r>
    <r>
      <rPr>
        <sz val="10"/>
        <color indexed="10"/>
        <rFont val="Arial"/>
        <family val="2"/>
        <charset val="238"/>
      </rPr>
      <t>- 2ks</t>
    </r>
  </si>
  <si>
    <r>
      <t xml:space="preserve">Potěr FERMACELL samonivelační ručně tl. 2 mm - </t>
    </r>
    <r>
      <rPr>
        <sz val="10"/>
        <color indexed="10"/>
        <rFont val="Arial"/>
        <family val="2"/>
        <charset val="238"/>
      </rPr>
      <t>pod dlažbu</t>
    </r>
  </si>
  <si>
    <r>
      <t xml:space="preserve">Spára podlaha, </t>
    </r>
    <r>
      <rPr>
        <sz val="10"/>
        <color indexed="10"/>
        <rFont val="Arial"/>
        <family val="2"/>
        <charset val="238"/>
      </rPr>
      <t>stěna, silikonem</t>
    </r>
  </si>
  <si>
    <t>Vypuštění, napuštění systému, tlak.zk.</t>
  </si>
  <si>
    <t>kpl</t>
  </si>
  <si>
    <r>
      <t xml:space="preserve">Obkládačka </t>
    </r>
    <r>
      <rPr>
        <sz val="10"/>
        <color indexed="10"/>
        <rFont val="Arial"/>
        <family val="2"/>
        <charset val="238"/>
      </rPr>
      <t>keramická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20 x 25</t>
    </r>
  </si>
  <si>
    <r>
      <t xml:space="preserve">Dlaždice 29,7x29,7  </t>
    </r>
    <r>
      <rPr>
        <sz val="10"/>
        <color indexed="10"/>
        <rFont val="Arial"/>
        <family val="2"/>
        <charset val="238"/>
      </rPr>
      <t>keramická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</si>
  <si>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obklad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</si>
  <si>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akrylování koutů stěn, stropů</t>
    </r>
  </si>
  <si>
    <t>83</t>
  </si>
  <si>
    <t>108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</si>
  <si>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</si>
  <si>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</si>
  <si>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</si>
  <si>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</si>
  <si>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</si>
  <si>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</si>
  <si>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</si>
  <si>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</si>
  <si>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</si>
  <si>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</si>
  <si>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</si>
  <si>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</si>
  <si>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</si>
  <si>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</si>
  <si>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</si>
  <si>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</si>
  <si>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</si>
  <si>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</si>
  <si>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</si>
  <si>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</si>
  <si>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</si>
  <si>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</si>
  <si>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</si>
  <si>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</si>
  <si>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</si>
  <si>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</si>
  <si>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</si>
  <si>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</si>
  <si>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</si>
  <si>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</si>
  <si>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</si>
  <si>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</si>
  <si>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</si>
  <si>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Sejmutí povlaků volně položených</t>
  </si>
  <si>
    <r>
      <t>Oprava - seřízení</t>
    </r>
    <r>
      <rPr>
        <sz val="10"/>
        <color indexed="10"/>
        <rFont val="Arial"/>
        <family val="2"/>
        <charset val="238"/>
      </rPr>
      <t xml:space="preserve"> - plastového okna (křídlo)</t>
    </r>
  </si>
  <si>
    <t>771990111</t>
  </si>
  <si>
    <t>771573810</t>
  </si>
  <si>
    <t>Demontáž dlažeb keramických lepených</t>
  </si>
  <si>
    <t>224</t>
  </si>
  <si>
    <t>225</t>
  </si>
  <si>
    <t>226</t>
  </si>
  <si>
    <t>227</t>
  </si>
  <si>
    <r>
      <rPr>
        <sz val="10"/>
        <color indexed="10"/>
        <rFont val="Arial"/>
        <family val="2"/>
        <charset val="238"/>
      </rPr>
      <t>Demontáž</t>
    </r>
    <r>
      <rPr>
        <sz val="10"/>
        <color indexed="61"/>
        <rFont val="Arial"/>
        <family val="2"/>
        <charset val="238"/>
      </rPr>
      <t xml:space="preserve"> dveří,otevíravých 1kř.do 0,8 m </t>
    </r>
    <r>
      <rPr>
        <sz val="10"/>
        <color indexed="10"/>
        <rFont val="Arial"/>
        <family val="2"/>
        <charset val="238"/>
      </rPr>
      <t>s likvidací</t>
    </r>
  </si>
  <si>
    <t>416091081R00</t>
  </si>
  <si>
    <t>Příplatek k podhledu sádrokart. za plochu do 2 m2</t>
  </si>
  <si>
    <t>602016191R00</t>
  </si>
  <si>
    <t>Penetrační nátěr stěn PROFI Putzgrund</t>
  </si>
  <si>
    <t>602016195R00</t>
  </si>
  <si>
    <t>Penetrace hloubková stěn PROFI Silikat-Tiefengrund</t>
  </si>
  <si>
    <t>601016193R00</t>
  </si>
  <si>
    <t>Penetrace hloubková stropů PROFI Akryl-Tiefengrund</t>
  </si>
  <si>
    <t>766664911R00</t>
  </si>
  <si>
    <t>Vyřezání otvoru v dveřních křídlech kompletizovan.</t>
  </si>
  <si>
    <t>766662812R00</t>
  </si>
  <si>
    <t>Demontáž prahů dveří 2křídlových</t>
  </si>
  <si>
    <t>766695233R00</t>
  </si>
  <si>
    <t>Montáž prahů dveří dvoukřídlových š. nad 10 cm</t>
  </si>
  <si>
    <t>61187198</t>
  </si>
  <si>
    <t>Prah dubový délka 145 cm šířka 15 cm tl. 2 cm</t>
  </si>
  <si>
    <t>766664915R00</t>
  </si>
  <si>
    <t>Seříznutí dveřních křídel  kompletizovaných</t>
  </si>
  <si>
    <t>767811120R00</t>
  </si>
  <si>
    <t>Montáž větracích mřížek, typ VMU 2</t>
  </si>
  <si>
    <t>771579792R00</t>
  </si>
  <si>
    <t>771579793RT1</t>
  </si>
  <si>
    <t>771579795R00</t>
  </si>
  <si>
    <t>Příplatek za spárování vodotěsnou hmotou - plošně</t>
  </si>
  <si>
    <t>Přesun hmot pro truhlářské konstr., výšky do 12 m</t>
  </si>
  <si>
    <t>998766202R00</t>
  </si>
  <si>
    <t>998725202R00</t>
  </si>
  <si>
    <t>602029141R00</t>
  </si>
  <si>
    <r>
      <t xml:space="preserve">Štuk vnitřní </t>
    </r>
    <r>
      <rPr>
        <sz val="10"/>
        <color indexed="10"/>
        <rFont val="Arial"/>
        <family val="2"/>
        <charset val="238"/>
      </rPr>
      <t>Kerastuk K</t>
    </r>
    <r>
      <rPr>
        <sz val="10"/>
        <color indexed="61"/>
        <rFont val="Arial"/>
        <family val="2"/>
        <charset val="238"/>
      </rPr>
      <t>, tl. 2 mm, ručně</t>
    </r>
  </si>
  <si>
    <t>Baterie vanová nástěnná ruční, vč. příslušenství</t>
  </si>
  <si>
    <r>
      <t xml:space="preserve">Montáž a dod.skříňka univerzální - </t>
    </r>
    <r>
      <rPr>
        <sz val="10"/>
        <color indexed="10"/>
        <rFont val="Arial"/>
        <family val="2"/>
        <charset val="238"/>
      </rPr>
      <t>galerka plast s osvětlením</t>
    </r>
  </si>
  <si>
    <r>
      <t xml:space="preserve">Sprchová zástěna </t>
    </r>
    <r>
      <rPr>
        <sz val="10"/>
        <color indexed="10"/>
        <rFont val="Arial"/>
        <family val="2"/>
        <charset val="238"/>
      </rPr>
      <t>ASDP3-120 bílá+pearl</t>
    </r>
  </si>
  <si>
    <r>
      <t xml:space="preserve">Sprchová zástěna </t>
    </r>
    <r>
      <rPr>
        <sz val="10"/>
        <color indexed="10"/>
        <rFont val="Arial"/>
        <family val="2"/>
        <charset val="238"/>
      </rPr>
      <t>SKKP6-90 bílá+pearl</t>
    </r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</si>
  <si>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</si>
  <si>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</si>
  <si>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</si>
  <si>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</si>
  <si>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</si>
  <si>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</si>
  <si>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</si>
  <si>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</si>
  <si>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</si>
  <si>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</si>
  <si>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</si>
  <si>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</si>
  <si>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</si>
  <si>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</si>
  <si>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</si>
  <si>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</si>
  <si>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</si>
  <si>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r>
      <t xml:space="preserve">Příplatek za podlahy v omezeném prostoru </t>
    </r>
    <r>
      <rPr>
        <sz val="10"/>
        <color indexed="10"/>
        <rFont val="Arial"/>
        <family val="2"/>
        <charset val="238"/>
      </rPr>
      <t>- lepidlem</t>
    </r>
  </si>
  <si>
    <r>
      <t xml:space="preserve">Příplatek za podlahy keram.v omezeném prostoru </t>
    </r>
    <r>
      <rPr>
        <sz val="10"/>
        <color indexed="10"/>
        <rFont val="Arial"/>
        <family val="2"/>
        <charset val="238"/>
      </rPr>
      <t>- maltou</t>
    </r>
  </si>
  <si>
    <t>79</t>
  </si>
  <si>
    <r>
      <t xml:space="preserve">Vanička sprchová </t>
    </r>
    <r>
      <rPr>
        <sz val="10"/>
        <color indexed="10"/>
        <rFont val="Arial"/>
        <family val="2"/>
        <charset val="238"/>
      </rPr>
      <t>čtvrtkruhová 90x90 cm, R 550, keramická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</si>
  <si>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na panelu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</si>
  <si>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včetně omítky</t>
    </r>
  </si>
  <si>
    <t>246</t>
  </si>
  <si>
    <t>původní hmot.</t>
  </si>
  <si>
    <t>962036412R00</t>
  </si>
  <si>
    <t>Osazování ventilátoru 12V s trafem umístěným v šachtě</t>
  </si>
  <si>
    <t>767137802R00</t>
  </si>
  <si>
    <t>Demontáž příček sádrokarton. sejmutí desek</t>
  </si>
  <si>
    <t>342280110RAA</t>
  </si>
  <si>
    <t>734291971R01</t>
  </si>
  <si>
    <t>ks</t>
  </si>
  <si>
    <t>627456110RT3</t>
  </si>
  <si>
    <t>Oprava spárování dlažeb z dlaždic,MC do 4 m2</t>
  </si>
  <si>
    <t>627456110R</t>
  </si>
  <si>
    <t>Oprava spárování obkladu ker.  do 4 m2</t>
  </si>
  <si>
    <t>24592112</t>
  </si>
  <si>
    <t>l</t>
  </si>
  <si>
    <t>BONA D 510 penetrace pod stěrky bílá á 5 l, spotřeba: cca 150 g/m2</t>
  </si>
  <si>
    <t>725013129R00</t>
  </si>
  <si>
    <t>Kloz.kombi OLYMP ZTP,nádrž s arm.odpad svislý, včetně sedátka</t>
  </si>
  <si>
    <t>963016111R00</t>
  </si>
  <si>
    <t>DMTZ podhledu SDK, kovová kce., 1xoplášť.12,5 mm, bez izolace</t>
  </si>
  <si>
    <t>962036112R00</t>
  </si>
  <si>
    <t>DMTZ SDK příčky, 1x kov.kce., 1x opláštěné 12,5 mm, bez minerální izolace.</t>
  </si>
  <si>
    <t>Kompletační přirážka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</si>
  <si>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</si>
  <si>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</si>
  <si>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</si>
  <si>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</si>
  <si>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</si>
  <si>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</si>
  <si>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</si>
  <si>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</si>
  <si>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</si>
  <si>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136b</t>
  </si>
  <si>
    <t>766812841R02</t>
  </si>
  <si>
    <r>
      <t xml:space="preserve">Vyhlazení disperzním tmelem JUB, Jubolin, 2 x, </t>
    </r>
    <r>
      <rPr>
        <sz val="10"/>
        <color indexed="10"/>
        <rFont val="Arial"/>
        <family val="2"/>
        <charset val="238"/>
      </rPr>
      <t>80%</t>
    </r>
  </si>
  <si>
    <t>216b</t>
  </si>
  <si>
    <t>216c</t>
  </si>
  <si>
    <t>216d</t>
  </si>
  <si>
    <t>95R02</t>
  </si>
  <si>
    <t>95R03</t>
  </si>
  <si>
    <t>NÁTĚRY KONSTRUKCÍ</t>
  </si>
  <si>
    <t>součet</t>
  </si>
  <si>
    <t>Z TOHO:</t>
  </si>
  <si>
    <t>Součet celkem m2</t>
  </si>
  <si>
    <t>DLAŽBA</t>
  </si>
  <si>
    <t>PLOVOUCÍ PODLAHA</t>
  </si>
  <si>
    <t>soklíky u PVC</t>
  </si>
  <si>
    <t>svařování PVC - uvažované pásy 1,50 m</t>
  </si>
  <si>
    <t>216e</t>
  </si>
  <si>
    <t>95R04</t>
  </si>
  <si>
    <t>216f</t>
  </si>
  <si>
    <t>95R05</t>
  </si>
  <si>
    <t>216g</t>
  </si>
  <si>
    <t>95R06</t>
  </si>
  <si>
    <t>147b</t>
  </si>
  <si>
    <t>767001R</t>
  </si>
  <si>
    <t>PODLAHY - STROPY - VÝPOČTY DLE ZAMĚŘENÍ</t>
  </si>
  <si>
    <t>lodžie/balkon</t>
  </si>
  <si>
    <t>celkem m2 (včetně lodž/balk)</t>
  </si>
  <si>
    <t>průměrný radiátor - pohledové plochy (bez vnitřního žebrování)</t>
  </si>
  <si>
    <t>zábradlí lodžie / balkonu</t>
  </si>
  <si>
    <t>Součet celkem m2 STĚN PRO MALBY</t>
  </si>
  <si>
    <r>
      <t xml:space="preserve">MALBY - ŠKRÁBÁNÍ - LOKÁLNÍ OPRAVY - </t>
    </r>
    <r>
      <rPr>
        <b/>
        <u/>
        <sz val="11"/>
        <color rgb="FFFF0000"/>
        <rFont val="Calibri"/>
        <family val="2"/>
        <charset val="238"/>
        <scheme val="minor"/>
      </rPr>
      <t>PLOCHY STĚN</t>
    </r>
    <r>
      <rPr>
        <b/>
        <sz val="11"/>
        <color theme="1"/>
        <rFont val="Calibri"/>
        <family val="2"/>
        <charset val="238"/>
        <scheme val="minor"/>
      </rPr>
      <t xml:space="preserve"> (včetně ploch oken a balkonových dveří jako náhrada za špalety a nadpraží)</t>
    </r>
  </si>
  <si>
    <t>Součet celkem m2 PODLAH</t>
  </si>
  <si>
    <t>Součet celkem m2 STĚN PRO KERAMICKÉ OBKLADY</t>
  </si>
  <si>
    <t>výpočet ploch</t>
  </si>
  <si>
    <t>Výměna vnitřních parapetů plastových nebo dřevěných, vč. odstranění a likvidace původních</t>
  </si>
  <si>
    <t>Digestoř - montáž odsávací skříně se zapojením</t>
  </si>
  <si>
    <t>Závěrečný kompletní úklid BJ k předání a převzetí díla</t>
  </si>
  <si>
    <t>Demontáž a likvidace stávajících nefunkčních vnitřních okenních žaluzií</t>
  </si>
  <si>
    <t>Nátěry (včetně nátěrů konstrukce zábradlí na terase a mezistěny)</t>
  </si>
  <si>
    <t>Dodávka a montáž detektoru kouře / požárního hlásiče na strop, napájení akumulátorovou baterií, se zkušebním tlačítkem a min. IP20, umístění chodba a kuchyně, včetně dokladů a prohlášení o shodě k výrobku</t>
  </si>
  <si>
    <t>Dvířka vanová / revizní 300 x 300 mm bílá</t>
  </si>
  <si>
    <t>Baterie sprchová termostatická nástěnná ruční, vč. příslušenství</t>
  </si>
  <si>
    <r>
      <t xml:space="preserve">Umyvadlo na šrouby </t>
    </r>
    <r>
      <rPr>
        <sz val="10"/>
        <color indexed="10"/>
        <rFont val="Arial"/>
        <family val="2"/>
        <charset val="238"/>
      </rPr>
      <t>Jika Lyra plus 50 x 45 cm, bílé</t>
    </r>
  </si>
  <si>
    <t>Umyvadlo na šrouby OLYMP Deep 55 x 45 cm, bílé</t>
  </si>
  <si>
    <r>
      <t xml:space="preserve">Vanička sprchová </t>
    </r>
    <r>
      <rPr>
        <sz val="10"/>
        <color indexed="10"/>
        <rFont val="Arial"/>
        <family val="2"/>
        <charset val="238"/>
      </rPr>
      <t>obdélníková 120x73x15 cm, akrylátová</t>
    </r>
  </si>
  <si>
    <r>
      <t xml:space="preserve">Podlahovina PVC </t>
    </r>
    <r>
      <rPr>
        <sz val="10"/>
        <color indexed="10"/>
        <rFont val="Arial"/>
        <family val="2"/>
        <charset val="238"/>
      </rPr>
      <t>standard</t>
    </r>
    <r>
      <rPr>
        <sz val="10"/>
        <color indexed="62"/>
        <rFont val="Arial"/>
        <family val="2"/>
        <charset val="238"/>
      </rPr>
      <t xml:space="preserve"> 2000x2,0 mm, dekor dub rustikal </t>
    </r>
    <r>
      <rPr>
        <sz val="10"/>
        <color indexed="10"/>
        <rFont val="Arial"/>
        <family val="2"/>
        <charset val="238"/>
      </rPr>
      <t>(vč. prořezu)</t>
    </r>
  </si>
  <si>
    <r>
      <t xml:space="preserve">KUCHYNĚ + KOUPELNA A WC - OBKLADY STĚN </t>
    </r>
    <r>
      <rPr>
        <b/>
        <u/>
        <sz val="10"/>
        <color rgb="FFFF0000"/>
        <rFont val="Arial"/>
        <family val="2"/>
        <charset val="238"/>
      </rPr>
      <t>NOVÉ</t>
    </r>
  </si>
  <si>
    <r>
      <t xml:space="preserve">KERAMICKÉ OBKLADY STĚN </t>
    </r>
    <r>
      <rPr>
        <b/>
        <u/>
        <sz val="10"/>
        <color rgb="FFFF0000"/>
        <rFont val="Arial"/>
        <family val="2"/>
        <charset val="238"/>
      </rPr>
      <t>STÁVAJÍCÍ</t>
    </r>
  </si>
  <si>
    <t>koupelna</t>
  </si>
  <si>
    <t>WC</t>
  </si>
  <si>
    <t>Součet celkem m2 STĚN PRO ODSTRANĚNÍ OBKLADŮ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</si>
  <si>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>z desek Ytong tl. 50 mm -</t>
    </r>
    <r>
      <rPr>
        <sz val="10"/>
        <color indexed="10"/>
        <rFont val="Arial"/>
        <family val="2"/>
        <charset val="238"/>
      </rPr>
      <t xml:space="preserve"> zadní stěna WC</t>
    </r>
  </si>
  <si>
    <t>Osazení revizních dvířek do příčky, do 0,4 m2</t>
  </si>
  <si>
    <t>Klozet kombi Arteco WC 613, nádrž s armat. odpad šikmý, bílý</t>
  </si>
  <si>
    <t>Sedátko klozetové z PH Cleanon + - bílé</t>
  </si>
  <si>
    <t>Demontáž baterie sprch./vanové diferenciální G 3/4x1</t>
  </si>
  <si>
    <t>Kuchyňská linka do 2, m - opravy a repase stávající sestavy</t>
  </si>
  <si>
    <t>DMTZ (SDK) - truhl. předstěny, 1x kov.kce, 1x oplášť.12,5 mm - šachta stoupaček</t>
  </si>
  <si>
    <t>SVĚTLÁ VÝŠKA</t>
  </si>
  <si>
    <t>Oprava vápen.omítek stěn do 10 % pl. - aktivovaným štukem</t>
  </si>
  <si>
    <r>
      <t>Zazdívka otvorů 0,0225 m2 cihlami</t>
    </r>
    <r>
      <rPr>
        <sz val="10"/>
        <color indexed="10"/>
        <rFont val="Arial"/>
        <family val="2"/>
        <charset val="238"/>
      </rPr>
      <t xml:space="preserve"> v panelu</t>
    </r>
    <r>
      <rPr>
        <sz val="10"/>
        <color indexed="61"/>
        <rFont val="Arial"/>
        <family val="2"/>
        <charset val="238"/>
      </rPr>
      <t xml:space="preserve">, tl.zdi do 10cm
</t>
    </r>
    <r>
      <rPr>
        <sz val="10"/>
        <color indexed="10"/>
        <rFont val="Arial"/>
        <family val="2"/>
        <charset val="238"/>
      </rPr>
      <t>průrazy elektro, ZTI a krabice elektro</t>
    </r>
  </si>
  <si>
    <t>Oprava vápen.omítek stěn do 50 % pl. - aktivovaným štukem</t>
  </si>
  <si>
    <t xml:space="preserve">Oprava vápen.omítek stěn do 75 % pl. - aktivovaným štukem </t>
  </si>
  <si>
    <t>Oprava vápen.omítek stěn do 100 % pl. - aktivovaným štukem</t>
  </si>
  <si>
    <t>Úprava stropů aktiv. štukem s přísadou, tl. 2-3 mm do 50%</t>
  </si>
  <si>
    <r>
      <t>Úprava stropů aktiv. štukem s přísadou, tl. 2-3 mm do 100</t>
    </r>
    <r>
      <rPr>
        <sz val="10"/>
        <rFont val="Arial"/>
        <family val="2"/>
        <charset val="238"/>
      </rPr>
      <t xml:space="preserve"> % pl.</t>
    </r>
  </si>
  <si>
    <t>Hrubá výplň rýh ve stěnách do 3x7 cm maltou ze SMS</t>
  </si>
  <si>
    <t>Začištění omítek kolem oken, dveří apod.</t>
  </si>
  <si>
    <t>Oprava omítky na stropech - odstraněné hřeby garnyž, svítidla a pod.</t>
  </si>
  <si>
    <t>Příplatek k podhledu sádrokart. za plochu od 2 do 5 m2</t>
  </si>
  <si>
    <t>40a</t>
  </si>
  <si>
    <t>40b</t>
  </si>
  <si>
    <t>40c</t>
  </si>
  <si>
    <t>55330369</t>
  </si>
  <si>
    <t>55330370</t>
  </si>
  <si>
    <t>55330371</t>
  </si>
  <si>
    <t>Zárubeň ocelová YH 75 600x1970x75</t>
  </si>
  <si>
    <t>Zárubeň ocelová YH 75 700x1970x75</t>
  </si>
  <si>
    <t>Samonivelační stěrka tl 4 mm</t>
  </si>
  <si>
    <t xml:space="preserve">Výměna hlavice ovládání term. ventilů </t>
  </si>
  <si>
    <t>=F31*0,1+F32*0,5+F33*0,75+F34*1+F35+F36+F60+F38+F39+F43+F44+F45</t>
  </si>
  <si>
    <t>=F31*0,1+F32*0,5+F33*0,75+F34*1+F60+F44+F45</t>
  </si>
  <si>
    <t>=F35+F36+F60+F38+F43</t>
  </si>
  <si>
    <t>Omítka rýh stěn vápenná šířky do 15 cm - štuk</t>
  </si>
  <si>
    <t>735151811R01.2</t>
  </si>
  <si>
    <t>Kliky se štítem mezip  804 se zaj. Cr (WC zámek)</t>
  </si>
  <si>
    <t>Spára - rohy podlaha / stěna akrylát</t>
  </si>
  <si>
    <r>
      <t>Nátěr syntetický</t>
    </r>
    <r>
      <rPr>
        <sz val="10"/>
        <color indexed="61"/>
        <rFont val="Arial"/>
        <family val="2"/>
        <charset val="238"/>
      </rPr>
      <t xml:space="preserve"> radiátorů 2x email</t>
    </r>
  </si>
  <si>
    <t>nátěry venkovních parapetů</t>
  </si>
  <si>
    <t>216a</t>
  </si>
  <si>
    <t>=((1,3+5,8+1,3)*2,8)*1,15</t>
  </si>
  <si>
    <t>216a.2</t>
  </si>
  <si>
    <t>95R01.2</t>
  </si>
  <si>
    <t>Kompletní sanace povrcho podlahy lodžie se systémovou hydroizolací a položením nové mrazuvzdorné dlažby se soklíkem výšky 100 mm</t>
  </si>
  <si>
    <t>Kontrola a seřízení stávajícího zasklení lodžie</t>
  </si>
  <si>
    <t>Demontáž kuchyňských linek do 2,5 m</t>
  </si>
  <si>
    <t>obývací pokoj + kk</t>
  </si>
  <si>
    <t>chodba</t>
  </si>
  <si>
    <t>NEOBSAZENO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</si>
  <si>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 xml:space="preserve">z desek Ytong tl. 50 mm - </t>
    </r>
    <r>
      <rPr>
        <sz val="10"/>
        <color indexed="10"/>
        <rFont val="Arial"/>
        <family val="2"/>
        <charset val="238"/>
      </rPr>
      <t>obezdívky van</t>
    </r>
  </si>
  <si>
    <t>Obklad stěn z desek sádrokartonových, na rošt ocelový, deska impregnovaná 12,5 mm - zadní stěna WC</t>
  </si>
  <si>
    <t>Úpravy rozvodů vody a kanalizace v bytě, včetně demontáží původních, nefunkčních a nepotřebných rozvodů - do 30% standardní ceny pro byt této velikosti</t>
  </si>
  <si>
    <t>Vana akrylátová KLASIK se zápachovou uzávěrkou, dl. 1800 mm</t>
  </si>
  <si>
    <t>Vana akrylátová KLASIK, dl. 1200 mm</t>
  </si>
  <si>
    <t>Dodávka a montáž kuchyňské linky rovné dl. 180 cm, dekor například bardolino - vanilka, dřez, baterie</t>
  </si>
  <si>
    <t>Zámečnické drobné opravy a úpravy - zárubně, zábradlí lodžie, (případně venkovní mříže na lodžii - pokud je součástí bytu) - max. do 30% obvyklé ceny pro velikost BJ</t>
  </si>
  <si>
    <r>
      <t xml:space="preserve">Vyhlazení disperzním tmelem JUB, Jubolin, </t>
    </r>
    <r>
      <rPr>
        <sz val="10"/>
        <color indexed="10"/>
        <rFont val="Arial"/>
        <family val="2"/>
        <charset val="238"/>
      </rPr>
      <t>50 % pl. stropů</t>
    </r>
  </si>
  <si>
    <t>Odstranění malby stropů oškrábáním v místnosti H do 3,8 m</t>
  </si>
  <si>
    <t>PODLAŽÍ</t>
  </si>
  <si>
    <t>VARIANTA 1</t>
  </si>
  <si>
    <t>80L</t>
  </si>
  <si>
    <t>80P</t>
  </si>
  <si>
    <t>90L</t>
  </si>
  <si>
    <t>90P</t>
  </si>
  <si>
    <t>VARIANTA 2</t>
  </si>
  <si>
    <t>BYTOVÝ DŮM NA ADRESE</t>
  </si>
  <si>
    <t>Nepomucká 442/2, Praha 5 - Košíře</t>
  </si>
  <si>
    <t>výměna dveřního křídla</t>
  </si>
  <si>
    <t>výměna zárubně</t>
  </si>
  <si>
    <t>bez výměny křídla</t>
  </si>
  <si>
    <t>bez výměny zárubně</t>
  </si>
  <si>
    <t>bez dalších prací</t>
  </si>
  <si>
    <t>POZNÁMKY, UPŘESNĚNÍ ZADÁNÍ</t>
  </si>
  <si>
    <t>ČÍSLO BJ</t>
  </si>
  <si>
    <t>VÝMĚNA VSTUPNÍCH BYTOVÝCH DVEŘÍ V BYTOVÝCH DOMECH</t>
  </si>
  <si>
    <t>souvis. zednické práce</t>
  </si>
  <si>
    <t>7/6</t>
  </si>
  <si>
    <t>18/5</t>
  </si>
  <si>
    <t>13/4</t>
  </si>
  <si>
    <t>3/3</t>
  </si>
  <si>
    <t>17/2</t>
  </si>
  <si>
    <t>celkem</t>
  </si>
  <si>
    <t>15/12</t>
  </si>
  <si>
    <t>12/12</t>
  </si>
  <si>
    <t>14/11</t>
  </si>
  <si>
    <t>19/12</t>
  </si>
  <si>
    <t>11/9</t>
  </si>
  <si>
    <t>4/8</t>
  </si>
  <si>
    <t>9/7</t>
  </si>
  <si>
    <t>16/20</t>
  </si>
  <si>
    <t>8/19</t>
  </si>
  <si>
    <t>2/18</t>
  </si>
  <si>
    <t>5/17</t>
  </si>
  <si>
    <t>6/16</t>
  </si>
  <si>
    <t>1/1</t>
  </si>
  <si>
    <t>10/14</t>
  </si>
  <si>
    <t>20/23</t>
  </si>
  <si>
    <t>21/21</t>
  </si>
  <si>
    <t>Plzeňská 442/209</t>
  </si>
  <si>
    <t>33/11</t>
  </si>
  <si>
    <t>11/12</t>
  </si>
  <si>
    <t>28/10</t>
  </si>
  <si>
    <t>14/9</t>
  </si>
  <si>
    <t>16/8</t>
  </si>
  <si>
    <t>18/7</t>
  </si>
  <si>
    <t>10/6</t>
  </si>
  <si>
    <t>15/5</t>
  </si>
  <si>
    <t>26/4</t>
  </si>
  <si>
    <t>17/3</t>
  </si>
  <si>
    <t>21/2</t>
  </si>
  <si>
    <t>6/1</t>
  </si>
  <si>
    <t>31/22</t>
  </si>
  <si>
    <t>7/23</t>
  </si>
  <si>
    <t>2/21</t>
  </si>
  <si>
    <t>32/20</t>
  </si>
  <si>
    <t>19/19</t>
  </si>
  <si>
    <t>13/18</t>
  </si>
  <si>
    <t>8/17</t>
  </si>
  <si>
    <t>23/16</t>
  </si>
  <si>
    <t>25/15</t>
  </si>
  <si>
    <t>9/14</t>
  </si>
  <si>
    <t>5/13</t>
  </si>
  <si>
    <t>27/34</t>
  </si>
  <si>
    <t>12/33</t>
  </si>
  <si>
    <t>30/32</t>
  </si>
  <si>
    <t>20/31</t>
  </si>
  <si>
    <t>22/30</t>
  </si>
  <si>
    <t>24/29</t>
  </si>
  <si>
    <t>1/28</t>
  </si>
  <si>
    <t>3/27</t>
  </si>
  <si>
    <t>4/26</t>
  </si>
  <si>
    <t>29/25</t>
  </si>
  <si>
    <t>35/24</t>
  </si>
  <si>
    <t>36/36</t>
  </si>
  <si>
    <t>34/34</t>
  </si>
  <si>
    <t>37/37</t>
  </si>
  <si>
    <t>38/38</t>
  </si>
  <si>
    <t>Plzeňská 442/211</t>
  </si>
  <si>
    <t>8/8</t>
  </si>
  <si>
    <t>9/9</t>
  </si>
  <si>
    <t>18/8</t>
  </si>
  <si>
    <t>26/7</t>
  </si>
  <si>
    <t>16/6</t>
  </si>
  <si>
    <t>24/5</t>
  </si>
  <si>
    <t>19/4</t>
  </si>
  <si>
    <t>30/3</t>
  </si>
  <si>
    <t>22/2</t>
  </si>
  <si>
    <t>25/12</t>
  </si>
  <si>
    <t>10/21</t>
  </si>
  <si>
    <t>12/20</t>
  </si>
  <si>
    <t>1/19</t>
  </si>
  <si>
    <t>17/16</t>
  </si>
  <si>
    <t>14/15</t>
  </si>
  <si>
    <t>32/32</t>
  </si>
  <si>
    <t>4/13</t>
  </si>
  <si>
    <t>23/11</t>
  </si>
  <si>
    <t>34/33</t>
  </si>
  <si>
    <t>31/31</t>
  </si>
  <si>
    <t>5/31</t>
  </si>
  <si>
    <t>33/30</t>
  </si>
  <si>
    <t>21/29</t>
  </si>
  <si>
    <t>17/17</t>
  </si>
  <si>
    <t>7/27</t>
  </si>
  <si>
    <t>13/26</t>
  </si>
  <si>
    <t>20/24</t>
  </si>
  <si>
    <t>popis technického obsahu varianty v Technické zprávě - je nedílnou součástí podkladů</t>
  </si>
  <si>
    <t>dveře i zárubeň v pořádku - NEVYMĚŇOVAT</t>
  </si>
  <si>
    <t>neumožněno zaměření - dveře + zárubeň na výměnu</t>
  </si>
  <si>
    <t>dveře po výměně od 02/2020</t>
  </si>
  <si>
    <t>výměna plánovaná v době zaměřování (CENTRA)</t>
  </si>
  <si>
    <t>stávající dveře masivní dřevěné s nadsvětlíkem - větší rozsah zednických úprav</t>
  </si>
  <si>
    <t>dveře má nájemník vyměněné na vlastní náklady - nepožaduje další výměnu</t>
  </si>
  <si>
    <t>nájemník požaduje přemontovat na nové dveře bezpečnostní závoru, kterou pořídil na vlastní náklady</t>
  </si>
  <si>
    <t>v době zaměřování probíhala oprava BJ (předpoklad vč. výměny zárubně a dveří)</t>
  </si>
  <si>
    <t>stávající dveře masivní dřevěné s nadsvětlíkem - větší rozsah zednických úprav; nájemník požaduje přemontovat na nové dveře bezpečnostní závoru, kterou pořídil na vlastní náklady</t>
  </si>
  <si>
    <t>nájemník má na svoje náklady bezpečnostní dveře - NEPOŽADUJE VÝMĚNU</t>
  </si>
  <si>
    <t>CELKOVÝ POČET DVEŘÍ</t>
  </si>
  <si>
    <t>nájemník má na svoje náklady bezpečnostní dveře NEXT - NEPOŽADUJE VÝMĚNU</t>
  </si>
  <si>
    <t>dveře po výměně - NENÍ PLÁNOVANÁ DALŠÍ VÝMĚNA</t>
  </si>
  <si>
    <t>společné dveře z podesty do chodby k BJ 36/36 a 37/37</t>
  </si>
  <si>
    <r>
      <t xml:space="preserve">nájemnice NECHCE výměnu dveří - z důvodu vestavěného odkládacího prostoru v chodbě bytu nad dveřmi; na ddveřích má na své náklady bezpečnostní závoru; </t>
    </r>
    <r>
      <rPr>
        <b/>
        <sz val="10"/>
        <color indexed="8"/>
        <rFont val="Arial"/>
        <family val="2"/>
        <charset val="238"/>
      </rPr>
      <t>naopak požaduje údržbu - nový práh, kompletnbí nové těsnění; NEBYLO MOŽNÉ OVĚŘIT, JESTLI JDE O POŽÁRNÍ UZÁVĚR (!)</t>
    </r>
  </si>
  <si>
    <r>
      <t>NEBYLO MOŽNÉ OVĚŘIT, ŽE JDE O PROTIPOŽÁRNÍ ZÁRUBEŇ;</t>
    </r>
    <r>
      <rPr>
        <sz val="10"/>
        <color indexed="8"/>
        <rFont val="Arial"/>
        <family val="2"/>
        <charset val="238"/>
      </rPr>
      <t xml:space="preserve"> dveře po výměně</t>
    </r>
  </si>
  <si>
    <t>dveře bytové</t>
  </si>
  <si>
    <t>úpravy a práh</t>
  </si>
  <si>
    <t>ocelová zárubeň 80/197 nebo 90/197 PROTIPOŽÁRNÍ - EI 30</t>
  </si>
  <si>
    <t>PODLAHY - DLE ZAMĚŘENÍ - ROZDĚLENÍ KRYTIN / ÚPRAV / ČINNOSTÍ</t>
  </si>
  <si>
    <t>nezbytné úpravy</t>
  </si>
  <si>
    <t>Výměna vstupních dveří / zárubní / opravy</t>
  </si>
  <si>
    <t>Krycí list rozpočtu - BLOK BD 1</t>
  </si>
  <si>
    <t>Stavební rozpočet - BLOK BD 1</t>
  </si>
  <si>
    <t>Praha 5 - Košíře                                    Nepomucká 442/2                                              Plzeňská 442/209                                           Plzeňská 442/211</t>
  </si>
  <si>
    <t>Praha 5 - Košíře                                                                                              Nepomucká 442/2                                                                             Plzeňská 442/209                                                                                                         Plzeňská 442/211</t>
  </si>
  <si>
    <t>BLOK BD 1 - Praha 5 - Košíře, Nepomucká 442/2, Plzeňská 442/209, Plzeňská 442/211</t>
  </si>
  <si>
    <t>PODKLADY PRO ZADÁVACÍ ŘÍZENÍ - BLOK BD 1 - Praha 5 - Košíře, Nepomucká 442/2, Plzeňská 442/209, Plzeňská 442/211</t>
  </si>
  <si>
    <t>119 A</t>
  </si>
  <si>
    <t>119 B</t>
  </si>
  <si>
    <t>Potěr, například ze SMS Knauf, ruční zpracování, tl. 50 mm</t>
  </si>
  <si>
    <t>Vybourání kovových dveřních zárubní pl. do 2 m2</t>
  </si>
  <si>
    <t>97908-2111R7</t>
  </si>
  <si>
    <t>951956R01.1</t>
  </si>
  <si>
    <t>Zárubeň ocelová PROTIPOŽÁRNÍ EI 30 800x1970*110, s certifikátem</t>
  </si>
  <si>
    <t>Zárubeň ocelová PROTIPOŽÁRNÍ EI 30 900x1970*111, s certifikátem</t>
  </si>
  <si>
    <t>64294-0001.R</t>
  </si>
  <si>
    <r>
      <t xml:space="preserve">Zalití zárubní  kovových do 2,5 m2 </t>
    </r>
    <r>
      <rPr>
        <b/>
        <sz val="10"/>
        <rFont val="Arial"/>
        <family val="2"/>
        <charset val="238"/>
      </rPr>
      <t>vysokopevnostní maltou MC nebo vysokopevnostním betone, rychleschnoucím</t>
    </r>
    <r>
      <rPr>
        <sz val="10"/>
        <rFont val="Arial"/>
      </rPr>
      <t>, včetně zazdění a potřebných dozdívek</t>
    </r>
  </si>
  <si>
    <r>
      <t xml:space="preserve">Dveře protipožární EI30 </t>
    </r>
    <r>
      <rPr>
        <b/>
        <sz val="10"/>
        <color rgb="FFFF0000"/>
        <rFont val="Arial"/>
        <family val="2"/>
        <charset val="238"/>
      </rPr>
      <t>80x197 cm</t>
    </r>
    <r>
      <rPr>
        <sz val="10"/>
        <rFont val="Arial"/>
        <family val="2"/>
        <charset val="238"/>
      </rPr>
      <t xml:space="preserve"> - </t>
    </r>
    <r>
      <rPr>
        <b/>
        <sz val="10"/>
        <color rgb="FFFF0000"/>
        <rFont val="Arial"/>
        <family val="2"/>
        <charset val="238"/>
      </rPr>
      <t xml:space="preserve">včetně kukátka a nalepení čísla bytové jednotky - </t>
    </r>
    <r>
      <rPr>
        <sz val="10"/>
        <rFont val="Arial"/>
        <family val="2"/>
        <charset val="238"/>
      </rPr>
      <t>technická SPC - křídlo standardizovaných rozměrů, schopné odolávat změnám teplotního zatížení a změnám vlhkostních podmínek, voděodolné, konstrukčně schopné odolávat případným nárazům nebo tlaku</t>
    </r>
  </si>
  <si>
    <r>
      <t xml:space="preserve">Dveře protipožární EI30 </t>
    </r>
    <r>
      <rPr>
        <b/>
        <sz val="10"/>
        <color rgb="FFFF0000"/>
        <rFont val="Arial"/>
        <family val="2"/>
        <charset val="238"/>
      </rPr>
      <t>90x197 cm</t>
    </r>
    <r>
      <rPr>
        <sz val="10"/>
        <rFont val="Arial"/>
        <family val="2"/>
        <charset val="238"/>
      </rPr>
      <t xml:space="preserve"> - </t>
    </r>
    <r>
      <rPr>
        <b/>
        <sz val="10"/>
        <color rgb="FFFF0000"/>
        <rFont val="Arial"/>
        <family val="2"/>
        <charset val="238"/>
      </rPr>
      <t xml:space="preserve">včetně kukátka a nalepení čísla bytové jednotky - </t>
    </r>
    <r>
      <rPr>
        <sz val="10"/>
        <rFont val="Arial"/>
        <family val="2"/>
        <charset val="238"/>
      </rPr>
      <t>technická SPC - křídlo standardizovaných rozměrů, schopné odolávat změnám teplotního zatížení a změnám vlhkostních podmínek, voděodolné, konstrukčně schopné odolávat případným nárazům nebo tlaku</t>
    </r>
  </si>
  <si>
    <t>Zednické opravy vnitřních ploch svislých a vodorovných nad rámec standardních položek, při použití systémových, rychletvrdnoucích a rychleschnoucích malt, pojiv a dalších materiálů - drobná dočištění, lokální opravy navazujících konstrukcí s minimálními přesahy, úpravy podlahových konstrukcí vynucené místními podmínkami, zejména rozdílnými výškami navazujích podlah chodba v BJ / chodba (zasklená pavlač) v BD - průměrná j.c. na základě odborného odhadu po seznámí s podmínkami realizace na místě</t>
  </si>
  <si>
    <t>951957R01.2</t>
  </si>
  <si>
    <t>Provizorní dřevěný nebo hliníkový rám s jednoduchou dveřní zárubní, výpní přesahujících ploch OSB deskou a obyčejným dveřním křídlem s kováním a vložkou FAB, použitelným z pavlačové chodby na stěnu k bytové jednotce jako přisazená POHOTOVOSTNÍ dočasná, krátkodobá konstrukce umožňující uzavření a uzamčení bytové jednotky, vč. podílu MTŽ a DMTŽ</t>
  </si>
  <si>
    <t>RTS II; Kros-CÚ 2 pol. 2020; R 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</si>
</sst>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56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name val="Arial CE"/>
      <family val="2"/>
      <charset val="238"/>
    </font>
    <font>
      <sz val="10"/>
      <color indexed="62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4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61"/>
      <name val="Helvetica Neue Light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7" fillId="0" borderId="0"/>
    <xf numFmtId="0" fontId="17" fillId="0" borderId="0"/>
    <xf numFmtId="0" fontId="41" fillId="0" borderId="0"/>
    <xf numFmtId="0" fontId="41" fillId="0" borderId="0"/>
    <xf numFmtId="0" fontId="17" fillId="0" borderId="0"/>
    <xf numFmtId="3" fontId="22" fillId="0" borderId="1">
      <alignment horizontal="right"/>
    </xf>
    <xf numFmtId="3" fontId="24" fillId="2" borderId="0">
      <alignment horizontal="right"/>
    </xf>
    <xf numFmtId="3" fontId="24" fillId="2" borderId="0">
      <alignment horizontal="left"/>
    </xf>
    <xf numFmtId="3" fontId="24" fillId="3" borderId="0">
      <alignment horizontal="right"/>
    </xf>
    <xf numFmtId="0" fontId="24" fillId="3" borderId="0">
      <alignment horizontal="left" indent="1"/>
    </xf>
    <xf numFmtId="3" fontId="25" fillId="4" borderId="0">
      <alignment horizontal="right"/>
    </xf>
    <xf numFmtId="3" fontId="25" fillId="4" borderId="0">
      <alignment horizontal="left" indent="1"/>
    </xf>
  </cellStyleXfs>
  <cellXfs count="469">
    <xf numFmtId="0" fontId="1" fillId="0" borderId="0" xfId="0" applyFont="1" applyAlignment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5" borderId="4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5" borderId="4" xfId="0" applyNumberFormat="1" applyFont="1" applyFill="1" applyBorder="1" applyAlignment="1" applyProtection="1">
      <alignment horizontal="righ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10" fillId="6" borderId="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6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7" fillId="0" borderId="0" xfId="0" applyFont="1" applyFill="1" applyBorder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1" fontId="16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horizontal="left" vertical="center"/>
    </xf>
    <xf numFmtId="49" fontId="16" fillId="7" borderId="0" xfId="0" applyNumberFormat="1" applyFont="1" applyFill="1" applyBorder="1" applyAlignment="1" applyProtection="1">
      <alignment horizontal="left" vertical="center" wrapText="1"/>
    </xf>
    <xf numFmtId="164" fontId="16" fillId="7" borderId="0" xfId="0" applyNumberFormat="1" applyFont="1" applyFill="1" applyBorder="1" applyAlignment="1" applyProtection="1">
      <alignment horizontal="right" vertical="center"/>
    </xf>
    <xf numFmtId="4" fontId="16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Border="1"/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21" fillId="5" borderId="0" xfId="0" applyNumberFormat="1" applyFont="1" applyFill="1" applyBorder="1" applyAlignment="1" applyProtection="1">
      <alignment horizontal="righ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/>
    </xf>
    <xf numFmtId="49" fontId="8" fillId="5" borderId="0" xfId="0" applyNumberFormat="1" applyFont="1" applyFill="1" applyBorder="1" applyAlignment="1" applyProtection="1">
      <alignment vertical="center"/>
    </xf>
    <xf numFmtId="0" fontId="8" fillId="5" borderId="0" xfId="0" applyNumberFormat="1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vertical="center"/>
    </xf>
    <xf numFmtId="0" fontId="8" fillId="5" borderId="4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37" fillId="0" borderId="0" xfId="0" applyNumberFormat="1" applyFont="1" applyFill="1" applyBorder="1" applyAlignment="1" applyProtection="1">
      <alignment horizontal="left" vertical="center"/>
    </xf>
    <xf numFmtId="4" fontId="37" fillId="0" borderId="0" xfId="0" applyNumberFormat="1" applyFont="1" applyFill="1" applyBorder="1" applyAlignment="1" applyProtection="1">
      <alignment horizontal="right" vertical="center"/>
    </xf>
    <xf numFmtId="49" fontId="37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" fontId="26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9" fontId="28" fillId="5" borderId="0" xfId="0" applyNumberFormat="1" applyFont="1" applyFill="1" applyBorder="1" applyAlignment="1" applyProtection="1">
      <alignment horizontal="right" vertical="center"/>
    </xf>
    <xf numFmtId="49" fontId="29" fillId="5" borderId="0" xfId="0" applyNumberFormat="1" applyFont="1" applyFill="1" applyBorder="1" applyAlignment="1" applyProtection="1">
      <alignment horizontal="left" vertical="center"/>
    </xf>
    <xf numFmtId="49" fontId="28" fillId="5" borderId="0" xfId="0" applyNumberFormat="1" applyFont="1" applyFill="1" applyBorder="1" applyAlignment="1" applyProtection="1">
      <alignment horizontal="left" vertical="center"/>
    </xf>
    <xf numFmtId="4" fontId="28" fillId="5" borderId="0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Fill="1" applyBorder="1" applyAlignment="1" applyProtection="1">
      <alignment horizontal="right" vertical="center"/>
    </xf>
    <xf numFmtId="49" fontId="30" fillId="0" borderId="0" xfId="0" applyNumberFormat="1" applyFont="1" applyFill="1" applyBorder="1" applyAlignment="1" applyProtection="1">
      <alignment horizontal="right" vertical="center"/>
    </xf>
    <xf numFmtId="49" fontId="31" fillId="0" borderId="0" xfId="0" applyNumberFormat="1" applyFont="1" applyFill="1" applyBorder="1" applyAlignment="1" applyProtection="1">
      <alignment horizontal="left" vertical="center"/>
    </xf>
    <xf numFmtId="4" fontId="31" fillId="0" borderId="0" xfId="0" applyNumberFormat="1" applyFont="1" applyFill="1" applyBorder="1" applyAlignment="1" applyProtection="1">
      <alignment horizontal="right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right" vertical="center"/>
    </xf>
    <xf numFmtId="49" fontId="33" fillId="5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ill="1" applyBorder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left" vertical="center"/>
    </xf>
    <xf numFmtId="4" fontId="34" fillId="0" borderId="0" xfId="0" applyNumberFormat="1" applyFont="1" applyFill="1" applyBorder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37" fillId="0" borderId="0" xfId="0" applyFont="1" applyFill="1" applyAlignment="1">
      <alignment vertical="center"/>
    </xf>
    <xf numFmtId="49" fontId="39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9" fontId="28" fillId="5" borderId="0" xfId="0" applyNumberFormat="1" applyFont="1" applyFill="1" applyBorder="1" applyAlignment="1" applyProtection="1">
      <alignment vertical="center"/>
    </xf>
    <xf numFmtId="0" fontId="28" fillId="5" borderId="0" xfId="0" applyNumberFormat="1" applyFont="1" applyFill="1" applyBorder="1" applyAlignment="1" applyProtection="1">
      <alignment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Font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35" fillId="0" borderId="1" xfId="0" applyNumberFormat="1" applyFont="1" applyFill="1" applyBorder="1" applyAlignment="1" applyProtection="1">
      <alignment horizontal="right" vertical="center"/>
    </xf>
    <xf numFmtId="0" fontId="38" fillId="0" borderId="1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165" fontId="26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28" fillId="5" borderId="0" xfId="0" applyNumberFormat="1" applyFont="1" applyFill="1" applyBorder="1" applyAlignment="1" applyProtection="1">
      <alignment horizontal="right" vertical="center"/>
    </xf>
    <xf numFmtId="165" fontId="8" fillId="5" borderId="0" xfId="0" applyNumberFormat="1" applyFont="1" applyFill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right" vertical="center"/>
    </xf>
    <xf numFmtId="165" fontId="30" fillId="0" borderId="0" xfId="0" applyNumberFormat="1" applyFont="1" applyFill="1" applyBorder="1" applyAlignment="1" applyProtection="1">
      <alignment horizontal="right" vertical="center"/>
    </xf>
    <xf numFmtId="165" fontId="37" fillId="0" borderId="0" xfId="0" applyNumberFormat="1" applyFont="1" applyFill="1" applyBorder="1" applyAlignment="1" applyProtection="1">
      <alignment horizontal="right" vertical="center"/>
    </xf>
    <xf numFmtId="165" fontId="23" fillId="0" borderId="0" xfId="0" applyNumberFormat="1" applyFont="1" applyFill="1" applyBorder="1" applyAlignment="1" applyProtection="1">
      <alignment horizontal="right" vertical="center"/>
    </xf>
    <xf numFmtId="165" fontId="34" fillId="0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165" fontId="1" fillId="0" borderId="5" xfId="0" applyNumberFormat="1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ont="1" applyFill="1" applyBorder="1" applyAlignment="1" applyProtection="1">
      <alignment horizontal="right" vertical="center"/>
    </xf>
    <xf numFmtId="165" fontId="5" fillId="8" borderId="0" xfId="0" applyNumberFormat="1" applyFont="1" applyFill="1" applyBorder="1" applyAlignment="1" applyProtection="1">
      <alignment horizontal="right" vertical="center"/>
    </xf>
    <xf numFmtId="49" fontId="5" fillId="8" borderId="0" xfId="0" applyNumberFormat="1" applyFont="1" applyFill="1" applyBorder="1" applyAlignment="1" applyProtection="1">
      <alignment horizontal="left" vertical="center"/>
    </xf>
    <xf numFmtId="165" fontId="0" fillId="8" borderId="0" xfId="0" applyNumberFormat="1" applyFont="1" applyFill="1" applyBorder="1" applyAlignment="1" applyProtection="1">
      <alignment horizontal="right" vertical="center"/>
    </xf>
    <xf numFmtId="165" fontId="31" fillId="8" borderId="0" xfId="0" applyNumberFormat="1" applyFont="1" applyFill="1" applyBorder="1" applyAlignment="1" applyProtection="1">
      <alignment horizontal="right" vertical="center"/>
    </xf>
    <xf numFmtId="164" fontId="27" fillId="0" borderId="0" xfId="0" applyNumberFormat="1" applyFont="1" applyFill="1" applyAlignment="1">
      <alignment vertical="center"/>
    </xf>
    <xf numFmtId="164" fontId="32" fillId="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5" fontId="5" fillId="9" borderId="0" xfId="0" applyNumberFormat="1" applyFont="1" applyFill="1" applyBorder="1" applyAlignment="1" applyProtection="1">
      <alignment horizontal="right"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5" fontId="8" fillId="10" borderId="0" xfId="0" applyNumberFormat="1" applyFont="1" applyFill="1" applyBorder="1" applyAlignment="1" applyProtection="1">
      <alignment horizontal="right" vertical="center"/>
    </xf>
    <xf numFmtId="165" fontId="15" fillId="9" borderId="0" xfId="0" applyNumberFormat="1" applyFont="1" applyFill="1" applyBorder="1" applyAlignment="1" applyProtection="1">
      <alignment horizontal="right" vertical="center"/>
    </xf>
    <xf numFmtId="165" fontId="0" fillId="9" borderId="0" xfId="0" applyNumberFormat="1" applyFont="1" applyFill="1" applyBorder="1" applyAlignment="1" applyProtection="1">
      <alignment horizontal="right" vertical="center"/>
    </xf>
    <xf numFmtId="165" fontId="37" fillId="9" borderId="0" xfId="0" applyNumberFormat="1" applyFont="1" applyFill="1" applyBorder="1" applyAlignment="1" applyProtection="1">
      <alignment horizontal="right" vertical="center"/>
    </xf>
    <xf numFmtId="0" fontId="1" fillId="9" borderId="0" xfId="0" applyFont="1" applyFill="1" applyAlignment="1">
      <alignment vertical="center"/>
    </xf>
    <xf numFmtId="165" fontId="16" fillId="9" borderId="0" xfId="0" applyNumberFormat="1" applyFont="1" applyFill="1" applyBorder="1" applyAlignment="1" applyProtection="1">
      <alignment horizontal="right" vertical="center"/>
    </xf>
    <xf numFmtId="164" fontId="1" fillId="9" borderId="0" xfId="0" applyNumberFormat="1" applyFont="1" applyFill="1" applyAlignment="1">
      <alignment vertical="center" wrapText="1"/>
    </xf>
    <xf numFmtId="49" fontId="43" fillId="11" borderId="0" xfId="0" applyNumberFormat="1" applyFont="1" applyFill="1" applyBorder="1" applyAlignment="1" applyProtection="1">
      <alignment horizontal="left" vertical="center"/>
    </xf>
    <xf numFmtId="4" fontId="43" fillId="11" borderId="0" xfId="0" applyNumberFormat="1" applyFont="1" applyFill="1" applyBorder="1" applyAlignment="1" applyProtection="1">
      <alignment horizontal="right" vertical="center"/>
    </xf>
    <xf numFmtId="165" fontId="43" fillId="11" borderId="0" xfId="0" applyNumberFormat="1" applyFont="1" applyFill="1" applyBorder="1" applyAlignment="1" applyProtection="1">
      <alignment horizontal="right" vertical="center"/>
    </xf>
    <xf numFmtId="49" fontId="43" fillId="11" borderId="0" xfId="0" applyNumberFormat="1" applyFont="1" applyFill="1" applyBorder="1" applyAlignment="1" applyProtection="1">
      <alignment horizontal="left" vertical="center" wrapText="1"/>
    </xf>
    <xf numFmtId="4" fontId="45" fillId="0" borderId="0" xfId="0" applyNumberFormat="1" applyFont="1" applyFill="1" applyBorder="1" applyAlignment="1" applyProtection="1">
      <alignment horizontal="right" vertical="center"/>
    </xf>
    <xf numFmtId="4" fontId="42" fillId="12" borderId="19" xfId="0" applyNumberFormat="1" applyFont="1" applyFill="1" applyBorder="1"/>
    <xf numFmtId="4" fontId="0" fillId="0" borderId="0" xfId="0" applyNumberFormat="1"/>
    <xf numFmtId="4" fontId="42" fillId="13" borderId="0" xfId="0" applyNumberFormat="1" applyFont="1" applyFill="1"/>
    <xf numFmtId="4" fontId="0" fillId="13" borderId="19" xfId="0" applyNumberFormat="1" applyFill="1" applyBorder="1"/>
    <xf numFmtId="4" fontId="42" fillId="14" borderId="19" xfId="0" applyNumberFormat="1" applyFont="1" applyFill="1" applyBorder="1"/>
    <xf numFmtId="4" fontId="46" fillId="0" borderId="0" xfId="0" applyNumberFormat="1" applyFont="1"/>
    <xf numFmtId="4" fontId="42" fillId="13" borderId="19" xfId="0" applyNumberFormat="1" applyFont="1" applyFill="1" applyBorder="1"/>
    <xf numFmtId="4" fontId="0" fillId="13" borderId="0" xfId="0" applyNumberFormat="1" applyFill="1" applyAlignment="1">
      <alignment wrapText="1"/>
    </xf>
    <xf numFmtId="4" fontId="42" fillId="15" borderId="0" xfId="0" applyNumberFormat="1" applyFont="1" applyFill="1"/>
    <xf numFmtId="4" fontId="0" fillId="15" borderId="0" xfId="0" applyNumberFormat="1" applyFill="1"/>
    <xf numFmtId="4" fontId="46" fillId="15" borderId="0" xfId="0" applyNumberFormat="1" applyFont="1" applyFill="1"/>
    <xf numFmtId="4" fontId="42" fillId="11" borderId="0" xfId="0" applyNumberFormat="1" applyFont="1" applyFill="1"/>
    <xf numFmtId="4" fontId="0" fillId="11" borderId="0" xfId="0" applyNumberFormat="1" applyFill="1"/>
    <xf numFmtId="4" fontId="46" fillId="11" borderId="0" xfId="0" applyNumberFormat="1" applyFont="1" applyFill="1"/>
    <xf numFmtId="4" fontId="0" fillId="0" borderId="32" xfId="0" applyNumberFormat="1" applyBorder="1"/>
    <xf numFmtId="4" fontId="46" fillId="0" borderId="32" xfId="0" applyNumberFormat="1" applyFont="1" applyBorder="1"/>
    <xf numFmtId="4" fontId="42" fillId="13" borderId="32" xfId="0" applyNumberFormat="1" applyFont="1" applyFill="1" applyBorder="1"/>
    <xf numFmtId="4" fontId="0" fillId="13" borderId="41" xfId="0" applyNumberFormat="1" applyFill="1" applyBorder="1"/>
    <xf numFmtId="4" fontId="42" fillId="16" borderId="0" xfId="0" applyNumberFormat="1" applyFont="1" applyFill="1"/>
    <xf numFmtId="4" fontId="0" fillId="16" borderId="0" xfId="0" applyNumberFormat="1" applyFill="1"/>
    <xf numFmtId="4" fontId="46" fillId="16" borderId="0" xfId="0" applyNumberFormat="1" applyFont="1" applyFill="1"/>
    <xf numFmtId="4" fontId="42" fillId="0" borderId="0" xfId="0" applyNumberFormat="1" applyFont="1"/>
    <xf numFmtId="0" fontId="15" fillId="0" borderId="0" xfId="0" applyFont="1" applyFill="1" applyAlignment="1">
      <alignment vertical="center"/>
    </xf>
    <xf numFmtId="4" fontId="43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0" fontId="43" fillId="0" borderId="0" xfId="0" applyFont="1" applyFill="1" applyAlignment="1">
      <alignment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165" fontId="43" fillId="9" borderId="0" xfId="0" applyNumberFormat="1" applyFont="1" applyFill="1" applyBorder="1" applyAlignment="1" applyProtection="1">
      <alignment horizontal="right" vertical="center"/>
    </xf>
    <xf numFmtId="4" fontId="42" fillId="17" borderId="19" xfId="0" applyNumberFormat="1" applyFont="1" applyFill="1" applyBorder="1"/>
    <xf numFmtId="4" fontId="47" fillId="0" borderId="0" xfId="0" applyNumberFormat="1" applyFont="1"/>
    <xf numFmtId="4" fontId="15" fillId="0" borderId="0" xfId="0" applyNumberFormat="1" applyFont="1"/>
    <xf numFmtId="4" fontId="47" fillId="0" borderId="0" xfId="0" applyNumberFormat="1" applyFont="1" applyAlignment="1">
      <alignment wrapText="1"/>
    </xf>
    <xf numFmtId="4" fontId="42" fillId="11" borderId="19" xfId="0" applyNumberFormat="1" applyFont="1" applyFill="1" applyBorder="1"/>
    <xf numFmtId="4" fontId="42" fillId="11" borderId="42" xfId="0" applyNumberFormat="1" applyFont="1" applyFill="1" applyBorder="1"/>
    <xf numFmtId="4" fontId="5" fillId="11" borderId="0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37" fillId="11" borderId="0" xfId="0" applyNumberFormat="1" applyFont="1" applyFill="1" applyBorder="1" applyAlignment="1" applyProtection="1">
      <alignment horizontal="left" vertical="center"/>
    </xf>
    <xf numFmtId="4" fontId="42" fillId="18" borderId="19" xfId="0" applyNumberFormat="1" applyFont="1" applyFill="1" applyBorder="1"/>
    <xf numFmtId="4" fontId="42" fillId="18" borderId="42" xfId="0" applyNumberFormat="1" applyFont="1" applyFill="1" applyBorder="1"/>
    <xf numFmtId="49" fontId="18" fillId="11" borderId="0" xfId="0" applyNumberFormat="1" applyFont="1" applyFill="1" applyBorder="1" applyAlignment="1" applyProtection="1">
      <alignment horizontal="left" vertical="center" wrapText="1"/>
    </xf>
    <xf numFmtId="49" fontId="5" fillId="8" borderId="0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4" fontId="46" fillId="0" borderId="0" xfId="0" applyNumberFormat="1" applyFont="1" applyFill="1"/>
    <xf numFmtId="4" fontId="42" fillId="0" borderId="19" xfId="0" applyNumberFormat="1" applyFont="1" applyFill="1" applyBorder="1"/>
    <xf numFmtId="4" fontId="42" fillId="0" borderId="0" xfId="0" applyNumberFormat="1" applyFont="1" applyFill="1"/>
    <xf numFmtId="4" fontId="0" fillId="0" borderId="19" xfId="0" applyNumberFormat="1" applyFill="1" applyBorder="1"/>
    <xf numFmtId="4" fontId="51" fillId="16" borderId="42" xfId="0" applyNumberFormat="1" applyFont="1" applyFill="1" applyBorder="1"/>
    <xf numFmtId="4" fontId="43" fillId="16" borderId="21" xfId="0" applyNumberFormat="1" applyFont="1" applyFill="1" applyBorder="1"/>
    <xf numFmtId="4" fontId="43" fillId="16" borderId="15" xfId="0" applyNumberFormat="1" applyFont="1" applyFill="1" applyBorder="1"/>
    <xf numFmtId="4" fontId="42" fillId="18" borderId="41" xfId="0" applyNumberFormat="1" applyFont="1" applyFill="1" applyBorder="1"/>
    <xf numFmtId="4" fontId="0" fillId="0" borderId="43" xfId="0" applyNumberFormat="1" applyBorder="1"/>
    <xf numFmtId="49" fontId="1" fillId="0" borderId="0" xfId="0" applyNumberFormat="1" applyFont="1" applyAlignment="1">
      <alignment vertical="center"/>
    </xf>
    <xf numFmtId="49" fontId="27" fillId="0" borderId="0" xfId="0" applyNumberFormat="1" applyFont="1" applyFill="1" applyAlignment="1">
      <alignment vertical="center"/>
    </xf>
    <xf numFmtId="49" fontId="27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32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/>
    <xf numFmtId="49" fontId="37" fillId="0" borderId="0" xfId="0" applyNumberFormat="1" applyFont="1" applyFill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43" fillId="0" borderId="0" xfId="0" applyNumberFormat="1" applyFont="1" applyFill="1" applyAlignment="1">
      <alignment vertical="center"/>
    </xf>
    <xf numFmtId="49" fontId="17" fillId="7" borderId="0" xfId="0" applyNumberFormat="1" applyFont="1" applyFill="1" applyBorder="1"/>
    <xf numFmtId="4" fontId="5" fillId="16" borderId="0" xfId="0" applyNumberFormat="1" applyFont="1" applyFill="1" applyBorder="1" applyAlignment="1" applyProtection="1">
      <alignment horizontal="right" vertical="center"/>
    </xf>
    <xf numFmtId="4" fontId="43" fillId="16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3" fillId="19" borderId="44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/>
    </xf>
    <xf numFmtId="0" fontId="3" fillId="20" borderId="45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3" fillId="19" borderId="47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43" fillId="16" borderId="14" xfId="0" applyNumberFormat="1" applyFont="1" applyFill="1" applyBorder="1" applyAlignment="1">
      <alignment wrapText="1"/>
    </xf>
    <xf numFmtId="4" fontId="15" fillId="15" borderId="0" xfId="0" applyNumberFormat="1" applyFont="1" applyFill="1"/>
    <xf numFmtId="4" fontId="42" fillId="12" borderId="42" xfId="0" applyNumberFormat="1" applyFont="1" applyFill="1" applyBorder="1" applyAlignment="1">
      <alignment vertical="center"/>
    </xf>
    <xf numFmtId="4" fontId="42" fillId="17" borderId="42" xfId="0" applyNumberFormat="1" applyFont="1" applyFill="1" applyBorder="1" applyAlignment="1">
      <alignment vertical="center"/>
    </xf>
    <xf numFmtId="4" fontId="0" fillId="0" borderId="0" xfId="0" applyNumberFormat="1" applyBorder="1"/>
    <xf numFmtId="49" fontId="15" fillId="19" borderId="0" xfId="0" applyNumberFormat="1" applyFont="1" applyFill="1" applyBorder="1" applyAlignment="1" applyProtection="1">
      <alignment horizontal="left" vertical="center"/>
    </xf>
    <xf numFmtId="49" fontId="15" fillId="19" borderId="0" xfId="0" applyNumberFormat="1" applyFont="1" applyFill="1" applyBorder="1" applyAlignment="1" applyProtection="1">
      <alignment horizontal="left" vertical="center" wrapText="1"/>
    </xf>
    <xf numFmtId="4" fontId="15" fillId="19" borderId="0" xfId="0" applyNumberFormat="1" applyFont="1" applyFill="1" applyBorder="1" applyAlignment="1" applyProtection="1">
      <alignment horizontal="right" vertical="center"/>
    </xf>
    <xf numFmtId="165" fontId="15" fillId="19" borderId="0" xfId="0" applyNumberFormat="1" applyFont="1" applyFill="1" applyBorder="1" applyAlignment="1" applyProtection="1">
      <alignment horizontal="right" vertical="center"/>
    </xf>
    <xf numFmtId="10" fontId="38" fillId="11" borderId="11" xfId="0" applyNumberFormat="1" applyFont="1" applyFill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49" fontId="5" fillId="19" borderId="0" xfId="0" applyNumberFormat="1" applyFont="1" applyFill="1" applyBorder="1" applyAlignment="1" applyProtection="1">
      <alignment horizontal="left" vertical="center"/>
    </xf>
    <xf numFmtId="49" fontId="6" fillId="19" borderId="0" xfId="0" applyNumberFormat="1" applyFont="1" applyFill="1" applyBorder="1" applyAlignment="1" applyProtection="1">
      <alignment horizontal="left" vertical="center"/>
    </xf>
    <xf numFmtId="4" fontId="6" fillId="19" borderId="0" xfId="0" applyNumberFormat="1" applyFont="1" applyFill="1" applyBorder="1" applyAlignment="1" applyProtection="1">
      <alignment horizontal="right" vertical="center"/>
    </xf>
    <xf numFmtId="4" fontId="5" fillId="19" borderId="0" xfId="0" applyNumberFormat="1" applyFont="1" applyFill="1" applyBorder="1" applyAlignment="1" applyProtection="1">
      <alignment horizontal="right" vertical="center"/>
    </xf>
    <xf numFmtId="165" fontId="6" fillId="19" borderId="0" xfId="0" applyNumberFormat="1" applyFont="1" applyFill="1" applyBorder="1" applyAlignment="1" applyProtection="1">
      <alignment horizontal="right" vertical="center"/>
    </xf>
    <xf numFmtId="0" fontId="3" fillId="15" borderId="47" xfId="0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horizontal="center" vertical="center"/>
    </xf>
    <xf numFmtId="0" fontId="3" fillId="15" borderId="61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/>
    </xf>
    <xf numFmtId="0" fontId="3" fillId="15" borderId="45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49" fontId="15" fillId="0" borderId="0" xfId="0" applyNumberFormat="1" applyFont="1" applyFill="1" applyAlignment="1">
      <alignment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14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36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49" fontId="12" fillId="0" borderId="33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9" fillId="0" borderId="34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49" fontId="11" fillId="0" borderId="33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1" fillId="6" borderId="33" xfId="0" applyNumberFormat="1" applyFont="1" applyFill="1" applyBorder="1" applyAlignment="1" applyProtection="1">
      <alignment horizontal="left" vertical="center"/>
    </xf>
    <xf numFmtId="0" fontId="11" fillId="6" borderId="34" xfId="0" applyNumberFormat="1" applyFont="1" applyFill="1" applyBorder="1" applyAlignment="1" applyProtection="1">
      <alignment horizontal="left" vertical="center"/>
    </xf>
    <xf numFmtId="49" fontId="12" fillId="0" borderId="35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4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0" xfId="0" applyNumberFormat="1" applyFont="1" applyFill="1" applyBorder="1" applyAlignment="1" applyProtection="1">
      <alignment horizontal="left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0" fontId="12" fillId="0" borderId="32" xfId="0" applyNumberFormat="1" applyFont="1" applyFill="1" applyBorder="1" applyAlignment="1" applyProtection="1">
      <alignment horizontal="left" vertical="center"/>
    </xf>
    <xf numFmtId="0" fontId="12" fillId="0" borderId="25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8" xfId="0" applyNumberFormat="1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14" fontId="1" fillId="0" borderId="32" xfId="0" applyNumberFormat="1" applyFont="1" applyFill="1" applyBorder="1" applyAlignment="1" applyProtection="1">
      <alignment horizontal="center" vertical="center"/>
      <protection locked="0"/>
    </xf>
    <xf numFmtId="4" fontId="42" fillId="11" borderId="26" xfId="0" applyNumberFormat="1" applyFont="1" applyFill="1" applyBorder="1" applyAlignment="1">
      <alignment horizontal="center" vertical="center" wrapText="1"/>
    </xf>
    <xf numFmtId="4" fontId="42" fillId="11" borderId="27" xfId="0" applyNumberFormat="1" applyFont="1" applyFill="1" applyBorder="1" applyAlignment="1">
      <alignment horizontal="center" vertical="center" wrapText="1"/>
    </xf>
    <xf numFmtId="4" fontId="42" fillId="11" borderId="29" xfId="0" applyNumberFormat="1" applyFont="1" applyFill="1" applyBorder="1" applyAlignment="1">
      <alignment horizontal="center" vertical="center" wrapText="1"/>
    </xf>
    <xf numFmtId="4" fontId="15" fillId="16" borderId="0" xfId="0" applyNumberFormat="1" applyFont="1" applyFill="1" applyAlignment="1">
      <alignment horizontal="center" wrapText="1"/>
    </xf>
    <xf numFmtId="4" fontId="0" fillId="16" borderId="0" xfId="0" applyNumberFormat="1" applyFill="1" applyAlignment="1">
      <alignment horizontal="center" wrapText="1"/>
    </xf>
    <xf numFmtId="4" fontId="42" fillId="12" borderId="0" xfId="0" applyNumberFormat="1" applyFont="1" applyFill="1" applyAlignment="1">
      <alignment horizontal="center" vertical="center" wrapText="1"/>
    </xf>
    <xf numFmtId="4" fontId="42" fillId="13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Alignment="1">
      <alignment horizontal="center" wrapText="1"/>
    </xf>
    <xf numFmtId="4" fontId="0" fillId="11" borderId="0" xfId="0" applyNumberFormat="1" applyFill="1" applyAlignment="1">
      <alignment horizontal="center" wrapText="1"/>
    </xf>
    <xf numFmtId="4" fontId="42" fillId="12" borderId="26" xfId="0" applyNumberFormat="1" applyFont="1" applyFill="1" applyBorder="1" applyAlignment="1">
      <alignment horizontal="center" vertical="center" wrapText="1"/>
    </xf>
    <xf numFmtId="4" fontId="42" fillId="12" borderId="27" xfId="0" applyNumberFormat="1" applyFont="1" applyFill="1" applyBorder="1" applyAlignment="1">
      <alignment horizontal="center" vertical="center" wrapText="1"/>
    </xf>
    <xf numFmtId="4" fontId="47" fillId="18" borderId="0" xfId="0" applyNumberFormat="1" applyFont="1" applyFill="1" applyAlignment="1">
      <alignment horizontal="center" vertical="center" wrapText="1"/>
    </xf>
    <xf numFmtId="4" fontId="42" fillId="18" borderId="26" xfId="0" applyNumberFormat="1" applyFont="1" applyFill="1" applyBorder="1" applyAlignment="1">
      <alignment horizontal="center" vertical="center" wrapText="1"/>
    </xf>
    <xf numFmtId="4" fontId="42" fillId="18" borderId="27" xfId="0" applyNumberFormat="1" applyFont="1" applyFill="1" applyBorder="1" applyAlignment="1">
      <alignment horizontal="center" vertical="center" wrapText="1"/>
    </xf>
    <xf numFmtId="4" fontId="42" fillId="18" borderId="29" xfId="0" applyNumberFormat="1" applyFont="1" applyFill="1" applyBorder="1" applyAlignment="1">
      <alignment horizontal="center" vertical="center" wrapText="1"/>
    </xf>
    <xf numFmtId="4" fontId="55" fillId="0" borderId="33" xfId="0" applyNumberFormat="1" applyFont="1" applyBorder="1" applyAlignment="1">
      <alignment horizontal="center"/>
    </xf>
    <xf numFmtId="4" fontId="55" fillId="0" borderId="34" xfId="0" applyNumberFormat="1" applyFont="1" applyBorder="1" applyAlignment="1">
      <alignment horizontal="center"/>
    </xf>
    <xf numFmtId="4" fontId="55" fillId="0" borderId="20" xfId="0" applyNumberFormat="1" applyFont="1" applyBorder="1" applyAlignment="1">
      <alignment horizontal="center"/>
    </xf>
    <xf numFmtId="4" fontId="47" fillId="11" borderId="0" xfId="0" applyNumberFormat="1" applyFont="1" applyFill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/>
    </xf>
    <xf numFmtId="4" fontId="50" fillId="0" borderId="3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42" fillId="17" borderId="0" xfId="0" applyNumberFormat="1" applyFont="1" applyFill="1" applyAlignment="1">
      <alignment horizontal="center" vertical="center" wrapText="1"/>
    </xf>
    <xf numFmtId="4" fontId="42" fillId="17" borderId="26" xfId="0" applyNumberFormat="1" applyFont="1" applyFill="1" applyBorder="1" applyAlignment="1">
      <alignment horizontal="center" vertical="center" wrapText="1"/>
    </xf>
    <xf numFmtId="4" fontId="42" fillId="17" borderId="27" xfId="0" applyNumberFormat="1" applyFont="1" applyFill="1" applyBorder="1" applyAlignment="1">
      <alignment horizontal="center" vertical="center" wrapText="1"/>
    </xf>
    <xf numFmtId="4" fontId="42" fillId="17" borderId="29" xfId="0" applyNumberFormat="1" applyFont="1" applyFill="1" applyBorder="1" applyAlignment="1">
      <alignment horizontal="center" vertical="center" wrapText="1"/>
    </xf>
    <xf numFmtId="4" fontId="42" fillId="14" borderId="0" xfId="0" applyNumberFormat="1" applyFont="1" applyFill="1" applyAlignment="1">
      <alignment horizontal="center" vertical="center" wrapText="1"/>
    </xf>
    <xf numFmtId="0" fontId="54" fillId="15" borderId="33" xfId="0" applyFont="1" applyFill="1" applyBorder="1" applyAlignment="1">
      <alignment horizontal="center" vertical="center"/>
    </xf>
    <xf numFmtId="0" fontId="54" fillId="15" borderId="34" xfId="0" applyFont="1" applyFill="1" applyBorder="1" applyAlignment="1">
      <alignment horizontal="center" vertical="center"/>
    </xf>
    <xf numFmtId="0" fontId="54" fillId="15" borderId="20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5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50" xfId="0" applyFont="1" applyFill="1" applyBorder="1" applyAlignment="1">
      <alignment horizontal="center" vertical="center"/>
    </xf>
    <xf numFmtId="49" fontId="3" fillId="15" borderId="2" xfId="0" applyNumberFormat="1" applyFont="1" applyFill="1" applyBorder="1" applyAlignment="1">
      <alignment horizontal="center" vertical="center" wrapText="1"/>
    </xf>
    <xf numFmtId="49" fontId="3" fillId="15" borderId="62" xfId="0" applyNumberFormat="1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0" fontId="54" fillId="15" borderId="63" xfId="0" applyFont="1" applyFill="1" applyBorder="1" applyAlignment="1">
      <alignment horizontal="center" vertical="center" wrapText="1"/>
    </xf>
    <xf numFmtId="0" fontId="54" fillId="15" borderId="64" xfId="0" applyFont="1" applyFill="1" applyBorder="1" applyAlignment="1">
      <alignment horizontal="center" vertical="center" wrapText="1"/>
    </xf>
    <xf numFmtId="0" fontId="54" fillId="15" borderId="65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/>
    </xf>
    <xf numFmtId="0" fontId="3" fillId="15" borderId="57" xfId="0" applyFont="1" applyFill="1" applyBorder="1" applyAlignment="1">
      <alignment horizontal="center" vertical="center"/>
    </xf>
    <xf numFmtId="0" fontId="54" fillId="15" borderId="46" xfId="0" applyFont="1" applyFill="1" applyBorder="1" applyAlignment="1">
      <alignment horizontal="center" vertical="center"/>
    </xf>
    <xf numFmtId="0" fontId="54" fillId="15" borderId="48" xfId="0" applyFont="1" applyFill="1" applyBorder="1" applyAlignment="1">
      <alignment horizontal="center" vertical="center"/>
    </xf>
    <xf numFmtId="0" fontId="54" fillId="15" borderId="8" xfId="0" applyFont="1" applyFill="1" applyBorder="1" applyAlignment="1">
      <alignment horizontal="center" vertical="center"/>
    </xf>
    <xf numFmtId="0" fontId="54" fillId="15" borderId="10" xfId="0" applyFont="1" applyFill="1" applyBorder="1" applyAlignment="1">
      <alignment horizontal="center" vertical="center"/>
    </xf>
    <xf numFmtId="0" fontId="3" fillId="15" borderId="46" xfId="0" applyFont="1" applyFill="1" applyBorder="1" applyAlignment="1">
      <alignment horizontal="center" vertical="center"/>
    </xf>
    <xf numFmtId="0" fontId="3" fillId="15" borderId="4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3" fillId="17" borderId="46" xfId="0" applyFont="1" applyFill="1" applyBorder="1" applyAlignment="1">
      <alignment horizontal="center" vertical="center"/>
    </xf>
    <xf numFmtId="0" fontId="3" fillId="17" borderId="47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52" fillId="0" borderId="55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56" xfId="0" applyFont="1" applyFill="1" applyBorder="1" applyAlignment="1">
      <alignment horizontal="center" vertical="center"/>
    </xf>
    <xf numFmtId="0" fontId="1" fillId="15" borderId="49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5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3" fillId="19" borderId="35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31" xfId="0" applyFont="1" applyFill="1" applyBorder="1" applyAlignment="1">
      <alignment horizontal="center" vertical="center"/>
    </xf>
    <xf numFmtId="0" fontId="3" fillId="19" borderId="32" xfId="0" applyFont="1" applyFill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</cellXfs>
  <cellStyles count="15">
    <cellStyle name="Čárka 2" xfId="1" xr:uid="{00000000-0005-0000-0000-000000000000}"/>
    <cellStyle name="měny 2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Normální 4" xfId="5" xr:uid="{00000000-0005-0000-0000-000005000000}"/>
    <cellStyle name="normální 5" xfId="6" xr:uid="{00000000-0005-0000-0000-000006000000}"/>
    <cellStyle name="Normální 6" xfId="7" xr:uid="{00000000-0005-0000-0000-000007000000}"/>
    <cellStyle name="normální číslo" xfId="8" xr:uid="{00000000-0005-0000-0000-000008000000}"/>
    <cellStyle name="Skupina I" xfId="9" xr:uid="{00000000-0005-0000-0000-000009000000}"/>
    <cellStyle name="Skupina I nadpis" xfId="10" xr:uid="{00000000-0005-0000-0000-00000A000000}"/>
    <cellStyle name="Skupina II" xfId="11" xr:uid="{00000000-0005-0000-0000-00000B000000}"/>
    <cellStyle name="Skupina II nadpis" xfId="12" xr:uid="{00000000-0005-0000-0000-00000C000000}"/>
    <cellStyle name="Skupina III" xfId="13" xr:uid="{00000000-0005-0000-0000-00000D000000}"/>
    <cellStyle name="Skupina III nadpis" xfId="14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42</xdr:row>
      <xdr:rowOff>60961</xdr:rowOff>
    </xdr:from>
    <xdr:to>
      <xdr:col>8</xdr:col>
      <xdr:colOff>545503</xdr:colOff>
      <xdr:row>71</xdr:row>
      <xdr:rowOff>63288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" y="8397241"/>
          <a:ext cx="7761643" cy="4863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f\dftechnik\D-%20NAB&#205;DKY%20%20DFS\2013\093-13%20HMP,%20P9,%20Anderleho%20859,%20byt%2012\xxx%20-%20Anderleho%20859,%20byt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Zákazka"/>
      <sheetName val="zarizovaky ZTI"/>
      <sheetName val="dvere"/>
      <sheetName val="rekapitulace el."/>
      <sheetName val="Rozpis el."/>
      <sheetName val="pricky"/>
      <sheetName val="Kuchyň real."/>
      <sheetName val="Výkaz výměr"/>
      <sheetName val="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2400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zoomScaleNormal="100" workbookViewId="0">
      <selection activeCell="K2" sqref="K2"/>
    </sheetView>
  </sheetViews>
  <sheetFormatPr defaultColWidth="11.5703125" defaultRowHeight="12.75"/>
  <cols>
    <col min="1" max="1" width="9.140625" customWidth="1"/>
    <col min="2" max="2" width="12.7109375" customWidth="1"/>
    <col min="3" max="3" width="22.85546875" customWidth="1"/>
    <col min="4" max="4" width="10.140625" customWidth="1"/>
    <col min="5" max="5" width="14" customWidth="1"/>
    <col min="6" max="6" width="22.85546875" customWidth="1"/>
    <col min="7" max="7" width="9.140625" customWidth="1"/>
    <col min="8" max="8" width="12.7109375" customWidth="1"/>
    <col min="9" max="9" width="22.85546875" customWidth="1"/>
    <col min="10" max="10" width="7.42578125" customWidth="1"/>
  </cols>
  <sheetData>
    <row r="1" spans="1:10" ht="73.150000000000006" customHeight="1">
      <c r="A1" s="44"/>
      <c r="B1" s="30"/>
      <c r="C1" s="338" t="s">
        <v>1119</v>
      </c>
      <c r="D1" s="339"/>
      <c r="E1" s="339"/>
      <c r="F1" s="339"/>
      <c r="G1" s="339"/>
      <c r="H1" s="339"/>
      <c r="I1" s="339"/>
    </row>
    <row r="2" spans="1:10">
      <c r="A2" s="340" t="s">
        <v>0</v>
      </c>
      <c r="B2" s="341"/>
      <c r="C2" s="342" t="s">
        <v>1005</v>
      </c>
      <c r="D2" s="342"/>
      <c r="E2" s="344" t="s">
        <v>295</v>
      </c>
      <c r="F2" s="344"/>
      <c r="G2" s="341"/>
      <c r="H2" s="344" t="s">
        <v>379</v>
      </c>
      <c r="I2" s="345"/>
      <c r="J2" s="22"/>
    </row>
    <row r="3" spans="1:10" ht="20.45" customHeight="1">
      <c r="A3" s="334"/>
      <c r="B3" s="333"/>
      <c r="C3" s="343"/>
      <c r="D3" s="343"/>
      <c r="E3" s="333"/>
      <c r="F3" s="333"/>
      <c r="G3" s="333"/>
      <c r="H3" s="333"/>
      <c r="I3" s="346"/>
      <c r="J3" s="22"/>
    </row>
    <row r="4" spans="1:10">
      <c r="A4" s="332" t="s">
        <v>1</v>
      </c>
      <c r="B4" s="333"/>
      <c r="C4" s="335" t="s">
        <v>1118</v>
      </c>
      <c r="D4" s="336"/>
      <c r="E4" s="337" t="s">
        <v>296</v>
      </c>
      <c r="F4" s="337"/>
      <c r="G4" s="337"/>
      <c r="H4" s="337" t="s">
        <v>379</v>
      </c>
      <c r="I4" s="347"/>
      <c r="J4" s="22"/>
    </row>
    <row r="5" spans="1:10" ht="12.75" customHeight="1">
      <c r="A5" s="334"/>
      <c r="B5" s="333"/>
      <c r="C5" s="336"/>
      <c r="D5" s="336"/>
      <c r="E5" s="333"/>
      <c r="F5" s="337"/>
      <c r="G5" s="337"/>
      <c r="H5" s="333"/>
      <c r="I5" s="346"/>
      <c r="J5" s="22"/>
    </row>
    <row r="6" spans="1:10">
      <c r="A6" s="332" t="s">
        <v>2</v>
      </c>
      <c r="B6" s="333"/>
      <c r="C6" s="352" t="s">
        <v>1121</v>
      </c>
      <c r="D6" s="353"/>
      <c r="E6" s="337" t="s">
        <v>297</v>
      </c>
      <c r="F6" s="337"/>
      <c r="G6" s="333"/>
      <c r="H6" s="337" t="s">
        <v>379</v>
      </c>
      <c r="I6" s="347"/>
      <c r="J6" s="22"/>
    </row>
    <row r="7" spans="1:10" ht="53.45" customHeight="1">
      <c r="A7" s="334"/>
      <c r="B7" s="333"/>
      <c r="C7" s="353"/>
      <c r="D7" s="353"/>
      <c r="E7" s="333"/>
      <c r="F7" s="333"/>
      <c r="G7" s="333"/>
      <c r="H7" s="333"/>
      <c r="I7" s="346"/>
      <c r="J7" s="22"/>
    </row>
    <row r="8" spans="1:10">
      <c r="A8" s="332" t="s">
        <v>280</v>
      </c>
      <c r="B8" s="333"/>
      <c r="C8" s="354"/>
      <c r="D8" s="333"/>
      <c r="E8" s="337" t="s">
        <v>281</v>
      </c>
      <c r="F8" s="333"/>
      <c r="G8" s="333"/>
      <c r="H8" s="351" t="s">
        <v>380</v>
      </c>
      <c r="I8" s="347"/>
      <c r="J8" s="22"/>
    </row>
    <row r="9" spans="1:10">
      <c r="A9" s="334"/>
      <c r="B9" s="333"/>
      <c r="C9" s="333"/>
      <c r="D9" s="333"/>
      <c r="E9" s="333"/>
      <c r="F9" s="333"/>
      <c r="G9" s="333"/>
      <c r="H9" s="333"/>
      <c r="I9" s="346"/>
      <c r="J9" s="22"/>
    </row>
    <row r="10" spans="1:10">
      <c r="A10" s="332" t="s">
        <v>3</v>
      </c>
      <c r="B10" s="333"/>
      <c r="C10" s="352" t="s">
        <v>1140</v>
      </c>
      <c r="D10" s="353"/>
      <c r="E10" s="337" t="s">
        <v>298</v>
      </c>
      <c r="F10" s="337"/>
      <c r="G10" s="333"/>
      <c r="H10" s="351" t="s">
        <v>381</v>
      </c>
      <c r="I10" s="348"/>
      <c r="J10" s="22"/>
    </row>
    <row r="11" spans="1:10">
      <c r="A11" s="355"/>
      <c r="B11" s="350"/>
      <c r="C11" s="356"/>
      <c r="D11" s="356"/>
      <c r="E11" s="350"/>
      <c r="F11" s="350"/>
      <c r="G11" s="350"/>
      <c r="H11" s="350"/>
      <c r="I11" s="349"/>
      <c r="J11" s="22"/>
    </row>
    <row r="12" spans="1:10" ht="18.75" customHeight="1">
      <c r="A12" s="359" t="s">
        <v>340</v>
      </c>
      <c r="B12" s="360"/>
      <c r="C12" s="360"/>
      <c r="D12" s="360"/>
      <c r="E12" s="360"/>
      <c r="F12" s="360"/>
      <c r="G12" s="360"/>
      <c r="H12" s="360"/>
      <c r="I12" s="360"/>
    </row>
    <row r="13" spans="1:10" ht="26.65" customHeight="1">
      <c r="A13" s="31" t="s">
        <v>341</v>
      </c>
      <c r="B13" s="361" t="s">
        <v>353</v>
      </c>
      <c r="C13" s="362"/>
      <c r="D13" s="31" t="s">
        <v>355</v>
      </c>
      <c r="E13" s="361" t="s">
        <v>364</v>
      </c>
      <c r="F13" s="362"/>
      <c r="G13" s="31" t="s">
        <v>365</v>
      </c>
      <c r="H13" s="361" t="s">
        <v>382</v>
      </c>
      <c r="I13" s="362"/>
      <c r="J13" s="22"/>
    </row>
    <row r="14" spans="1:10" ht="12.75" customHeight="1">
      <c r="A14" s="32" t="s">
        <v>342</v>
      </c>
      <c r="B14" s="36" t="s">
        <v>354</v>
      </c>
      <c r="C14" s="40">
        <f>SUM('Stavební rozpočet'!Q12:Q307)</f>
        <v>0</v>
      </c>
      <c r="D14" s="357" t="s">
        <v>356</v>
      </c>
      <c r="E14" s="358"/>
      <c r="F14" s="40">
        <v>0</v>
      </c>
      <c r="G14" s="357" t="s">
        <v>366</v>
      </c>
      <c r="H14" s="358"/>
      <c r="I14" s="127">
        <f t="shared" ref="I14:I19" si="0">ROUND($C$22*(J14),0)</f>
        <v>0</v>
      </c>
      <c r="J14" s="311">
        <v>0</v>
      </c>
    </row>
    <row r="15" spans="1:10" ht="12.75" customHeight="1">
      <c r="A15" s="33"/>
      <c r="B15" s="36" t="s">
        <v>299</v>
      </c>
      <c r="C15" s="40">
        <f>SUM('Stavební rozpočet'!R12:R307)</f>
        <v>0</v>
      </c>
      <c r="D15" s="357" t="s">
        <v>357</v>
      </c>
      <c r="E15" s="358"/>
      <c r="F15" s="40">
        <v>0</v>
      </c>
      <c r="G15" s="357" t="s">
        <v>367</v>
      </c>
      <c r="H15" s="358"/>
      <c r="I15" s="127">
        <f t="shared" si="0"/>
        <v>0</v>
      </c>
      <c r="J15" s="128"/>
    </row>
    <row r="16" spans="1:10" ht="12.75" customHeight="1">
      <c r="A16" s="32" t="s">
        <v>343</v>
      </c>
      <c r="B16" s="36" t="s">
        <v>354</v>
      </c>
      <c r="C16" s="40">
        <f>SUM('Stavební rozpočet'!S12:S307)</f>
        <v>0</v>
      </c>
      <c r="D16" s="357" t="s">
        <v>358</v>
      </c>
      <c r="E16" s="358"/>
      <c r="F16" s="40">
        <v>0</v>
      </c>
      <c r="G16" s="357" t="s">
        <v>368</v>
      </c>
      <c r="H16" s="358"/>
      <c r="I16" s="127">
        <f t="shared" si="0"/>
        <v>0</v>
      </c>
      <c r="J16" s="311">
        <v>0</v>
      </c>
    </row>
    <row r="17" spans="1:11" ht="12.75" customHeight="1">
      <c r="A17" s="33"/>
      <c r="B17" s="36" t="s">
        <v>299</v>
      </c>
      <c r="C17" s="40">
        <f>SUM('Stavební rozpočet'!T12:T307)</f>
        <v>0</v>
      </c>
      <c r="D17" s="357" t="s">
        <v>871</v>
      </c>
      <c r="E17" s="358"/>
      <c r="F17" s="40">
        <v>0</v>
      </c>
      <c r="G17" s="357" t="s">
        <v>369</v>
      </c>
      <c r="H17" s="358"/>
      <c r="I17" s="127">
        <f t="shared" si="0"/>
        <v>0</v>
      </c>
      <c r="J17" s="311">
        <v>0</v>
      </c>
    </row>
    <row r="18" spans="1:11" ht="12.75" customHeight="1">
      <c r="A18" s="32" t="s">
        <v>344</v>
      </c>
      <c r="B18" s="36" t="s">
        <v>354</v>
      </c>
      <c r="C18" s="40">
        <f>SUM('Stavební rozpočet'!U12:U307)</f>
        <v>0</v>
      </c>
      <c r="D18" s="357"/>
      <c r="E18" s="358"/>
      <c r="F18" s="41"/>
      <c r="G18" s="357" t="s">
        <v>370</v>
      </c>
      <c r="H18" s="358"/>
      <c r="I18" s="127">
        <f t="shared" si="0"/>
        <v>0</v>
      </c>
      <c r="J18" s="128"/>
    </row>
    <row r="19" spans="1:11" ht="12.75" customHeight="1">
      <c r="A19" s="33"/>
      <c r="B19" s="36" t="s">
        <v>299</v>
      </c>
      <c r="C19" s="40">
        <f>SUM('Stavební rozpočet'!V12:V307)</f>
        <v>0</v>
      </c>
      <c r="D19" s="357"/>
      <c r="E19" s="358"/>
      <c r="F19" s="41"/>
      <c r="G19" s="357" t="s">
        <v>371</v>
      </c>
      <c r="H19" s="358"/>
      <c r="I19" s="127">
        <f t="shared" si="0"/>
        <v>0</v>
      </c>
      <c r="J19" s="128"/>
    </row>
    <row r="20" spans="1:11" ht="12.75" customHeight="1">
      <c r="A20" s="363" t="s">
        <v>345</v>
      </c>
      <c r="B20" s="364"/>
      <c r="C20" s="40">
        <f>SUM('Stavební rozpočet'!W12:W307)</f>
        <v>0</v>
      </c>
      <c r="D20" s="357"/>
      <c r="E20" s="358"/>
      <c r="F20" s="41"/>
      <c r="G20" s="357"/>
      <c r="H20" s="358"/>
      <c r="I20" s="41"/>
      <c r="J20" s="22"/>
    </row>
    <row r="21" spans="1:11" ht="12.75" customHeight="1">
      <c r="A21" s="363" t="s">
        <v>346</v>
      </c>
      <c r="B21" s="364"/>
      <c r="C21" s="40">
        <f>SUM('Stavební rozpočet'!O12:O307)</f>
        <v>0</v>
      </c>
      <c r="D21" s="357"/>
      <c r="E21" s="358"/>
      <c r="F21" s="41"/>
      <c r="G21" s="357"/>
      <c r="H21" s="358"/>
      <c r="I21" s="41"/>
      <c r="J21" s="22"/>
    </row>
    <row r="22" spans="1:11" ht="16.899999999999999" customHeight="1">
      <c r="A22" s="363" t="s">
        <v>347</v>
      </c>
      <c r="B22" s="364"/>
      <c r="C22" s="40">
        <f>SUM(C14:C21)</f>
        <v>0</v>
      </c>
      <c r="D22" s="363" t="s">
        <v>359</v>
      </c>
      <c r="E22" s="364"/>
      <c r="F22" s="40">
        <f>SUM(F14:F21)</f>
        <v>0</v>
      </c>
      <c r="G22" s="363" t="s">
        <v>372</v>
      </c>
      <c r="H22" s="364"/>
      <c r="I22" s="40">
        <f>SUM(I14:I21)</f>
        <v>0</v>
      </c>
      <c r="J22" s="22"/>
    </row>
    <row r="23" spans="1:11" ht="12.75" customHeight="1">
      <c r="A23" s="7"/>
      <c r="B23" s="7"/>
      <c r="C23" s="38"/>
      <c r="D23" s="363" t="s">
        <v>360</v>
      </c>
      <c r="E23" s="364"/>
      <c r="F23" s="40">
        <v>0</v>
      </c>
      <c r="G23" s="363" t="s">
        <v>373</v>
      </c>
      <c r="H23" s="364"/>
      <c r="I23" s="40">
        <v>0</v>
      </c>
      <c r="J23" s="22"/>
    </row>
    <row r="24" spans="1:11" ht="12.75" customHeight="1">
      <c r="D24" s="7"/>
      <c r="E24" s="7"/>
      <c r="F24" s="42"/>
      <c r="G24" s="363" t="s">
        <v>374</v>
      </c>
      <c r="H24" s="364"/>
      <c r="I24" s="40">
        <v>0</v>
      </c>
      <c r="J24" s="22"/>
    </row>
    <row r="25" spans="1:11" ht="12.75" customHeight="1">
      <c r="F25" s="42"/>
      <c r="G25" s="363" t="s">
        <v>375</v>
      </c>
      <c r="H25" s="364"/>
      <c r="I25" s="40">
        <v>0</v>
      </c>
      <c r="J25" s="22"/>
    </row>
    <row r="26" spans="1:11">
      <c r="A26" s="30"/>
      <c r="B26" s="30"/>
      <c r="C26" s="30"/>
      <c r="G26" s="7"/>
      <c r="H26" s="7"/>
      <c r="I26" s="7"/>
    </row>
    <row r="27" spans="1:11" ht="12.75" customHeight="1">
      <c r="A27" s="365" t="s">
        <v>348</v>
      </c>
      <c r="B27" s="366"/>
      <c r="C27" s="43">
        <f>SUM('Stavební rozpočet'!Y12:Y295)</f>
        <v>0</v>
      </c>
      <c r="D27" s="39"/>
      <c r="E27" s="30"/>
      <c r="F27" s="30"/>
      <c r="G27" s="30"/>
      <c r="H27" s="30"/>
      <c r="I27" s="30"/>
    </row>
    <row r="28" spans="1:11" ht="12.75" customHeight="1">
      <c r="A28" s="365" t="s">
        <v>349</v>
      </c>
      <c r="B28" s="366"/>
      <c r="C28" s="43">
        <f>SUM('Stavební rozpočet'!Z12:Z306)+(F22+I22+F23+I23+I24+I25)</f>
        <v>0</v>
      </c>
      <c r="D28" s="365" t="s">
        <v>361</v>
      </c>
      <c r="E28" s="366"/>
      <c r="F28" s="43">
        <f>ROUND(C28*(15/100),2)</f>
        <v>0</v>
      </c>
      <c r="G28" s="365" t="s">
        <v>376</v>
      </c>
      <c r="H28" s="366"/>
      <c r="I28" s="43">
        <f>SUM(C27:C29)</f>
        <v>0</v>
      </c>
      <c r="J28" s="22"/>
      <c r="K28" s="121"/>
    </row>
    <row r="29" spans="1:11" ht="12.75" customHeight="1">
      <c r="A29" s="365" t="s">
        <v>350</v>
      </c>
      <c r="B29" s="366"/>
      <c r="C29" s="43">
        <f>SUM('Stavební rozpočet'!AA12:AA295)</f>
        <v>0</v>
      </c>
      <c r="D29" s="365" t="s">
        <v>362</v>
      </c>
      <c r="E29" s="366"/>
      <c r="F29" s="43">
        <f>ROUND(C29*(21/100),2)</f>
        <v>0</v>
      </c>
      <c r="G29" s="365" t="s">
        <v>377</v>
      </c>
      <c r="H29" s="366"/>
      <c r="I29" s="43">
        <f>SUM(F28:F29)+I28</f>
        <v>0</v>
      </c>
      <c r="J29" s="22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</row>
    <row r="31" spans="1:11" ht="12.75" customHeight="1">
      <c r="A31" s="367" t="s">
        <v>351</v>
      </c>
      <c r="B31" s="368"/>
      <c r="C31" s="369"/>
      <c r="D31" s="367" t="s">
        <v>363</v>
      </c>
      <c r="E31" s="368"/>
      <c r="F31" s="369"/>
      <c r="G31" s="367" t="s">
        <v>378</v>
      </c>
      <c r="H31" s="368"/>
      <c r="I31" s="369"/>
      <c r="J31" s="23"/>
    </row>
    <row r="32" spans="1:11" ht="12.75" customHeight="1">
      <c r="A32" s="370"/>
      <c r="B32" s="371"/>
      <c r="C32" s="372"/>
      <c r="D32" s="370"/>
      <c r="E32" s="371"/>
      <c r="F32" s="372"/>
      <c r="G32" s="370"/>
      <c r="H32" s="371"/>
      <c r="I32" s="372"/>
      <c r="J32" s="23"/>
    </row>
    <row r="33" spans="1:10" ht="12.75" customHeight="1">
      <c r="A33" s="370"/>
      <c r="B33" s="371"/>
      <c r="C33" s="372"/>
      <c r="D33" s="370"/>
      <c r="E33" s="371"/>
      <c r="F33" s="372"/>
      <c r="G33" s="370"/>
      <c r="H33" s="371"/>
      <c r="I33" s="372"/>
      <c r="J33" s="23"/>
    </row>
    <row r="34" spans="1:10" ht="12.75" customHeight="1">
      <c r="A34" s="370"/>
      <c r="B34" s="371"/>
      <c r="C34" s="372"/>
      <c r="D34" s="370"/>
      <c r="E34" s="371"/>
      <c r="F34" s="372"/>
      <c r="G34" s="370"/>
      <c r="H34" s="371"/>
      <c r="I34" s="372"/>
      <c r="J34" s="23"/>
    </row>
    <row r="35" spans="1:10" ht="12.75" customHeight="1">
      <c r="A35" s="373" t="s">
        <v>352</v>
      </c>
      <c r="B35" s="374"/>
      <c r="C35" s="375"/>
      <c r="D35" s="373" t="s">
        <v>352</v>
      </c>
      <c r="E35" s="374"/>
      <c r="F35" s="375"/>
      <c r="G35" s="373" t="s">
        <v>352</v>
      </c>
      <c r="H35" s="374"/>
      <c r="I35" s="375"/>
      <c r="J35" s="23"/>
    </row>
    <row r="36" spans="1:10" ht="10.9" customHeight="1">
      <c r="A36" s="35" t="s">
        <v>99</v>
      </c>
      <c r="B36" s="37"/>
      <c r="C36" s="37"/>
      <c r="D36" s="37"/>
      <c r="E36" s="37"/>
      <c r="F36" s="37"/>
      <c r="G36" s="37"/>
      <c r="H36" s="37"/>
      <c r="I36" s="37"/>
    </row>
    <row r="37" spans="1:10" ht="409.6" hidden="1" customHeight="1">
      <c r="A37" s="337"/>
      <c r="B37" s="333"/>
      <c r="C37" s="333"/>
      <c r="D37" s="333"/>
      <c r="E37" s="333"/>
      <c r="F37" s="333"/>
      <c r="G37" s="333"/>
      <c r="H37" s="333"/>
      <c r="I37" s="333"/>
    </row>
    <row r="40" spans="1:10">
      <c r="A40" s="247"/>
      <c r="B40" s="312"/>
      <c r="C40" s="312"/>
      <c r="D40" s="312"/>
      <c r="E40" s="312"/>
      <c r="F40" s="312"/>
      <c r="G40" s="312"/>
      <c r="H40" s="312"/>
      <c r="I40" s="313"/>
    </row>
    <row r="41" spans="1:10">
      <c r="A41" s="248"/>
      <c r="B41" s="58"/>
      <c r="C41" s="58"/>
      <c r="D41" s="58"/>
      <c r="E41" s="58"/>
      <c r="F41" s="58"/>
      <c r="G41" s="58"/>
      <c r="H41" s="58"/>
      <c r="I41" s="258"/>
    </row>
    <row r="42" spans="1:10">
      <c r="A42" s="248"/>
      <c r="B42" s="58"/>
      <c r="C42" s="58"/>
      <c r="D42" s="58"/>
      <c r="E42" s="58"/>
      <c r="F42" s="58"/>
      <c r="G42" s="58"/>
      <c r="H42" s="58"/>
      <c r="I42" s="258"/>
    </row>
    <row r="43" spans="1:10">
      <c r="A43" s="248"/>
      <c r="B43" s="58"/>
      <c r="C43" s="58"/>
      <c r="D43" s="58"/>
      <c r="E43" s="58"/>
      <c r="F43" s="58"/>
      <c r="G43" s="58"/>
      <c r="H43" s="58"/>
      <c r="I43" s="258"/>
    </row>
    <row r="44" spans="1:10">
      <c r="A44" s="248"/>
      <c r="B44" s="58"/>
      <c r="C44" s="58"/>
      <c r="D44" s="58"/>
      <c r="E44" s="58"/>
      <c r="F44" s="58"/>
      <c r="G44" s="58"/>
      <c r="H44" s="58"/>
      <c r="I44" s="258"/>
    </row>
    <row r="45" spans="1:10">
      <c r="A45" s="248"/>
      <c r="B45" s="58"/>
      <c r="C45" s="58"/>
      <c r="D45" s="58"/>
      <c r="E45" s="58"/>
      <c r="F45" s="58"/>
      <c r="G45" s="58"/>
      <c r="H45" s="58"/>
      <c r="I45" s="258"/>
    </row>
    <row r="46" spans="1:10">
      <c r="A46" s="248"/>
      <c r="B46" s="58"/>
      <c r="C46" s="58"/>
      <c r="D46" s="58"/>
      <c r="E46" s="58"/>
      <c r="F46" s="58"/>
      <c r="G46" s="58"/>
      <c r="H46" s="58"/>
      <c r="I46" s="258"/>
    </row>
    <row r="47" spans="1:10">
      <c r="A47" s="248"/>
      <c r="B47" s="58"/>
      <c r="C47" s="58"/>
      <c r="D47" s="58"/>
      <c r="E47" s="58"/>
      <c r="F47" s="58"/>
      <c r="G47" s="58"/>
      <c r="H47" s="58"/>
      <c r="I47" s="258"/>
    </row>
    <row r="48" spans="1:10">
      <c r="A48" s="248"/>
      <c r="B48" s="58"/>
      <c r="C48" s="58"/>
      <c r="D48" s="58"/>
      <c r="E48" s="58"/>
      <c r="F48" s="58"/>
      <c r="G48" s="58"/>
      <c r="H48" s="58"/>
      <c r="I48" s="258"/>
    </row>
    <row r="49" spans="1:9">
      <c r="A49" s="248"/>
      <c r="B49" s="58"/>
      <c r="C49" s="58"/>
      <c r="D49" s="58"/>
      <c r="E49" s="58"/>
      <c r="F49" s="58"/>
      <c r="G49" s="58"/>
      <c r="H49" s="58"/>
      <c r="I49" s="258"/>
    </row>
    <row r="50" spans="1:9">
      <c r="A50" s="248"/>
      <c r="B50" s="58"/>
      <c r="C50" s="58"/>
      <c r="D50" s="58"/>
      <c r="E50" s="58"/>
      <c r="F50" s="58"/>
      <c r="G50" s="58"/>
      <c r="H50" s="58"/>
      <c r="I50" s="258"/>
    </row>
    <row r="51" spans="1:9">
      <c r="A51" s="248"/>
      <c r="B51" s="58"/>
      <c r="C51" s="58"/>
      <c r="D51" s="58"/>
      <c r="E51" s="58"/>
      <c r="F51" s="58"/>
      <c r="G51" s="58"/>
      <c r="H51" s="58"/>
      <c r="I51" s="258"/>
    </row>
    <row r="52" spans="1:9">
      <c r="A52" s="248"/>
      <c r="B52" s="58"/>
      <c r="C52" s="58"/>
      <c r="D52" s="58"/>
      <c r="E52" s="58"/>
      <c r="F52" s="58"/>
      <c r="G52" s="58"/>
      <c r="H52" s="58"/>
      <c r="I52" s="258"/>
    </row>
    <row r="53" spans="1:9">
      <c r="A53" s="248"/>
      <c r="B53" s="58"/>
      <c r="C53" s="58"/>
      <c r="D53" s="58"/>
      <c r="E53" s="58"/>
      <c r="F53" s="58"/>
      <c r="G53" s="58"/>
      <c r="H53" s="58"/>
      <c r="I53" s="258"/>
    </row>
    <row r="54" spans="1:9">
      <c r="A54" s="248"/>
      <c r="B54" s="58"/>
      <c r="C54" s="58"/>
      <c r="D54" s="58"/>
      <c r="E54" s="58"/>
      <c r="F54" s="58"/>
      <c r="G54" s="58"/>
      <c r="H54" s="58"/>
      <c r="I54" s="258"/>
    </row>
    <row r="55" spans="1:9">
      <c r="A55" s="248"/>
      <c r="B55" s="58"/>
      <c r="C55" s="58"/>
      <c r="D55" s="58"/>
      <c r="E55" s="58"/>
      <c r="F55" s="58"/>
      <c r="G55" s="58"/>
      <c r="H55" s="58"/>
      <c r="I55" s="258"/>
    </row>
    <row r="56" spans="1:9">
      <c r="A56" s="248"/>
      <c r="B56" s="58"/>
      <c r="C56" s="58"/>
      <c r="D56" s="58"/>
      <c r="E56" s="58"/>
      <c r="F56" s="58"/>
      <c r="G56" s="58"/>
      <c r="H56" s="58"/>
      <c r="I56" s="258"/>
    </row>
    <row r="57" spans="1:9">
      <c r="A57" s="248"/>
      <c r="B57" s="58"/>
      <c r="C57" s="58"/>
      <c r="D57" s="58"/>
      <c r="E57" s="58"/>
      <c r="F57" s="58"/>
      <c r="G57" s="58"/>
      <c r="H57" s="58"/>
      <c r="I57" s="258"/>
    </row>
    <row r="58" spans="1:9">
      <c r="A58" s="248"/>
      <c r="B58" s="58"/>
      <c r="C58" s="58"/>
      <c r="D58" s="58"/>
      <c r="E58" s="58"/>
      <c r="F58" s="58"/>
      <c r="G58" s="58"/>
      <c r="H58" s="58"/>
      <c r="I58" s="258"/>
    </row>
    <row r="59" spans="1:9">
      <c r="A59" s="248"/>
      <c r="B59" s="58"/>
      <c r="C59" s="58"/>
      <c r="D59" s="58"/>
      <c r="E59" s="58"/>
      <c r="F59" s="58"/>
      <c r="G59" s="58"/>
      <c r="H59" s="58"/>
      <c r="I59" s="258"/>
    </row>
    <row r="60" spans="1:9">
      <c r="A60" s="248"/>
      <c r="B60" s="58"/>
      <c r="C60" s="58"/>
      <c r="D60" s="58"/>
      <c r="E60" s="58"/>
      <c r="F60" s="58"/>
      <c r="G60" s="58"/>
      <c r="H60" s="58"/>
      <c r="I60" s="258"/>
    </row>
    <row r="61" spans="1:9">
      <c r="A61" s="248"/>
      <c r="B61" s="58"/>
      <c r="C61" s="58"/>
      <c r="D61" s="58"/>
      <c r="E61" s="58"/>
      <c r="F61" s="58"/>
      <c r="G61" s="58"/>
      <c r="H61" s="58"/>
      <c r="I61" s="258"/>
    </row>
    <row r="62" spans="1:9">
      <c r="A62" s="248"/>
      <c r="B62" s="58"/>
      <c r="C62" s="58"/>
      <c r="D62" s="58"/>
      <c r="E62" s="58"/>
      <c r="F62" s="58"/>
      <c r="G62" s="58"/>
      <c r="H62" s="58"/>
      <c r="I62" s="258"/>
    </row>
    <row r="63" spans="1:9">
      <c r="A63" s="248"/>
      <c r="B63" s="58"/>
      <c r="C63" s="58"/>
      <c r="D63" s="58"/>
      <c r="E63" s="58"/>
      <c r="F63" s="58"/>
      <c r="G63" s="58"/>
      <c r="H63" s="58"/>
      <c r="I63" s="258"/>
    </row>
    <row r="64" spans="1:9">
      <c r="A64" s="248"/>
      <c r="B64" s="58"/>
      <c r="C64" s="58"/>
      <c r="D64" s="58"/>
      <c r="E64" s="58"/>
      <c r="F64" s="58"/>
      <c r="G64" s="58"/>
      <c r="H64" s="58"/>
      <c r="I64" s="258"/>
    </row>
    <row r="65" spans="1:9">
      <c r="A65" s="248"/>
      <c r="B65" s="58"/>
      <c r="C65" s="58"/>
      <c r="D65" s="58"/>
      <c r="E65" s="58"/>
      <c r="F65" s="58"/>
      <c r="G65" s="58"/>
      <c r="H65" s="58"/>
      <c r="I65" s="258"/>
    </row>
    <row r="66" spans="1:9">
      <c r="A66" s="248"/>
      <c r="B66" s="58"/>
      <c r="C66" s="58"/>
      <c r="D66" s="58"/>
      <c r="E66" s="58"/>
      <c r="F66" s="58"/>
      <c r="G66" s="58"/>
      <c r="H66" s="58"/>
      <c r="I66" s="258"/>
    </row>
    <row r="67" spans="1:9">
      <c r="A67" s="248"/>
      <c r="B67" s="58"/>
      <c r="C67" s="58"/>
      <c r="D67" s="58"/>
      <c r="E67" s="58"/>
      <c r="F67" s="58"/>
      <c r="G67" s="58"/>
      <c r="H67" s="58"/>
      <c r="I67" s="258"/>
    </row>
    <row r="68" spans="1:9">
      <c r="A68" s="248"/>
      <c r="B68" s="58"/>
      <c r="C68" s="58"/>
      <c r="D68" s="58"/>
      <c r="E68" s="58"/>
      <c r="F68" s="58"/>
      <c r="G68" s="58"/>
      <c r="H68" s="58"/>
      <c r="I68" s="258"/>
    </row>
    <row r="69" spans="1:9">
      <c r="A69" s="248"/>
      <c r="B69" s="58"/>
      <c r="C69" s="58"/>
      <c r="D69" s="58"/>
      <c r="E69" s="58"/>
      <c r="F69" s="58"/>
      <c r="G69" s="58"/>
      <c r="H69" s="58"/>
      <c r="I69" s="258"/>
    </row>
    <row r="70" spans="1:9">
      <c r="A70" s="248"/>
      <c r="B70" s="58"/>
      <c r="C70" s="58"/>
      <c r="D70" s="58"/>
      <c r="E70" s="58"/>
      <c r="F70" s="58"/>
      <c r="G70" s="58"/>
      <c r="H70" s="58"/>
      <c r="I70" s="258"/>
    </row>
    <row r="71" spans="1:9">
      <c r="A71" s="248"/>
      <c r="B71" s="58"/>
      <c r="C71" s="58"/>
      <c r="D71" s="58"/>
      <c r="E71" s="58"/>
      <c r="F71" s="58"/>
      <c r="G71" s="58"/>
      <c r="H71" s="58"/>
      <c r="I71" s="258"/>
    </row>
    <row r="72" spans="1:9">
      <c r="A72" s="248"/>
      <c r="B72" s="58"/>
      <c r="C72" s="58"/>
      <c r="D72" s="58"/>
      <c r="E72" s="58"/>
      <c r="F72" s="58"/>
      <c r="G72" s="58"/>
      <c r="H72" s="58"/>
      <c r="I72" s="258"/>
    </row>
    <row r="73" spans="1:9">
      <c r="A73" s="248"/>
      <c r="B73" s="58"/>
      <c r="C73" s="58"/>
      <c r="D73" s="58"/>
      <c r="E73" s="58"/>
      <c r="F73" s="58"/>
      <c r="G73" s="58"/>
      <c r="H73" s="58"/>
      <c r="I73" s="258"/>
    </row>
    <row r="74" spans="1:9">
      <c r="A74" s="246"/>
      <c r="B74" s="314"/>
      <c r="C74" s="314"/>
      <c r="D74" s="314"/>
      <c r="E74" s="314"/>
      <c r="F74" s="314"/>
      <c r="G74" s="314"/>
      <c r="H74" s="314"/>
      <c r="I74" s="315"/>
    </row>
  </sheetData>
  <sheetProtection password="9EF6" sheet="1" objects="1" scenarios="1"/>
  <protectedRanges>
    <protectedRange sqref="F6:G7 I6:I7 F10:G11 I10:I11 J14 J16 J17" name="Oblast1"/>
  </protectedRanges>
  <customSheetViews>
    <customSheetView guid="{0A42B198-9C9E-43A6-8871-1A4824290440}" fitToPage="1" hiddenRows="1">
      <selection activeCell="K12" sqref="K12"/>
      <pageMargins left="0.39370078740157483" right="0.39370078740157483" top="0.62992125984251968" bottom="0.35433070866141736" header="0.19685039370078741" footer="0.19685039370078741"/>
      <pageSetup paperSize="9" scale="96" orientation="landscape" r:id="rId1"/>
      <headerFooter alignWithMargins="0"/>
    </customSheetView>
  </customSheetViews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G24:H24"/>
    <mergeCell ref="G25:H25"/>
    <mergeCell ref="A27:B27"/>
    <mergeCell ref="A28:B28"/>
    <mergeCell ref="D28:E28"/>
    <mergeCell ref="G28:H28"/>
    <mergeCell ref="A22:B22"/>
    <mergeCell ref="D22:E22"/>
    <mergeCell ref="G22:H22"/>
    <mergeCell ref="D23:E23"/>
    <mergeCell ref="G23:H23"/>
    <mergeCell ref="A20:B20"/>
    <mergeCell ref="D20:E20"/>
    <mergeCell ref="G20:H20"/>
    <mergeCell ref="A21:B21"/>
    <mergeCell ref="D21:E21"/>
    <mergeCell ref="G21:H21"/>
    <mergeCell ref="D18:E18"/>
    <mergeCell ref="G18:H18"/>
    <mergeCell ref="D19:E19"/>
    <mergeCell ref="G19:H19"/>
    <mergeCell ref="D16:E16"/>
    <mergeCell ref="G16:H16"/>
    <mergeCell ref="D17:E17"/>
    <mergeCell ref="G17:H17"/>
    <mergeCell ref="D14:E14"/>
    <mergeCell ref="G14:H14"/>
    <mergeCell ref="D15:E15"/>
    <mergeCell ref="G15:H15"/>
    <mergeCell ref="A12:I12"/>
    <mergeCell ref="B13:C13"/>
    <mergeCell ref="E13:F13"/>
    <mergeCell ref="H13:I13"/>
    <mergeCell ref="A8:B9"/>
    <mergeCell ref="A6:B7"/>
    <mergeCell ref="C6:D7"/>
    <mergeCell ref="C8:D9"/>
    <mergeCell ref="A10:B11"/>
    <mergeCell ref="C10:D11"/>
    <mergeCell ref="E6:E7"/>
    <mergeCell ref="F6:G7"/>
    <mergeCell ref="H6:H7"/>
    <mergeCell ref="I6:I7"/>
    <mergeCell ref="I10:I11"/>
    <mergeCell ref="E10:E11"/>
    <mergeCell ref="F10:G11"/>
    <mergeCell ref="H10:H11"/>
    <mergeCell ref="E8:E9"/>
    <mergeCell ref="F8:G9"/>
    <mergeCell ref="H8:H9"/>
    <mergeCell ref="I8:I9"/>
    <mergeCell ref="A4:B5"/>
    <mergeCell ref="C4:D5"/>
    <mergeCell ref="E4:E5"/>
    <mergeCell ref="F4:G5"/>
    <mergeCell ref="C1:I1"/>
    <mergeCell ref="A2:B3"/>
    <mergeCell ref="C2:D3"/>
    <mergeCell ref="E2:E3"/>
    <mergeCell ref="F2:G3"/>
    <mergeCell ref="H2:H3"/>
    <mergeCell ref="I2:I3"/>
    <mergeCell ref="H4:H5"/>
    <mergeCell ref="I4:I5"/>
  </mergeCells>
  <phoneticPr fontId="40" type="noConversion"/>
  <pageMargins left="0.39370078740157483" right="0.39370078740157483" top="0.62992125984251968" bottom="0.35433070866141736" header="0.19685039370078741" footer="0.19685039370078741"/>
  <pageSetup paperSize="9" scale="6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16"/>
  <sheetViews>
    <sheetView zoomScaleNormal="100" workbookViewId="0">
      <selection activeCell="AV2" sqref="AV2"/>
    </sheetView>
  </sheetViews>
  <sheetFormatPr defaultColWidth="11.5703125" defaultRowHeight="12.75"/>
  <cols>
    <col min="1" max="1" width="5.7109375" customWidth="1"/>
    <col min="2" max="2" width="3.28515625" customWidth="1"/>
    <col min="3" max="3" width="14.28515625" customWidth="1"/>
    <col min="4" max="4" width="62.42578125" customWidth="1"/>
    <col min="5" max="5" width="5.85546875" customWidth="1"/>
    <col min="6" max="6" width="10.5703125" customWidth="1"/>
    <col min="7" max="7" width="10.7109375" style="75" customWidth="1"/>
    <col min="8" max="8" width="14.85546875" customWidth="1"/>
    <col min="9" max="10" width="12.7109375" customWidth="1"/>
    <col min="11" max="11" width="7.7109375" style="150" customWidth="1"/>
    <col min="12" max="12" width="8.28515625" customWidth="1"/>
    <col min="13" max="13" width="11.5703125" hidden="1" customWidth="1"/>
    <col min="14" max="17" width="9.7109375" hidden="1" customWidth="1"/>
    <col min="18" max="18" width="11.42578125" hidden="1" customWidth="1"/>
    <col min="19" max="25" width="9.7109375" hidden="1" customWidth="1"/>
    <col min="26" max="26" width="11.7109375" hidden="1" customWidth="1"/>
    <col min="27" max="38" width="9.7109375" hidden="1" customWidth="1"/>
    <col min="39" max="39" width="10.85546875" hidden="1" customWidth="1"/>
    <col min="40" max="44" width="9.7109375" hidden="1" customWidth="1"/>
    <col min="45" max="45" width="9.7109375" style="159" customWidth="1"/>
    <col min="46" max="46" width="3.42578125" customWidth="1"/>
    <col min="47" max="47" width="0" style="226" hidden="1" customWidth="1"/>
  </cols>
  <sheetData>
    <row r="1" spans="1:47" ht="33" customHeight="1">
      <c r="A1" s="376" t="s">
        <v>1120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47" ht="25.5" customHeight="1">
      <c r="A2" s="340" t="s">
        <v>0</v>
      </c>
      <c r="B2" s="341"/>
      <c r="C2" s="341"/>
      <c r="D2" s="342" t="s">
        <v>1005</v>
      </c>
      <c r="E2" s="378" t="s">
        <v>279</v>
      </c>
      <c r="F2" s="341"/>
      <c r="G2" s="378"/>
      <c r="H2" s="341"/>
      <c r="I2" s="344" t="s">
        <v>295</v>
      </c>
      <c r="J2" s="379"/>
      <c r="K2" s="380"/>
      <c r="L2" s="380"/>
      <c r="M2" s="22"/>
    </row>
    <row r="3" spans="1:47" ht="4.1500000000000004" customHeight="1">
      <c r="A3" s="334"/>
      <c r="B3" s="333"/>
      <c r="C3" s="333"/>
      <c r="D3" s="343"/>
      <c r="E3" s="333"/>
      <c r="F3" s="333"/>
      <c r="G3" s="333"/>
      <c r="H3" s="333"/>
      <c r="I3" s="333"/>
      <c r="J3" s="381"/>
      <c r="K3" s="381"/>
      <c r="L3" s="381"/>
      <c r="M3" s="22"/>
    </row>
    <row r="4" spans="1:47">
      <c r="A4" s="332" t="s">
        <v>1</v>
      </c>
      <c r="B4" s="333"/>
      <c r="C4" s="333"/>
      <c r="D4" s="352" t="s">
        <v>1118</v>
      </c>
      <c r="E4" s="351" t="s">
        <v>280</v>
      </c>
      <c r="F4" s="333"/>
      <c r="G4" s="354"/>
      <c r="H4" s="333"/>
      <c r="I4" s="337" t="s">
        <v>296</v>
      </c>
      <c r="J4" s="337"/>
      <c r="K4" s="333"/>
      <c r="L4" s="333"/>
      <c r="M4" s="22"/>
    </row>
    <row r="5" spans="1:47" ht="12.6" customHeight="1">
      <c r="A5" s="334"/>
      <c r="B5" s="333"/>
      <c r="C5" s="333"/>
      <c r="D5" s="353"/>
      <c r="E5" s="333"/>
      <c r="F5" s="333"/>
      <c r="G5" s="333"/>
      <c r="H5" s="333"/>
      <c r="I5" s="333"/>
      <c r="J5" s="333"/>
      <c r="K5" s="333"/>
      <c r="L5" s="333"/>
      <c r="M5" s="22"/>
    </row>
    <row r="6" spans="1:47">
      <c r="A6" s="332" t="s">
        <v>2</v>
      </c>
      <c r="B6" s="333"/>
      <c r="C6" s="333"/>
      <c r="D6" s="382" t="s">
        <v>1122</v>
      </c>
      <c r="E6" s="351" t="s">
        <v>281</v>
      </c>
      <c r="F6" s="333"/>
      <c r="G6" s="333"/>
      <c r="H6" s="333"/>
      <c r="I6" s="337" t="s">
        <v>297</v>
      </c>
      <c r="J6" s="352"/>
      <c r="K6" s="353"/>
      <c r="L6" s="353"/>
      <c r="M6" s="22"/>
    </row>
    <row r="7" spans="1:47" ht="45" customHeight="1">
      <c r="A7" s="334"/>
      <c r="B7" s="333"/>
      <c r="C7" s="333"/>
      <c r="D7" s="381"/>
      <c r="E7" s="333"/>
      <c r="F7" s="333"/>
      <c r="G7" s="333"/>
      <c r="H7" s="333"/>
      <c r="I7" s="333"/>
      <c r="J7" s="353"/>
      <c r="K7" s="353"/>
      <c r="L7" s="353"/>
      <c r="M7" s="22"/>
    </row>
    <row r="8" spans="1:47">
      <c r="A8" s="332" t="s">
        <v>3</v>
      </c>
      <c r="B8" s="333"/>
      <c r="C8" s="333"/>
      <c r="D8" s="352" t="s">
        <v>1140</v>
      </c>
      <c r="E8" s="351" t="s">
        <v>282</v>
      </c>
      <c r="F8" s="333"/>
      <c r="G8" s="391"/>
      <c r="H8" s="391"/>
      <c r="I8" s="337" t="s">
        <v>298</v>
      </c>
      <c r="J8" s="337"/>
      <c r="K8" s="333"/>
      <c r="L8" s="333"/>
      <c r="M8" s="22"/>
    </row>
    <row r="9" spans="1:47" ht="13.5" thickBot="1">
      <c r="A9" s="386"/>
      <c r="B9" s="385"/>
      <c r="C9" s="385"/>
      <c r="D9" s="387"/>
      <c r="E9" s="385"/>
      <c r="F9" s="385"/>
      <c r="G9" s="392"/>
      <c r="H9" s="392"/>
      <c r="I9" s="385"/>
      <c r="J9" s="385"/>
      <c r="K9" s="385"/>
      <c r="L9" s="385"/>
      <c r="M9" s="22"/>
    </row>
    <row r="10" spans="1:47" ht="25.5">
      <c r="A10" s="1" t="s">
        <v>4</v>
      </c>
      <c r="B10" s="9" t="s">
        <v>100</v>
      </c>
      <c r="C10" s="9" t="s">
        <v>101</v>
      </c>
      <c r="D10" s="9" t="s">
        <v>198</v>
      </c>
      <c r="E10" s="9" t="s">
        <v>283</v>
      </c>
      <c r="F10" s="129" t="s">
        <v>289</v>
      </c>
      <c r="G10" s="131" t="s">
        <v>290</v>
      </c>
      <c r="H10" s="383" t="s">
        <v>292</v>
      </c>
      <c r="I10" s="390"/>
      <c r="J10" s="384"/>
      <c r="K10" s="383" t="s">
        <v>301</v>
      </c>
      <c r="L10" s="384"/>
      <c r="M10" s="23"/>
      <c r="AS10" s="168" t="s">
        <v>850</v>
      </c>
    </row>
    <row r="11" spans="1:47" ht="13.5" thickBot="1">
      <c r="A11" s="2" t="s">
        <v>5</v>
      </c>
      <c r="B11" s="10" t="s">
        <v>5</v>
      </c>
      <c r="C11" s="10" t="s">
        <v>5</v>
      </c>
      <c r="D11" s="13" t="s">
        <v>199</v>
      </c>
      <c r="E11" s="10" t="s">
        <v>5</v>
      </c>
      <c r="F11" s="130" t="s">
        <v>5</v>
      </c>
      <c r="G11" s="132" t="s">
        <v>291</v>
      </c>
      <c r="H11" s="16" t="s">
        <v>293</v>
      </c>
      <c r="I11" s="17" t="s">
        <v>299</v>
      </c>
      <c r="J11" s="18" t="s">
        <v>300</v>
      </c>
      <c r="K11" s="133" t="s">
        <v>290</v>
      </c>
      <c r="L11" s="18" t="s">
        <v>300</v>
      </c>
      <c r="M11" s="23"/>
      <c r="O11" s="19" t="s">
        <v>303</v>
      </c>
      <c r="P11" s="19" t="s">
        <v>304</v>
      </c>
      <c r="Q11" s="19" t="s">
        <v>308</v>
      </c>
      <c r="R11" s="19" t="s">
        <v>309</v>
      </c>
      <c r="S11" s="19" t="s">
        <v>310</v>
      </c>
      <c r="T11" s="19" t="s">
        <v>311</v>
      </c>
      <c r="U11" s="19" t="s">
        <v>312</v>
      </c>
      <c r="V11" s="19" t="s">
        <v>313</v>
      </c>
      <c r="W11" s="19" t="s">
        <v>314</v>
      </c>
    </row>
    <row r="12" spans="1:47" hidden="1">
      <c r="A12" s="3"/>
      <c r="B12" s="11"/>
      <c r="C12" s="11" t="s">
        <v>38</v>
      </c>
      <c r="D12" s="73" t="s">
        <v>200</v>
      </c>
      <c r="E12" s="74"/>
      <c r="F12" s="74"/>
      <c r="G12" s="74"/>
      <c r="H12" s="26">
        <f>SUM(H13:H25)</f>
        <v>0</v>
      </c>
      <c r="I12" s="26">
        <f>SUM(I13:I25)</f>
        <v>0</v>
      </c>
      <c r="J12" s="26">
        <f>H12+I12</f>
        <v>0</v>
      </c>
      <c r="K12" s="134"/>
      <c r="L12" s="26">
        <f>SUM(L13:L25)</f>
        <v>0</v>
      </c>
      <c r="O12" s="27">
        <f>IF(P12="PR",J12,SUM(N13:N25))</f>
        <v>0</v>
      </c>
      <c r="P12" s="19" t="s">
        <v>305</v>
      </c>
      <c r="Q12" s="27">
        <f>IF(P12="HS",H12,0)</f>
        <v>0</v>
      </c>
      <c r="R12" s="27">
        <f>IF(P12="HS",I12-O12,0)</f>
        <v>0</v>
      </c>
      <c r="S12" s="27">
        <f>IF(P12="PS",H12,0)</f>
        <v>0</v>
      </c>
      <c r="T12" s="27">
        <f>IF(P12="PS",I12-O12,0)</f>
        <v>0</v>
      </c>
      <c r="U12" s="27">
        <f>IF(P12="MP",H12,0)</f>
        <v>0</v>
      </c>
      <c r="V12" s="27">
        <f>IF(P12="MP",I12-O12,0)</f>
        <v>0</v>
      </c>
      <c r="W12" s="27">
        <f>IF(P12="OM",H12,0)</f>
        <v>0</v>
      </c>
      <c r="X12" s="19"/>
      <c r="AH12" s="27">
        <f>SUM(Y13:Y25)</f>
        <v>0</v>
      </c>
      <c r="AI12" s="27">
        <f>SUM(Z13:Z25)</f>
        <v>0</v>
      </c>
      <c r="AJ12" s="27">
        <f>SUM(AA13:AA25)</f>
        <v>0</v>
      </c>
    </row>
    <row r="13" spans="1:47" s="104" customFormat="1" hidden="1">
      <c r="A13" s="80" t="s">
        <v>6</v>
      </c>
      <c r="B13" s="80"/>
      <c r="C13" s="4" t="s">
        <v>552</v>
      </c>
      <c r="D13" s="4" t="s">
        <v>684</v>
      </c>
      <c r="E13" s="80" t="s">
        <v>285</v>
      </c>
      <c r="F13" s="81">
        <v>0</v>
      </c>
      <c r="G13" s="81"/>
      <c r="H13" s="81">
        <f t="shared" ref="H13:H25" si="0">F13*AD13</f>
        <v>0</v>
      </c>
      <c r="I13" s="81">
        <f>J13-H13</f>
        <v>0</v>
      </c>
      <c r="J13" s="81">
        <f t="shared" ref="J13:J25" si="1">F13*G13</f>
        <v>0</v>
      </c>
      <c r="K13" s="135">
        <v>2.7519999999999999E-2</v>
      </c>
      <c r="L13" s="81">
        <f t="shared" ref="L13:L25" si="2">F13*K13</f>
        <v>0</v>
      </c>
      <c r="M13" s="82" t="s">
        <v>6</v>
      </c>
      <c r="N13" s="81">
        <f t="shared" ref="N13:N25" si="3">IF(M13="5",I13,0)</f>
        <v>0</v>
      </c>
      <c r="Y13" s="81">
        <f t="shared" ref="Y13:Y25" si="4">IF(AC13=0,J13,0)</f>
        <v>0</v>
      </c>
      <c r="Z13" s="81">
        <f t="shared" ref="Z13:Z25" si="5">IF(AC13=15,J13,0)</f>
        <v>0</v>
      </c>
      <c r="AA13" s="81">
        <f t="shared" ref="AA13:AA25" si="6">IF(AC13=21,J13,0)</f>
        <v>0</v>
      </c>
      <c r="AC13" s="84">
        <v>15</v>
      </c>
      <c r="AD13" s="84">
        <f>G13*0.81143570536829</f>
        <v>0</v>
      </c>
      <c r="AE13" s="84">
        <f>G13*(1-0.81143570536829)</f>
        <v>0</v>
      </c>
      <c r="AL13" s="84">
        <f t="shared" ref="AL13:AL25" si="7">F13*AD13</f>
        <v>0</v>
      </c>
      <c r="AM13" s="84">
        <f t="shared" ref="AM13:AM25" si="8">F13*AE13</f>
        <v>0</v>
      </c>
      <c r="AN13" s="85" t="s">
        <v>553</v>
      </c>
      <c r="AO13" s="85" t="s">
        <v>332</v>
      </c>
      <c r="AP13" s="105" t="s">
        <v>339</v>
      </c>
      <c r="AR13" s="75" t="s">
        <v>726</v>
      </c>
      <c r="AS13" s="160">
        <v>2.7519999999999999E-2</v>
      </c>
      <c r="AU13" s="227"/>
    </row>
    <row r="14" spans="1:47" s="104" customFormat="1" hidden="1">
      <c r="A14" s="80" t="s">
        <v>7</v>
      </c>
      <c r="B14" s="80"/>
      <c r="C14" s="80" t="s">
        <v>554</v>
      </c>
      <c r="D14" s="4" t="s">
        <v>685</v>
      </c>
      <c r="E14" s="80" t="s">
        <v>285</v>
      </c>
      <c r="F14" s="81">
        <v>0</v>
      </c>
      <c r="G14" s="81"/>
      <c r="H14" s="81">
        <f t="shared" si="0"/>
        <v>0</v>
      </c>
      <c r="I14" s="81">
        <f>J14-H14</f>
        <v>0</v>
      </c>
      <c r="J14" s="81">
        <f t="shared" si="1"/>
        <v>0</v>
      </c>
      <c r="K14" s="135">
        <v>3.2649999999999998E-2</v>
      </c>
      <c r="L14" s="81">
        <f t="shared" si="2"/>
        <v>0</v>
      </c>
      <c r="M14" s="82" t="s">
        <v>6</v>
      </c>
      <c r="N14" s="81">
        <f t="shared" si="3"/>
        <v>0</v>
      </c>
      <c r="Y14" s="81">
        <f t="shared" si="4"/>
        <v>0</v>
      </c>
      <c r="Z14" s="81">
        <f t="shared" si="5"/>
        <v>0</v>
      </c>
      <c r="AA14" s="81">
        <f t="shared" si="6"/>
        <v>0</v>
      </c>
      <c r="AC14" s="84">
        <v>15</v>
      </c>
      <c r="AD14" s="84">
        <f t="shared" ref="AD14:AD82" si="9">G14*0.81143570536829</f>
        <v>0</v>
      </c>
      <c r="AE14" s="84">
        <f t="shared" ref="AE14:AE82" si="10">G14*(1-0.81143570536829)</f>
        <v>0</v>
      </c>
      <c r="AL14" s="84">
        <f t="shared" si="7"/>
        <v>0</v>
      </c>
      <c r="AM14" s="84">
        <f t="shared" si="8"/>
        <v>0</v>
      </c>
      <c r="AN14" s="85" t="s">
        <v>553</v>
      </c>
      <c r="AO14" s="85" t="s">
        <v>332</v>
      </c>
      <c r="AP14" s="105" t="s">
        <v>339</v>
      </c>
      <c r="AR14" s="75" t="s">
        <v>726</v>
      </c>
      <c r="AS14" s="160">
        <v>3.2649999999999998E-2</v>
      </c>
      <c r="AU14" s="227"/>
    </row>
    <row r="15" spans="1:47" s="83" customFormat="1" hidden="1">
      <c r="A15" s="80" t="s">
        <v>8</v>
      </c>
      <c r="B15" s="80"/>
      <c r="C15" s="80" t="s">
        <v>555</v>
      </c>
      <c r="D15" s="4" t="s">
        <v>686</v>
      </c>
      <c r="E15" s="80" t="s">
        <v>285</v>
      </c>
      <c r="F15" s="81">
        <v>0</v>
      </c>
      <c r="G15" s="81"/>
      <c r="H15" s="81">
        <f t="shared" si="0"/>
        <v>0</v>
      </c>
      <c r="I15" s="81">
        <f>J15-H15</f>
        <v>0</v>
      </c>
      <c r="J15" s="81">
        <f t="shared" si="1"/>
        <v>0</v>
      </c>
      <c r="K15" s="135">
        <v>2.1409999999999998E-2</v>
      </c>
      <c r="L15" s="81">
        <f t="shared" si="2"/>
        <v>0</v>
      </c>
      <c r="M15" s="82" t="s">
        <v>8</v>
      </c>
      <c r="N15" s="81">
        <f t="shared" si="3"/>
        <v>0</v>
      </c>
      <c r="Y15" s="81">
        <f t="shared" si="4"/>
        <v>0</v>
      </c>
      <c r="Z15" s="81">
        <f t="shared" si="5"/>
        <v>0</v>
      </c>
      <c r="AA15" s="81">
        <f t="shared" si="6"/>
        <v>0</v>
      </c>
      <c r="AC15" s="84">
        <v>15</v>
      </c>
      <c r="AD15" s="84">
        <f t="shared" si="9"/>
        <v>0</v>
      </c>
      <c r="AE15" s="84">
        <f t="shared" si="10"/>
        <v>0</v>
      </c>
      <c r="AL15" s="84">
        <f t="shared" si="7"/>
        <v>0</v>
      </c>
      <c r="AM15" s="84">
        <f t="shared" si="8"/>
        <v>0</v>
      </c>
      <c r="AN15" s="85" t="s">
        <v>553</v>
      </c>
      <c r="AO15" s="85" t="s">
        <v>332</v>
      </c>
      <c r="AP15" s="86" t="s">
        <v>339</v>
      </c>
      <c r="AR15" s="75" t="s">
        <v>726</v>
      </c>
      <c r="AS15" s="160">
        <v>2.1409999999999998E-2</v>
      </c>
      <c r="AU15" s="228"/>
    </row>
    <row r="16" spans="1:47" s="75" customFormat="1" ht="25.5" hidden="1">
      <c r="A16" s="80" t="s">
        <v>9</v>
      </c>
      <c r="B16" s="4"/>
      <c r="C16" s="4" t="s">
        <v>855</v>
      </c>
      <c r="D16" s="106" t="s">
        <v>981</v>
      </c>
      <c r="E16" s="4" t="s">
        <v>284</v>
      </c>
      <c r="F16" s="14">
        <v>0</v>
      </c>
      <c r="G16" s="14">
        <v>871</v>
      </c>
      <c r="H16" s="14">
        <f t="shared" si="0"/>
        <v>0</v>
      </c>
      <c r="I16" s="14">
        <f>J16-H16</f>
        <v>0</v>
      </c>
      <c r="J16" s="81">
        <f>F16*G16</f>
        <v>0</v>
      </c>
      <c r="K16" s="136">
        <v>1.8200000000000001E-2</v>
      </c>
      <c r="L16" s="14">
        <f>F16*K16</f>
        <v>0</v>
      </c>
      <c r="M16" s="20" t="s">
        <v>6</v>
      </c>
      <c r="N16" s="14">
        <f t="shared" si="3"/>
        <v>0</v>
      </c>
      <c r="Y16" s="81">
        <f t="shared" si="4"/>
        <v>0</v>
      </c>
      <c r="Z16" s="81">
        <f t="shared" si="5"/>
        <v>0</v>
      </c>
      <c r="AA16" s="81">
        <f t="shared" si="6"/>
        <v>0</v>
      </c>
      <c r="AC16" s="24">
        <v>15</v>
      </c>
      <c r="AD16" s="84">
        <f>G16*0.81143570536829</f>
        <v>706.76049937578057</v>
      </c>
      <c r="AE16" s="84">
        <f>G16*(1-0.81143570536829)</f>
        <v>164.2395006242194</v>
      </c>
      <c r="AL16" s="24">
        <f t="shared" si="7"/>
        <v>0</v>
      </c>
      <c r="AM16" s="24">
        <f t="shared" si="8"/>
        <v>0</v>
      </c>
      <c r="AN16" s="25" t="s">
        <v>315</v>
      </c>
      <c r="AO16" s="25" t="s">
        <v>332</v>
      </c>
      <c r="AP16" s="76" t="s">
        <v>339</v>
      </c>
      <c r="AR16" s="75" t="s">
        <v>726</v>
      </c>
      <c r="AS16" s="160">
        <v>4.6820000000000001E-2</v>
      </c>
      <c r="AU16" s="229"/>
    </row>
    <row r="17" spans="1:47" s="75" customFormat="1" hidden="1">
      <c r="A17" s="80" t="s">
        <v>10</v>
      </c>
      <c r="B17" s="4"/>
      <c r="C17" s="4" t="s">
        <v>102</v>
      </c>
      <c r="D17" s="4" t="s">
        <v>932</v>
      </c>
      <c r="E17" s="4" t="s">
        <v>284</v>
      </c>
      <c r="F17" s="14">
        <v>0</v>
      </c>
      <c r="G17" s="14"/>
      <c r="H17" s="14">
        <f t="shared" si="0"/>
        <v>0</v>
      </c>
      <c r="I17" s="14">
        <f t="shared" ref="I17:I25" si="11">J17-H17</f>
        <v>0</v>
      </c>
      <c r="J17" s="81">
        <f t="shared" si="1"/>
        <v>0</v>
      </c>
      <c r="K17" s="136">
        <v>4.6820000000000001E-2</v>
      </c>
      <c r="L17" s="14">
        <f t="shared" si="2"/>
        <v>0</v>
      </c>
      <c r="M17" s="20" t="s">
        <v>6</v>
      </c>
      <c r="N17" s="14">
        <f t="shared" si="3"/>
        <v>0</v>
      </c>
      <c r="Y17" s="81">
        <f t="shared" si="4"/>
        <v>0</v>
      </c>
      <c r="Z17" s="81">
        <f t="shared" si="5"/>
        <v>0</v>
      </c>
      <c r="AA17" s="81">
        <f t="shared" si="6"/>
        <v>0</v>
      </c>
      <c r="AC17" s="24">
        <v>15</v>
      </c>
      <c r="AD17" s="84">
        <f t="shared" si="9"/>
        <v>0</v>
      </c>
      <c r="AE17" s="84">
        <f t="shared" si="10"/>
        <v>0</v>
      </c>
      <c r="AL17" s="24">
        <f t="shared" si="7"/>
        <v>0</v>
      </c>
      <c r="AM17" s="24">
        <f t="shared" si="8"/>
        <v>0</v>
      </c>
      <c r="AN17" s="25" t="s">
        <v>315</v>
      </c>
      <c r="AO17" s="25" t="s">
        <v>332</v>
      </c>
      <c r="AP17" s="76" t="s">
        <v>339</v>
      </c>
      <c r="AR17" s="75" t="s">
        <v>726</v>
      </c>
      <c r="AS17" s="160">
        <v>4.6820000000000001E-2</v>
      </c>
      <c r="AU17" s="229"/>
    </row>
    <row r="18" spans="1:47" hidden="1">
      <c r="A18" s="80" t="s">
        <v>11</v>
      </c>
      <c r="B18" s="4"/>
      <c r="C18" s="4" t="s">
        <v>102</v>
      </c>
      <c r="D18" s="4" t="s">
        <v>980</v>
      </c>
      <c r="E18" s="4" t="s">
        <v>284</v>
      </c>
      <c r="F18" s="49">
        <v>0</v>
      </c>
      <c r="G18" s="14">
        <v>607</v>
      </c>
      <c r="H18" s="14">
        <f t="shared" si="0"/>
        <v>0</v>
      </c>
      <c r="I18" s="14">
        <f>J18-H18</f>
        <v>0</v>
      </c>
      <c r="J18" s="81">
        <f t="shared" si="1"/>
        <v>0</v>
      </c>
      <c r="K18" s="136">
        <v>4.6820000000000001E-2</v>
      </c>
      <c r="L18" s="14">
        <f t="shared" si="2"/>
        <v>0</v>
      </c>
      <c r="M18" s="20" t="s">
        <v>6</v>
      </c>
      <c r="N18" s="14">
        <f t="shared" si="3"/>
        <v>0</v>
      </c>
      <c r="Y18" s="81">
        <f t="shared" si="4"/>
        <v>0</v>
      </c>
      <c r="Z18" s="81">
        <f t="shared" si="5"/>
        <v>0</v>
      </c>
      <c r="AA18" s="81">
        <f t="shared" si="6"/>
        <v>0</v>
      </c>
      <c r="AC18" s="24">
        <v>15</v>
      </c>
      <c r="AD18" s="84">
        <f t="shared" si="9"/>
        <v>492.54147315855204</v>
      </c>
      <c r="AE18" s="84">
        <f t="shared" si="10"/>
        <v>114.45852684144796</v>
      </c>
      <c r="AL18" s="24">
        <f t="shared" si="7"/>
        <v>0</v>
      </c>
      <c r="AM18" s="24">
        <f t="shared" si="8"/>
        <v>0</v>
      </c>
      <c r="AN18" s="25" t="s">
        <v>315</v>
      </c>
      <c r="AO18" s="25" t="s">
        <v>332</v>
      </c>
      <c r="AP18" s="19" t="s">
        <v>339</v>
      </c>
      <c r="AR18" s="75" t="s">
        <v>726</v>
      </c>
      <c r="AS18" s="160">
        <v>4.6820000000000001E-2</v>
      </c>
    </row>
    <row r="19" spans="1:47" hidden="1">
      <c r="A19" s="80" t="s">
        <v>12</v>
      </c>
      <c r="B19" s="4"/>
      <c r="C19" s="4" t="s">
        <v>103</v>
      </c>
      <c r="D19" s="4" t="s">
        <v>933</v>
      </c>
      <c r="E19" s="4" t="s">
        <v>285</v>
      </c>
      <c r="F19" s="14">
        <v>0</v>
      </c>
      <c r="G19" s="14">
        <v>498</v>
      </c>
      <c r="H19" s="14">
        <f t="shared" si="0"/>
        <v>0</v>
      </c>
      <c r="I19" s="14">
        <f t="shared" si="11"/>
        <v>0</v>
      </c>
      <c r="J19" s="81">
        <f t="shared" si="1"/>
        <v>0</v>
      </c>
      <c r="K19" s="136">
        <v>1.6000000000000001E-4</v>
      </c>
      <c r="L19" s="14">
        <f t="shared" si="2"/>
        <v>0</v>
      </c>
      <c r="M19" s="20" t="s">
        <v>6</v>
      </c>
      <c r="N19" s="14">
        <f t="shared" si="3"/>
        <v>0</v>
      </c>
      <c r="Y19" s="81">
        <f t="shared" si="4"/>
        <v>0</v>
      </c>
      <c r="Z19" s="81">
        <f t="shared" si="5"/>
        <v>0</v>
      </c>
      <c r="AA19" s="81">
        <f t="shared" si="6"/>
        <v>0</v>
      </c>
      <c r="AC19" s="24">
        <v>15</v>
      </c>
      <c r="AD19" s="84">
        <f t="shared" si="9"/>
        <v>404.09498127340845</v>
      </c>
      <c r="AE19" s="84">
        <f t="shared" si="10"/>
        <v>93.905018726591578</v>
      </c>
      <c r="AL19" s="24">
        <f t="shared" si="7"/>
        <v>0</v>
      </c>
      <c r="AM19" s="24">
        <f t="shared" si="8"/>
        <v>0</v>
      </c>
      <c r="AN19" s="25" t="s">
        <v>315</v>
      </c>
      <c r="AO19" s="25" t="s">
        <v>332</v>
      </c>
      <c r="AP19" s="19" t="s">
        <v>339</v>
      </c>
      <c r="AR19" s="75" t="s">
        <v>726</v>
      </c>
      <c r="AS19" s="160">
        <v>1.6000000000000001E-4</v>
      </c>
    </row>
    <row r="20" spans="1:47" hidden="1">
      <c r="A20" s="80" t="s">
        <v>13</v>
      </c>
      <c r="B20" s="5"/>
      <c r="C20" s="5" t="s">
        <v>104</v>
      </c>
      <c r="D20" s="5" t="s">
        <v>201</v>
      </c>
      <c r="E20" s="5" t="s">
        <v>285</v>
      </c>
      <c r="F20" s="15">
        <v>0</v>
      </c>
      <c r="G20" s="15">
        <v>1420</v>
      </c>
      <c r="H20" s="15">
        <f t="shared" si="0"/>
        <v>0</v>
      </c>
      <c r="I20" s="15">
        <f t="shared" si="11"/>
        <v>0</v>
      </c>
      <c r="J20" s="81">
        <f t="shared" si="1"/>
        <v>0</v>
      </c>
      <c r="K20" s="137">
        <v>0</v>
      </c>
      <c r="L20" s="15">
        <f t="shared" si="2"/>
        <v>0</v>
      </c>
      <c r="M20" s="21" t="s">
        <v>302</v>
      </c>
      <c r="N20" s="15">
        <f t="shared" si="3"/>
        <v>0</v>
      </c>
      <c r="Y20" s="81">
        <f t="shared" si="4"/>
        <v>0</v>
      </c>
      <c r="Z20" s="81">
        <f t="shared" si="5"/>
        <v>0</v>
      </c>
      <c r="AA20" s="81">
        <f t="shared" si="6"/>
        <v>0</v>
      </c>
      <c r="AC20" s="24">
        <v>15</v>
      </c>
      <c r="AD20" s="84">
        <f t="shared" si="9"/>
        <v>1152.2387016229718</v>
      </c>
      <c r="AE20" s="84">
        <f t="shared" si="10"/>
        <v>267.7612983770282</v>
      </c>
      <c r="AL20" s="24">
        <f t="shared" si="7"/>
        <v>0</v>
      </c>
      <c r="AM20" s="24">
        <f t="shared" si="8"/>
        <v>0</v>
      </c>
      <c r="AN20" s="25" t="s">
        <v>315</v>
      </c>
      <c r="AO20" s="25" t="s">
        <v>332</v>
      </c>
      <c r="AP20" s="19" t="s">
        <v>339</v>
      </c>
      <c r="AR20" s="75" t="s">
        <v>726</v>
      </c>
      <c r="AS20" s="161">
        <v>0</v>
      </c>
    </row>
    <row r="21" spans="1:47" hidden="1">
      <c r="A21" s="80" t="s">
        <v>14</v>
      </c>
      <c r="B21" s="4"/>
      <c r="C21" s="4" t="s">
        <v>105</v>
      </c>
      <c r="D21" s="4" t="s">
        <v>202</v>
      </c>
      <c r="E21" s="4" t="s">
        <v>284</v>
      </c>
      <c r="F21" s="49">
        <v>0</v>
      </c>
      <c r="G21" s="14"/>
      <c r="H21" s="14">
        <f t="shared" si="0"/>
        <v>0</v>
      </c>
      <c r="I21" s="14">
        <f t="shared" si="11"/>
        <v>0</v>
      </c>
      <c r="J21" s="81">
        <f t="shared" si="1"/>
        <v>0</v>
      </c>
      <c r="K21" s="136">
        <v>5.3199999999999997E-2</v>
      </c>
      <c r="L21" s="14">
        <f t="shared" si="2"/>
        <v>0</v>
      </c>
      <c r="M21" s="20" t="s">
        <v>8</v>
      </c>
      <c r="N21" s="14">
        <f t="shared" si="3"/>
        <v>0</v>
      </c>
      <c r="Y21" s="81">
        <f t="shared" si="4"/>
        <v>0</v>
      </c>
      <c r="Z21" s="81">
        <f t="shared" si="5"/>
        <v>0</v>
      </c>
      <c r="AA21" s="81">
        <f t="shared" si="6"/>
        <v>0</v>
      </c>
      <c r="AC21" s="24">
        <v>15</v>
      </c>
      <c r="AD21" s="84">
        <f t="shared" si="9"/>
        <v>0</v>
      </c>
      <c r="AE21" s="84">
        <f t="shared" si="10"/>
        <v>0</v>
      </c>
      <c r="AL21" s="24">
        <f t="shared" si="7"/>
        <v>0</v>
      </c>
      <c r="AM21" s="24">
        <f t="shared" si="8"/>
        <v>0</v>
      </c>
      <c r="AN21" s="25" t="s">
        <v>315</v>
      </c>
      <c r="AO21" s="25" t="s">
        <v>332</v>
      </c>
      <c r="AP21" s="19" t="s">
        <v>339</v>
      </c>
      <c r="AR21" s="75" t="s">
        <v>726</v>
      </c>
      <c r="AS21" s="160">
        <v>5.3199999999999997E-2</v>
      </c>
    </row>
    <row r="22" spans="1:47" s="75" customFormat="1" hidden="1">
      <c r="A22" s="80" t="s">
        <v>15</v>
      </c>
      <c r="B22" s="4"/>
      <c r="C22" s="4" t="s">
        <v>530</v>
      </c>
      <c r="D22" s="4" t="s">
        <v>529</v>
      </c>
      <c r="E22" s="4" t="s">
        <v>284</v>
      </c>
      <c r="F22" s="49">
        <v>0</v>
      </c>
      <c r="G22" s="14">
        <v>924</v>
      </c>
      <c r="H22" s="14">
        <f t="shared" si="0"/>
        <v>0</v>
      </c>
      <c r="I22" s="14">
        <f>J22-H22</f>
        <v>0</v>
      </c>
      <c r="J22" s="81">
        <f t="shared" si="1"/>
        <v>0</v>
      </c>
      <c r="K22" s="136">
        <v>7.0599999999999996E-2</v>
      </c>
      <c r="L22" s="14">
        <f t="shared" si="2"/>
        <v>0</v>
      </c>
      <c r="M22" s="20" t="s">
        <v>8</v>
      </c>
      <c r="N22" s="14">
        <f t="shared" si="3"/>
        <v>0</v>
      </c>
      <c r="Y22" s="81">
        <f t="shared" si="4"/>
        <v>0</v>
      </c>
      <c r="Z22" s="81">
        <f t="shared" si="5"/>
        <v>0</v>
      </c>
      <c r="AA22" s="81">
        <f t="shared" si="6"/>
        <v>0</v>
      </c>
      <c r="AC22" s="24">
        <v>15</v>
      </c>
      <c r="AD22" s="84">
        <f t="shared" si="9"/>
        <v>749.7665917603</v>
      </c>
      <c r="AE22" s="84">
        <f t="shared" si="10"/>
        <v>174.23340823970003</v>
      </c>
      <c r="AL22" s="24">
        <f t="shared" si="7"/>
        <v>0</v>
      </c>
      <c r="AM22" s="24">
        <f t="shared" si="8"/>
        <v>0</v>
      </c>
      <c r="AN22" s="25" t="s">
        <v>315</v>
      </c>
      <c r="AO22" s="25" t="s">
        <v>332</v>
      </c>
      <c r="AP22" s="76" t="s">
        <v>339</v>
      </c>
      <c r="AR22" s="75" t="s">
        <v>726</v>
      </c>
      <c r="AS22" s="160">
        <v>7.0599999999999996E-2</v>
      </c>
      <c r="AU22" s="229"/>
    </row>
    <row r="23" spans="1:47" ht="25.5" hidden="1">
      <c r="A23" s="80" t="s">
        <v>16</v>
      </c>
      <c r="B23" s="4"/>
      <c r="C23" s="4" t="s">
        <v>416</v>
      </c>
      <c r="D23" s="106" t="s">
        <v>941</v>
      </c>
      <c r="E23" s="4" t="s">
        <v>285</v>
      </c>
      <c r="F23" s="14">
        <v>0</v>
      </c>
      <c r="G23" s="14">
        <v>108</v>
      </c>
      <c r="H23" s="14">
        <f t="shared" si="0"/>
        <v>0</v>
      </c>
      <c r="I23" s="14">
        <f t="shared" si="11"/>
        <v>0</v>
      </c>
      <c r="J23" s="81">
        <f t="shared" si="1"/>
        <v>0</v>
      </c>
      <c r="K23" s="136">
        <v>3.2699999999999999E-3</v>
      </c>
      <c r="L23" s="14">
        <f t="shared" si="2"/>
        <v>0</v>
      </c>
      <c r="M23" s="20" t="s">
        <v>6</v>
      </c>
      <c r="N23" s="14">
        <f t="shared" si="3"/>
        <v>0</v>
      </c>
      <c r="Y23" s="81">
        <f t="shared" si="4"/>
        <v>0</v>
      </c>
      <c r="Z23" s="81">
        <f t="shared" si="5"/>
        <v>0</v>
      </c>
      <c r="AA23" s="81">
        <f t="shared" si="6"/>
        <v>0</v>
      </c>
      <c r="AC23" s="24">
        <v>15</v>
      </c>
      <c r="AD23" s="84">
        <f t="shared" si="9"/>
        <v>87.635056179775319</v>
      </c>
      <c r="AE23" s="84">
        <f t="shared" si="10"/>
        <v>20.364943820224678</v>
      </c>
      <c r="AL23" s="24">
        <f t="shared" si="7"/>
        <v>0</v>
      </c>
      <c r="AM23" s="24">
        <f t="shared" si="8"/>
        <v>0</v>
      </c>
      <c r="AN23" s="25" t="s">
        <v>315</v>
      </c>
      <c r="AO23" s="25" t="s">
        <v>332</v>
      </c>
      <c r="AP23" s="19" t="s">
        <v>339</v>
      </c>
      <c r="AR23" s="75" t="s">
        <v>726</v>
      </c>
      <c r="AS23" s="160">
        <v>3.2699999999999999E-3</v>
      </c>
    </row>
    <row r="24" spans="1:47" hidden="1">
      <c r="A24" s="80" t="s">
        <v>17</v>
      </c>
      <c r="B24" s="4"/>
      <c r="C24" s="4" t="s">
        <v>106</v>
      </c>
      <c r="D24" s="4" t="s">
        <v>203</v>
      </c>
      <c r="E24" s="4" t="s">
        <v>286</v>
      </c>
      <c r="F24" s="107">
        <v>0</v>
      </c>
      <c r="G24" s="14">
        <v>134</v>
      </c>
      <c r="H24" s="14">
        <f t="shared" si="0"/>
        <v>0</v>
      </c>
      <c r="I24" s="14">
        <f t="shared" si="11"/>
        <v>0</v>
      </c>
      <c r="J24" s="81">
        <f t="shared" si="1"/>
        <v>0</v>
      </c>
      <c r="K24" s="136">
        <v>1.0200000000000001E-3</v>
      </c>
      <c r="L24" s="14">
        <f t="shared" si="2"/>
        <v>0</v>
      </c>
      <c r="M24" s="20" t="s">
        <v>6</v>
      </c>
      <c r="N24" s="14">
        <f t="shared" si="3"/>
        <v>0</v>
      </c>
      <c r="Y24" s="81">
        <f t="shared" si="4"/>
        <v>0</v>
      </c>
      <c r="Z24" s="81">
        <f t="shared" si="5"/>
        <v>0</v>
      </c>
      <c r="AA24" s="81">
        <f t="shared" si="6"/>
        <v>0</v>
      </c>
      <c r="AC24" s="24">
        <v>15</v>
      </c>
      <c r="AD24" s="84">
        <f t="shared" si="9"/>
        <v>108.73238451935086</v>
      </c>
      <c r="AE24" s="84">
        <f t="shared" si="10"/>
        <v>25.267615480649138</v>
      </c>
      <c r="AL24" s="24">
        <f t="shared" si="7"/>
        <v>0</v>
      </c>
      <c r="AM24" s="24">
        <f t="shared" si="8"/>
        <v>0</v>
      </c>
      <c r="AN24" s="25" t="s">
        <v>315</v>
      </c>
      <c r="AO24" s="25" t="s">
        <v>332</v>
      </c>
      <c r="AP24" s="19" t="s">
        <v>339</v>
      </c>
      <c r="AR24" s="75" t="s">
        <v>726</v>
      </c>
      <c r="AS24" s="160">
        <v>1.0200000000000001E-3</v>
      </c>
    </row>
    <row r="25" spans="1:47" hidden="1">
      <c r="A25" s="80" t="s">
        <v>18</v>
      </c>
      <c r="B25" s="4"/>
      <c r="C25" s="4" t="s">
        <v>107</v>
      </c>
      <c r="D25" s="4" t="s">
        <v>204</v>
      </c>
      <c r="E25" s="4" t="s">
        <v>286</v>
      </c>
      <c r="F25" s="108">
        <v>0</v>
      </c>
      <c r="G25" s="14"/>
      <c r="H25" s="14">
        <f t="shared" si="0"/>
        <v>0</v>
      </c>
      <c r="I25" s="14">
        <f t="shared" si="11"/>
        <v>0</v>
      </c>
      <c r="J25" s="81">
        <f t="shared" si="1"/>
        <v>0</v>
      </c>
      <c r="K25" s="136">
        <v>8.0000000000000007E-5</v>
      </c>
      <c r="L25" s="14">
        <f t="shared" si="2"/>
        <v>0</v>
      </c>
      <c r="M25" s="20" t="s">
        <v>6</v>
      </c>
      <c r="N25" s="14">
        <f t="shared" si="3"/>
        <v>0</v>
      </c>
      <c r="Y25" s="81">
        <f t="shared" si="4"/>
        <v>0</v>
      </c>
      <c r="Z25" s="81">
        <f t="shared" si="5"/>
        <v>0</v>
      </c>
      <c r="AA25" s="81">
        <f t="shared" si="6"/>
        <v>0</v>
      </c>
      <c r="AC25" s="24">
        <v>15</v>
      </c>
      <c r="AD25" s="84">
        <f t="shared" si="9"/>
        <v>0</v>
      </c>
      <c r="AE25" s="84">
        <f t="shared" si="10"/>
        <v>0</v>
      </c>
      <c r="AL25" s="24">
        <f t="shared" si="7"/>
        <v>0</v>
      </c>
      <c r="AM25" s="24">
        <f t="shared" si="8"/>
        <v>0</v>
      </c>
      <c r="AN25" s="25" t="s">
        <v>315</v>
      </c>
      <c r="AO25" s="25" t="s">
        <v>332</v>
      </c>
      <c r="AP25" s="19" t="s">
        <v>339</v>
      </c>
      <c r="AR25" s="75" t="s">
        <v>726</v>
      </c>
      <c r="AS25" s="160">
        <v>8.0000000000000007E-5</v>
      </c>
    </row>
    <row r="26" spans="1:47" s="83" customFormat="1" hidden="1">
      <c r="A26" s="87"/>
      <c r="B26" s="88"/>
      <c r="C26" s="88" t="s">
        <v>45</v>
      </c>
      <c r="D26" s="122" t="s">
        <v>556</v>
      </c>
      <c r="E26" s="123"/>
      <c r="F26" s="123"/>
      <c r="G26" s="72"/>
      <c r="H26" s="89">
        <f>SUM(H27:H29)</f>
        <v>0</v>
      </c>
      <c r="I26" s="89">
        <f>SUM(I27:I29)</f>
        <v>0</v>
      </c>
      <c r="J26" s="89">
        <f>H26+I26</f>
        <v>0</v>
      </c>
      <c r="K26" s="138"/>
      <c r="L26" s="89">
        <f>SUM(L27:L29)</f>
        <v>0</v>
      </c>
      <c r="O26" s="89">
        <f>IF(P26="PR",J26,SUM(N27:N29))</f>
        <v>0</v>
      </c>
      <c r="P26" s="86" t="s">
        <v>305</v>
      </c>
      <c r="Q26" s="89">
        <f>IF(P26="HS",H26,0)</f>
        <v>0</v>
      </c>
      <c r="R26" s="89">
        <f>IF(P26="HS",I26-O26,0)</f>
        <v>0</v>
      </c>
      <c r="S26" s="89">
        <f>IF(P26="PS",H26,0)</f>
        <v>0</v>
      </c>
      <c r="T26" s="89">
        <f>IF(P26="PS",I26-O26,0)</f>
        <v>0</v>
      </c>
      <c r="U26" s="89">
        <f>IF(P26="MP",H26,0)</f>
        <v>0</v>
      </c>
      <c r="V26" s="89">
        <f>IF(P26="MP",I26-O26,0)</f>
        <v>0</v>
      </c>
      <c r="W26" s="89">
        <f>IF(P26="OM",H26,0)</f>
        <v>0</v>
      </c>
      <c r="X26" s="86"/>
      <c r="Y26" s="81"/>
      <c r="Z26" s="81"/>
      <c r="AA26" s="81"/>
      <c r="AD26" s="84"/>
      <c r="AE26" s="84"/>
      <c r="AH26" s="89">
        <f>SUM(Y27:Y29)</f>
        <v>0</v>
      </c>
      <c r="AI26" s="89">
        <f>SUM(Z27:Z29)</f>
        <v>0</v>
      </c>
      <c r="AJ26" s="89">
        <f>SUM(AA27:AA29)</f>
        <v>0</v>
      </c>
      <c r="AS26" s="162"/>
      <c r="AU26" s="228"/>
    </row>
    <row r="27" spans="1:47" s="104" customFormat="1" hidden="1">
      <c r="A27" s="4" t="s">
        <v>19</v>
      </c>
      <c r="B27" s="80"/>
      <c r="C27" s="80" t="s">
        <v>557</v>
      </c>
      <c r="D27" s="80" t="s">
        <v>558</v>
      </c>
      <c r="E27" s="80" t="s">
        <v>284</v>
      </c>
      <c r="F27" s="81">
        <v>0</v>
      </c>
      <c r="G27" s="14">
        <v>941</v>
      </c>
      <c r="H27" s="81">
        <f>F27*AD27</f>
        <v>0</v>
      </c>
      <c r="I27" s="81">
        <f>J27-H27</f>
        <v>0</v>
      </c>
      <c r="J27" s="81">
        <f>F27*G27</f>
        <v>0</v>
      </c>
      <c r="K27" s="135">
        <v>1.1310000000000001E-2</v>
      </c>
      <c r="L27" s="81">
        <f>F27*K27</f>
        <v>0</v>
      </c>
      <c r="M27" s="82" t="s">
        <v>6</v>
      </c>
      <c r="N27" s="81">
        <f>IF(M27="5",I27,0)</f>
        <v>0</v>
      </c>
      <c r="Y27" s="81">
        <f>IF(AC27=0,J27,0)</f>
        <v>0</v>
      </c>
      <c r="Z27" s="81">
        <f>IF(AC27=15,J27,0)</f>
        <v>0</v>
      </c>
      <c r="AA27" s="81">
        <f>IF(AC27=21,J27,0)</f>
        <v>0</v>
      </c>
      <c r="AC27" s="84">
        <v>15</v>
      </c>
      <c r="AD27" s="84">
        <f t="shared" si="9"/>
        <v>763.56099875156087</v>
      </c>
      <c r="AE27" s="84">
        <f t="shared" si="10"/>
        <v>177.4390012484391</v>
      </c>
      <c r="AL27" s="84">
        <f>F27*AD27</f>
        <v>0</v>
      </c>
      <c r="AM27" s="84">
        <f>F27*AE27</f>
        <v>0</v>
      </c>
      <c r="AN27" s="85" t="s">
        <v>559</v>
      </c>
      <c r="AO27" s="85" t="s">
        <v>560</v>
      </c>
      <c r="AP27" s="105" t="s">
        <v>339</v>
      </c>
      <c r="AR27" s="75" t="s">
        <v>726</v>
      </c>
      <c r="AS27" s="160">
        <v>1.1310000000000001E-2</v>
      </c>
      <c r="AU27" s="227"/>
    </row>
    <row r="28" spans="1:47" hidden="1">
      <c r="A28" s="4" t="s">
        <v>20</v>
      </c>
      <c r="B28" s="4"/>
      <c r="C28" s="4" t="s">
        <v>793</v>
      </c>
      <c r="D28" s="4" t="s">
        <v>794</v>
      </c>
      <c r="E28" s="4" t="s">
        <v>284</v>
      </c>
      <c r="F28" s="14">
        <v>0</v>
      </c>
      <c r="G28" s="14">
        <v>292</v>
      </c>
      <c r="H28" s="14">
        <f>F28*AD28</f>
        <v>0</v>
      </c>
      <c r="I28" s="14">
        <f>J28-H28</f>
        <v>0</v>
      </c>
      <c r="J28" s="14">
        <f>F28*G28</f>
        <v>0</v>
      </c>
      <c r="K28" s="136">
        <v>0</v>
      </c>
      <c r="L28" s="14">
        <f>F28*K28</f>
        <v>0</v>
      </c>
      <c r="M28" s="20" t="s">
        <v>6</v>
      </c>
      <c r="N28" s="14">
        <f>IF(M28="5",I28,0)</f>
        <v>0</v>
      </c>
      <c r="Y28" s="81">
        <f>IF(AC28=0,J28,0)</f>
        <v>0</v>
      </c>
      <c r="Z28" s="81">
        <f>IF(AC28=15,J28,0)</f>
        <v>0</v>
      </c>
      <c r="AA28" s="81">
        <f>IF(AC28=21,J28,0)</f>
        <v>0</v>
      </c>
      <c r="AC28" s="24">
        <v>15</v>
      </c>
      <c r="AD28" s="84">
        <f t="shared" si="9"/>
        <v>236.93922596754069</v>
      </c>
      <c r="AE28" s="84">
        <f t="shared" si="10"/>
        <v>55.060774032459314</v>
      </c>
      <c r="AL28" s="24">
        <f>F28*AD28</f>
        <v>0</v>
      </c>
      <c r="AM28" s="24">
        <f>F28*AE28</f>
        <v>0</v>
      </c>
      <c r="AN28" s="25" t="s">
        <v>559</v>
      </c>
      <c r="AO28" s="25" t="s">
        <v>560</v>
      </c>
      <c r="AP28" s="19" t="s">
        <v>339</v>
      </c>
      <c r="AS28" s="160">
        <v>0</v>
      </c>
    </row>
    <row r="29" spans="1:47" s="104" customFormat="1" hidden="1">
      <c r="A29" s="4" t="s">
        <v>21</v>
      </c>
      <c r="B29" s="80"/>
      <c r="C29" s="80" t="s">
        <v>561</v>
      </c>
      <c r="D29" s="4" t="s">
        <v>950</v>
      </c>
      <c r="E29" s="80" t="s">
        <v>284</v>
      </c>
      <c r="F29" s="81">
        <v>0</v>
      </c>
      <c r="G29" s="14">
        <v>208</v>
      </c>
      <c r="H29" s="81">
        <f>F29*AD29</f>
        <v>0</v>
      </c>
      <c r="I29" s="81">
        <f>J29-H29</f>
        <v>0</v>
      </c>
      <c r="J29" s="81">
        <f>F29*G29</f>
        <v>0</v>
      </c>
      <c r="K29" s="135">
        <v>0</v>
      </c>
      <c r="L29" s="81">
        <f>F29*K29</f>
        <v>0</v>
      </c>
      <c r="M29" s="82" t="s">
        <v>6</v>
      </c>
      <c r="N29" s="81">
        <f>IF(M29="5",I29,0)</f>
        <v>0</v>
      </c>
      <c r="Y29" s="81">
        <f>IF(AC29=0,J29,0)</f>
        <v>0</v>
      </c>
      <c r="Z29" s="81">
        <f>IF(AC29=15,J29,0)</f>
        <v>0</v>
      </c>
      <c r="AA29" s="81">
        <f>IF(AC29=21,J29,0)</f>
        <v>0</v>
      </c>
      <c r="AC29" s="84">
        <v>15</v>
      </c>
      <c r="AD29" s="84">
        <f t="shared" si="9"/>
        <v>168.77862671660432</v>
      </c>
      <c r="AE29" s="84">
        <f t="shared" si="10"/>
        <v>39.221373283395678</v>
      </c>
      <c r="AL29" s="84">
        <f>F29*AD29</f>
        <v>0</v>
      </c>
      <c r="AM29" s="84">
        <f>F29*AE29</f>
        <v>0</v>
      </c>
      <c r="AN29" s="85" t="s">
        <v>559</v>
      </c>
      <c r="AO29" s="85" t="s">
        <v>560</v>
      </c>
      <c r="AP29" s="105" t="s">
        <v>339</v>
      </c>
      <c r="AR29" s="75" t="s">
        <v>726</v>
      </c>
      <c r="AS29" s="160">
        <v>0</v>
      </c>
      <c r="AU29" s="227"/>
    </row>
    <row r="30" spans="1:47">
      <c r="A30" s="6"/>
      <c r="B30" s="12"/>
      <c r="C30" s="12" t="s">
        <v>62</v>
      </c>
      <c r="D30" s="71" t="s">
        <v>205</v>
      </c>
      <c r="E30" s="72"/>
      <c r="F30" s="72"/>
      <c r="G30" s="72"/>
      <c r="H30" s="27">
        <f>SUM(H31:H60)</f>
        <v>0</v>
      </c>
      <c r="I30" s="27">
        <f>SUM(I31:I60)</f>
        <v>0</v>
      </c>
      <c r="J30" s="27">
        <f>H30+I30</f>
        <v>0</v>
      </c>
      <c r="K30" s="139"/>
      <c r="L30" s="27">
        <f>SUM(L31:L60)</f>
        <v>32.825211749999994</v>
      </c>
      <c r="O30" s="27">
        <f>IF(P30="PR",J30,SUM(N31:N60))</f>
        <v>0</v>
      </c>
      <c r="P30" s="19" t="s">
        <v>305</v>
      </c>
      <c r="Q30" s="27">
        <f>IF(P30="HS",H30,0)</f>
        <v>0</v>
      </c>
      <c r="R30" s="27">
        <f>IF(P30="HS",I30-O30,0)</f>
        <v>0</v>
      </c>
      <c r="S30" s="27">
        <f>IF(P30="PS",H30,0)</f>
        <v>0</v>
      </c>
      <c r="T30" s="27">
        <f>IF(P30="PS",I30-O30,0)</f>
        <v>0</v>
      </c>
      <c r="U30" s="27">
        <f>IF(P30="MP",H30,0)</f>
        <v>0</v>
      </c>
      <c r="V30" s="27">
        <f>IF(P30="MP",I30-O30,0)</f>
        <v>0</v>
      </c>
      <c r="W30" s="27">
        <f>IF(P30="OM",H30,0)</f>
        <v>0</v>
      </c>
      <c r="X30" s="19"/>
      <c r="Y30" s="81"/>
      <c r="Z30" s="81"/>
      <c r="AA30" s="81"/>
      <c r="AD30" s="84"/>
      <c r="AE30" s="84"/>
      <c r="AH30" s="27">
        <f>SUM(Y31:Y60)</f>
        <v>0</v>
      </c>
      <c r="AI30" s="27">
        <f>SUM(Z31:Z60)</f>
        <v>0</v>
      </c>
      <c r="AJ30" s="27">
        <f>SUM(AA31:AA60)</f>
        <v>0</v>
      </c>
      <c r="AS30" s="162"/>
    </row>
    <row r="31" spans="1:47" s="109" customFormat="1" hidden="1">
      <c r="A31" s="4" t="s">
        <v>22</v>
      </c>
      <c r="B31" s="60"/>
      <c r="C31" s="4" t="s">
        <v>541</v>
      </c>
      <c r="D31" s="4" t="s">
        <v>940</v>
      </c>
      <c r="E31" s="60" t="s">
        <v>284</v>
      </c>
      <c r="F31" s="61">
        <v>0</v>
      </c>
      <c r="G31" s="14">
        <v>75.2</v>
      </c>
      <c r="H31" s="61">
        <f t="shared" ref="H31:H53" si="12">F31*AD31</f>
        <v>0</v>
      </c>
      <c r="I31" s="61">
        <f t="shared" ref="I31:I44" si="13">J31-H31</f>
        <v>0</v>
      </c>
      <c r="J31" s="61">
        <f t="shared" ref="J31:J60" si="14">F31*G31</f>
        <v>0</v>
      </c>
      <c r="K31" s="140">
        <f>K36/20</f>
        <v>3.9550000000000002E-4</v>
      </c>
      <c r="L31" s="61">
        <f t="shared" ref="L31:L53" si="15">F31*K31</f>
        <v>0</v>
      </c>
      <c r="M31" s="62" t="s">
        <v>6</v>
      </c>
      <c r="N31" s="61">
        <f t="shared" ref="N31:N60" si="16">IF(M31="5",I31,0)</f>
        <v>0</v>
      </c>
      <c r="Y31" s="81">
        <f t="shared" ref="Y31:Y60" si="17">IF(AC31=0,J31,0)</f>
        <v>0</v>
      </c>
      <c r="Z31" s="81">
        <f t="shared" ref="Z31:Z60" si="18">IF(AC31=15,J31,0)</f>
        <v>0</v>
      </c>
      <c r="AA31" s="81">
        <f t="shared" ref="AA31:AA60" si="19">IF(AC31=21,J31,0)</f>
        <v>0</v>
      </c>
      <c r="AC31" s="64">
        <v>15</v>
      </c>
      <c r="AD31" s="84">
        <f t="shared" si="9"/>
        <v>61.019965043695414</v>
      </c>
      <c r="AE31" s="84">
        <f t="shared" si="10"/>
        <v>14.180034956304592</v>
      </c>
      <c r="AL31" s="64">
        <f t="shared" ref="AL31:AL60" si="20">F31*AD31</f>
        <v>0</v>
      </c>
      <c r="AM31" s="64">
        <f t="shared" ref="AM31:AM60" si="21">F31*AE31</f>
        <v>0</v>
      </c>
      <c r="AN31" s="65" t="s">
        <v>316</v>
      </c>
      <c r="AO31" s="65" t="s">
        <v>333</v>
      </c>
      <c r="AP31" s="110" t="s">
        <v>339</v>
      </c>
      <c r="AR31" s="75" t="s">
        <v>726</v>
      </c>
      <c r="AS31" s="160">
        <f>AS36/20</f>
        <v>3.9550000000000002E-4</v>
      </c>
      <c r="AU31" s="230"/>
    </row>
    <row r="32" spans="1:47" s="109" customFormat="1" hidden="1">
      <c r="A32" s="4" t="s">
        <v>23</v>
      </c>
      <c r="B32" s="60"/>
      <c r="C32" s="4" t="s">
        <v>542</v>
      </c>
      <c r="D32" s="4" t="s">
        <v>942</v>
      </c>
      <c r="E32" s="60" t="s">
        <v>284</v>
      </c>
      <c r="F32" s="61">
        <v>0</v>
      </c>
      <c r="G32" s="14">
        <v>118.7</v>
      </c>
      <c r="H32" s="61">
        <f t="shared" si="12"/>
        <v>0</v>
      </c>
      <c r="I32" s="61">
        <f t="shared" si="13"/>
        <v>0</v>
      </c>
      <c r="J32" s="61">
        <f t="shared" si="14"/>
        <v>0</v>
      </c>
      <c r="K32" s="140">
        <f>K31*2</f>
        <v>7.9100000000000004E-4</v>
      </c>
      <c r="L32" s="61">
        <f t="shared" si="15"/>
        <v>0</v>
      </c>
      <c r="M32" s="62" t="s">
        <v>6</v>
      </c>
      <c r="N32" s="61">
        <f t="shared" si="16"/>
        <v>0</v>
      </c>
      <c r="Y32" s="81">
        <f t="shared" si="17"/>
        <v>0</v>
      </c>
      <c r="Z32" s="81">
        <f t="shared" si="18"/>
        <v>0</v>
      </c>
      <c r="AA32" s="81">
        <f t="shared" si="19"/>
        <v>0</v>
      </c>
      <c r="AC32" s="64">
        <v>15</v>
      </c>
      <c r="AD32" s="84">
        <f t="shared" si="9"/>
        <v>96.317418227216024</v>
      </c>
      <c r="AE32" s="84">
        <f t="shared" si="10"/>
        <v>22.382581772783976</v>
      </c>
      <c r="AL32" s="64">
        <f t="shared" si="20"/>
        <v>0</v>
      </c>
      <c r="AM32" s="64">
        <f t="shared" si="21"/>
        <v>0</v>
      </c>
      <c r="AN32" s="65" t="s">
        <v>316</v>
      </c>
      <c r="AO32" s="65" t="s">
        <v>333</v>
      </c>
      <c r="AP32" s="110" t="s">
        <v>339</v>
      </c>
      <c r="AR32" s="75" t="s">
        <v>726</v>
      </c>
      <c r="AS32" s="160">
        <f>AS31*2</f>
        <v>7.9100000000000004E-4</v>
      </c>
      <c r="AU32" s="230"/>
    </row>
    <row r="33" spans="1:47" s="109" customFormat="1" hidden="1">
      <c r="A33" s="4" t="s">
        <v>24</v>
      </c>
      <c r="B33" s="60"/>
      <c r="C33" s="4" t="s">
        <v>543</v>
      </c>
      <c r="D33" s="118" t="s">
        <v>943</v>
      </c>
      <c r="E33" s="60" t="s">
        <v>284</v>
      </c>
      <c r="F33" s="14">
        <v>0</v>
      </c>
      <c r="G33" s="14">
        <v>91.4</v>
      </c>
      <c r="H33" s="61">
        <f t="shared" si="12"/>
        <v>0</v>
      </c>
      <c r="I33" s="61">
        <f t="shared" si="13"/>
        <v>0</v>
      </c>
      <c r="J33" s="61">
        <f t="shared" si="14"/>
        <v>0</v>
      </c>
      <c r="K33" s="140">
        <f>K32*6</f>
        <v>4.7460000000000002E-3</v>
      </c>
      <c r="L33" s="61">
        <f t="shared" si="15"/>
        <v>0</v>
      </c>
      <c r="M33" s="62" t="s">
        <v>6</v>
      </c>
      <c r="N33" s="61">
        <f t="shared" si="16"/>
        <v>0</v>
      </c>
      <c r="Y33" s="81">
        <f t="shared" si="17"/>
        <v>0</v>
      </c>
      <c r="Z33" s="81">
        <f t="shared" si="18"/>
        <v>0</v>
      </c>
      <c r="AA33" s="81">
        <f t="shared" si="19"/>
        <v>0</v>
      </c>
      <c r="AC33" s="64">
        <v>15</v>
      </c>
      <c r="AD33" s="84">
        <f t="shared" si="9"/>
        <v>74.165223470661715</v>
      </c>
      <c r="AE33" s="84">
        <f t="shared" si="10"/>
        <v>17.234776529338294</v>
      </c>
      <c r="AL33" s="64">
        <f t="shared" si="20"/>
        <v>0</v>
      </c>
      <c r="AM33" s="64">
        <f t="shared" si="21"/>
        <v>0</v>
      </c>
      <c r="AN33" s="65" t="s">
        <v>316</v>
      </c>
      <c r="AO33" s="65" t="s">
        <v>333</v>
      </c>
      <c r="AP33" s="110" t="s">
        <v>339</v>
      </c>
      <c r="AR33" s="75" t="s">
        <v>726</v>
      </c>
      <c r="AS33" s="160">
        <f>AS32*6</f>
        <v>4.7460000000000002E-3</v>
      </c>
      <c r="AU33" s="230"/>
    </row>
    <row r="34" spans="1:47">
      <c r="A34" s="4" t="s">
        <v>25</v>
      </c>
      <c r="B34" s="4"/>
      <c r="C34" s="4" t="s">
        <v>482</v>
      </c>
      <c r="D34" s="118" t="s">
        <v>944</v>
      </c>
      <c r="E34" s="4" t="s">
        <v>284</v>
      </c>
      <c r="F34" s="14">
        <f>(Výměry!D60)*('BD-PODLAŽÍ'!F263+'BD-PODLAŽÍ'!G263+'BD-PODLAŽÍ'!H263+'BD-PODLAŽÍ'!I263)</f>
        <v>462.2346</v>
      </c>
      <c r="G34" s="151"/>
      <c r="H34" s="14">
        <f t="shared" si="12"/>
        <v>0</v>
      </c>
      <c r="I34" s="14">
        <f t="shared" si="13"/>
        <v>0</v>
      </c>
      <c r="J34" s="61">
        <f t="shared" si="14"/>
        <v>0</v>
      </c>
      <c r="K34" s="141">
        <f>K31*10</f>
        <v>3.9550000000000002E-3</v>
      </c>
      <c r="L34" s="14">
        <f t="shared" si="15"/>
        <v>1.8281378430000002</v>
      </c>
      <c r="M34" s="20" t="s">
        <v>6</v>
      </c>
      <c r="N34" s="14">
        <f t="shared" si="16"/>
        <v>0</v>
      </c>
      <c r="Y34" s="81">
        <f t="shared" si="17"/>
        <v>0</v>
      </c>
      <c r="Z34" s="81">
        <f t="shared" si="18"/>
        <v>0</v>
      </c>
      <c r="AA34" s="81">
        <f t="shared" si="19"/>
        <v>0</v>
      </c>
      <c r="AC34" s="24">
        <v>15</v>
      </c>
      <c r="AD34" s="84">
        <f t="shared" si="9"/>
        <v>0</v>
      </c>
      <c r="AE34" s="84">
        <f t="shared" si="10"/>
        <v>0</v>
      </c>
      <c r="AL34" s="24">
        <f t="shared" si="20"/>
        <v>0</v>
      </c>
      <c r="AM34" s="24">
        <f t="shared" si="21"/>
        <v>0</v>
      </c>
      <c r="AN34" s="25" t="s">
        <v>316</v>
      </c>
      <c r="AO34" s="25" t="s">
        <v>333</v>
      </c>
      <c r="AP34" s="19" t="s">
        <v>339</v>
      </c>
      <c r="AR34" s="75" t="s">
        <v>726</v>
      </c>
      <c r="AS34" s="163">
        <f>AS31*10</f>
        <v>3.9550000000000002E-3</v>
      </c>
    </row>
    <row r="35" spans="1:47" hidden="1">
      <c r="A35" s="4" t="s">
        <v>26</v>
      </c>
      <c r="B35" s="93"/>
      <c r="C35" s="93" t="s">
        <v>719</v>
      </c>
      <c r="D35" s="4" t="s">
        <v>945</v>
      </c>
      <c r="E35" s="4" t="s">
        <v>284</v>
      </c>
      <c r="F35" s="14">
        <v>0</v>
      </c>
      <c r="G35" s="14"/>
      <c r="H35" s="14">
        <f t="shared" si="12"/>
        <v>0</v>
      </c>
      <c r="I35" s="14">
        <f>J35-H35</f>
        <v>0</v>
      </c>
      <c r="J35" s="61">
        <f t="shared" si="14"/>
        <v>0</v>
      </c>
      <c r="K35" s="136">
        <v>7.9100000000000004E-3</v>
      </c>
      <c r="L35" s="14">
        <f t="shared" si="15"/>
        <v>0</v>
      </c>
      <c r="M35" s="20" t="s">
        <v>6</v>
      </c>
      <c r="N35" s="14">
        <f t="shared" si="16"/>
        <v>0</v>
      </c>
      <c r="Y35" s="81">
        <f t="shared" si="17"/>
        <v>0</v>
      </c>
      <c r="Z35" s="81">
        <f t="shared" si="18"/>
        <v>0</v>
      </c>
      <c r="AA35" s="81">
        <f t="shared" si="19"/>
        <v>0</v>
      </c>
      <c r="AC35" s="24">
        <v>15</v>
      </c>
      <c r="AD35" s="84">
        <f t="shared" si="9"/>
        <v>0</v>
      </c>
      <c r="AE35" s="84">
        <f t="shared" si="10"/>
        <v>0</v>
      </c>
      <c r="AL35" s="24">
        <f t="shared" si="20"/>
        <v>0</v>
      </c>
      <c r="AM35" s="24">
        <f t="shared" si="21"/>
        <v>0</v>
      </c>
      <c r="AN35" s="25" t="s">
        <v>316</v>
      </c>
      <c r="AO35" s="25" t="s">
        <v>333</v>
      </c>
      <c r="AP35" s="19" t="s">
        <v>339</v>
      </c>
      <c r="AR35" t="s">
        <v>727</v>
      </c>
      <c r="AS35" s="160">
        <v>7.9100000000000004E-3</v>
      </c>
    </row>
    <row r="36" spans="1:47" s="75" customFormat="1">
      <c r="A36" s="4" t="s">
        <v>27</v>
      </c>
      <c r="B36" s="4"/>
      <c r="C36" s="4" t="s">
        <v>112</v>
      </c>
      <c r="D36" s="4" t="s">
        <v>946</v>
      </c>
      <c r="E36" s="4" t="s">
        <v>284</v>
      </c>
      <c r="F36" s="14">
        <f>(Výměry!U60*1.75)*('BD-PODLAŽÍ'!F263+'BD-PODLAŽÍ'!G263+'BD-PODLAŽÍ'!H263+'BD-PODLAŽÍ'!I263)</f>
        <v>84.1995</v>
      </c>
      <c r="G36" s="14"/>
      <c r="H36" s="14">
        <f t="shared" si="12"/>
        <v>0</v>
      </c>
      <c r="I36" s="14">
        <f t="shared" si="13"/>
        <v>0</v>
      </c>
      <c r="J36" s="61">
        <f t="shared" si="14"/>
        <v>0</v>
      </c>
      <c r="K36" s="136">
        <v>7.9100000000000004E-3</v>
      </c>
      <c r="L36" s="14">
        <f t="shared" si="15"/>
        <v>0.66601804500000006</v>
      </c>
      <c r="M36" s="20" t="s">
        <v>6</v>
      </c>
      <c r="N36" s="14">
        <f t="shared" si="16"/>
        <v>0</v>
      </c>
      <c r="Y36" s="81">
        <f t="shared" si="17"/>
        <v>0</v>
      </c>
      <c r="Z36" s="81">
        <f t="shared" si="18"/>
        <v>0</v>
      </c>
      <c r="AA36" s="81">
        <f t="shared" si="19"/>
        <v>0</v>
      </c>
      <c r="AC36" s="24">
        <v>15</v>
      </c>
      <c r="AD36" s="84">
        <f t="shared" si="9"/>
        <v>0</v>
      </c>
      <c r="AE36" s="84">
        <f t="shared" si="10"/>
        <v>0</v>
      </c>
      <c r="AL36" s="24">
        <f t="shared" si="20"/>
        <v>0</v>
      </c>
      <c r="AM36" s="24">
        <f t="shared" si="21"/>
        <v>0</v>
      </c>
      <c r="AN36" s="25" t="s">
        <v>316</v>
      </c>
      <c r="AO36" s="25" t="s">
        <v>333</v>
      </c>
      <c r="AP36" s="76" t="s">
        <v>339</v>
      </c>
      <c r="AR36" s="75" t="s">
        <v>728</v>
      </c>
      <c r="AS36" s="160">
        <v>7.9100000000000004E-3</v>
      </c>
      <c r="AU36" s="229"/>
    </row>
    <row r="37" spans="1:47">
      <c r="A37" s="4" t="s">
        <v>28</v>
      </c>
      <c r="B37" s="4"/>
      <c r="C37" s="124" t="s">
        <v>162</v>
      </c>
      <c r="D37" s="4" t="s">
        <v>737</v>
      </c>
      <c r="E37" s="4" t="s">
        <v>284</v>
      </c>
      <c r="F37" s="14">
        <f>F31*0.1+F32*0.5+F33*0.75+F34*1+F35+F36+F60+F38+F39+F43+F44+F45</f>
        <v>1475.6296499999999</v>
      </c>
      <c r="G37" s="14"/>
      <c r="H37" s="14">
        <f t="shared" si="12"/>
        <v>0</v>
      </c>
      <c r="I37" s="14">
        <f t="shared" si="13"/>
        <v>0</v>
      </c>
      <c r="J37" s="61">
        <f t="shared" si="14"/>
        <v>0</v>
      </c>
      <c r="K37" s="136">
        <v>2.1000000000000001E-4</v>
      </c>
      <c r="L37" s="14">
        <f t="shared" si="15"/>
        <v>0.30988222649999997</v>
      </c>
      <c r="M37" s="20" t="s">
        <v>6</v>
      </c>
      <c r="N37" s="14">
        <f t="shared" si="16"/>
        <v>0</v>
      </c>
      <c r="Y37" s="81">
        <f t="shared" si="17"/>
        <v>0</v>
      </c>
      <c r="Z37" s="81">
        <f t="shared" si="18"/>
        <v>0</v>
      </c>
      <c r="AA37" s="81">
        <f t="shared" si="19"/>
        <v>0</v>
      </c>
      <c r="AC37" s="24">
        <v>15</v>
      </c>
      <c r="AD37" s="84">
        <f t="shared" si="9"/>
        <v>0</v>
      </c>
      <c r="AE37" s="84">
        <f t="shared" si="10"/>
        <v>0</v>
      </c>
      <c r="AL37" s="24">
        <f t="shared" si="20"/>
        <v>0</v>
      </c>
      <c r="AM37" s="24">
        <f t="shared" si="21"/>
        <v>0</v>
      </c>
      <c r="AN37" s="25" t="s">
        <v>325</v>
      </c>
      <c r="AO37" s="25" t="s">
        <v>337</v>
      </c>
      <c r="AP37" s="19" t="s">
        <v>339</v>
      </c>
      <c r="AR37" t="s">
        <v>726</v>
      </c>
      <c r="AS37" s="160">
        <v>2.1000000000000001E-4</v>
      </c>
      <c r="AU37" s="226" t="s">
        <v>961</v>
      </c>
    </row>
    <row r="38" spans="1:47" s="115" customFormat="1" hidden="1">
      <c r="A38" s="4" t="s">
        <v>29</v>
      </c>
      <c r="B38" s="93"/>
      <c r="C38" s="93" t="s">
        <v>687</v>
      </c>
      <c r="D38" s="93" t="s">
        <v>688</v>
      </c>
      <c r="E38" s="93" t="s">
        <v>284</v>
      </c>
      <c r="F38" s="94">
        <v>0</v>
      </c>
      <c r="G38" s="14"/>
      <c r="H38" s="94">
        <f t="shared" si="12"/>
        <v>0</v>
      </c>
      <c r="I38" s="94">
        <f t="shared" si="13"/>
        <v>0</v>
      </c>
      <c r="J38" s="61">
        <f t="shared" si="14"/>
        <v>0</v>
      </c>
      <c r="K38" s="142">
        <v>3.3899999999999998E-3</v>
      </c>
      <c r="L38" s="94">
        <f t="shared" si="15"/>
        <v>0</v>
      </c>
      <c r="M38" s="95" t="s">
        <v>6</v>
      </c>
      <c r="N38" s="94">
        <f t="shared" si="16"/>
        <v>0</v>
      </c>
      <c r="Y38" s="81">
        <f t="shared" si="17"/>
        <v>0</v>
      </c>
      <c r="Z38" s="81">
        <f t="shared" si="18"/>
        <v>0</v>
      </c>
      <c r="AA38" s="81">
        <f t="shared" si="19"/>
        <v>0</v>
      </c>
      <c r="AC38" s="97">
        <v>15</v>
      </c>
      <c r="AD38" s="84">
        <f t="shared" si="9"/>
        <v>0</v>
      </c>
      <c r="AE38" s="84">
        <f t="shared" si="10"/>
        <v>0</v>
      </c>
      <c r="AL38" s="97">
        <f t="shared" si="20"/>
        <v>0</v>
      </c>
      <c r="AM38" s="97">
        <f t="shared" si="21"/>
        <v>0</v>
      </c>
      <c r="AN38" s="98" t="s">
        <v>333</v>
      </c>
      <c r="AO38" s="98" t="s">
        <v>333</v>
      </c>
      <c r="AP38" s="116" t="s">
        <v>339</v>
      </c>
      <c r="AS38" s="160">
        <v>3.3899999999999998E-3</v>
      </c>
      <c r="AU38" s="231"/>
    </row>
    <row r="39" spans="1:47" s="115" customFormat="1" hidden="1">
      <c r="A39" s="4" t="s">
        <v>30</v>
      </c>
      <c r="B39" s="93"/>
      <c r="C39" s="93" t="s">
        <v>689</v>
      </c>
      <c r="D39" s="4" t="s">
        <v>738</v>
      </c>
      <c r="E39" s="93" t="s">
        <v>284</v>
      </c>
      <c r="F39" s="94">
        <v>0</v>
      </c>
      <c r="G39" s="14"/>
      <c r="H39" s="94">
        <f t="shared" si="12"/>
        <v>0</v>
      </c>
      <c r="I39" s="94">
        <f t="shared" si="13"/>
        <v>0</v>
      </c>
      <c r="J39" s="61">
        <f t="shared" si="14"/>
        <v>0</v>
      </c>
      <c r="K39" s="142">
        <v>2.7299999999999998E-3</v>
      </c>
      <c r="L39" s="94">
        <f t="shared" si="15"/>
        <v>0</v>
      </c>
      <c r="M39" s="95" t="s">
        <v>6</v>
      </c>
      <c r="N39" s="94">
        <f t="shared" si="16"/>
        <v>0</v>
      </c>
      <c r="Y39" s="81">
        <f t="shared" si="17"/>
        <v>0</v>
      </c>
      <c r="Z39" s="81">
        <f t="shared" si="18"/>
        <v>0</v>
      </c>
      <c r="AA39" s="81">
        <f t="shared" si="19"/>
        <v>0</v>
      </c>
      <c r="AC39" s="97">
        <v>15</v>
      </c>
      <c r="AD39" s="84">
        <f t="shared" si="9"/>
        <v>0</v>
      </c>
      <c r="AE39" s="84">
        <f t="shared" si="10"/>
        <v>0</v>
      </c>
      <c r="AL39" s="97">
        <f t="shared" si="20"/>
        <v>0</v>
      </c>
      <c r="AM39" s="97">
        <f t="shared" si="21"/>
        <v>0</v>
      </c>
      <c r="AN39" s="98" t="s">
        <v>333</v>
      </c>
      <c r="AO39" s="98" t="s">
        <v>333</v>
      </c>
      <c r="AP39" s="116" t="s">
        <v>339</v>
      </c>
      <c r="AS39" s="160">
        <v>2.7299999999999998E-3</v>
      </c>
      <c r="AU39" s="231"/>
    </row>
    <row r="40" spans="1:47" hidden="1">
      <c r="A40" s="4" t="s">
        <v>31</v>
      </c>
      <c r="B40" s="4"/>
      <c r="C40" s="4" t="s">
        <v>795</v>
      </c>
      <c r="D40" s="4" t="s">
        <v>796</v>
      </c>
      <c r="E40" s="4" t="s">
        <v>284</v>
      </c>
      <c r="F40" s="14">
        <v>0</v>
      </c>
      <c r="G40" s="14"/>
      <c r="H40" s="14">
        <f t="shared" si="12"/>
        <v>0</v>
      </c>
      <c r="I40" s="14">
        <f>J40-H40</f>
        <v>0</v>
      </c>
      <c r="J40" s="61">
        <f t="shared" si="14"/>
        <v>0</v>
      </c>
      <c r="K40" s="136">
        <v>1.6000000000000001E-4</v>
      </c>
      <c r="L40" s="14">
        <f t="shared" si="15"/>
        <v>0</v>
      </c>
      <c r="M40" s="20" t="s">
        <v>6</v>
      </c>
      <c r="N40" s="14">
        <f t="shared" si="16"/>
        <v>0</v>
      </c>
      <c r="Y40" s="81">
        <f t="shared" si="17"/>
        <v>0</v>
      </c>
      <c r="Z40" s="81">
        <f t="shared" si="18"/>
        <v>0</v>
      </c>
      <c r="AA40" s="81">
        <f t="shared" si="19"/>
        <v>0</v>
      </c>
      <c r="AC40" s="24">
        <v>15</v>
      </c>
      <c r="AD40" s="84">
        <f t="shared" si="9"/>
        <v>0</v>
      </c>
      <c r="AE40" s="84">
        <f t="shared" si="10"/>
        <v>0</v>
      </c>
      <c r="AL40" s="24">
        <f t="shared" si="20"/>
        <v>0</v>
      </c>
      <c r="AM40" s="24">
        <f t="shared" si="21"/>
        <v>0</v>
      </c>
      <c r="AN40" s="25" t="s">
        <v>333</v>
      </c>
      <c r="AO40" s="25" t="s">
        <v>333</v>
      </c>
      <c r="AP40" s="19" t="s">
        <v>339</v>
      </c>
      <c r="AS40" s="160">
        <v>1.6000000000000001E-4</v>
      </c>
      <c r="AU40" s="226" t="s">
        <v>962</v>
      </c>
    </row>
    <row r="41" spans="1:47" hidden="1">
      <c r="A41" s="4" t="s">
        <v>32</v>
      </c>
      <c r="B41" s="4"/>
      <c r="C41" s="4" t="s">
        <v>797</v>
      </c>
      <c r="D41" s="4" t="s">
        <v>798</v>
      </c>
      <c r="E41" s="4" t="s">
        <v>284</v>
      </c>
      <c r="F41" s="14">
        <v>0</v>
      </c>
      <c r="G41" s="14"/>
      <c r="H41" s="14">
        <f t="shared" si="12"/>
        <v>0</v>
      </c>
      <c r="I41" s="14">
        <f>J41-H41</f>
        <v>0</v>
      </c>
      <c r="J41" s="61">
        <f t="shared" si="14"/>
        <v>0</v>
      </c>
      <c r="K41" s="136">
        <v>3.2000000000000003E-4</v>
      </c>
      <c r="L41" s="14">
        <f t="shared" si="15"/>
        <v>0</v>
      </c>
      <c r="M41" s="20" t="s">
        <v>6</v>
      </c>
      <c r="N41" s="14">
        <f t="shared" si="16"/>
        <v>0</v>
      </c>
      <c r="Y41" s="81">
        <f t="shared" si="17"/>
        <v>0</v>
      </c>
      <c r="Z41" s="81">
        <f t="shared" si="18"/>
        <v>0</v>
      </c>
      <c r="AA41" s="81">
        <f t="shared" si="19"/>
        <v>0</v>
      </c>
      <c r="AC41" s="24">
        <v>15</v>
      </c>
      <c r="AD41" s="84">
        <f t="shared" si="9"/>
        <v>0</v>
      </c>
      <c r="AE41" s="84">
        <f t="shared" si="10"/>
        <v>0</v>
      </c>
      <c r="AL41" s="24">
        <f t="shared" si="20"/>
        <v>0</v>
      </c>
      <c r="AM41" s="24">
        <f t="shared" si="21"/>
        <v>0</v>
      </c>
      <c r="AN41" s="25" t="s">
        <v>333</v>
      </c>
      <c r="AO41" s="25" t="s">
        <v>333</v>
      </c>
      <c r="AP41" s="19" t="s">
        <v>339</v>
      </c>
      <c r="AS41" s="160">
        <v>3.2000000000000003E-4</v>
      </c>
      <c r="AU41" s="226" t="s">
        <v>962</v>
      </c>
    </row>
    <row r="42" spans="1:47" hidden="1">
      <c r="A42" s="4" t="s">
        <v>33</v>
      </c>
      <c r="B42" s="4"/>
      <c r="C42" s="4" t="s">
        <v>799</v>
      </c>
      <c r="D42" s="4" t="s">
        <v>800</v>
      </c>
      <c r="E42" s="4" t="s">
        <v>284</v>
      </c>
      <c r="F42" s="14">
        <v>0</v>
      </c>
      <c r="G42" s="14"/>
      <c r="H42" s="14">
        <f t="shared" si="12"/>
        <v>0</v>
      </c>
      <c r="I42" s="14">
        <f>J42-H42</f>
        <v>0</v>
      </c>
      <c r="J42" s="61">
        <f t="shared" si="14"/>
        <v>0</v>
      </c>
      <c r="K42" s="136">
        <v>3.3E-4</v>
      </c>
      <c r="L42" s="14">
        <f t="shared" si="15"/>
        <v>0</v>
      </c>
      <c r="M42" s="20" t="s">
        <v>6</v>
      </c>
      <c r="N42" s="14">
        <f t="shared" si="16"/>
        <v>0</v>
      </c>
      <c r="Y42" s="81">
        <f t="shared" si="17"/>
        <v>0</v>
      </c>
      <c r="Z42" s="81">
        <f t="shared" si="18"/>
        <v>0</v>
      </c>
      <c r="AA42" s="81">
        <f t="shared" si="19"/>
        <v>0</v>
      </c>
      <c r="AC42" s="24">
        <v>15</v>
      </c>
      <c r="AD42" s="84">
        <f t="shared" si="9"/>
        <v>0</v>
      </c>
      <c r="AE42" s="84">
        <f t="shared" si="10"/>
        <v>0</v>
      </c>
      <c r="AL42" s="24">
        <f t="shared" si="20"/>
        <v>0</v>
      </c>
      <c r="AM42" s="24">
        <f t="shared" si="21"/>
        <v>0</v>
      </c>
      <c r="AN42" s="25" t="s">
        <v>333</v>
      </c>
      <c r="AO42" s="25" t="s">
        <v>333</v>
      </c>
      <c r="AP42" s="19" t="s">
        <v>339</v>
      </c>
      <c r="AS42" s="160">
        <v>3.3E-4</v>
      </c>
      <c r="AU42" s="226" t="s">
        <v>963</v>
      </c>
    </row>
    <row r="43" spans="1:47" s="96" customFormat="1">
      <c r="A43" s="4" t="s">
        <v>424</v>
      </c>
      <c r="B43" s="93"/>
      <c r="C43" s="93" t="s">
        <v>690</v>
      </c>
      <c r="D43" s="93" t="s">
        <v>691</v>
      </c>
      <c r="E43" s="93" t="s">
        <v>284</v>
      </c>
      <c r="F43" s="94">
        <f>(Výměry!U60*2.5)*('BD-PODLAŽÍ'!F263+'BD-PODLAŽÍ'!G263+'BD-PODLAŽÍ'!H263+'BD-PODLAŽÍ'!I263)</f>
        <v>120.28500000000003</v>
      </c>
      <c r="G43" s="14"/>
      <c r="H43" s="94">
        <f t="shared" si="12"/>
        <v>0</v>
      </c>
      <c r="I43" s="94">
        <f t="shared" si="13"/>
        <v>0</v>
      </c>
      <c r="J43" s="61">
        <f t="shared" si="14"/>
        <v>0</v>
      </c>
      <c r="K43" s="142">
        <v>4.1099999999999999E-3</v>
      </c>
      <c r="L43" s="94">
        <f t="shared" si="15"/>
        <v>0.4943713500000001</v>
      </c>
      <c r="M43" s="95" t="s">
        <v>6</v>
      </c>
      <c r="N43" s="94">
        <f t="shared" si="16"/>
        <v>0</v>
      </c>
      <c r="Y43" s="81">
        <f t="shared" si="17"/>
        <v>0</v>
      </c>
      <c r="Z43" s="81">
        <f t="shared" si="18"/>
        <v>0</v>
      </c>
      <c r="AA43" s="81">
        <f t="shared" si="19"/>
        <v>0</v>
      </c>
      <c r="AC43" s="97">
        <v>15</v>
      </c>
      <c r="AD43" s="84">
        <f t="shared" si="9"/>
        <v>0</v>
      </c>
      <c r="AE43" s="84">
        <f t="shared" si="10"/>
        <v>0</v>
      </c>
      <c r="AL43" s="97">
        <f t="shared" si="20"/>
        <v>0</v>
      </c>
      <c r="AM43" s="97">
        <f t="shared" si="21"/>
        <v>0</v>
      </c>
      <c r="AN43" s="98" t="s">
        <v>316</v>
      </c>
      <c r="AO43" s="98" t="s">
        <v>333</v>
      </c>
      <c r="AP43" s="99" t="s">
        <v>339</v>
      </c>
      <c r="AS43" s="160">
        <v>4.1099999999999999E-3</v>
      </c>
      <c r="AU43" s="232"/>
    </row>
    <row r="44" spans="1:47">
      <c r="A44" s="4" t="s">
        <v>34</v>
      </c>
      <c r="B44" s="4"/>
      <c r="C44" s="4" t="s">
        <v>109</v>
      </c>
      <c r="D44" s="4" t="s">
        <v>206</v>
      </c>
      <c r="E44" s="4" t="s">
        <v>284</v>
      </c>
      <c r="F44" s="49">
        <f>(Výměry!D60*1.75)*('BD-PODLAŽÍ'!F263+'BD-PODLAŽÍ'!G263+'BD-PODLAŽÍ'!H263+'BD-PODLAŽÍ'!I263)</f>
        <v>808.91054999999994</v>
      </c>
      <c r="G44" s="14"/>
      <c r="H44" s="14">
        <f t="shared" si="12"/>
        <v>0</v>
      </c>
      <c r="I44" s="14">
        <f t="shared" si="13"/>
        <v>0</v>
      </c>
      <c r="J44" s="61">
        <f t="shared" si="14"/>
        <v>0</v>
      </c>
      <c r="K44" s="136">
        <v>3.6099999999999999E-3</v>
      </c>
      <c r="L44" s="14">
        <f t="shared" si="15"/>
        <v>2.9201670854999997</v>
      </c>
      <c r="M44" s="20" t="s">
        <v>6</v>
      </c>
      <c r="N44" s="14">
        <f t="shared" si="16"/>
        <v>0</v>
      </c>
      <c r="Y44" s="81">
        <f t="shared" si="17"/>
        <v>0</v>
      </c>
      <c r="Z44" s="81">
        <f t="shared" si="18"/>
        <v>0</v>
      </c>
      <c r="AA44" s="81">
        <f t="shared" si="19"/>
        <v>0</v>
      </c>
      <c r="AC44" s="24">
        <v>15</v>
      </c>
      <c r="AD44" s="84">
        <f t="shared" si="9"/>
        <v>0</v>
      </c>
      <c r="AE44" s="84">
        <f t="shared" si="10"/>
        <v>0</v>
      </c>
      <c r="AL44" s="24">
        <f t="shared" si="20"/>
        <v>0</v>
      </c>
      <c r="AM44" s="24">
        <f t="shared" si="21"/>
        <v>0</v>
      </c>
      <c r="AN44" s="25" t="s">
        <v>316</v>
      </c>
      <c r="AO44" s="25" t="s">
        <v>333</v>
      </c>
      <c r="AP44" s="19" t="s">
        <v>339</v>
      </c>
      <c r="AR44" s="75" t="s">
        <v>728</v>
      </c>
      <c r="AS44" s="160">
        <v>3.6099999999999999E-3</v>
      </c>
    </row>
    <row r="45" spans="1:47" hidden="1">
      <c r="A45" s="4" t="s">
        <v>35</v>
      </c>
      <c r="B45" s="4"/>
      <c r="C45" s="4" t="s">
        <v>108</v>
      </c>
      <c r="D45" s="4" t="s">
        <v>964</v>
      </c>
      <c r="E45" s="4" t="s">
        <v>284</v>
      </c>
      <c r="F45" s="14">
        <v>0</v>
      </c>
      <c r="G45" s="14"/>
      <c r="H45" s="14">
        <f t="shared" si="12"/>
        <v>0</v>
      </c>
      <c r="I45" s="14">
        <f t="shared" ref="I45:I60" si="22">J45-H45</f>
        <v>0</v>
      </c>
      <c r="J45" s="61">
        <f t="shared" si="14"/>
        <v>0</v>
      </c>
      <c r="K45" s="136">
        <v>3.8289999999999998E-2</v>
      </c>
      <c r="L45" s="14">
        <f t="shared" si="15"/>
        <v>0</v>
      </c>
      <c r="M45" s="20" t="s">
        <v>6</v>
      </c>
      <c r="N45" s="14">
        <f t="shared" si="16"/>
        <v>0</v>
      </c>
      <c r="Y45" s="81">
        <f t="shared" si="17"/>
        <v>0</v>
      </c>
      <c r="Z45" s="81">
        <f t="shared" si="18"/>
        <v>0</v>
      </c>
      <c r="AA45" s="81">
        <f t="shared" si="19"/>
        <v>0</v>
      </c>
      <c r="AC45" s="24">
        <v>15</v>
      </c>
      <c r="AD45" s="84">
        <f t="shared" si="9"/>
        <v>0</v>
      </c>
      <c r="AE45" s="84">
        <f t="shared" si="10"/>
        <v>0</v>
      </c>
      <c r="AL45" s="24">
        <f t="shared" si="20"/>
        <v>0</v>
      </c>
      <c r="AM45" s="24">
        <f t="shared" si="21"/>
        <v>0</v>
      </c>
      <c r="AN45" s="25" t="s">
        <v>316</v>
      </c>
      <c r="AO45" s="25" t="s">
        <v>333</v>
      </c>
      <c r="AP45" s="19" t="s">
        <v>339</v>
      </c>
      <c r="AQ45" t="s">
        <v>442</v>
      </c>
      <c r="AR45" s="75" t="s">
        <v>728</v>
      </c>
      <c r="AS45" s="160">
        <v>3.8289999999999998E-2</v>
      </c>
    </row>
    <row r="46" spans="1:47" s="75" customFormat="1" hidden="1">
      <c r="A46" s="4" t="s">
        <v>36</v>
      </c>
      <c r="B46" s="4"/>
      <c r="C46" s="4" t="s">
        <v>386</v>
      </c>
      <c r="D46" s="4" t="s">
        <v>437</v>
      </c>
      <c r="E46" s="4" t="s">
        <v>286</v>
      </c>
      <c r="F46" s="111">
        <f>F279</f>
        <v>0</v>
      </c>
      <c r="G46" s="14"/>
      <c r="H46" s="14">
        <f t="shared" si="12"/>
        <v>0</v>
      </c>
      <c r="I46" s="14">
        <f t="shared" si="22"/>
        <v>0</v>
      </c>
      <c r="J46" s="61">
        <f t="shared" si="14"/>
        <v>0</v>
      </c>
      <c r="K46" s="136">
        <v>6.8000000000000005E-2</v>
      </c>
      <c r="L46" s="14">
        <f t="shared" si="15"/>
        <v>0</v>
      </c>
      <c r="M46" s="20" t="s">
        <v>6</v>
      </c>
      <c r="N46" s="14">
        <f t="shared" si="16"/>
        <v>0</v>
      </c>
      <c r="Y46" s="81">
        <f t="shared" si="17"/>
        <v>0</v>
      </c>
      <c r="Z46" s="81">
        <f t="shared" si="18"/>
        <v>0</v>
      </c>
      <c r="AA46" s="81">
        <f t="shared" si="19"/>
        <v>0</v>
      </c>
      <c r="AC46" s="24">
        <v>15</v>
      </c>
      <c r="AD46" s="84">
        <f t="shared" si="9"/>
        <v>0</v>
      </c>
      <c r="AE46" s="84">
        <f t="shared" si="10"/>
        <v>0</v>
      </c>
      <c r="AL46" s="24">
        <f t="shared" si="20"/>
        <v>0</v>
      </c>
      <c r="AM46" s="24">
        <f t="shared" si="21"/>
        <v>0</v>
      </c>
      <c r="AN46" s="25" t="s">
        <v>316</v>
      </c>
      <c r="AO46" s="25" t="s">
        <v>333</v>
      </c>
      <c r="AP46" s="76" t="s">
        <v>339</v>
      </c>
      <c r="AQ46" s="75" t="s">
        <v>438</v>
      </c>
      <c r="AR46" s="75" t="s">
        <v>726</v>
      </c>
      <c r="AS46" s="160">
        <v>6.8000000000000005E-2</v>
      </c>
      <c r="AU46" s="229"/>
    </row>
    <row r="47" spans="1:47" s="75" customFormat="1" hidden="1">
      <c r="A47" s="4" t="s">
        <v>37</v>
      </c>
      <c r="B47" s="4"/>
      <c r="C47" s="4" t="s">
        <v>474</v>
      </c>
      <c r="D47" s="4" t="s">
        <v>475</v>
      </c>
      <c r="E47" s="4" t="s">
        <v>286</v>
      </c>
      <c r="F47" s="241">
        <f>F280+F277</f>
        <v>0</v>
      </c>
      <c r="G47" s="14"/>
      <c r="H47" s="14">
        <f t="shared" si="12"/>
        <v>0</v>
      </c>
      <c r="I47" s="14">
        <f t="shared" si="22"/>
        <v>0</v>
      </c>
      <c r="J47" s="61">
        <f t="shared" si="14"/>
        <v>0</v>
      </c>
      <c r="K47" s="136">
        <v>1.56E-3</v>
      </c>
      <c r="L47" s="14">
        <f t="shared" si="15"/>
        <v>0</v>
      </c>
      <c r="M47" s="20" t="s">
        <v>6</v>
      </c>
      <c r="N47" s="14">
        <f t="shared" si="16"/>
        <v>0</v>
      </c>
      <c r="Y47" s="81">
        <f t="shared" si="17"/>
        <v>0</v>
      </c>
      <c r="Z47" s="81">
        <f t="shared" si="18"/>
        <v>0</v>
      </c>
      <c r="AA47" s="81">
        <f t="shared" si="19"/>
        <v>0</v>
      </c>
      <c r="AC47" s="24">
        <v>15</v>
      </c>
      <c r="AD47" s="84">
        <f t="shared" si="9"/>
        <v>0</v>
      </c>
      <c r="AE47" s="84">
        <f t="shared" si="10"/>
        <v>0</v>
      </c>
      <c r="AL47" s="24">
        <f t="shared" si="20"/>
        <v>0</v>
      </c>
      <c r="AM47" s="24">
        <f t="shared" si="21"/>
        <v>0</v>
      </c>
      <c r="AN47" s="25" t="s">
        <v>316</v>
      </c>
      <c r="AO47" s="25" t="s">
        <v>333</v>
      </c>
      <c r="AP47" s="76" t="s">
        <v>339</v>
      </c>
      <c r="AR47" s="75" t="s">
        <v>726</v>
      </c>
      <c r="AS47" s="160">
        <v>1.56E-3</v>
      </c>
      <c r="AU47" s="229"/>
    </row>
    <row r="48" spans="1:47">
      <c r="A48" s="4" t="s">
        <v>38</v>
      </c>
      <c r="B48" s="4"/>
      <c r="C48" s="4" t="s">
        <v>476</v>
      </c>
      <c r="D48" s="4" t="s">
        <v>947</v>
      </c>
      <c r="E48" s="4" t="s">
        <v>286</v>
      </c>
      <c r="F48" s="14">
        <f>(Výměry!G9*2*1.5)*('BD-PODLAŽÍ'!F263+'BD-PODLAŽÍ'!G263+'BD-PODLAŽÍ'!H263+'BD-PODLAŽÍ'!I263)</f>
        <v>1176.1199999999999</v>
      </c>
      <c r="G48" s="14"/>
      <c r="H48" s="14">
        <f t="shared" si="12"/>
        <v>0</v>
      </c>
      <c r="I48" s="14">
        <f t="shared" si="22"/>
        <v>0</v>
      </c>
      <c r="J48" s="61">
        <f t="shared" si="14"/>
        <v>0</v>
      </c>
      <c r="K48" s="136">
        <v>4.3299999999999996E-3</v>
      </c>
      <c r="L48" s="14">
        <f t="shared" si="15"/>
        <v>5.0925995999999989</v>
      </c>
      <c r="M48" s="20" t="s">
        <v>6</v>
      </c>
      <c r="N48" s="14">
        <f t="shared" si="16"/>
        <v>0</v>
      </c>
      <c r="Y48" s="81">
        <f t="shared" si="17"/>
        <v>0</v>
      </c>
      <c r="Z48" s="81">
        <f t="shared" si="18"/>
        <v>0</v>
      </c>
      <c r="AA48" s="81">
        <f t="shared" si="19"/>
        <v>0</v>
      </c>
      <c r="AC48" s="24">
        <v>15</v>
      </c>
      <c r="AD48" s="84">
        <f t="shared" si="9"/>
        <v>0</v>
      </c>
      <c r="AE48" s="84">
        <f t="shared" si="10"/>
        <v>0</v>
      </c>
      <c r="AL48" s="24">
        <f t="shared" si="20"/>
        <v>0</v>
      </c>
      <c r="AM48" s="24">
        <f t="shared" si="21"/>
        <v>0</v>
      </c>
      <c r="AN48" s="25" t="s">
        <v>316</v>
      </c>
      <c r="AO48" s="25" t="s">
        <v>333</v>
      </c>
      <c r="AP48" s="19" t="s">
        <v>339</v>
      </c>
      <c r="AR48" s="75" t="s">
        <v>726</v>
      </c>
      <c r="AS48" s="160">
        <v>4.3299999999999996E-3</v>
      </c>
    </row>
    <row r="49" spans="1:47">
      <c r="A49" s="4" t="s">
        <v>39</v>
      </c>
      <c r="B49" s="4"/>
      <c r="C49" s="4" t="s">
        <v>110</v>
      </c>
      <c r="D49" s="4" t="s">
        <v>948</v>
      </c>
      <c r="E49" s="4" t="s">
        <v>286</v>
      </c>
      <c r="F49" s="49">
        <f>(Výměry!G9*2*1.5)*('BD-PODLAŽÍ'!F263+'BD-PODLAŽÍ'!G263+'BD-PODLAŽÍ'!H263+'BD-PODLAŽÍ'!I263)</f>
        <v>1176.1199999999999</v>
      </c>
      <c r="G49" s="14"/>
      <c r="H49" s="14">
        <f t="shared" si="12"/>
        <v>0</v>
      </c>
      <c r="I49" s="14">
        <f t="shared" si="22"/>
        <v>0</v>
      </c>
      <c r="J49" s="61">
        <f t="shared" si="14"/>
        <v>0</v>
      </c>
      <c r="K49" s="136">
        <v>2.3800000000000002E-3</v>
      </c>
      <c r="L49" s="14">
        <f t="shared" si="15"/>
        <v>2.7991655999999998</v>
      </c>
      <c r="M49" s="20" t="s">
        <v>6</v>
      </c>
      <c r="N49" s="14">
        <f t="shared" si="16"/>
        <v>0</v>
      </c>
      <c r="Y49" s="81">
        <f t="shared" si="17"/>
        <v>0</v>
      </c>
      <c r="Z49" s="81">
        <f t="shared" si="18"/>
        <v>0</v>
      </c>
      <c r="AA49" s="81">
        <f t="shared" si="19"/>
        <v>0</v>
      </c>
      <c r="AC49" s="24">
        <v>15</v>
      </c>
      <c r="AD49" s="84">
        <f t="shared" si="9"/>
        <v>0</v>
      </c>
      <c r="AE49" s="84">
        <f t="shared" si="10"/>
        <v>0</v>
      </c>
      <c r="AL49" s="24">
        <f t="shared" si="20"/>
        <v>0</v>
      </c>
      <c r="AM49" s="24">
        <f t="shared" si="21"/>
        <v>0</v>
      </c>
      <c r="AN49" s="25" t="s">
        <v>316</v>
      </c>
      <c r="AO49" s="25" t="s">
        <v>333</v>
      </c>
      <c r="AP49" s="19" t="s">
        <v>339</v>
      </c>
      <c r="AR49" s="75" t="s">
        <v>726</v>
      </c>
      <c r="AS49" s="160">
        <v>2.3800000000000002E-3</v>
      </c>
    </row>
    <row r="50" spans="1:47" hidden="1">
      <c r="A50" s="4" t="s">
        <v>40</v>
      </c>
      <c r="B50" s="4"/>
      <c r="C50" s="4" t="s">
        <v>111</v>
      </c>
      <c r="D50" s="4" t="s">
        <v>949</v>
      </c>
      <c r="E50" s="4" t="s">
        <v>285</v>
      </c>
      <c r="F50" s="14">
        <v>0</v>
      </c>
      <c r="G50" s="14"/>
      <c r="H50" s="14">
        <f t="shared" si="12"/>
        <v>0</v>
      </c>
      <c r="I50" s="14">
        <f t="shared" si="22"/>
        <v>0</v>
      </c>
      <c r="J50" s="61">
        <f t="shared" si="14"/>
        <v>0</v>
      </c>
      <c r="K50" s="136">
        <v>6.8500000000000002E-3</v>
      </c>
      <c r="L50" s="14">
        <f t="shared" si="15"/>
        <v>0</v>
      </c>
      <c r="M50" s="20" t="s">
        <v>6</v>
      </c>
      <c r="N50" s="14">
        <f t="shared" si="16"/>
        <v>0</v>
      </c>
      <c r="Y50" s="81">
        <f t="shared" si="17"/>
        <v>0</v>
      </c>
      <c r="Z50" s="81">
        <f t="shared" si="18"/>
        <v>0</v>
      </c>
      <c r="AA50" s="81">
        <f t="shared" si="19"/>
        <v>0</v>
      </c>
      <c r="AC50" s="24">
        <v>15</v>
      </c>
      <c r="AD50" s="84">
        <f t="shared" si="9"/>
        <v>0</v>
      </c>
      <c r="AE50" s="84">
        <f t="shared" si="10"/>
        <v>0</v>
      </c>
      <c r="AL50" s="24">
        <f t="shared" si="20"/>
        <v>0</v>
      </c>
      <c r="AM50" s="24">
        <f t="shared" si="21"/>
        <v>0</v>
      </c>
      <c r="AN50" s="25" t="s">
        <v>316</v>
      </c>
      <c r="AO50" s="25" t="s">
        <v>333</v>
      </c>
      <c r="AP50" s="19" t="s">
        <v>339</v>
      </c>
      <c r="AR50" s="75" t="s">
        <v>726</v>
      </c>
      <c r="AS50" s="160">
        <v>6.8500000000000002E-3</v>
      </c>
    </row>
    <row r="51" spans="1:47">
      <c r="A51" s="4" t="s">
        <v>41</v>
      </c>
      <c r="B51" s="4"/>
      <c r="C51" s="4" t="s">
        <v>417</v>
      </c>
      <c r="D51" s="4" t="s">
        <v>418</v>
      </c>
      <c r="E51" s="4" t="s">
        <v>285</v>
      </c>
      <c r="F51" s="14">
        <f>6*('BD-PODLAŽÍ'!F263+'BD-PODLAŽÍ'!G263+'BD-PODLAŽÍ'!H263+'BD-PODLAŽÍ'!I263)</f>
        <v>486</v>
      </c>
      <c r="G51" s="14"/>
      <c r="H51" s="14">
        <f t="shared" si="12"/>
        <v>0</v>
      </c>
      <c r="I51" s="14">
        <f t="shared" si="22"/>
        <v>0</v>
      </c>
      <c r="J51" s="61">
        <f t="shared" si="14"/>
        <v>0</v>
      </c>
      <c r="K51" s="136">
        <v>3.2000000000000002E-3</v>
      </c>
      <c r="L51" s="14">
        <f t="shared" si="15"/>
        <v>1.5552000000000001</v>
      </c>
      <c r="M51" s="20" t="s">
        <v>6</v>
      </c>
      <c r="N51" s="14">
        <f t="shared" si="16"/>
        <v>0</v>
      </c>
      <c r="Y51" s="81">
        <f t="shared" si="17"/>
        <v>0</v>
      </c>
      <c r="Z51" s="81">
        <f t="shared" si="18"/>
        <v>0</v>
      </c>
      <c r="AA51" s="81">
        <f t="shared" si="19"/>
        <v>0</v>
      </c>
      <c r="AC51" s="24">
        <v>15</v>
      </c>
      <c r="AD51" s="84">
        <f t="shared" si="9"/>
        <v>0</v>
      </c>
      <c r="AE51" s="84">
        <f t="shared" si="10"/>
        <v>0</v>
      </c>
      <c r="AL51" s="24">
        <f t="shared" si="20"/>
        <v>0</v>
      </c>
      <c r="AM51" s="24">
        <f t="shared" si="21"/>
        <v>0</v>
      </c>
      <c r="AN51" s="25" t="s">
        <v>316</v>
      </c>
      <c r="AO51" s="25" t="s">
        <v>333</v>
      </c>
      <c r="AP51" s="19" t="s">
        <v>339</v>
      </c>
      <c r="AQ51" t="s">
        <v>443</v>
      </c>
      <c r="AR51" s="75" t="s">
        <v>726</v>
      </c>
      <c r="AS51" s="160">
        <v>3.2000000000000002E-3</v>
      </c>
    </row>
    <row r="52" spans="1:47">
      <c r="A52" s="4" t="s">
        <v>42</v>
      </c>
      <c r="B52" s="4"/>
      <c r="C52" s="4" t="s">
        <v>387</v>
      </c>
      <c r="D52" s="4" t="s">
        <v>388</v>
      </c>
      <c r="E52" s="4" t="s">
        <v>284</v>
      </c>
      <c r="F52" s="14">
        <f>(((1.2*2.5)+(1.2*2.5))*2.5)*('BD-PODLAŽÍ'!F263+'BD-PODLAŽÍ'!G263+'BD-PODLAŽÍ'!H263+'BD-PODLAŽÍ'!I263)</f>
        <v>1215</v>
      </c>
      <c r="G52" s="14"/>
      <c r="H52" s="14">
        <f t="shared" si="12"/>
        <v>0</v>
      </c>
      <c r="I52" s="14">
        <f t="shared" si="22"/>
        <v>0</v>
      </c>
      <c r="J52" s="61">
        <f t="shared" si="14"/>
        <v>0</v>
      </c>
      <c r="K52" s="136">
        <v>4.0000000000000002E-4</v>
      </c>
      <c r="L52" s="14">
        <f t="shared" si="15"/>
        <v>0.48600000000000004</v>
      </c>
      <c r="M52" s="20" t="s">
        <v>6</v>
      </c>
      <c r="N52" s="14">
        <f t="shared" si="16"/>
        <v>0</v>
      </c>
      <c r="Y52" s="81">
        <f t="shared" si="17"/>
        <v>0</v>
      </c>
      <c r="Z52" s="81">
        <f t="shared" si="18"/>
        <v>0</v>
      </c>
      <c r="AA52" s="81">
        <f t="shared" si="19"/>
        <v>0</v>
      </c>
      <c r="AC52" s="24">
        <v>15</v>
      </c>
      <c r="AD52" s="84">
        <f t="shared" si="9"/>
        <v>0</v>
      </c>
      <c r="AE52" s="84">
        <f t="shared" si="10"/>
        <v>0</v>
      </c>
      <c r="AL52" s="24">
        <f t="shared" si="20"/>
        <v>0</v>
      </c>
      <c r="AM52" s="24">
        <f t="shared" si="21"/>
        <v>0</v>
      </c>
      <c r="AN52" s="25" t="s">
        <v>316</v>
      </c>
      <c r="AO52" s="25" t="s">
        <v>333</v>
      </c>
      <c r="AP52" s="19" t="s">
        <v>339</v>
      </c>
      <c r="AR52" s="75" t="s">
        <v>726</v>
      </c>
      <c r="AS52" s="160">
        <v>4.0000000000000002E-4</v>
      </c>
    </row>
    <row r="53" spans="1:47" hidden="1">
      <c r="A53" s="4" t="s">
        <v>43</v>
      </c>
      <c r="B53" s="4"/>
      <c r="C53" s="4" t="s">
        <v>389</v>
      </c>
      <c r="D53" s="4" t="s">
        <v>390</v>
      </c>
      <c r="E53" s="4" t="s">
        <v>285</v>
      </c>
      <c r="F53" s="14">
        <v>0</v>
      </c>
      <c r="G53" s="14"/>
      <c r="H53" s="14">
        <f t="shared" si="12"/>
        <v>0</v>
      </c>
      <c r="I53" s="14">
        <f>J53-H53</f>
        <v>0</v>
      </c>
      <c r="J53" s="61">
        <f t="shared" si="14"/>
        <v>0</v>
      </c>
      <c r="K53" s="136">
        <v>0</v>
      </c>
      <c r="L53" s="14">
        <f t="shared" si="15"/>
        <v>0</v>
      </c>
      <c r="M53" s="20" t="s">
        <v>6</v>
      </c>
      <c r="N53" s="14">
        <f t="shared" si="16"/>
        <v>0</v>
      </c>
      <c r="Y53" s="81">
        <f t="shared" si="17"/>
        <v>0</v>
      </c>
      <c r="Z53" s="81">
        <f t="shared" si="18"/>
        <v>0</v>
      </c>
      <c r="AA53" s="81">
        <f t="shared" si="19"/>
        <v>0</v>
      </c>
      <c r="AC53" s="24">
        <v>15</v>
      </c>
      <c r="AD53" s="84">
        <f t="shared" si="9"/>
        <v>0</v>
      </c>
      <c r="AE53" s="84">
        <f t="shared" si="10"/>
        <v>0</v>
      </c>
      <c r="AL53" s="24">
        <f t="shared" si="20"/>
        <v>0</v>
      </c>
      <c r="AM53" s="24">
        <f t="shared" si="21"/>
        <v>0</v>
      </c>
      <c r="AN53" s="25" t="s">
        <v>391</v>
      </c>
      <c r="AO53" s="25" t="s">
        <v>333</v>
      </c>
      <c r="AP53" s="19" t="s">
        <v>339</v>
      </c>
      <c r="AR53" s="75" t="s">
        <v>726</v>
      </c>
      <c r="AS53" s="160">
        <v>0</v>
      </c>
    </row>
    <row r="54" spans="1:47" s="58" customFormat="1" hidden="1">
      <c r="A54" s="4" t="s">
        <v>44</v>
      </c>
      <c r="B54" s="5"/>
      <c r="C54" s="5" t="s">
        <v>393</v>
      </c>
      <c r="D54" s="5" t="s">
        <v>957</v>
      </c>
      <c r="E54" s="5" t="s">
        <v>285</v>
      </c>
      <c r="F54" s="15">
        <v>0</v>
      </c>
      <c r="G54" s="15"/>
      <c r="H54" s="15">
        <f t="shared" ref="H54" si="23">F54*AD54</f>
        <v>0</v>
      </c>
      <c r="I54" s="15">
        <f>J54-H54</f>
        <v>0</v>
      </c>
      <c r="J54" s="61">
        <f t="shared" ref="J54" si="24">F54*G54</f>
        <v>0</v>
      </c>
      <c r="K54" s="137">
        <v>1.072E-2</v>
      </c>
      <c r="L54" s="15">
        <f t="shared" ref="L54" si="25">F54*K54</f>
        <v>0</v>
      </c>
      <c r="M54" s="21" t="s">
        <v>302</v>
      </c>
      <c r="N54" s="15">
        <f t="shared" ref="N54" si="26">IF(M54="5",I54,0)</f>
        <v>0</v>
      </c>
      <c r="Y54" s="81">
        <f t="shared" ref="Y54" si="27">IF(AC54=0,J54,0)</f>
        <v>0</v>
      </c>
      <c r="Z54" s="81">
        <f t="shared" ref="Z54" si="28">IF(AC54=15,J54,0)</f>
        <v>0</v>
      </c>
      <c r="AA54" s="81">
        <f t="shared" ref="AA54" si="29">IF(AC54=21,J54,0)</f>
        <v>0</v>
      </c>
      <c r="AC54" s="24">
        <v>15</v>
      </c>
      <c r="AD54" s="84">
        <f t="shared" ref="AD54" si="30">G54*0.81143570536829</f>
        <v>0</v>
      </c>
      <c r="AE54" s="84">
        <f t="shared" ref="AE54" si="31">G54*(1-0.81143570536829)</f>
        <v>0</v>
      </c>
      <c r="AL54" s="24">
        <f t="shared" ref="AL54" si="32">F54*AD54</f>
        <v>0</v>
      </c>
      <c r="AM54" s="24">
        <f t="shared" ref="AM54" si="33">F54*AE54</f>
        <v>0</v>
      </c>
      <c r="AN54" s="25" t="s">
        <v>391</v>
      </c>
      <c r="AO54" s="25" t="s">
        <v>333</v>
      </c>
      <c r="AP54" s="19" t="s">
        <v>339</v>
      </c>
      <c r="AR54" s="75" t="s">
        <v>726</v>
      </c>
      <c r="AS54" s="161">
        <v>1.072E-2</v>
      </c>
      <c r="AU54" s="233"/>
    </row>
    <row r="55" spans="1:47" hidden="1">
      <c r="A55" s="4" t="s">
        <v>951</v>
      </c>
      <c r="B55" s="4"/>
      <c r="C55" s="5" t="s">
        <v>954</v>
      </c>
      <c r="D55" s="5" t="s">
        <v>958</v>
      </c>
      <c r="E55" s="5" t="s">
        <v>285</v>
      </c>
      <c r="F55" s="15">
        <v>0</v>
      </c>
      <c r="G55" s="15"/>
      <c r="H55" s="15">
        <f t="shared" ref="H55:H57" si="34">F55*AD55</f>
        <v>0</v>
      </c>
      <c r="I55" s="15">
        <f t="shared" ref="I55:I57" si="35">J55-H55</f>
        <v>0</v>
      </c>
      <c r="J55" s="61">
        <f t="shared" ref="J55:J57" si="36">F55*G55</f>
        <v>0</v>
      </c>
      <c r="K55" s="137">
        <v>1.0107200000000001</v>
      </c>
      <c r="L55" s="15">
        <f t="shared" ref="L55:L57" si="37">F55*K55</f>
        <v>0</v>
      </c>
      <c r="M55" s="21" t="s">
        <v>6</v>
      </c>
      <c r="N55" s="15">
        <f t="shared" ref="N55:N57" si="38">IF(M55="5",I55,0)</f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81">
        <f t="shared" ref="Y55:Y57" si="39">IF(AC55=0,J55,0)</f>
        <v>0</v>
      </c>
      <c r="Z55" s="81">
        <f t="shared" ref="Z55:Z57" si="40">IF(AC55=15,J55,0)</f>
        <v>0</v>
      </c>
      <c r="AA55" s="81">
        <f t="shared" ref="AA55:AA57" si="41">IF(AC55=21,J55,0)</f>
        <v>0</v>
      </c>
      <c r="AB55" s="58"/>
      <c r="AC55" s="24">
        <v>16</v>
      </c>
      <c r="AD55" s="84">
        <f t="shared" ref="AD55:AD57" si="42">G55*0.81143570536829</f>
        <v>0</v>
      </c>
      <c r="AE55" s="84">
        <f t="shared" ref="AE55:AE57" si="43">G55*(1-0.81143570536829)</f>
        <v>0</v>
      </c>
      <c r="AF55" s="58"/>
      <c r="AG55" s="58"/>
      <c r="AH55" s="58"/>
      <c r="AI55" s="58"/>
      <c r="AJ55" s="58"/>
      <c r="AK55" s="58"/>
      <c r="AL55" s="24">
        <f t="shared" ref="AL55:AL57" si="44">F55*AD55</f>
        <v>0</v>
      </c>
      <c r="AM55" s="24">
        <f t="shared" ref="AM55:AM57" si="45">F55*AE55</f>
        <v>0</v>
      </c>
      <c r="AN55" s="25" t="s">
        <v>391</v>
      </c>
      <c r="AO55" s="25" t="s">
        <v>333</v>
      </c>
      <c r="AP55" s="19" t="s">
        <v>339</v>
      </c>
      <c r="AQ55" s="58"/>
      <c r="AR55" s="75" t="s">
        <v>726</v>
      </c>
      <c r="AS55" s="161">
        <v>1.0107200000000001</v>
      </c>
    </row>
    <row r="56" spans="1:47">
      <c r="A56" s="4" t="s">
        <v>952</v>
      </c>
      <c r="B56" s="4"/>
      <c r="C56" s="5" t="s">
        <v>955</v>
      </c>
      <c r="D56" s="5" t="s">
        <v>1131</v>
      </c>
      <c r="E56" s="5" t="s">
        <v>285</v>
      </c>
      <c r="F56" s="15">
        <f>'BD-PODLAŽÍ'!F263+'BD-PODLAŽÍ'!G263</f>
        <v>17</v>
      </c>
      <c r="G56" s="15"/>
      <c r="H56" s="15">
        <f t="shared" si="34"/>
        <v>0</v>
      </c>
      <c r="I56" s="15">
        <f t="shared" si="35"/>
        <v>0</v>
      </c>
      <c r="J56" s="61">
        <f t="shared" si="36"/>
        <v>0</v>
      </c>
      <c r="K56" s="137">
        <v>1.099E-2</v>
      </c>
      <c r="L56" s="15">
        <f t="shared" si="37"/>
        <v>0.18683</v>
      </c>
      <c r="M56" s="21" t="s">
        <v>7</v>
      </c>
      <c r="N56" s="15">
        <f t="shared" si="38"/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81">
        <f t="shared" si="39"/>
        <v>0</v>
      </c>
      <c r="Z56" s="81">
        <f t="shared" si="40"/>
        <v>0</v>
      </c>
      <c r="AA56" s="81">
        <f t="shared" si="41"/>
        <v>0</v>
      </c>
      <c r="AB56" s="58"/>
      <c r="AC56" s="24">
        <v>17</v>
      </c>
      <c r="AD56" s="84">
        <f t="shared" si="42"/>
        <v>0</v>
      </c>
      <c r="AE56" s="84">
        <f t="shared" si="43"/>
        <v>0</v>
      </c>
      <c r="AF56" s="58"/>
      <c r="AG56" s="58"/>
      <c r="AH56" s="58"/>
      <c r="AI56" s="58"/>
      <c r="AJ56" s="58"/>
      <c r="AK56" s="58"/>
      <c r="AL56" s="24">
        <f t="shared" si="44"/>
        <v>0</v>
      </c>
      <c r="AM56" s="24">
        <f t="shared" si="45"/>
        <v>0</v>
      </c>
      <c r="AN56" s="25" t="s">
        <v>391</v>
      </c>
      <c r="AO56" s="25" t="s">
        <v>333</v>
      </c>
      <c r="AP56" s="19" t="s">
        <v>339</v>
      </c>
      <c r="AQ56" s="58"/>
      <c r="AR56" s="75" t="s">
        <v>726</v>
      </c>
      <c r="AS56" s="161">
        <v>2.0107200000000001</v>
      </c>
    </row>
    <row r="57" spans="1:47" s="58" customFormat="1">
      <c r="A57" s="4" t="s">
        <v>953</v>
      </c>
      <c r="B57" s="5"/>
      <c r="C57" s="5" t="s">
        <v>956</v>
      </c>
      <c r="D57" s="5" t="s">
        <v>1132</v>
      </c>
      <c r="E57" s="5" t="s">
        <v>285</v>
      </c>
      <c r="F57" s="15">
        <f>'BD-PODLAŽÍ'!H263+'BD-PODLAŽÍ'!I263</f>
        <v>64</v>
      </c>
      <c r="G57" s="15"/>
      <c r="H57" s="15">
        <f t="shared" si="34"/>
        <v>0</v>
      </c>
      <c r="I57" s="15">
        <f t="shared" si="35"/>
        <v>0</v>
      </c>
      <c r="J57" s="61">
        <f t="shared" si="36"/>
        <v>0</v>
      </c>
      <c r="K57" s="137">
        <v>1.891E-2</v>
      </c>
      <c r="L57" s="15">
        <f t="shared" si="37"/>
        <v>1.21024</v>
      </c>
      <c r="M57" s="21" t="s">
        <v>8</v>
      </c>
      <c r="N57" s="15">
        <f t="shared" si="38"/>
        <v>0</v>
      </c>
      <c r="Y57" s="81">
        <f t="shared" si="39"/>
        <v>0</v>
      </c>
      <c r="Z57" s="81">
        <f t="shared" si="40"/>
        <v>0</v>
      </c>
      <c r="AA57" s="81">
        <f t="shared" si="41"/>
        <v>0</v>
      </c>
      <c r="AC57" s="24">
        <v>18</v>
      </c>
      <c r="AD57" s="84">
        <f t="shared" si="42"/>
        <v>0</v>
      </c>
      <c r="AE57" s="84">
        <f t="shared" si="43"/>
        <v>0</v>
      </c>
      <c r="AL57" s="24">
        <f t="shared" si="44"/>
        <v>0</v>
      </c>
      <c r="AM57" s="24">
        <f t="shared" si="45"/>
        <v>0</v>
      </c>
      <c r="AN57" s="25" t="s">
        <v>391</v>
      </c>
      <c r="AO57" s="25" t="s">
        <v>333</v>
      </c>
      <c r="AP57" s="19" t="s">
        <v>339</v>
      </c>
      <c r="AR57" s="75" t="s">
        <v>726</v>
      </c>
      <c r="AS57" s="161">
        <v>3.0107200000000001</v>
      </c>
      <c r="AU57" s="233"/>
    </row>
    <row r="58" spans="1:47" s="45" customFormat="1" ht="38.25">
      <c r="A58" s="4" t="s">
        <v>45</v>
      </c>
      <c r="B58" s="46"/>
      <c r="C58" s="118" t="s">
        <v>1133</v>
      </c>
      <c r="D58" s="209" t="s">
        <v>1134</v>
      </c>
      <c r="E58" s="47" t="s">
        <v>285</v>
      </c>
      <c r="F58" s="49">
        <f>F56+F57</f>
        <v>81</v>
      </c>
      <c r="G58" s="48"/>
      <c r="H58" s="48">
        <f>IF(B58="MAT",0,F58*G58)</f>
        <v>0</v>
      </c>
      <c r="I58" s="48">
        <f>IF(B58="MAT",F58*G58,0)</f>
        <v>0</v>
      </c>
      <c r="J58" s="61">
        <f t="shared" si="14"/>
        <v>0</v>
      </c>
      <c r="K58" s="143">
        <v>0.18859999999999999</v>
      </c>
      <c r="L58" s="49">
        <f>K58*F58</f>
        <v>15.276599999999998</v>
      </c>
      <c r="M58" s="49">
        <v>1</v>
      </c>
      <c r="N58" s="14">
        <f t="shared" si="16"/>
        <v>0</v>
      </c>
      <c r="Y58" s="81">
        <f t="shared" si="17"/>
        <v>0</v>
      </c>
      <c r="Z58" s="81">
        <f t="shared" si="18"/>
        <v>0</v>
      </c>
      <c r="AA58" s="81">
        <f t="shared" si="19"/>
        <v>0</v>
      </c>
      <c r="AC58" s="24">
        <v>15</v>
      </c>
      <c r="AD58" s="84">
        <f t="shared" si="9"/>
        <v>0</v>
      </c>
      <c r="AE58" s="84">
        <f t="shared" si="10"/>
        <v>0</v>
      </c>
      <c r="AL58" s="24">
        <f t="shared" si="20"/>
        <v>0</v>
      </c>
      <c r="AM58" s="24">
        <f t="shared" si="21"/>
        <v>0</v>
      </c>
      <c r="AN58" s="25" t="s">
        <v>391</v>
      </c>
      <c r="AO58" s="25" t="s">
        <v>333</v>
      </c>
      <c r="AP58" s="19" t="s">
        <v>339</v>
      </c>
      <c r="AR58" s="75" t="s">
        <v>726</v>
      </c>
      <c r="AS58" s="164">
        <v>0.18859999999999999</v>
      </c>
      <c r="AU58" s="234"/>
    </row>
    <row r="59" spans="1:47" hidden="1">
      <c r="A59" s="4" t="s">
        <v>46</v>
      </c>
      <c r="B59" s="4"/>
      <c r="C59" s="4" t="s">
        <v>148</v>
      </c>
      <c r="D59" s="4" t="s">
        <v>736</v>
      </c>
      <c r="E59" s="4" t="s">
        <v>286</v>
      </c>
      <c r="F59" s="14">
        <v>0</v>
      </c>
      <c r="G59" s="14"/>
      <c r="H59" s="14">
        <f>F59*AD59</f>
        <v>0</v>
      </c>
      <c r="I59" s="14">
        <f>J59-H59</f>
        <v>0</v>
      </c>
      <c r="J59" s="61">
        <f t="shared" si="14"/>
        <v>0</v>
      </c>
      <c r="K59" s="136">
        <v>4.0000000000000003E-5</v>
      </c>
      <c r="L59" s="14">
        <f>F59*K59</f>
        <v>0</v>
      </c>
      <c r="M59" s="20" t="s">
        <v>6</v>
      </c>
      <c r="N59" s="14">
        <f t="shared" si="16"/>
        <v>0</v>
      </c>
      <c r="Y59" s="81">
        <f t="shared" si="17"/>
        <v>0</v>
      </c>
      <c r="Z59" s="81">
        <f t="shared" si="18"/>
        <v>0</v>
      </c>
      <c r="AA59" s="81">
        <f t="shared" si="19"/>
        <v>0</v>
      </c>
      <c r="AC59" s="24">
        <v>15</v>
      </c>
      <c r="AD59" s="84">
        <f t="shared" si="9"/>
        <v>0</v>
      </c>
      <c r="AE59" s="84">
        <f t="shared" si="10"/>
        <v>0</v>
      </c>
      <c r="AL59" s="24">
        <f t="shared" si="20"/>
        <v>0</v>
      </c>
      <c r="AM59" s="24">
        <f t="shared" si="21"/>
        <v>0</v>
      </c>
      <c r="AN59" s="25" t="s">
        <v>322</v>
      </c>
      <c r="AO59" s="25" t="s">
        <v>336</v>
      </c>
      <c r="AP59" s="19" t="s">
        <v>339</v>
      </c>
      <c r="AS59" s="160">
        <v>4.0000000000000003E-5</v>
      </c>
    </row>
    <row r="60" spans="1:47" s="75" customFormat="1" hidden="1">
      <c r="A60" s="4" t="s">
        <v>47</v>
      </c>
      <c r="B60" s="4"/>
      <c r="C60" s="4" t="s">
        <v>820</v>
      </c>
      <c r="D60" s="4" t="s">
        <v>821</v>
      </c>
      <c r="E60" s="4" t="s">
        <v>284</v>
      </c>
      <c r="F60" s="14">
        <v>0</v>
      </c>
      <c r="G60" s="14"/>
      <c r="H60" s="14">
        <f>F60*AD60</f>
        <v>0</v>
      </c>
      <c r="I60" s="14">
        <f t="shared" si="22"/>
        <v>0</v>
      </c>
      <c r="J60" s="61">
        <f t="shared" si="14"/>
        <v>0</v>
      </c>
      <c r="K60" s="136">
        <v>6.5799999999999999E-3</v>
      </c>
      <c r="L60" s="14">
        <f>F60*K60</f>
        <v>0</v>
      </c>
      <c r="M60" s="20" t="s">
        <v>6</v>
      </c>
      <c r="N60" s="14">
        <f t="shared" si="16"/>
        <v>0</v>
      </c>
      <c r="Y60" s="81">
        <f t="shared" si="17"/>
        <v>0</v>
      </c>
      <c r="Z60" s="81">
        <f t="shared" si="18"/>
        <v>0</v>
      </c>
      <c r="AA60" s="81">
        <f t="shared" si="19"/>
        <v>0</v>
      </c>
      <c r="AC60" s="24">
        <v>15</v>
      </c>
      <c r="AD60" s="84">
        <f t="shared" si="9"/>
        <v>0</v>
      </c>
      <c r="AE60" s="84">
        <f t="shared" si="10"/>
        <v>0</v>
      </c>
      <c r="AL60" s="24">
        <f t="shared" si="20"/>
        <v>0</v>
      </c>
      <c r="AM60" s="24">
        <f t="shared" si="21"/>
        <v>0</v>
      </c>
      <c r="AN60" s="25" t="s">
        <v>316</v>
      </c>
      <c r="AO60" s="25" t="s">
        <v>333</v>
      </c>
      <c r="AP60" s="76" t="s">
        <v>339</v>
      </c>
      <c r="AR60" s="75" t="s">
        <v>726</v>
      </c>
      <c r="AS60" s="160">
        <v>6.5799999999999999E-3</v>
      </c>
      <c r="AU60" s="229"/>
    </row>
    <row r="61" spans="1:47">
      <c r="A61" s="6"/>
      <c r="B61" s="12"/>
      <c r="C61" s="12" t="s">
        <v>63</v>
      </c>
      <c r="D61" s="71" t="s">
        <v>207</v>
      </c>
      <c r="E61" s="72"/>
      <c r="F61" s="72"/>
      <c r="G61" s="72"/>
      <c r="H61" s="27">
        <f>SUM(H62:H64)</f>
        <v>0</v>
      </c>
      <c r="I61" s="27">
        <f>SUM(I62:I64)</f>
        <v>0</v>
      </c>
      <c r="J61" s="27">
        <f>H61+I61</f>
        <v>0</v>
      </c>
      <c r="K61" s="139"/>
      <c r="L61" s="27">
        <f>SUM(L62:L64)</f>
        <v>6.0623640000000005</v>
      </c>
      <c r="O61" s="27">
        <f>IF(P61="PR",J61,SUM(N62:N64))</f>
        <v>0</v>
      </c>
      <c r="P61" s="19" t="s">
        <v>305</v>
      </c>
      <c r="Q61" s="27">
        <f>IF(P61="HS",H61,0)</f>
        <v>0</v>
      </c>
      <c r="R61" s="27">
        <f>IF(P61="HS",I61-O61,0)</f>
        <v>0</v>
      </c>
      <c r="S61" s="27">
        <f>IF(P61="PS",H61,0)</f>
        <v>0</v>
      </c>
      <c r="T61" s="27">
        <f>IF(P61="PS",I61-O61,0)</f>
        <v>0</v>
      </c>
      <c r="U61" s="27">
        <f>IF(P61="MP",H61,0)</f>
        <v>0</v>
      </c>
      <c r="V61" s="27">
        <f>IF(P61="MP",I61-O61,0)</f>
        <v>0</v>
      </c>
      <c r="W61" s="27">
        <f>IF(P61="OM",H61,0)</f>
        <v>0</v>
      </c>
      <c r="X61" s="19"/>
      <c r="Y61" s="81"/>
      <c r="Z61" s="81"/>
      <c r="AA61" s="81"/>
      <c r="AD61" s="84"/>
      <c r="AE61" s="84"/>
      <c r="AH61" s="27">
        <f>SUM(Y62:Y64)</f>
        <v>0</v>
      </c>
      <c r="AI61" s="27">
        <f>SUM(Z62:Z64)</f>
        <v>0</v>
      </c>
      <c r="AJ61" s="27">
        <f>SUM(AA62:AA64)</f>
        <v>0</v>
      </c>
      <c r="AS61" s="162"/>
    </row>
    <row r="62" spans="1:47" s="75" customFormat="1" hidden="1">
      <c r="A62" s="4" t="s">
        <v>48</v>
      </c>
      <c r="B62" s="4"/>
      <c r="C62" s="4" t="s">
        <v>785</v>
      </c>
      <c r="D62" s="4" t="s">
        <v>959</v>
      </c>
      <c r="E62" s="4" t="s">
        <v>284</v>
      </c>
      <c r="F62" s="14">
        <f>Výměry!P24</f>
        <v>0</v>
      </c>
      <c r="G62" s="14"/>
      <c r="H62" s="14">
        <f>F62*AD62</f>
        <v>0</v>
      </c>
      <c r="I62" s="14">
        <f>J62-H62</f>
        <v>0</v>
      </c>
      <c r="J62" s="14">
        <f>F62*G62</f>
        <v>0</v>
      </c>
      <c r="K62" s="136">
        <v>3.15E-3</v>
      </c>
      <c r="L62" s="14">
        <f>F62*K62</f>
        <v>0</v>
      </c>
      <c r="M62" s="20" t="s">
        <v>6</v>
      </c>
      <c r="N62" s="14">
        <f>IF(M62="5",I62,0)</f>
        <v>0</v>
      </c>
      <c r="Y62" s="81">
        <f>IF(AC62=0,J62,0)</f>
        <v>0</v>
      </c>
      <c r="Z62" s="81">
        <f>IF(AC62=15,J62,0)</f>
        <v>0</v>
      </c>
      <c r="AA62" s="81">
        <f>IF(AC62=21,J62,0)</f>
        <v>0</v>
      </c>
      <c r="AC62" s="24">
        <v>15</v>
      </c>
      <c r="AD62" s="84">
        <f t="shared" si="9"/>
        <v>0</v>
      </c>
      <c r="AE62" s="84">
        <f t="shared" si="10"/>
        <v>0</v>
      </c>
      <c r="AL62" s="24">
        <f>F62*AD62</f>
        <v>0</v>
      </c>
      <c r="AM62" s="24">
        <f>F62*AE62</f>
        <v>0</v>
      </c>
      <c r="AN62" s="25" t="s">
        <v>317</v>
      </c>
      <c r="AO62" s="25" t="s">
        <v>333</v>
      </c>
      <c r="AP62" s="76" t="s">
        <v>339</v>
      </c>
      <c r="AR62" s="75" t="s">
        <v>726</v>
      </c>
      <c r="AS62" s="160">
        <v>3.15E-3</v>
      </c>
      <c r="AU62" s="229"/>
    </row>
    <row r="63" spans="1:47" s="96" customFormat="1">
      <c r="A63" s="4" t="s">
        <v>49</v>
      </c>
      <c r="B63" s="93"/>
      <c r="C63" s="93" t="s">
        <v>694</v>
      </c>
      <c r="D63" s="4" t="s">
        <v>1127</v>
      </c>
      <c r="E63" s="93" t="s">
        <v>284</v>
      </c>
      <c r="F63" s="94">
        <f>(Výměry!U60*1.2)*('BD-PODLAŽÍ'!F263+'BD-PODLAŽÍ'!G263+'BD-PODLAŽÍ'!H263+'BD-PODLAŽÍ'!I263)</f>
        <v>57.736800000000009</v>
      </c>
      <c r="G63" s="94"/>
      <c r="H63" s="94">
        <f>F63*AD63</f>
        <v>0</v>
      </c>
      <c r="I63" s="94">
        <f>J63-H63</f>
        <v>0</v>
      </c>
      <c r="J63" s="94">
        <f>F63*G63</f>
        <v>0</v>
      </c>
      <c r="K63" s="142">
        <v>0.105</v>
      </c>
      <c r="L63" s="94">
        <f>F63*K63</f>
        <v>6.0623640000000005</v>
      </c>
      <c r="M63" s="95" t="s">
        <v>6</v>
      </c>
      <c r="N63" s="94">
        <f>IF(M63="5",I63,0)</f>
        <v>0</v>
      </c>
      <c r="Y63" s="81">
        <f>IF(AC63=0,J63,0)</f>
        <v>0</v>
      </c>
      <c r="Z63" s="81">
        <f>IF(AC63=15,J63,0)</f>
        <v>0</v>
      </c>
      <c r="AA63" s="81">
        <f>IF(AC63=21,J63,0)</f>
        <v>0</v>
      </c>
      <c r="AC63" s="97">
        <v>15</v>
      </c>
      <c r="AD63" s="84">
        <f t="shared" si="9"/>
        <v>0</v>
      </c>
      <c r="AE63" s="84">
        <f t="shared" si="10"/>
        <v>0</v>
      </c>
      <c r="AL63" s="97">
        <f>F63*AD63</f>
        <v>0</v>
      </c>
      <c r="AM63" s="97">
        <f>F63*AE63</f>
        <v>0</v>
      </c>
      <c r="AN63" s="98" t="s">
        <v>317</v>
      </c>
      <c r="AO63" s="98" t="s">
        <v>333</v>
      </c>
      <c r="AP63" s="99" t="s">
        <v>339</v>
      </c>
      <c r="AR63" t="s">
        <v>729</v>
      </c>
      <c r="AS63" s="160">
        <v>0.105</v>
      </c>
      <c r="AU63" s="232"/>
    </row>
    <row r="64" spans="1:47" s="75" customFormat="1" hidden="1">
      <c r="A64" s="4" t="s">
        <v>50</v>
      </c>
      <c r="B64" s="4"/>
      <c r="C64" s="4" t="s">
        <v>113</v>
      </c>
      <c r="D64" s="4" t="s">
        <v>740</v>
      </c>
      <c r="E64" s="4" t="s">
        <v>284</v>
      </c>
      <c r="F64" s="14">
        <v>0</v>
      </c>
      <c r="G64" s="14"/>
      <c r="H64" s="14">
        <f>F64*AD64</f>
        <v>0</v>
      </c>
      <c r="I64" s="14">
        <f>J64-H64</f>
        <v>0</v>
      </c>
      <c r="J64" s="14">
        <f>F64*G64</f>
        <v>0</v>
      </c>
      <c r="K64" s="136">
        <v>3.15E-3</v>
      </c>
      <c r="L64" s="14">
        <f>F64*K64</f>
        <v>0</v>
      </c>
      <c r="M64" s="20" t="s">
        <v>6</v>
      </c>
      <c r="N64" s="14">
        <f>IF(M64="5",I64,0)</f>
        <v>0</v>
      </c>
      <c r="Y64" s="81">
        <f>IF(AC64=0,J64,0)</f>
        <v>0</v>
      </c>
      <c r="Z64" s="81">
        <f>IF(AC64=15,J64,0)</f>
        <v>0</v>
      </c>
      <c r="AA64" s="81">
        <f>IF(AC64=21,J64,0)</f>
        <v>0</v>
      </c>
      <c r="AC64" s="24">
        <v>15</v>
      </c>
      <c r="AD64" s="84">
        <f t="shared" si="9"/>
        <v>0</v>
      </c>
      <c r="AE64" s="84">
        <f t="shared" si="10"/>
        <v>0</v>
      </c>
      <c r="AL64" s="24">
        <f>F64*AD64</f>
        <v>0</v>
      </c>
      <c r="AM64" s="24">
        <f>F64*AE64</f>
        <v>0</v>
      </c>
      <c r="AN64" s="25" t="s">
        <v>317</v>
      </c>
      <c r="AO64" s="25" t="s">
        <v>333</v>
      </c>
      <c r="AP64" s="76" t="s">
        <v>339</v>
      </c>
      <c r="AR64" s="75" t="s">
        <v>726</v>
      </c>
      <c r="AS64" s="160">
        <v>3.15E-3</v>
      </c>
      <c r="AU64" s="229"/>
    </row>
    <row r="65" spans="1:47" hidden="1">
      <c r="A65" s="6"/>
      <c r="B65" s="12"/>
      <c r="C65" s="12" t="s">
        <v>114</v>
      </c>
      <c r="D65" s="71" t="s">
        <v>208</v>
      </c>
      <c r="E65" s="72"/>
      <c r="F65" s="72"/>
      <c r="G65" s="72"/>
      <c r="H65" s="27">
        <f>SUM(H66:H66)</f>
        <v>0</v>
      </c>
      <c r="I65" s="27">
        <f>SUM(I66:I66)</f>
        <v>0</v>
      </c>
      <c r="J65" s="27">
        <f>H65+I65</f>
        <v>0</v>
      </c>
      <c r="K65" s="139"/>
      <c r="L65" s="27">
        <f>SUM(L66:L66)</f>
        <v>0</v>
      </c>
      <c r="O65" s="27">
        <f>IF(P65="PR",J65,SUM(N66:N66))</f>
        <v>0</v>
      </c>
      <c r="P65" s="19" t="s">
        <v>306</v>
      </c>
      <c r="Q65" s="27">
        <f>IF(P65="HS",H65,0)</f>
        <v>0</v>
      </c>
      <c r="R65" s="27">
        <f>IF(P65="HS",I65-O65,0)</f>
        <v>0</v>
      </c>
      <c r="S65" s="27">
        <f>IF(P65="PS",H65,0)</f>
        <v>0</v>
      </c>
      <c r="T65" s="27">
        <f>IF(P65="PS",I65-O65,0)</f>
        <v>0</v>
      </c>
      <c r="U65" s="27">
        <f>IF(P65="MP",H65,0)</f>
        <v>0</v>
      </c>
      <c r="V65" s="27">
        <f>IF(P65="MP",I65-O65,0)</f>
        <v>0</v>
      </c>
      <c r="W65" s="27">
        <f>IF(P65="OM",H65,0)</f>
        <v>0</v>
      </c>
      <c r="X65" s="19"/>
      <c r="Y65" s="81"/>
      <c r="Z65" s="81"/>
      <c r="AA65" s="81"/>
      <c r="AD65" s="84"/>
      <c r="AE65" s="84"/>
      <c r="AH65" s="27">
        <f>SUM(Y66:Y66)</f>
        <v>0</v>
      </c>
      <c r="AI65" s="27">
        <f>SUM(Z66:Z66)</f>
        <v>0</v>
      </c>
      <c r="AJ65" s="27">
        <f>SUM(AA66:AA66)</f>
        <v>0</v>
      </c>
      <c r="AS65" s="162"/>
    </row>
    <row r="66" spans="1:47" ht="38.25" hidden="1">
      <c r="A66" s="4" t="s">
        <v>51</v>
      </c>
      <c r="B66" s="4"/>
      <c r="C66" s="4"/>
      <c r="D66" s="215" t="s">
        <v>982</v>
      </c>
      <c r="E66" s="4" t="s">
        <v>383</v>
      </c>
      <c r="F66" s="14">
        <v>0</v>
      </c>
      <c r="G66" s="242"/>
      <c r="H66" s="14">
        <f>F66*AD66</f>
        <v>0</v>
      </c>
      <c r="I66" s="14">
        <f>J66-H66</f>
        <v>0</v>
      </c>
      <c r="J66" s="14">
        <f>F66*G66</f>
        <v>0</v>
      </c>
      <c r="K66" s="136">
        <v>0.1351</v>
      </c>
      <c r="L66" s="14">
        <f>F66*K66</f>
        <v>0</v>
      </c>
      <c r="M66" s="20" t="s">
        <v>6</v>
      </c>
      <c r="N66" s="14">
        <f>IF(M66="5",I66,0)</f>
        <v>0</v>
      </c>
      <c r="Y66" s="81">
        <f>IF(AC66=0,J66,0)</f>
        <v>0</v>
      </c>
      <c r="Z66" s="81">
        <f>IF(AC66=15,J66,0)</f>
        <v>0</v>
      </c>
      <c r="AA66" s="81">
        <f>IF(AC66=21,J66,0)</f>
        <v>0</v>
      </c>
      <c r="AC66" s="24">
        <v>15</v>
      </c>
      <c r="AD66" s="84">
        <f t="shared" si="9"/>
        <v>0</v>
      </c>
      <c r="AE66" s="84">
        <f t="shared" si="10"/>
        <v>0</v>
      </c>
      <c r="AL66" s="24">
        <f>F66*AD66</f>
        <v>0</v>
      </c>
      <c r="AM66" s="24">
        <f>F66*AE66</f>
        <v>0</v>
      </c>
      <c r="AN66" s="25" t="s">
        <v>318</v>
      </c>
      <c r="AO66" s="25" t="s">
        <v>334</v>
      </c>
      <c r="AP66" s="19" t="s">
        <v>339</v>
      </c>
      <c r="AR66" t="s">
        <v>727</v>
      </c>
      <c r="AS66" s="160">
        <v>0.1351</v>
      </c>
    </row>
    <row r="67" spans="1:47" hidden="1">
      <c r="A67" s="6"/>
      <c r="B67" s="12"/>
      <c r="C67" s="12" t="s">
        <v>115</v>
      </c>
      <c r="D67" s="71" t="s">
        <v>209</v>
      </c>
      <c r="E67" s="72"/>
      <c r="F67" s="72"/>
      <c r="G67" s="72"/>
      <c r="H67" s="27">
        <f>SUM(H68:H120)</f>
        <v>0</v>
      </c>
      <c r="I67" s="27">
        <f>SUM(I68:I120)</f>
        <v>0</v>
      </c>
      <c r="J67" s="27">
        <f>H67+I67</f>
        <v>0</v>
      </c>
      <c r="K67" s="139"/>
      <c r="L67" s="27">
        <f>SUM(L68:L119)</f>
        <v>0</v>
      </c>
      <c r="O67" s="27">
        <f>IF(P67="PR",J67,SUM(N68:N120))</f>
        <v>0</v>
      </c>
      <c r="P67" s="19" t="s">
        <v>306</v>
      </c>
      <c r="Q67" s="27">
        <f>IF(P67="HS",H67,0)</f>
        <v>0</v>
      </c>
      <c r="R67" s="27">
        <f>IF(P67="HS",I67-O67,0)</f>
        <v>0</v>
      </c>
      <c r="S67" s="27">
        <f>IF(P67="PS",H67,0)</f>
        <v>0</v>
      </c>
      <c r="T67" s="27">
        <f>IF(P67="PS",I67-O67,0)</f>
        <v>0</v>
      </c>
      <c r="U67" s="27">
        <f>IF(P67="MP",H67,0)</f>
        <v>0</v>
      </c>
      <c r="V67" s="27">
        <f>IF(P67="MP",I67-O67,0)</f>
        <v>0</v>
      </c>
      <c r="W67" s="27">
        <f>IF(P67="OM",H67,0)</f>
        <v>0</v>
      </c>
      <c r="X67" s="19"/>
      <c r="Y67" s="81"/>
      <c r="Z67" s="81"/>
      <c r="AA67" s="81"/>
      <c r="AD67" s="84"/>
      <c r="AE67" s="84"/>
      <c r="AH67" s="27">
        <f>SUM(Y68:Y120)</f>
        <v>0</v>
      </c>
      <c r="AI67" s="27">
        <f>SUM(Z68:Z120)</f>
        <v>0</v>
      </c>
      <c r="AJ67" s="27">
        <f>SUM(AA68:AA120)</f>
        <v>0</v>
      </c>
      <c r="AS67" s="162"/>
    </row>
    <row r="68" spans="1:47" hidden="1">
      <c r="A68" s="4" t="s">
        <v>52</v>
      </c>
      <c r="B68" s="4"/>
      <c r="C68" s="4" t="s">
        <v>128</v>
      </c>
      <c r="D68" s="4" t="s">
        <v>216</v>
      </c>
      <c r="E68" s="4" t="s">
        <v>287</v>
      </c>
      <c r="F68" s="14">
        <v>0</v>
      </c>
      <c r="G68" s="14"/>
      <c r="H68" s="14">
        <f t="shared" ref="H68:H99" si="46">F68*AD68</f>
        <v>0</v>
      </c>
      <c r="I68" s="14">
        <f t="shared" ref="I68:I84" si="47">J68-H68</f>
        <v>0</v>
      </c>
      <c r="J68" s="14">
        <f t="shared" ref="J68:J100" si="48">F68*G68</f>
        <v>0</v>
      </c>
      <c r="K68" s="136">
        <v>3.1E-2</v>
      </c>
      <c r="L68" s="14">
        <f t="shared" ref="L68:L100" si="49">F68*K68</f>
        <v>0</v>
      </c>
      <c r="M68" s="20" t="s">
        <v>6</v>
      </c>
      <c r="N68" s="14">
        <f t="shared" ref="N68:N107" si="50">IF(M68="5",I68,0)</f>
        <v>0</v>
      </c>
      <c r="Y68" s="81">
        <f t="shared" ref="Y68:Y99" si="51">IF(AC68=0,J68,0)</f>
        <v>0</v>
      </c>
      <c r="Z68" s="81">
        <f t="shared" ref="Z68:Z99" si="52">IF(AC68=15,J68,0)</f>
        <v>0</v>
      </c>
      <c r="AA68" s="81">
        <f t="shared" ref="AA68:AA99" si="53">IF(AC68=21,J68,0)</f>
        <v>0</v>
      </c>
      <c r="AC68" s="24">
        <v>15</v>
      </c>
      <c r="AD68" s="84">
        <f t="shared" si="9"/>
        <v>0</v>
      </c>
      <c r="AE68" s="84">
        <f t="shared" si="10"/>
        <v>0</v>
      </c>
      <c r="AL68" s="24">
        <f t="shared" ref="AL68:AL99" si="54">F68*AD68</f>
        <v>0</v>
      </c>
      <c r="AM68" s="24">
        <f t="shared" ref="AM68:AM99" si="55">F68*AE68</f>
        <v>0</v>
      </c>
      <c r="AN68" s="25" t="s">
        <v>319</v>
      </c>
      <c r="AO68" s="25" t="s">
        <v>334</v>
      </c>
      <c r="AP68" s="19" t="s">
        <v>339</v>
      </c>
      <c r="AR68" s="75" t="s">
        <v>728</v>
      </c>
      <c r="AS68" s="160">
        <v>3.1E-2</v>
      </c>
    </row>
    <row r="69" spans="1:47" hidden="1">
      <c r="A69" s="4" t="s">
        <v>53</v>
      </c>
      <c r="B69" s="4"/>
      <c r="C69" s="4" t="s">
        <v>116</v>
      </c>
      <c r="D69" s="4" t="s">
        <v>934</v>
      </c>
      <c r="E69" s="4" t="s">
        <v>287</v>
      </c>
      <c r="F69" s="14">
        <v>0</v>
      </c>
      <c r="G69" s="14"/>
      <c r="H69" s="14">
        <f t="shared" si="46"/>
        <v>0</v>
      </c>
      <c r="I69" s="14">
        <f t="shared" si="47"/>
        <v>0</v>
      </c>
      <c r="J69" s="14">
        <f t="shared" si="48"/>
        <v>0</v>
      </c>
      <c r="K69" s="136">
        <v>3.1220000000000001E-2</v>
      </c>
      <c r="L69" s="14">
        <f t="shared" si="49"/>
        <v>0</v>
      </c>
      <c r="M69" s="20" t="s">
        <v>6</v>
      </c>
      <c r="N69" s="14">
        <f t="shared" si="50"/>
        <v>0</v>
      </c>
      <c r="Y69" s="81">
        <f t="shared" si="51"/>
        <v>0</v>
      </c>
      <c r="Z69" s="81">
        <f t="shared" si="52"/>
        <v>0</v>
      </c>
      <c r="AA69" s="81">
        <f t="shared" si="53"/>
        <v>0</v>
      </c>
      <c r="AC69" s="24">
        <v>15</v>
      </c>
      <c r="AD69" s="84">
        <f t="shared" si="9"/>
        <v>0</v>
      </c>
      <c r="AE69" s="84">
        <f t="shared" si="10"/>
        <v>0</v>
      </c>
      <c r="AL69" s="24">
        <f t="shared" si="54"/>
        <v>0</v>
      </c>
      <c r="AM69" s="24">
        <f t="shared" si="55"/>
        <v>0</v>
      </c>
      <c r="AN69" s="25" t="s">
        <v>319</v>
      </c>
      <c r="AO69" s="25" t="s">
        <v>334</v>
      </c>
      <c r="AP69" s="19" t="s">
        <v>339</v>
      </c>
      <c r="AR69" s="75" t="s">
        <v>726</v>
      </c>
      <c r="AS69" s="160">
        <v>3.1220000000000001E-2</v>
      </c>
    </row>
    <row r="70" spans="1:47" s="83" customFormat="1" hidden="1">
      <c r="A70" s="4" t="s">
        <v>54</v>
      </c>
      <c r="B70" s="90"/>
      <c r="C70" s="90" t="s">
        <v>623</v>
      </c>
      <c r="D70" s="5" t="s">
        <v>935</v>
      </c>
      <c r="E70" s="90" t="s">
        <v>285</v>
      </c>
      <c r="F70" s="15">
        <v>0</v>
      </c>
      <c r="G70" s="15"/>
      <c r="H70" s="91">
        <f t="shared" si="46"/>
        <v>0</v>
      </c>
      <c r="I70" s="91">
        <f t="shared" si="47"/>
        <v>0</v>
      </c>
      <c r="J70" s="14">
        <f t="shared" si="48"/>
        <v>0</v>
      </c>
      <c r="K70" s="144">
        <v>1.2800000000000001E-3</v>
      </c>
      <c r="L70" s="91">
        <f t="shared" si="49"/>
        <v>0</v>
      </c>
      <c r="M70" s="92" t="s">
        <v>302</v>
      </c>
      <c r="N70" s="91">
        <f t="shared" si="50"/>
        <v>0</v>
      </c>
      <c r="Y70" s="81">
        <f t="shared" si="51"/>
        <v>0</v>
      </c>
      <c r="Z70" s="81">
        <f t="shared" si="52"/>
        <v>0</v>
      </c>
      <c r="AA70" s="81">
        <f t="shared" si="53"/>
        <v>0</v>
      </c>
      <c r="AC70" s="84">
        <v>15</v>
      </c>
      <c r="AD70" s="84">
        <f t="shared" si="9"/>
        <v>0</v>
      </c>
      <c r="AE70" s="84">
        <f t="shared" si="10"/>
        <v>0</v>
      </c>
      <c r="AL70" s="84">
        <f t="shared" si="54"/>
        <v>0</v>
      </c>
      <c r="AM70" s="84">
        <f t="shared" si="55"/>
        <v>0</v>
      </c>
      <c r="AN70" s="85" t="s">
        <v>622</v>
      </c>
      <c r="AO70" s="85" t="s">
        <v>339</v>
      </c>
      <c r="AP70" s="86" t="s">
        <v>339</v>
      </c>
      <c r="AR70" s="75" t="s">
        <v>728</v>
      </c>
      <c r="AS70" s="161">
        <v>1.2800000000000001E-3</v>
      </c>
      <c r="AU70" s="228"/>
    </row>
    <row r="71" spans="1:47" hidden="1">
      <c r="A71" s="4" t="s">
        <v>55</v>
      </c>
      <c r="B71" s="4"/>
      <c r="C71" s="4" t="s">
        <v>865</v>
      </c>
      <c r="D71" s="154" t="s">
        <v>866</v>
      </c>
      <c r="E71" s="4" t="s">
        <v>287</v>
      </c>
      <c r="F71" s="14">
        <v>0</v>
      </c>
      <c r="G71" s="14"/>
      <c r="H71" s="14">
        <f t="shared" si="46"/>
        <v>0</v>
      </c>
      <c r="I71" s="14">
        <f>J71-H71</f>
        <v>0</v>
      </c>
      <c r="J71" s="14">
        <f>F71*G71</f>
        <v>0</v>
      </c>
      <c r="K71" s="136">
        <v>3.1220000000000001E-2</v>
      </c>
      <c r="L71" s="14">
        <f>F71*K71</f>
        <v>0</v>
      </c>
      <c r="M71" s="20" t="s">
        <v>6</v>
      </c>
      <c r="N71" s="14">
        <f t="shared" si="50"/>
        <v>0</v>
      </c>
      <c r="Y71" s="81">
        <f t="shared" si="51"/>
        <v>0</v>
      </c>
      <c r="Z71" s="81">
        <f t="shared" si="52"/>
        <v>0</v>
      </c>
      <c r="AA71" s="81">
        <f t="shared" si="53"/>
        <v>0</v>
      </c>
      <c r="AC71" s="24">
        <v>15</v>
      </c>
      <c r="AD71" s="84">
        <f>G71*0.81143570536829</f>
        <v>0</v>
      </c>
      <c r="AE71" s="84">
        <f>G71*(1-0.81143570536829)</f>
        <v>0</v>
      </c>
      <c r="AL71" s="24">
        <f t="shared" si="54"/>
        <v>0</v>
      </c>
      <c r="AM71" s="24">
        <f t="shared" si="55"/>
        <v>0</v>
      </c>
      <c r="AN71" s="25" t="s">
        <v>319</v>
      </c>
      <c r="AO71" s="25" t="s">
        <v>334</v>
      </c>
      <c r="AP71" s="19" t="s">
        <v>339</v>
      </c>
      <c r="AR71" s="75" t="s">
        <v>726</v>
      </c>
      <c r="AS71" s="160">
        <v>3.1220000000000001E-2</v>
      </c>
    </row>
    <row r="72" spans="1:47" hidden="1">
      <c r="A72" s="4" t="s">
        <v>56</v>
      </c>
      <c r="B72" s="4"/>
      <c r="C72" s="4" t="s">
        <v>119</v>
      </c>
      <c r="D72" s="4" t="s">
        <v>210</v>
      </c>
      <c r="E72" s="4" t="s">
        <v>287</v>
      </c>
      <c r="F72" s="14">
        <v>0</v>
      </c>
      <c r="G72" s="151"/>
      <c r="H72" s="14">
        <f t="shared" si="46"/>
        <v>0</v>
      </c>
      <c r="I72" s="14">
        <f t="shared" si="47"/>
        <v>0</v>
      </c>
      <c r="J72" s="14">
        <f t="shared" si="48"/>
        <v>0</v>
      </c>
      <c r="K72" s="136">
        <v>1.9460000000000002E-2</v>
      </c>
      <c r="L72" s="14">
        <f t="shared" si="49"/>
        <v>0</v>
      </c>
      <c r="M72" s="20" t="s">
        <v>6</v>
      </c>
      <c r="N72" s="14">
        <f t="shared" si="50"/>
        <v>0</v>
      </c>
      <c r="Y72" s="81">
        <f t="shared" si="51"/>
        <v>0</v>
      </c>
      <c r="Z72" s="81">
        <f t="shared" si="52"/>
        <v>0</v>
      </c>
      <c r="AA72" s="81">
        <f t="shared" si="53"/>
        <v>0</v>
      </c>
      <c r="AC72" s="24">
        <v>15</v>
      </c>
      <c r="AD72" s="84">
        <f t="shared" si="9"/>
        <v>0</v>
      </c>
      <c r="AE72" s="84">
        <f t="shared" si="10"/>
        <v>0</v>
      </c>
      <c r="AL72" s="24">
        <f t="shared" si="54"/>
        <v>0</v>
      </c>
      <c r="AM72" s="24">
        <f t="shared" si="55"/>
        <v>0</v>
      </c>
      <c r="AN72" s="25" t="s">
        <v>319</v>
      </c>
      <c r="AO72" s="25" t="s">
        <v>334</v>
      </c>
      <c r="AP72" s="19" t="s">
        <v>339</v>
      </c>
      <c r="AR72" s="75" t="s">
        <v>728</v>
      </c>
      <c r="AS72" s="160">
        <v>1.9460000000000002E-2</v>
      </c>
    </row>
    <row r="73" spans="1:47" hidden="1">
      <c r="A73" s="4" t="s">
        <v>57</v>
      </c>
      <c r="B73" s="4"/>
      <c r="C73" s="4" t="s">
        <v>117</v>
      </c>
      <c r="D73" s="4" t="s">
        <v>924</v>
      </c>
      <c r="E73" s="4" t="s">
        <v>287</v>
      </c>
      <c r="F73" s="14">
        <v>0</v>
      </c>
      <c r="G73" s="151"/>
      <c r="H73" s="14">
        <f t="shared" si="46"/>
        <v>0</v>
      </c>
      <c r="I73" s="14">
        <f t="shared" si="47"/>
        <v>0</v>
      </c>
      <c r="J73" s="14">
        <f t="shared" si="48"/>
        <v>0</v>
      </c>
      <c r="K73" s="136">
        <v>1.7010000000000001E-2</v>
      </c>
      <c r="L73" s="14">
        <f t="shared" si="49"/>
        <v>0</v>
      </c>
      <c r="M73" s="20" t="s">
        <v>6</v>
      </c>
      <c r="N73" s="14">
        <f t="shared" si="50"/>
        <v>0</v>
      </c>
      <c r="Y73" s="81">
        <f t="shared" si="51"/>
        <v>0</v>
      </c>
      <c r="Z73" s="81">
        <f t="shared" si="52"/>
        <v>0</v>
      </c>
      <c r="AA73" s="81">
        <f t="shared" si="53"/>
        <v>0</v>
      </c>
      <c r="AC73" s="24">
        <v>15</v>
      </c>
      <c r="AD73" s="84">
        <f t="shared" si="9"/>
        <v>0</v>
      </c>
      <c r="AE73" s="84">
        <f t="shared" si="10"/>
        <v>0</v>
      </c>
      <c r="AL73" s="24">
        <f t="shared" si="54"/>
        <v>0</v>
      </c>
      <c r="AM73" s="24">
        <f t="shared" si="55"/>
        <v>0</v>
      </c>
      <c r="AN73" s="25" t="s">
        <v>319</v>
      </c>
      <c r="AO73" s="25" t="s">
        <v>334</v>
      </c>
      <c r="AP73" s="19" t="s">
        <v>339</v>
      </c>
      <c r="AR73" s="75" t="s">
        <v>726</v>
      </c>
      <c r="AS73" s="160">
        <v>1.7010000000000001E-2</v>
      </c>
    </row>
    <row r="74" spans="1:47" hidden="1">
      <c r="A74" s="4" t="s">
        <v>483</v>
      </c>
      <c r="B74" s="4"/>
      <c r="C74" s="4" t="s">
        <v>117</v>
      </c>
      <c r="D74" s="4" t="s">
        <v>923</v>
      </c>
      <c r="E74" s="4" t="s">
        <v>287</v>
      </c>
      <c r="F74" s="14">
        <v>0</v>
      </c>
      <c r="G74" s="151"/>
      <c r="H74" s="14">
        <f t="shared" si="46"/>
        <v>0</v>
      </c>
      <c r="I74" s="14">
        <f>J74-H74</f>
        <v>0</v>
      </c>
      <c r="J74" s="14">
        <f t="shared" si="48"/>
        <v>0</v>
      </c>
      <c r="K74" s="136">
        <v>1.7010000000000001E-2</v>
      </c>
      <c r="L74" s="14">
        <f t="shared" si="49"/>
        <v>0</v>
      </c>
      <c r="M74" s="20" t="s">
        <v>6</v>
      </c>
      <c r="N74" s="14">
        <f t="shared" si="50"/>
        <v>0</v>
      </c>
      <c r="Y74" s="81">
        <f t="shared" si="51"/>
        <v>0</v>
      </c>
      <c r="Z74" s="81">
        <f t="shared" si="52"/>
        <v>0</v>
      </c>
      <c r="AA74" s="81">
        <f t="shared" si="53"/>
        <v>0</v>
      </c>
      <c r="AC74" s="24">
        <v>15</v>
      </c>
      <c r="AD74" s="84">
        <f t="shared" si="9"/>
        <v>0</v>
      </c>
      <c r="AE74" s="84">
        <f t="shared" si="10"/>
        <v>0</v>
      </c>
      <c r="AL74" s="24">
        <f t="shared" si="54"/>
        <v>0</v>
      </c>
      <c r="AM74" s="24">
        <f t="shared" si="55"/>
        <v>0</v>
      </c>
      <c r="AN74" s="25" t="s">
        <v>319</v>
      </c>
      <c r="AO74" s="25" t="s">
        <v>334</v>
      </c>
      <c r="AP74" s="19" t="s">
        <v>339</v>
      </c>
      <c r="AR74" s="75" t="s">
        <v>726</v>
      </c>
      <c r="AS74" s="160">
        <v>1.7010000000000001E-2</v>
      </c>
    </row>
    <row r="75" spans="1:47" s="104" customFormat="1" hidden="1">
      <c r="A75" s="4" t="s">
        <v>484</v>
      </c>
      <c r="B75" s="80"/>
      <c r="C75" s="80" t="s">
        <v>562</v>
      </c>
      <c r="D75" s="80" t="s">
        <v>563</v>
      </c>
      <c r="E75" s="80" t="s">
        <v>287</v>
      </c>
      <c r="F75" s="14">
        <v>0</v>
      </c>
      <c r="G75" s="196"/>
      <c r="H75" s="81">
        <f t="shared" si="46"/>
        <v>0</v>
      </c>
      <c r="I75" s="81">
        <f t="shared" si="47"/>
        <v>0</v>
      </c>
      <c r="J75" s="14">
        <f t="shared" si="48"/>
        <v>0</v>
      </c>
      <c r="K75" s="135">
        <v>4.4999999999999998E-2</v>
      </c>
      <c r="L75" s="81">
        <f t="shared" si="49"/>
        <v>0</v>
      </c>
      <c r="M75" s="82" t="s">
        <v>6</v>
      </c>
      <c r="N75" s="81">
        <f t="shared" si="50"/>
        <v>0</v>
      </c>
      <c r="Y75" s="81">
        <f t="shared" si="51"/>
        <v>0</v>
      </c>
      <c r="Z75" s="81">
        <f t="shared" si="52"/>
        <v>0</v>
      </c>
      <c r="AA75" s="81">
        <f t="shared" si="53"/>
        <v>0</v>
      </c>
      <c r="AC75" s="84">
        <v>15</v>
      </c>
      <c r="AD75" s="84">
        <f t="shared" si="9"/>
        <v>0</v>
      </c>
      <c r="AE75" s="84">
        <f t="shared" si="10"/>
        <v>0</v>
      </c>
      <c r="AL75" s="84">
        <f t="shared" si="54"/>
        <v>0</v>
      </c>
      <c r="AM75" s="84">
        <f t="shared" si="55"/>
        <v>0</v>
      </c>
      <c r="AN75" s="85" t="s">
        <v>319</v>
      </c>
      <c r="AO75" s="85" t="s">
        <v>334</v>
      </c>
      <c r="AP75" s="105" t="s">
        <v>339</v>
      </c>
      <c r="AR75" s="75" t="s">
        <v>726</v>
      </c>
      <c r="AS75" s="160">
        <v>4.4999999999999998E-2</v>
      </c>
      <c r="AU75" s="227"/>
    </row>
    <row r="76" spans="1:47" hidden="1">
      <c r="A76" s="4" t="s">
        <v>485</v>
      </c>
      <c r="B76" s="4"/>
      <c r="C76" s="4" t="s">
        <v>532</v>
      </c>
      <c r="D76" s="4" t="s">
        <v>533</v>
      </c>
      <c r="E76" s="4" t="s">
        <v>285</v>
      </c>
      <c r="F76" s="14">
        <v>0</v>
      </c>
      <c r="G76" s="151"/>
      <c r="H76" s="14">
        <f t="shared" si="46"/>
        <v>0</v>
      </c>
      <c r="I76" s="14">
        <f t="shared" si="47"/>
        <v>0</v>
      </c>
      <c r="J76" s="14">
        <f t="shared" si="48"/>
        <v>0</v>
      </c>
      <c r="K76" s="136">
        <v>2.2000000000000001E-4</v>
      </c>
      <c r="L76" s="14">
        <f t="shared" si="49"/>
        <v>0</v>
      </c>
      <c r="M76" s="20" t="s">
        <v>6</v>
      </c>
      <c r="N76" s="14">
        <f t="shared" si="50"/>
        <v>0</v>
      </c>
      <c r="Y76" s="81">
        <f t="shared" si="51"/>
        <v>0</v>
      </c>
      <c r="Z76" s="81">
        <f t="shared" si="52"/>
        <v>0</v>
      </c>
      <c r="AA76" s="81">
        <f t="shared" si="53"/>
        <v>0</v>
      </c>
      <c r="AC76" s="24">
        <v>15</v>
      </c>
      <c r="AD76" s="84">
        <f t="shared" si="9"/>
        <v>0</v>
      </c>
      <c r="AE76" s="84">
        <f t="shared" si="10"/>
        <v>0</v>
      </c>
      <c r="AL76" s="24">
        <f t="shared" si="54"/>
        <v>0</v>
      </c>
      <c r="AM76" s="24">
        <f t="shared" si="55"/>
        <v>0</v>
      </c>
      <c r="AN76" s="25" t="s">
        <v>319</v>
      </c>
      <c r="AO76" s="25" t="s">
        <v>334</v>
      </c>
      <c r="AP76" s="19" t="s">
        <v>339</v>
      </c>
      <c r="AR76" s="75" t="s">
        <v>728</v>
      </c>
      <c r="AS76" s="160">
        <v>2.2000000000000001E-4</v>
      </c>
    </row>
    <row r="77" spans="1:47" s="75" customFormat="1" hidden="1">
      <c r="A77" s="4" t="s">
        <v>58</v>
      </c>
      <c r="B77" s="4"/>
      <c r="C77" s="4" t="s">
        <v>125</v>
      </c>
      <c r="D77" s="4" t="s">
        <v>213</v>
      </c>
      <c r="E77" s="4" t="s">
        <v>285</v>
      </c>
      <c r="F77" s="14">
        <v>0</v>
      </c>
      <c r="G77" s="151"/>
      <c r="H77" s="14">
        <f t="shared" si="46"/>
        <v>0</v>
      </c>
      <c r="I77" s="14">
        <f t="shared" si="47"/>
        <v>0</v>
      </c>
      <c r="J77" s="14">
        <f t="shared" si="48"/>
        <v>0</v>
      </c>
      <c r="K77" s="136">
        <v>4.0999999999999999E-4</v>
      </c>
      <c r="L77" s="14">
        <f t="shared" si="49"/>
        <v>0</v>
      </c>
      <c r="M77" s="20" t="s">
        <v>6</v>
      </c>
      <c r="N77" s="14">
        <f t="shared" si="50"/>
        <v>0</v>
      </c>
      <c r="Y77" s="81">
        <f t="shared" si="51"/>
        <v>0</v>
      </c>
      <c r="Z77" s="81">
        <f t="shared" si="52"/>
        <v>0</v>
      </c>
      <c r="AA77" s="81">
        <f t="shared" si="53"/>
        <v>0</v>
      </c>
      <c r="AC77" s="24">
        <v>15</v>
      </c>
      <c r="AD77" s="84">
        <f t="shared" si="9"/>
        <v>0</v>
      </c>
      <c r="AE77" s="84">
        <f t="shared" si="10"/>
        <v>0</v>
      </c>
      <c r="AL77" s="24">
        <f t="shared" si="54"/>
        <v>0</v>
      </c>
      <c r="AM77" s="24">
        <f t="shared" si="55"/>
        <v>0</v>
      </c>
      <c r="AN77" s="25" t="s">
        <v>319</v>
      </c>
      <c r="AO77" s="25" t="s">
        <v>334</v>
      </c>
      <c r="AP77" s="76" t="s">
        <v>339</v>
      </c>
      <c r="AR77" s="75" t="s">
        <v>728</v>
      </c>
      <c r="AS77" s="160">
        <v>4.0999999999999999E-4</v>
      </c>
      <c r="AU77" s="229"/>
    </row>
    <row r="78" spans="1:47" s="83" customFormat="1" hidden="1">
      <c r="A78" s="4" t="s">
        <v>59</v>
      </c>
      <c r="B78" s="80"/>
      <c r="C78" s="4" t="s">
        <v>721</v>
      </c>
      <c r="D78" s="4" t="s">
        <v>720</v>
      </c>
      <c r="E78" s="80" t="s">
        <v>287</v>
      </c>
      <c r="F78" s="14">
        <v>0</v>
      </c>
      <c r="G78" s="151"/>
      <c r="H78" s="81">
        <f t="shared" si="46"/>
        <v>0</v>
      </c>
      <c r="I78" s="81">
        <f t="shared" si="47"/>
        <v>0</v>
      </c>
      <c r="J78" s="14">
        <f t="shared" si="48"/>
        <v>0</v>
      </c>
      <c r="K78" s="135">
        <v>0.01</v>
      </c>
      <c r="L78" s="81">
        <f t="shared" si="49"/>
        <v>0</v>
      </c>
      <c r="M78" s="82" t="s">
        <v>6</v>
      </c>
      <c r="N78" s="81">
        <f t="shared" si="50"/>
        <v>0</v>
      </c>
      <c r="Y78" s="81">
        <f t="shared" si="51"/>
        <v>0</v>
      </c>
      <c r="Z78" s="81">
        <f t="shared" si="52"/>
        <v>0</v>
      </c>
      <c r="AA78" s="81">
        <f t="shared" si="53"/>
        <v>0</v>
      </c>
      <c r="AC78" s="84">
        <v>15</v>
      </c>
      <c r="AD78" s="84">
        <f t="shared" si="9"/>
        <v>0</v>
      </c>
      <c r="AE78" s="84">
        <f t="shared" si="10"/>
        <v>0</v>
      </c>
      <c r="AL78" s="84">
        <f t="shared" si="54"/>
        <v>0</v>
      </c>
      <c r="AM78" s="84">
        <f t="shared" si="55"/>
        <v>0</v>
      </c>
      <c r="AN78" s="85" t="s">
        <v>319</v>
      </c>
      <c r="AO78" s="85" t="s">
        <v>334</v>
      </c>
      <c r="AP78" s="86" t="s">
        <v>339</v>
      </c>
      <c r="AR78" t="s">
        <v>726</v>
      </c>
      <c r="AS78" s="160">
        <v>0.01</v>
      </c>
      <c r="AU78" s="228"/>
    </row>
    <row r="79" spans="1:47" hidden="1">
      <c r="A79" s="4" t="s">
        <v>60</v>
      </c>
      <c r="B79" s="4"/>
      <c r="C79" s="93" t="s">
        <v>124</v>
      </c>
      <c r="D79" s="93" t="s">
        <v>702</v>
      </c>
      <c r="E79" s="93" t="s">
        <v>285</v>
      </c>
      <c r="F79" s="14">
        <v>0</v>
      </c>
      <c r="G79" s="151"/>
      <c r="H79" s="14">
        <f t="shared" si="46"/>
        <v>0</v>
      </c>
      <c r="I79" s="14">
        <f>J79-H79</f>
        <v>0</v>
      </c>
      <c r="J79" s="14">
        <f t="shared" si="48"/>
        <v>0</v>
      </c>
      <c r="K79" s="136">
        <v>2.2499999999999998E-3</v>
      </c>
      <c r="L79" s="14">
        <f t="shared" si="49"/>
        <v>0</v>
      </c>
      <c r="M79" s="20" t="s">
        <v>6</v>
      </c>
      <c r="N79" s="14">
        <f t="shared" si="50"/>
        <v>0</v>
      </c>
      <c r="Y79" s="81">
        <f t="shared" si="51"/>
        <v>0</v>
      </c>
      <c r="Z79" s="81">
        <f t="shared" si="52"/>
        <v>0</v>
      </c>
      <c r="AA79" s="81">
        <f t="shared" si="53"/>
        <v>0</v>
      </c>
      <c r="AC79" s="24">
        <v>15</v>
      </c>
      <c r="AD79" s="84">
        <f t="shared" si="9"/>
        <v>0</v>
      </c>
      <c r="AE79" s="84">
        <f t="shared" si="10"/>
        <v>0</v>
      </c>
      <c r="AL79" s="24">
        <f t="shared" si="54"/>
        <v>0</v>
      </c>
      <c r="AM79" s="24">
        <f t="shared" si="55"/>
        <v>0</v>
      </c>
      <c r="AN79" s="25" t="s">
        <v>319</v>
      </c>
      <c r="AO79" s="25" t="s">
        <v>334</v>
      </c>
      <c r="AP79" s="19" t="s">
        <v>339</v>
      </c>
      <c r="AR79" s="75" t="s">
        <v>732</v>
      </c>
      <c r="AS79" s="160">
        <v>2.2499999999999998E-3</v>
      </c>
    </row>
    <row r="80" spans="1:47" hidden="1">
      <c r="A80" s="4" t="s">
        <v>61</v>
      </c>
      <c r="B80" s="4"/>
      <c r="C80" s="4" t="s">
        <v>122</v>
      </c>
      <c r="D80" s="4" t="s">
        <v>212</v>
      </c>
      <c r="E80" s="4" t="s">
        <v>285</v>
      </c>
      <c r="F80" s="14">
        <v>0</v>
      </c>
      <c r="G80" s="151"/>
      <c r="H80" s="14">
        <f t="shared" si="46"/>
        <v>0</v>
      </c>
      <c r="I80" s="14">
        <f t="shared" si="47"/>
        <v>0</v>
      </c>
      <c r="J80" s="14">
        <f t="shared" si="48"/>
        <v>0</v>
      </c>
      <c r="K80" s="136">
        <v>8.5000000000000006E-3</v>
      </c>
      <c r="L80" s="14">
        <f t="shared" si="49"/>
        <v>0</v>
      </c>
      <c r="M80" s="20" t="s">
        <v>6</v>
      </c>
      <c r="N80" s="14">
        <f t="shared" si="50"/>
        <v>0</v>
      </c>
      <c r="Y80" s="81">
        <f t="shared" si="51"/>
        <v>0</v>
      </c>
      <c r="Z80" s="81">
        <f t="shared" si="52"/>
        <v>0</v>
      </c>
      <c r="AA80" s="81">
        <f t="shared" si="53"/>
        <v>0</v>
      </c>
      <c r="AC80" s="24">
        <v>15</v>
      </c>
      <c r="AD80" s="84">
        <f t="shared" si="9"/>
        <v>0</v>
      </c>
      <c r="AE80" s="84">
        <f t="shared" si="10"/>
        <v>0</v>
      </c>
      <c r="AL80" s="24">
        <f t="shared" si="54"/>
        <v>0</v>
      </c>
      <c r="AM80" s="24">
        <f t="shared" si="55"/>
        <v>0</v>
      </c>
      <c r="AN80" s="25" t="s">
        <v>319</v>
      </c>
      <c r="AO80" s="25" t="s">
        <v>334</v>
      </c>
      <c r="AP80" s="19" t="s">
        <v>339</v>
      </c>
      <c r="AR80" s="75" t="s">
        <v>728</v>
      </c>
      <c r="AS80" s="160">
        <v>8.5000000000000006E-3</v>
      </c>
    </row>
    <row r="81" spans="1:47" s="83" customFormat="1" hidden="1">
      <c r="A81" s="4" t="s">
        <v>62</v>
      </c>
      <c r="B81" s="80"/>
      <c r="C81" s="93" t="s">
        <v>566</v>
      </c>
      <c r="D81" s="93" t="s">
        <v>700</v>
      </c>
      <c r="E81" s="93" t="s">
        <v>285</v>
      </c>
      <c r="F81" s="14">
        <v>0</v>
      </c>
      <c r="G81" s="151"/>
      <c r="H81" s="81">
        <f t="shared" si="46"/>
        <v>0</v>
      </c>
      <c r="I81" s="81">
        <f t="shared" si="47"/>
        <v>0</v>
      </c>
      <c r="J81" s="14">
        <f t="shared" si="48"/>
        <v>0</v>
      </c>
      <c r="K81" s="135">
        <v>4.0000000000000003E-5</v>
      </c>
      <c r="L81" s="81">
        <f t="shared" si="49"/>
        <v>0</v>
      </c>
      <c r="M81" s="82" t="s">
        <v>6</v>
      </c>
      <c r="N81" s="81">
        <f t="shared" si="50"/>
        <v>0</v>
      </c>
      <c r="Y81" s="81">
        <f t="shared" si="51"/>
        <v>0</v>
      </c>
      <c r="Z81" s="81">
        <f t="shared" si="52"/>
        <v>0</v>
      </c>
      <c r="AA81" s="81">
        <f t="shared" si="53"/>
        <v>0</v>
      </c>
      <c r="AC81" s="84">
        <v>15</v>
      </c>
      <c r="AD81" s="84">
        <f t="shared" si="9"/>
        <v>0</v>
      </c>
      <c r="AE81" s="84">
        <f t="shared" si="10"/>
        <v>0</v>
      </c>
      <c r="AL81" s="84">
        <f t="shared" si="54"/>
        <v>0</v>
      </c>
      <c r="AM81" s="84">
        <f t="shared" si="55"/>
        <v>0</v>
      </c>
      <c r="AN81" s="85" t="s">
        <v>319</v>
      </c>
      <c r="AO81" s="85" t="s">
        <v>334</v>
      </c>
      <c r="AP81" s="86" t="s">
        <v>339</v>
      </c>
      <c r="AR81" t="s">
        <v>733</v>
      </c>
      <c r="AS81" s="160">
        <v>4.0000000000000003E-5</v>
      </c>
      <c r="AU81" s="228"/>
    </row>
    <row r="82" spans="1:47" hidden="1">
      <c r="A82" s="4" t="s">
        <v>486</v>
      </c>
      <c r="B82" s="4"/>
      <c r="C82" s="4" t="s">
        <v>120</v>
      </c>
      <c r="D82" s="4" t="s">
        <v>211</v>
      </c>
      <c r="E82" s="4" t="s">
        <v>287</v>
      </c>
      <c r="F82" s="14">
        <v>0</v>
      </c>
      <c r="G82" s="151"/>
      <c r="H82" s="14">
        <f t="shared" si="46"/>
        <v>0</v>
      </c>
      <c r="I82" s="14">
        <f t="shared" si="47"/>
        <v>0</v>
      </c>
      <c r="J82" s="14">
        <f t="shared" si="48"/>
        <v>0</v>
      </c>
      <c r="K82" s="136">
        <v>3.2899999999999999E-2</v>
      </c>
      <c r="L82" s="14">
        <f t="shared" si="49"/>
        <v>0</v>
      </c>
      <c r="M82" s="20" t="s">
        <v>6</v>
      </c>
      <c r="N82" s="14">
        <f t="shared" si="50"/>
        <v>0</v>
      </c>
      <c r="Y82" s="81">
        <f t="shared" si="51"/>
        <v>0</v>
      </c>
      <c r="Z82" s="81">
        <f t="shared" si="52"/>
        <v>0</v>
      </c>
      <c r="AA82" s="81">
        <f t="shared" si="53"/>
        <v>0</v>
      </c>
      <c r="AC82" s="24">
        <v>15</v>
      </c>
      <c r="AD82" s="84">
        <f t="shared" si="9"/>
        <v>0</v>
      </c>
      <c r="AE82" s="84">
        <f t="shared" si="10"/>
        <v>0</v>
      </c>
      <c r="AL82" s="24">
        <f t="shared" si="54"/>
        <v>0</v>
      </c>
      <c r="AM82" s="24">
        <f t="shared" si="55"/>
        <v>0</v>
      </c>
      <c r="AN82" s="25" t="s">
        <v>319</v>
      </c>
      <c r="AO82" s="25" t="s">
        <v>334</v>
      </c>
      <c r="AP82" s="19" t="s">
        <v>339</v>
      </c>
      <c r="AR82" s="75" t="s">
        <v>728</v>
      </c>
      <c r="AS82" s="160">
        <v>3.2899999999999999E-2</v>
      </c>
    </row>
    <row r="83" spans="1:47" s="113" customFormat="1" hidden="1">
      <c r="A83" s="4" t="s">
        <v>63</v>
      </c>
      <c r="B83" s="77"/>
      <c r="C83" s="77" t="s">
        <v>118</v>
      </c>
      <c r="D83" s="210" t="s">
        <v>984</v>
      </c>
      <c r="E83" s="77" t="s">
        <v>287</v>
      </c>
      <c r="F83" s="78">
        <v>0</v>
      </c>
      <c r="G83" s="151"/>
      <c r="H83" s="78">
        <f t="shared" si="46"/>
        <v>0</v>
      </c>
      <c r="I83" s="78">
        <f t="shared" si="47"/>
        <v>0</v>
      </c>
      <c r="J83" s="14">
        <f t="shared" si="48"/>
        <v>0</v>
      </c>
      <c r="K83" s="145">
        <v>4.6780000000000002E-2</v>
      </c>
      <c r="L83" s="78">
        <f t="shared" si="49"/>
        <v>0</v>
      </c>
      <c r="M83" s="79" t="s">
        <v>6</v>
      </c>
      <c r="N83" s="78">
        <f t="shared" si="50"/>
        <v>0</v>
      </c>
      <c r="Y83" s="81">
        <f t="shared" si="51"/>
        <v>0</v>
      </c>
      <c r="Z83" s="81">
        <f t="shared" si="52"/>
        <v>0</v>
      </c>
      <c r="AA83" s="81">
        <f t="shared" si="53"/>
        <v>0</v>
      </c>
      <c r="AC83" s="78">
        <v>15</v>
      </c>
      <c r="AD83" s="84">
        <f t="shared" ref="AD83:AD147" si="56">G83*0.81143570536829</f>
        <v>0</v>
      </c>
      <c r="AE83" s="84">
        <f t="shared" ref="AE83:AE147" si="57">G83*(1-0.81143570536829)</f>
        <v>0</v>
      </c>
      <c r="AL83" s="78">
        <f t="shared" si="54"/>
        <v>0</v>
      </c>
      <c r="AM83" s="78">
        <f t="shared" si="55"/>
        <v>0</v>
      </c>
      <c r="AN83" s="79" t="s">
        <v>319</v>
      </c>
      <c r="AO83" s="79" t="s">
        <v>334</v>
      </c>
      <c r="AP83" s="114" t="s">
        <v>339</v>
      </c>
      <c r="AR83" s="75" t="s">
        <v>728</v>
      </c>
      <c r="AS83" s="165">
        <v>4.6780000000000002E-2</v>
      </c>
      <c r="AU83" s="235"/>
    </row>
    <row r="84" spans="1:47" s="113" customFormat="1" hidden="1">
      <c r="A84" s="4" t="s">
        <v>487</v>
      </c>
      <c r="B84" s="77"/>
      <c r="C84" s="77" t="s">
        <v>121</v>
      </c>
      <c r="D84" s="210" t="s">
        <v>983</v>
      </c>
      <c r="E84" s="77" t="s">
        <v>287</v>
      </c>
      <c r="F84" s="78">
        <v>0</v>
      </c>
      <c r="G84" s="151"/>
      <c r="H84" s="78">
        <f t="shared" si="46"/>
        <v>0</v>
      </c>
      <c r="I84" s="78">
        <f t="shared" si="47"/>
        <v>0</v>
      </c>
      <c r="J84" s="14">
        <f t="shared" si="48"/>
        <v>0</v>
      </c>
      <c r="K84" s="145">
        <v>4.7050000000000002E-2</v>
      </c>
      <c r="L84" s="78">
        <f t="shared" si="49"/>
        <v>0</v>
      </c>
      <c r="M84" s="79" t="s">
        <v>6</v>
      </c>
      <c r="N84" s="78">
        <f t="shared" si="50"/>
        <v>0</v>
      </c>
      <c r="Y84" s="81">
        <f t="shared" si="51"/>
        <v>0</v>
      </c>
      <c r="Z84" s="81">
        <f t="shared" si="52"/>
        <v>0</v>
      </c>
      <c r="AA84" s="81">
        <f t="shared" si="53"/>
        <v>0</v>
      </c>
      <c r="AC84" s="78">
        <v>15</v>
      </c>
      <c r="AD84" s="84">
        <f t="shared" si="56"/>
        <v>0</v>
      </c>
      <c r="AE84" s="84">
        <f t="shared" si="57"/>
        <v>0</v>
      </c>
      <c r="AL84" s="78">
        <f t="shared" si="54"/>
        <v>0</v>
      </c>
      <c r="AM84" s="78">
        <f t="shared" si="55"/>
        <v>0</v>
      </c>
      <c r="AN84" s="79" t="s">
        <v>319</v>
      </c>
      <c r="AO84" s="79" t="s">
        <v>334</v>
      </c>
      <c r="AP84" s="114" t="s">
        <v>339</v>
      </c>
      <c r="AR84" s="75" t="s">
        <v>728</v>
      </c>
      <c r="AS84" s="165">
        <v>4.7050000000000002E-2</v>
      </c>
      <c r="AU84" s="235"/>
    </row>
    <row r="85" spans="1:47" s="104" customFormat="1" hidden="1">
      <c r="A85" s="4" t="s">
        <v>64</v>
      </c>
      <c r="B85" s="90"/>
      <c r="C85" s="90" t="s">
        <v>624</v>
      </c>
      <c r="D85" s="90" t="s">
        <v>625</v>
      </c>
      <c r="E85" s="90" t="s">
        <v>626</v>
      </c>
      <c r="F85" s="15">
        <v>0</v>
      </c>
      <c r="G85" s="151"/>
      <c r="H85" s="91">
        <f t="shared" si="46"/>
        <v>0</v>
      </c>
      <c r="I85" s="91">
        <f t="shared" ref="I85:I104" si="58">J85-H85</f>
        <v>0</v>
      </c>
      <c r="J85" s="14">
        <f t="shared" si="48"/>
        <v>0</v>
      </c>
      <c r="K85" s="144">
        <v>4.1999999999999997E-3</v>
      </c>
      <c r="L85" s="91">
        <f t="shared" si="49"/>
        <v>0</v>
      </c>
      <c r="M85" s="92" t="s">
        <v>302</v>
      </c>
      <c r="N85" s="91">
        <f t="shared" si="50"/>
        <v>0</v>
      </c>
      <c r="Y85" s="81">
        <f t="shared" si="51"/>
        <v>0</v>
      </c>
      <c r="Z85" s="81">
        <f t="shared" si="52"/>
        <v>0</v>
      </c>
      <c r="AA85" s="81">
        <f t="shared" si="53"/>
        <v>0</v>
      </c>
      <c r="AC85" s="84">
        <v>15</v>
      </c>
      <c r="AD85" s="84">
        <f t="shared" si="56"/>
        <v>0</v>
      </c>
      <c r="AE85" s="84">
        <f t="shared" si="57"/>
        <v>0</v>
      </c>
      <c r="AL85" s="84">
        <f t="shared" si="54"/>
        <v>0</v>
      </c>
      <c r="AM85" s="84">
        <f t="shared" si="55"/>
        <v>0</v>
      </c>
      <c r="AN85" s="85" t="s">
        <v>622</v>
      </c>
      <c r="AO85" s="85" t="s">
        <v>339</v>
      </c>
      <c r="AP85" s="105" t="s">
        <v>339</v>
      </c>
      <c r="AR85" s="75" t="s">
        <v>728</v>
      </c>
      <c r="AS85" s="161">
        <v>4.1999999999999997E-3</v>
      </c>
      <c r="AU85" s="227"/>
    </row>
    <row r="86" spans="1:47" s="75" customFormat="1" hidden="1">
      <c r="A86" s="4" t="s">
        <v>488</v>
      </c>
      <c r="B86" s="4"/>
      <c r="C86" s="4" t="s">
        <v>127</v>
      </c>
      <c r="D86" s="4" t="s">
        <v>215</v>
      </c>
      <c r="E86" s="4" t="s">
        <v>285</v>
      </c>
      <c r="F86" s="14">
        <v>0</v>
      </c>
      <c r="G86" s="151"/>
      <c r="H86" s="14">
        <f t="shared" si="46"/>
        <v>0</v>
      </c>
      <c r="I86" s="14">
        <f t="shared" si="58"/>
        <v>0</v>
      </c>
      <c r="J86" s="14">
        <f t="shared" si="48"/>
        <v>0</v>
      </c>
      <c r="K86" s="136">
        <v>9.0000000000000006E-5</v>
      </c>
      <c r="L86" s="14">
        <f t="shared" si="49"/>
        <v>0</v>
      </c>
      <c r="M86" s="20" t="s">
        <v>6</v>
      </c>
      <c r="N86" s="14">
        <f t="shared" si="50"/>
        <v>0</v>
      </c>
      <c r="Y86" s="81">
        <f t="shared" si="51"/>
        <v>0</v>
      </c>
      <c r="Z86" s="81">
        <f t="shared" si="52"/>
        <v>0</v>
      </c>
      <c r="AA86" s="81">
        <f t="shared" si="53"/>
        <v>0</v>
      </c>
      <c r="AC86" s="24">
        <v>15</v>
      </c>
      <c r="AD86" s="84">
        <f t="shared" si="56"/>
        <v>0</v>
      </c>
      <c r="AE86" s="84">
        <f t="shared" si="57"/>
        <v>0</v>
      </c>
      <c r="AL86" s="24">
        <f t="shared" si="54"/>
        <v>0</v>
      </c>
      <c r="AM86" s="24">
        <f t="shared" si="55"/>
        <v>0</v>
      </c>
      <c r="AN86" s="25" t="s">
        <v>319</v>
      </c>
      <c r="AO86" s="25" t="s">
        <v>334</v>
      </c>
      <c r="AP86" s="76" t="s">
        <v>339</v>
      </c>
      <c r="AR86" s="75" t="s">
        <v>728</v>
      </c>
      <c r="AS86" s="160">
        <v>9.0000000000000006E-5</v>
      </c>
      <c r="AU86" s="229"/>
    </row>
    <row r="87" spans="1:47" s="109" customFormat="1" hidden="1">
      <c r="A87" s="4" t="s">
        <v>65</v>
      </c>
      <c r="B87" s="60"/>
      <c r="C87" s="93" t="s">
        <v>500</v>
      </c>
      <c r="D87" s="93" t="s">
        <v>704</v>
      </c>
      <c r="E87" s="93" t="s">
        <v>287</v>
      </c>
      <c r="F87" s="14">
        <v>0</v>
      </c>
      <c r="G87" s="151"/>
      <c r="H87" s="61">
        <f t="shared" si="46"/>
        <v>0</v>
      </c>
      <c r="I87" s="61">
        <f t="shared" si="58"/>
        <v>0</v>
      </c>
      <c r="J87" s="14">
        <f t="shared" si="48"/>
        <v>0</v>
      </c>
      <c r="K87" s="140">
        <v>6.2E-4</v>
      </c>
      <c r="L87" s="61">
        <f t="shared" si="49"/>
        <v>0</v>
      </c>
      <c r="M87" s="62" t="s">
        <v>6</v>
      </c>
      <c r="N87" s="61">
        <f t="shared" si="50"/>
        <v>0</v>
      </c>
      <c r="Y87" s="81">
        <f t="shared" si="51"/>
        <v>0</v>
      </c>
      <c r="Z87" s="81">
        <f t="shared" si="52"/>
        <v>0</v>
      </c>
      <c r="AA87" s="81">
        <f t="shared" si="53"/>
        <v>0</v>
      </c>
      <c r="AC87" s="64">
        <v>15</v>
      </c>
      <c r="AD87" s="84">
        <f t="shared" si="56"/>
        <v>0</v>
      </c>
      <c r="AE87" s="84">
        <f t="shared" si="57"/>
        <v>0</v>
      </c>
      <c r="AL87" s="64">
        <f t="shared" si="54"/>
        <v>0</v>
      </c>
      <c r="AM87" s="64">
        <f t="shared" si="55"/>
        <v>0</v>
      </c>
      <c r="AN87" s="65" t="s">
        <v>319</v>
      </c>
      <c r="AO87" s="65" t="s">
        <v>334</v>
      </c>
      <c r="AP87" s="110" t="s">
        <v>339</v>
      </c>
      <c r="AR87" t="s">
        <v>731</v>
      </c>
      <c r="AS87" s="160">
        <v>6.2E-4</v>
      </c>
      <c r="AU87" s="230"/>
    </row>
    <row r="88" spans="1:47" s="75" customFormat="1" hidden="1">
      <c r="A88" s="4" t="s">
        <v>66</v>
      </c>
      <c r="B88" s="4"/>
      <c r="C88" s="4" t="s">
        <v>124</v>
      </c>
      <c r="D88" s="4" t="s">
        <v>936</v>
      </c>
      <c r="E88" s="4" t="s">
        <v>285</v>
      </c>
      <c r="F88" s="14">
        <v>0</v>
      </c>
      <c r="G88" s="151"/>
      <c r="H88" s="14">
        <f t="shared" si="46"/>
        <v>0</v>
      </c>
      <c r="I88" s="14">
        <f t="shared" si="58"/>
        <v>0</v>
      </c>
      <c r="J88" s="14">
        <f t="shared" si="48"/>
        <v>0</v>
      </c>
      <c r="K88" s="136">
        <v>2.2499999999999998E-3</v>
      </c>
      <c r="L88" s="14">
        <f t="shared" si="49"/>
        <v>0</v>
      </c>
      <c r="M88" s="20" t="s">
        <v>6</v>
      </c>
      <c r="N88" s="14">
        <f t="shared" si="50"/>
        <v>0</v>
      </c>
      <c r="Y88" s="81">
        <f t="shared" si="51"/>
        <v>0</v>
      </c>
      <c r="Z88" s="81">
        <f t="shared" si="52"/>
        <v>0</v>
      </c>
      <c r="AA88" s="81">
        <f t="shared" si="53"/>
        <v>0</v>
      </c>
      <c r="AC88" s="24">
        <v>15</v>
      </c>
      <c r="AD88" s="84">
        <f t="shared" si="56"/>
        <v>0</v>
      </c>
      <c r="AE88" s="84">
        <f t="shared" si="57"/>
        <v>0</v>
      </c>
      <c r="AL88" s="24">
        <f t="shared" si="54"/>
        <v>0</v>
      </c>
      <c r="AM88" s="24">
        <f t="shared" si="55"/>
        <v>0</v>
      </c>
      <c r="AN88" s="25" t="s">
        <v>319</v>
      </c>
      <c r="AO88" s="25" t="s">
        <v>334</v>
      </c>
      <c r="AP88" s="76" t="s">
        <v>339</v>
      </c>
      <c r="AR88" s="75" t="s">
        <v>726</v>
      </c>
      <c r="AS88" s="160">
        <v>2.2499999999999998E-3</v>
      </c>
      <c r="AU88" s="229"/>
    </row>
    <row r="89" spans="1:47" s="75" customFormat="1" hidden="1">
      <c r="A89" s="4" t="s">
        <v>67</v>
      </c>
      <c r="B89" s="4"/>
      <c r="C89" s="4" t="s">
        <v>123</v>
      </c>
      <c r="D89" s="4" t="s">
        <v>822</v>
      </c>
      <c r="E89" s="4" t="s">
        <v>287</v>
      </c>
      <c r="F89" s="14">
        <v>0</v>
      </c>
      <c r="G89" s="151"/>
      <c r="H89" s="14">
        <f t="shared" si="46"/>
        <v>0</v>
      </c>
      <c r="I89" s="14">
        <f t="shared" si="58"/>
        <v>0</v>
      </c>
      <c r="J89" s="14">
        <f t="shared" si="48"/>
        <v>0</v>
      </c>
      <c r="K89" s="136">
        <v>1.5299999999999999E-3</v>
      </c>
      <c r="L89" s="14">
        <f t="shared" si="49"/>
        <v>0</v>
      </c>
      <c r="M89" s="20" t="s">
        <v>6</v>
      </c>
      <c r="N89" s="14">
        <f t="shared" si="50"/>
        <v>0</v>
      </c>
      <c r="Y89" s="81">
        <f t="shared" si="51"/>
        <v>0</v>
      </c>
      <c r="Z89" s="81">
        <f t="shared" si="52"/>
        <v>0</v>
      </c>
      <c r="AA89" s="81">
        <f t="shared" si="53"/>
        <v>0</v>
      </c>
      <c r="AC89" s="24">
        <v>15</v>
      </c>
      <c r="AD89" s="84">
        <f t="shared" si="56"/>
        <v>0</v>
      </c>
      <c r="AE89" s="84">
        <f t="shared" si="57"/>
        <v>0</v>
      </c>
      <c r="AL89" s="24">
        <f t="shared" si="54"/>
        <v>0</v>
      </c>
      <c r="AM89" s="24">
        <f t="shared" si="55"/>
        <v>0</v>
      </c>
      <c r="AN89" s="25" t="s">
        <v>319</v>
      </c>
      <c r="AO89" s="25" t="s">
        <v>334</v>
      </c>
      <c r="AP89" s="76" t="s">
        <v>339</v>
      </c>
      <c r="AR89" s="75" t="s">
        <v>726</v>
      </c>
      <c r="AS89" s="160">
        <v>1.5299999999999999E-3</v>
      </c>
      <c r="AU89" s="229"/>
    </row>
    <row r="90" spans="1:47" s="104" customFormat="1" hidden="1">
      <c r="A90" s="4" t="s">
        <v>489</v>
      </c>
      <c r="B90" s="80"/>
      <c r="C90" s="80" t="s">
        <v>566</v>
      </c>
      <c r="D90" s="4" t="s">
        <v>722</v>
      </c>
      <c r="E90" s="80" t="s">
        <v>285</v>
      </c>
      <c r="F90" s="14">
        <v>0</v>
      </c>
      <c r="G90" s="151"/>
      <c r="H90" s="81">
        <f t="shared" si="46"/>
        <v>0</v>
      </c>
      <c r="I90" s="81">
        <f t="shared" si="58"/>
        <v>0</v>
      </c>
      <c r="J90" s="14">
        <f t="shared" si="48"/>
        <v>0</v>
      </c>
      <c r="K90" s="135">
        <v>4.0000000000000002E-4</v>
      </c>
      <c r="L90" s="81">
        <f t="shared" si="49"/>
        <v>0</v>
      </c>
      <c r="M90" s="82" t="s">
        <v>6</v>
      </c>
      <c r="N90" s="81">
        <f t="shared" si="50"/>
        <v>0</v>
      </c>
      <c r="Y90" s="81">
        <f t="shared" si="51"/>
        <v>0</v>
      </c>
      <c r="Z90" s="81">
        <f t="shared" si="52"/>
        <v>0</v>
      </c>
      <c r="AA90" s="81">
        <f t="shared" si="53"/>
        <v>0</v>
      </c>
      <c r="AC90" s="84">
        <v>15</v>
      </c>
      <c r="AD90" s="84">
        <f t="shared" si="56"/>
        <v>0</v>
      </c>
      <c r="AE90" s="84">
        <f t="shared" si="57"/>
        <v>0</v>
      </c>
      <c r="AL90" s="84">
        <f t="shared" si="54"/>
        <v>0</v>
      </c>
      <c r="AM90" s="84">
        <f t="shared" si="55"/>
        <v>0</v>
      </c>
      <c r="AN90" s="85" t="s">
        <v>319</v>
      </c>
      <c r="AO90" s="85" t="s">
        <v>334</v>
      </c>
      <c r="AP90" s="105" t="s">
        <v>339</v>
      </c>
      <c r="AR90" s="75" t="s">
        <v>726</v>
      </c>
      <c r="AS90" s="160">
        <v>4.0000000000000002E-4</v>
      </c>
      <c r="AU90" s="227"/>
    </row>
    <row r="91" spans="1:47" s="109" customFormat="1" hidden="1">
      <c r="A91" s="4" t="s">
        <v>68</v>
      </c>
      <c r="B91" s="67"/>
      <c r="C91" s="67" t="s">
        <v>506</v>
      </c>
      <c r="D91" s="67" t="s">
        <v>507</v>
      </c>
      <c r="E91" s="67" t="s">
        <v>285</v>
      </c>
      <c r="F91" s="15">
        <v>0</v>
      </c>
      <c r="G91" s="151"/>
      <c r="H91" s="68">
        <f t="shared" si="46"/>
        <v>0</v>
      </c>
      <c r="I91" s="68">
        <f t="shared" si="58"/>
        <v>0</v>
      </c>
      <c r="J91" s="14">
        <f t="shared" si="48"/>
        <v>0</v>
      </c>
      <c r="K91" s="146">
        <v>3.95E-2</v>
      </c>
      <c r="L91" s="68">
        <f t="shared" si="49"/>
        <v>0</v>
      </c>
      <c r="M91" s="69" t="s">
        <v>302</v>
      </c>
      <c r="N91" s="68">
        <f t="shared" si="50"/>
        <v>0</v>
      </c>
      <c r="Y91" s="81">
        <f t="shared" si="51"/>
        <v>0</v>
      </c>
      <c r="Z91" s="81">
        <f t="shared" si="52"/>
        <v>0</v>
      </c>
      <c r="AA91" s="81">
        <f t="shared" si="53"/>
        <v>0</v>
      </c>
      <c r="AC91" s="64">
        <v>15</v>
      </c>
      <c r="AD91" s="84">
        <f t="shared" si="56"/>
        <v>0</v>
      </c>
      <c r="AE91" s="84">
        <f t="shared" si="57"/>
        <v>0</v>
      </c>
      <c r="AL91" s="64">
        <f t="shared" si="54"/>
        <v>0</v>
      </c>
      <c r="AM91" s="64">
        <f t="shared" si="55"/>
        <v>0</v>
      </c>
      <c r="AN91" s="65" t="s">
        <v>319</v>
      </c>
      <c r="AO91" s="65" t="s">
        <v>334</v>
      </c>
      <c r="AP91" s="110" t="s">
        <v>339</v>
      </c>
      <c r="AR91" s="75" t="s">
        <v>726</v>
      </c>
      <c r="AS91" s="161">
        <v>3.95E-2</v>
      </c>
      <c r="AU91" s="230"/>
    </row>
    <row r="92" spans="1:47" s="109" customFormat="1" hidden="1">
      <c r="A92" s="4" t="s">
        <v>69</v>
      </c>
      <c r="B92" s="67"/>
      <c r="C92" s="67" t="s">
        <v>506</v>
      </c>
      <c r="D92" s="5" t="s">
        <v>846</v>
      </c>
      <c r="E92" s="67" t="s">
        <v>285</v>
      </c>
      <c r="F92" s="15">
        <v>0</v>
      </c>
      <c r="G92" s="151"/>
      <c r="H92" s="68">
        <f t="shared" si="46"/>
        <v>0</v>
      </c>
      <c r="I92" s="68">
        <f t="shared" si="58"/>
        <v>0</v>
      </c>
      <c r="J92" s="14">
        <f t="shared" si="48"/>
        <v>0</v>
      </c>
      <c r="K92" s="146">
        <v>3.6999999999999998E-2</v>
      </c>
      <c r="L92" s="68">
        <f t="shared" si="49"/>
        <v>0</v>
      </c>
      <c r="M92" s="69" t="s">
        <v>302</v>
      </c>
      <c r="N92" s="68">
        <f t="shared" si="50"/>
        <v>0</v>
      </c>
      <c r="Y92" s="81">
        <f t="shared" si="51"/>
        <v>0</v>
      </c>
      <c r="Z92" s="81">
        <f t="shared" si="52"/>
        <v>0</v>
      </c>
      <c r="AA92" s="81">
        <f t="shared" si="53"/>
        <v>0</v>
      </c>
      <c r="AC92" s="64">
        <v>15</v>
      </c>
      <c r="AD92" s="84">
        <f t="shared" si="56"/>
        <v>0</v>
      </c>
      <c r="AE92" s="84">
        <f t="shared" si="57"/>
        <v>0</v>
      </c>
      <c r="AL92" s="64">
        <f t="shared" si="54"/>
        <v>0</v>
      </c>
      <c r="AM92" s="64">
        <f t="shared" si="55"/>
        <v>0</v>
      </c>
      <c r="AN92" s="65" t="s">
        <v>319</v>
      </c>
      <c r="AO92" s="65" t="s">
        <v>334</v>
      </c>
      <c r="AP92" s="110" t="s">
        <v>339</v>
      </c>
      <c r="AR92" s="75" t="s">
        <v>726</v>
      </c>
      <c r="AS92" s="161">
        <v>3.6999999999999998E-2</v>
      </c>
      <c r="AU92" s="230"/>
    </row>
    <row r="93" spans="1:47" s="109" customFormat="1" hidden="1">
      <c r="A93" s="4" t="s">
        <v>70</v>
      </c>
      <c r="B93" s="67"/>
      <c r="C93" s="67" t="s">
        <v>506</v>
      </c>
      <c r="D93" s="5" t="s">
        <v>925</v>
      </c>
      <c r="E93" s="67" t="s">
        <v>285</v>
      </c>
      <c r="F93" s="15">
        <v>0</v>
      </c>
      <c r="G93" s="151"/>
      <c r="H93" s="68">
        <f t="shared" si="46"/>
        <v>0</v>
      </c>
      <c r="I93" s="68">
        <f t="shared" si="58"/>
        <v>0</v>
      </c>
      <c r="J93" s="14">
        <f t="shared" si="48"/>
        <v>0</v>
      </c>
      <c r="K93" s="146">
        <v>4.5130000000000003E-2</v>
      </c>
      <c r="L93" s="68">
        <f t="shared" si="49"/>
        <v>0</v>
      </c>
      <c r="M93" s="69" t="s">
        <v>302</v>
      </c>
      <c r="N93" s="68">
        <f t="shared" si="50"/>
        <v>0</v>
      </c>
      <c r="Y93" s="81">
        <f t="shared" si="51"/>
        <v>0</v>
      </c>
      <c r="Z93" s="81">
        <f t="shared" si="52"/>
        <v>0</v>
      </c>
      <c r="AA93" s="81">
        <f t="shared" si="53"/>
        <v>0</v>
      </c>
      <c r="AC93" s="64">
        <v>15</v>
      </c>
      <c r="AD93" s="84">
        <f t="shared" si="56"/>
        <v>0</v>
      </c>
      <c r="AE93" s="84">
        <f t="shared" si="57"/>
        <v>0</v>
      </c>
      <c r="AL93" s="64">
        <f t="shared" si="54"/>
        <v>0</v>
      </c>
      <c r="AM93" s="64">
        <f t="shared" si="55"/>
        <v>0</v>
      </c>
      <c r="AN93" s="65" t="s">
        <v>319</v>
      </c>
      <c r="AO93" s="65" t="s">
        <v>334</v>
      </c>
      <c r="AP93" s="110" t="s">
        <v>339</v>
      </c>
      <c r="AR93" s="75" t="s">
        <v>726</v>
      </c>
      <c r="AS93" s="161">
        <v>4.5130000000000003E-2</v>
      </c>
      <c r="AU93" s="230"/>
    </row>
    <row r="94" spans="1:47" s="109" customFormat="1" hidden="1">
      <c r="A94" s="4" t="s">
        <v>71</v>
      </c>
      <c r="B94" s="60"/>
      <c r="C94" s="60" t="s">
        <v>504</v>
      </c>
      <c r="D94" s="60" t="s">
        <v>505</v>
      </c>
      <c r="E94" s="60" t="s">
        <v>285</v>
      </c>
      <c r="F94" s="14">
        <v>0</v>
      </c>
      <c r="G94" s="151"/>
      <c r="H94" s="61">
        <f t="shared" si="46"/>
        <v>0</v>
      </c>
      <c r="I94" s="61">
        <f t="shared" si="58"/>
        <v>0</v>
      </c>
      <c r="J94" s="14">
        <f t="shared" si="48"/>
        <v>0</v>
      </c>
      <c r="K94" s="140">
        <v>2.7999999999999998E-4</v>
      </c>
      <c r="L94" s="61">
        <f t="shared" si="49"/>
        <v>0</v>
      </c>
      <c r="M94" s="62" t="s">
        <v>6</v>
      </c>
      <c r="N94" s="61">
        <f t="shared" si="50"/>
        <v>0</v>
      </c>
      <c r="Y94" s="81">
        <f t="shared" si="51"/>
        <v>0</v>
      </c>
      <c r="Z94" s="81">
        <f t="shared" si="52"/>
        <v>0</v>
      </c>
      <c r="AA94" s="81">
        <f t="shared" si="53"/>
        <v>0</v>
      </c>
      <c r="AC94" s="64">
        <v>15</v>
      </c>
      <c r="AD94" s="84">
        <f t="shared" si="56"/>
        <v>0</v>
      </c>
      <c r="AE94" s="84">
        <f t="shared" si="57"/>
        <v>0</v>
      </c>
      <c r="AL94" s="64">
        <f t="shared" si="54"/>
        <v>0</v>
      </c>
      <c r="AM94" s="64">
        <f t="shared" si="55"/>
        <v>0</v>
      </c>
      <c r="AN94" s="65" t="s">
        <v>319</v>
      </c>
      <c r="AO94" s="65" t="s">
        <v>334</v>
      </c>
      <c r="AP94" s="110" t="s">
        <v>339</v>
      </c>
      <c r="AR94" s="75" t="s">
        <v>726</v>
      </c>
      <c r="AS94" s="160">
        <v>2.7999999999999998E-4</v>
      </c>
      <c r="AU94" s="230"/>
    </row>
    <row r="95" spans="1:47" s="109" customFormat="1" hidden="1">
      <c r="A95" s="4" t="s">
        <v>72</v>
      </c>
      <c r="B95" s="60"/>
      <c r="C95" s="60" t="s">
        <v>500</v>
      </c>
      <c r="D95" s="60" t="s">
        <v>501</v>
      </c>
      <c r="E95" s="60" t="s">
        <v>287</v>
      </c>
      <c r="F95" s="14">
        <v>0</v>
      </c>
      <c r="G95" s="151"/>
      <c r="H95" s="61">
        <f t="shared" si="46"/>
        <v>0</v>
      </c>
      <c r="I95" s="61">
        <f t="shared" si="58"/>
        <v>0</v>
      </c>
      <c r="J95" s="14">
        <f t="shared" si="48"/>
        <v>0</v>
      </c>
      <c r="K95" s="140">
        <v>6.2E-4</v>
      </c>
      <c r="L95" s="61">
        <f t="shared" si="49"/>
        <v>0</v>
      </c>
      <c r="M95" s="62" t="s">
        <v>6</v>
      </c>
      <c r="N95" s="61">
        <f t="shared" si="50"/>
        <v>0</v>
      </c>
      <c r="Y95" s="81">
        <f t="shared" si="51"/>
        <v>0</v>
      </c>
      <c r="Z95" s="81">
        <f t="shared" si="52"/>
        <v>0</v>
      </c>
      <c r="AA95" s="81">
        <f t="shared" si="53"/>
        <v>0</v>
      </c>
      <c r="AC95" s="64">
        <v>15</v>
      </c>
      <c r="AD95" s="84">
        <f t="shared" si="56"/>
        <v>0</v>
      </c>
      <c r="AE95" s="84">
        <f t="shared" si="57"/>
        <v>0</v>
      </c>
      <c r="AL95" s="64">
        <f t="shared" si="54"/>
        <v>0</v>
      </c>
      <c r="AM95" s="64">
        <f t="shared" si="55"/>
        <v>0</v>
      </c>
      <c r="AN95" s="65" t="s">
        <v>319</v>
      </c>
      <c r="AO95" s="65" t="s">
        <v>334</v>
      </c>
      <c r="AP95" s="110" t="s">
        <v>339</v>
      </c>
      <c r="AR95" s="75" t="s">
        <v>726</v>
      </c>
      <c r="AS95" s="160">
        <v>6.2E-4</v>
      </c>
      <c r="AU95" s="230"/>
    </row>
    <row r="96" spans="1:47" s="109" customFormat="1" hidden="1">
      <c r="A96" s="4" t="s">
        <v>73</v>
      </c>
      <c r="B96" s="60"/>
      <c r="C96" s="60" t="s">
        <v>502</v>
      </c>
      <c r="D96" s="60" t="s">
        <v>503</v>
      </c>
      <c r="E96" s="60" t="s">
        <v>287</v>
      </c>
      <c r="F96" s="14">
        <v>0</v>
      </c>
      <c r="G96" s="151"/>
      <c r="H96" s="61">
        <f t="shared" si="46"/>
        <v>0</v>
      </c>
      <c r="I96" s="61">
        <f t="shared" si="58"/>
        <v>0</v>
      </c>
      <c r="J96" s="14">
        <f t="shared" si="48"/>
        <v>0</v>
      </c>
      <c r="K96" s="140">
        <v>1.7000000000000001E-4</v>
      </c>
      <c r="L96" s="61">
        <f t="shared" si="49"/>
        <v>0</v>
      </c>
      <c r="M96" s="62" t="s">
        <v>6</v>
      </c>
      <c r="N96" s="61">
        <f t="shared" si="50"/>
        <v>0</v>
      </c>
      <c r="Y96" s="81">
        <f t="shared" si="51"/>
        <v>0</v>
      </c>
      <c r="Z96" s="81">
        <f t="shared" si="52"/>
        <v>0</v>
      </c>
      <c r="AA96" s="81">
        <f t="shared" si="53"/>
        <v>0</v>
      </c>
      <c r="AC96" s="64">
        <v>15</v>
      </c>
      <c r="AD96" s="84">
        <f t="shared" si="56"/>
        <v>0</v>
      </c>
      <c r="AE96" s="84">
        <f t="shared" si="57"/>
        <v>0</v>
      </c>
      <c r="AL96" s="64">
        <f t="shared" si="54"/>
        <v>0</v>
      </c>
      <c r="AM96" s="64">
        <f t="shared" si="55"/>
        <v>0</v>
      </c>
      <c r="AN96" s="65" t="s">
        <v>319</v>
      </c>
      <c r="AO96" s="65" t="s">
        <v>334</v>
      </c>
      <c r="AP96" s="110" t="s">
        <v>339</v>
      </c>
      <c r="AR96" s="75" t="s">
        <v>726</v>
      </c>
      <c r="AS96" s="160">
        <v>1.7000000000000001E-4</v>
      </c>
      <c r="AU96" s="230"/>
    </row>
    <row r="97" spans="1:47" s="70" customFormat="1" hidden="1">
      <c r="A97" s="4" t="s">
        <v>74</v>
      </c>
      <c r="B97" s="67"/>
      <c r="C97" s="67" t="s">
        <v>508</v>
      </c>
      <c r="D97" s="5" t="s">
        <v>509</v>
      </c>
      <c r="E97" s="67" t="s">
        <v>285</v>
      </c>
      <c r="F97" s="15">
        <v>0</v>
      </c>
      <c r="G97" s="151"/>
      <c r="H97" s="68">
        <f t="shared" si="46"/>
        <v>0</v>
      </c>
      <c r="I97" s="68">
        <f t="shared" si="58"/>
        <v>0</v>
      </c>
      <c r="J97" s="14">
        <f t="shared" si="48"/>
        <v>0</v>
      </c>
      <c r="K97" s="146">
        <v>1.6E-2</v>
      </c>
      <c r="L97" s="68">
        <f t="shared" si="49"/>
        <v>0</v>
      </c>
      <c r="M97" s="69" t="s">
        <v>302</v>
      </c>
      <c r="N97" s="68">
        <f t="shared" si="50"/>
        <v>0</v>
      </c>
      <c r="Y97" s="81">
        <f t="shared" si="51"/>
        <v>0</v>
      </c>
      <c r="Z97" s="81">
        <f t="shared" si="52"/>
        <v>0</v>
      </c>
      <c r="AA97" s="81">
        <f t="shared" si="53"/>
        <v>0</v>
      </c>
      <c r="AC97" s="64">
        <v>15</v>
      </c>
      <c r="AD97" s="84">
        <f t="shared" si="56"/>
        <v>0</v>
      </c>
      <c r="AE97" s="84">
        <f t="shared" si="57"/>
        <v>0</v>
      </c>
      <c r="AL97" s="64">
        <f t="shared" si="54"/>
        <v>0</v>
      </c>
      <c r="AM97" s="64">
        <f t="shared" si="55"/>
        <v>0</v>
      </c>
      <c r="AN97" s="65" t="s">
        <v>319</v>
      </c>
      <c r="AO97" s="65" t="s">
        <v>334</v>
      </c>
      <c r="AP97" s="66" t="s">
        <v>339</v>
      </c>
      <c r="AR97" s="75" t="s">
        <v>726</v>
      </c>
      <c r="AS97" s="161">
        <v>1.6E-2</v>
      </c>
      <c r="AU97" s="236"/>
    </row>
    <row r="98" spans="1:47" s="70" customFormat="1" hidden="1">
      <c r="A98" s="4" t="s">
        <v>75</v>
      </c>
      <c r="B98" s="67"/>
      <c r="C98" s="67"/>
      <c r="D98" s="5" t="s">
        <v>825</v>
      </c>
      <c r="E98" s="67" t="s">
        <v>285</v>
      </c>
      <c r="F98" s="15">
        <v>0</v>
      </c>
      <c r="G98" s="151"/>
      <c r="H98" s="68">
        <f t="shared" si="46"/>
        <v>0</v>
      </c>
      <c r="I98" s="68">
        <f t="shared" si="58"/>
        <v>0</v>
      </c>
      <c r="J98" s="14">
        <f t="shared" si="48"/>
        <v>0</v>
      </c>
      <c r="K98" s="146">
        <v>1.6E-2</v>
      </c>
      <c r="L98" s="68">
        <f t="shared" si="49"/>
        <v>0</v>
      </c>
      <c r="M98" s="69" t="s">
        <v>302</v>
      </c>
      <c r="N98" s="68">
        <f t="shared" si="50"/>
        <v>0</v>
      </c>
      <c r="Y98" s="81">
        <f t="shared" si="51"/>
        <v>0</v>
      </c>
      <c r="Z98" s="81">
        <f t="shared" si="52"/>
        <v>0</v>
      </c>
      <c r="AA98" s="81">
        <f t="shared" si="53"/>
        <v>0</v>
      </c>
      <c r="AC98" s="64">
        <v>15</v>
      </c>
      <c r="AD98" s="84">
        <f t="shared" si="56"/>
        <v>0</v>
      </c>
      <c r="AE98" s="84">
        <f t="shared" si="57"/>
        <v>0</v>
      </c>
      <c r="AL98" s="64">
        <f t="shared" si="54"/>
        <v>0</v>
      </c>
      <c r="AM98" s="64">
        <f t="shared" si="55"/>
        <v>0</v>
      </c>
      <c r="AN98" s="65" t="s">
        <v>319</v>
      </c>
      <c r="AO98" s="65" t="s">
        <v>334</v>
      </c>
      <c r="AP98" s="66" t="s">
        <v>339</v>
      </c>
      <c r="AR98" s="75" t="s">
        <v>726</v>
      </c>
      <c r="AS98" s="161">
        <v>1.6E-2</v>
      </c>
      <c r="AU98" s="236"/>
    </row>
    <row r="99" spans="1:47" s="83" customFormat="1" hidden="1">
      <c r="A99" s="4" t="s">
        <v>845</v>
      </c>
      <c r="B99" s="80"/>
      <c r="C99" s="80"/>
      <c r="D99" s="5" t="s">
        <v>824</v>
      </c>
      <c r="E99" s="67" t="s">
        <v>285</v>
      </c>
      <c r="F99" s="14">
        <v>0</v>
      </c>
      <c r="G99" s="151"/>
      <c r="H99" s="81">
        <f t="shared" si="46"/>
        <v>0</v>
      </c>
      <c r="I99" s="81">
        <f t="shared" si="58"/>
        <v>0</v>
      </c>
      <c r="J99" s="14">
        <f t="shared" si="48"/>
        <v>0</v>
      </c>
      <c r="K99" s="135">
        <v>2.0000000000000001E-4</v>
      </c>
      <c r="L99" s="81">
        <f t="shared" si="49"/>
        <v>0</v>
      </c>
      <c r="M99" s="82" t="s">
        <v>6</v>
      </c>
      <c r="N99" s="81">
        <f t="shared" si="50"/>
        <v>0</v>
      </c>
      <c r="Y99" s="81">
        <f t="shared" si="51"/>
        <v>0</v>
      </c>
      <c r="Z99" s="81">
        <f t="shared" si="52"/>
        <v>0</v>
      </c>
      <c r="AA99" s="81">
        <f t="shared" si="53"/>
        <v>0</v>
      </c>
      <c r="AC99" s="84">
        <v>15</v>
      </c>
      <c r="AD99" s="84">
        <f t="shared" si="56"/>
        <v>0</v>
      </c>
      <c r="AE99" s="84">
        <f t="shared" si="57"/>
        <v>0</v>
      </c>
      <c r="AL99" s="84">
        <f t="shared" si="54"/>
        <v>0</v>
      </c>
      <c r="AM99" s="84">
        <f t="shared" si="55"/>
        <v>0</v>
      </c>
      <c r="AN99" s="85" t="s">
        <v>319</v>
      </c>
      <c r="AO99" s="85" t="s">
        <v>334</v>
      </c>
      <c r="AP99" s="86" t="s">
        <v>339</v>
      </c>
      <c r="AR99" s="75" t="s">
        <v>726</v>
      </c>
      <c r="AS99" s="160">
        <v>2.0000000000000001E-4</v>
      </c>
      <c r="AU99" s="228"/>
    </row>
    <row r="100" spans="1:47" s="83" customFormat="1" hidden="1">
      <c r="A100" s="4" t="s">
        <v>76</v>
      </c>
      <c r="B100" s="80"/>
      <c r="C100" s="80" t="s">
        <v>564</v>
      </c>
      <c r="D100" s="80" t="s">
        <v>565</v>
      </c>
      <c r="E100" s="80" t="s">
        <v>287</v>
      </c>
      <c r="F100" s="14">
        <v>0</v>
      </c>
      <c r="G100" s="151"/>
      <c r="H100" s="81">
        <f t="shared" ref="H100:H120" si="59">F100*AD100</f>
        <v>0</v>
      </c>
      <c r="I100" s="81">
        <f t="shared" si="58"/>
        <v>0</v>
      </c>
      <c r="J100" s="14">
        <f t="shared" si="48"/>
        <v>0</v>
      </c>
      <c r="K100" s="135">
        <v>2.0000000000000001E-4</v>
      </c>
      <c r="L100" s="81">
        <f t="shared" si="49"/>
        <v>0</v>
      </c>
      <c r="M100" s="82" t="s">
        <v>6</v>
      </c>
      <c r="N100" s="81">
        <f t="shared" si="50"/>
        <v>0</v>
      </c>
      <c r="Y100" s="81">
        <f t="shared" ref="Y100:Y120" si="60">IF(AC100=0,J100,0)</f>
        <v>0</v>
      </c>
      <c r="Z100" s="81">
        <f t="shared" ref="Z100:Z120" si="61">IF(AC100=15,J100,0)</f>
        <v>0</v>
      </c>
      <c r="AA100" s="81">
        <f t="shared" ref="AA100:AA120" si="62">IF(AC100=21,J100,0)</f>
        <v>0</v>
      </c>
      <c r="AC100" s="84">
        <v>15</v>
      </c>
      <c r="AD100" s="84">
        <f t="shared" si="56"/>
        <v>0</v>
      </c>
      <c r="AE100" s="84">
        <f t="shared" si="57"/>
        <v>0</v>
      </c>
      <c r="AL100" s="84">
        <f t="shared" ref="AL100:AL120" si="63">F100*AD100</f>
        <v>0</v>
      </c>
      <c r="AM100" s="84">
        <f t="shared" ref="AM100:AM120" si="64">F100*AE100</f>
        <v>0</v>
      </c>
      <c r="AN100" s="85" t="s">
        <v>319</v>
      </c>
      <c r="AO100" s="85" t="s">
        <v>334</v>
      </c>
      <c r="AP100" s="86" t="s">
        <v>339</v>
      </c>
      <c r="AR100" s="75" t="s">
        <v>726</v>
      </c>
      <c r="AS100" s="160">
        <v>2.0000000000000001E-4</v>
      </c>
      <c r="AU100" s="228"/>
    </row>
    <row r="101" spans="1:47" s="75" customFormat="1" hidden="1">
      <c r="A101" s="4" t="s">
        <v>77</v>
      </c>
      <c r="B101" s="93"/>
      <c r="C101" s="93" t="s">
        <v>123</v>
      </c>
      <c r="D101" s="4" t="s">
        <v>922</v>
      </c>
      <c r="E101" s="93" t="s">
        <v>287</v>
      </c>
      <c r="F101" s="14">
        <v>0</v>
      </c>
      <c r="G101" s="151"/>
      <c r="H101" s="14">
        <f t="shared" si="59"/>
        <v>0</v>
      </c>
      <c r="I101" s="14">
        <f t="shared" si="58"/>
        <v>0</v>
      </c>
      <c r="J101" s="14">
        <f t="shared" ref="J101:J120" si="65">F101*G101</f>
        <v>0</v>
      </c>
      <c r="K101" s="136">
        <v>1.5299999999999999E-3</v>
      </c>
      <c r="L101" s="14">
        <f t="shared" ref="L101:L119" si="66">F101*K101</f>
        <v>0</v>
      </c>
      <c r="M101" s="20" t="s">
        <v>6</v>
      </c>
      <c r="N101" s="14">
        <f t="shared" si="50"/>
        <v>0</v>
      </c>
      <c r="Y101" s="81">
        <f t="shared" si="60"/>
        <v>0</v>
      </c>
      <c r="Z101" s="81">
        <f t="shared" si="61"/>
        <v>0</v>
      </c>
      <c r="AA101" s="81">
        <f t="shared" si="62"/>
        <v>0</v>
      </c>
      <c r="AC101" s="24">
        <v>15</v>
      </c>
      <c r="AD101" s="84">
        <f t="shared" si="56"/>
        <v>0</v>
      </c>
      <c r="AE101" s="84">
        <f t="shared" si="57"/>
        <v>0</v>
      </c>
      <c r="AL101" s="24">
        <f t="shared" si="63"/>
        <v>0</v>
      </c>
      <c r="AM101" s="24">
        <f t="shared" si="64"/>
        <v>0</v>
      </c>
      <c r="AN101" s="25" t="s">
        <v>319</v>
      </c>
      <c r="AO101" s="25" t="s">
        <v>334</v>
      </c>
      <c r="AP101" s="76" t="s">
        <v>339</v>
      </c>
      <c r="AR101" t="s">
        <v>734</v>
      </c>
      <c r="AS101" s="160">
        <v>1.5299999999999999E-3</v>
      </c>
      <c r="AU101" s="229"/>
    </row>
    <row r="102" spans="1:47" s="104" customFormat="1" hidden="1">
      <c r="A102" s="4" t="s">
        <v>78</v>
      </c>
      <c r="B102" s="93"/>
      <c r="C102" s="93" t="s">
        <v>566</v>
      </c>
      <c r="D102" s="93" t="s">
        <v>723</v>
      </c>
      <c r="E102" s="93" t="s">
        <v>285</v>
      </c>
      <c r="F102" s="14">
        <v>0</v>
      </c>
      <c r="G102" s="151"/>
      <c r="H102" s="81">
        <f t="shared" si="59"/>
        <v>0</v>
      </c>
      <c r="I102" s="81">
        <f t="shared" si="58"/>
        <v>0</v>
      </c>
      <c r="J102" s="14">
        <f t="shared" si="65"/>
        <v>0</v>
      </c>
      <c r="K102" s="135">
        <v>4.0000000000000003E-5</v>
      </c>
      <c r="L102" s="81">
        <f t="shared" si="66"/>
        <v>0</v>
      </c>
      <c r="M102" s="82" t="s">
        <v>6</v>
      </c>
      <c r="N102" s="81">
        <f t="shared" si="50"/>
        <v>0</v>
      </c>
      <c r="Y102" s="81">
        <f t="shared" si="60"/>
        <v>0</v>
      </c>
      <c r="Z102" s="81">
        <f t="shared" si="61"/>
        <v>0</v>
      </c>
      <c r="AA102" s="81">
        <f t="shared" si="62"/>
        <v>0</v>
      </c>
      <c r="AC102" s="84">
        <v>15</v>
      </c>
      <c r="AD102" s="84">
        <f t="shared" si="56"/>
        <v>0</v>
      </c>
      <c r="AE102" s="84">
        <f t="shared" si="57"/>
        <v>0</v>
      </c>
      <c r="AL102" s="84">
        <f t="shared" si="63"/>
        <v>0</v>
      </c>
      <c r="AM102" s="84">
        <f t="shared" si="64"/>
        <v>0</v>
      </c>
      <c r="AN102" s="85" t="s">
        <v>319</v>
      </c>
      <c r="AO102" s="85" t="s">
        <v>334</v>
      </c>
      <c r="AP102" s="105" t="s">
        <v>339</v>
      </c>
      <c r="AR102" t="s">
        <v>733</v>
      </c>
      <c r="AS102" s="160">
        <v>4.0000000000000003E-5</v>
      </c>
      <c r="AU102" s="227"/>
    </row>
    <row r="103" spans="1:47" hidden="1">
      <c r="A103" s="4" t="s">
        <v>748</v>
      </c>
      <c r="B103" s="93"/>
      <c r="C103" s="93" t="s">
        <v>124</v>
      </c>
      <c r="D103" s="93" t="s">
        <v>703</v>
      </c>
      <c r="E103" s="93" t="s">
        <v>285</v>
      </c>
      <c r="F103" s="14">
        <v>0</v>
      </c>
      <c r="G103" s="151"/>
      <c r="H103" s="14">
        <f t="shared" si="59"/>
        <v>0</v>
      </c>
      <c r="I103" s="14">
        <f t="shared" si="58"/>
        <v>0</v>
      </c>
      <c r="J103" s="14">
        <f t="shared" si="65"/>
        <v>0</v>
      </c>
      <c r="K103" s="136">
        <v>2.2499999999999998E-3</v>
      </c>
      <c r="L103" s="14">
        <f t="shared" si="66"/>
        <v>0</v>
      </c>
      <c r="M103" s="20" t="s">
        <v>6</v>
      </c>
      <c r="N103" s="14">
        <f t="shared" si="50"/>
        <v>0</v>
      </c>
      <c r="Y103" s="81">
        <f t="shared" si="60"/>
        <v>0</v>
      </c>
      <c r="Z103" s="81">
        <f t="shared" si="61"/>
        <v>0</v>
      </c>
      <c r="AA103" s="81">
        <f t="shared" si="62"/>
        <v>0</v>
      </c>
      <c r="AC103" s="24">
        <v>15</v>
      </c>
      <c r="AD103" s="84">
        <f t="shared" si="56"/>
        <v>0</v>
      </c>
      <c r="AE103" s="84">
        <f t="shared" si="57"/>
        <v>0</v>
      </c>
      <c r="AL103" s="24">
        <f t="shared" si="63"/>
        <v>0</v>
      </c>
      <c r="AM103" s="24">
        <f t="shared" si="64"/>
        <v>0</v>
      </c>
      <c r="AN103" s="25" t="s">
        <v>319</v>
      </c>
      <c r="AO103" s="25" t="s">
        <v>334</v>
      </c>
      <c r="AP103" s="19" t="s">
        <v>339</v>
      </c>
      <c r="AR103" t="s">
        <v>735</v>
      </c>
      <c r="AS103" s="160">
        <v>2.2499999999999998E-3</v>
      </c>
    </row>
    <row r="104" spans="1:47" s="104" customFormat="1" hidden="1">
      <c r="A104" s="4" t="s">
        <v>79</v>
      </c>
      <c r="B104" s="90"/>
      <c r="C104" s="90" t="s">
        <v>620</v>
      </c>
      <c r="D104" s="90" t="s">
        <v>621</v>
      </c>
      <c r="E104" s="90" t="s">
        <v>285</v>
      </c>
      <c r="F104" s="15">
        <v>0</v>
      </c>
      <c r="G104" s="151"/>
      <c r="H104" s="91">
        <f t="shared" si="59"/>
        <v>0</v>
      </c>
      <c r="I104" s="91">
        <f t="shared" si="58"/>
        <v>0</v>
      </c>
      <c r="J104" s="14">
        <f t="shared" si="65"/>
        <v>0</v>
      </c>
      <c r="K104" s="144">
        <v>0</v>
      </c>
      <c r="L104" s="91">
        <f t="shared" si="66"/>
        <v>0</v>
      </c>
      <c r="M104" s="92" t="s">
        <v>302</v>
      </c>
      <c r="N104" s="91">
        <f t="shared" si="50"/>
        <v>0</v>
      </c>
      <c r="Y104" s="81">
        <f t="shared" si="60"/>
        <v>0</v>
      </c>
      <c r="Z104" s="81">
        <f t="shared" si="61"/>
        <v>0</v>
      </c>
      <c r="AA104" s="81">
        <f t="shared" si="62"/>
        <v>0</v>
      </c>
      <c r="AC104" s="84">
        <v>15</v>
      </c>
      <c r="AD104" s="84">
        <f t="shared" si="56"/>
        <v>0</v>
      </c>
      <c r="AE104" s="84">
        <f t="shared" si="57"/>
        <v>0</v>
      </c>
      <c r="AL104" s="84">
        <f t="shared" si="63"/>
        <v>0</v>
      </c>
      <c r="AM104" s="84">
        <f t="shared" si="64"/>
        <v>0</v>
      </c>
      <c r="AN104" s="85" t="s">
        <v>622</v>
      </c>
      <c r="AO104" s="85" t="s">
        <v>339</v>
      </c>
      <c r="AP104" s="105" t="s">
        <v>339</v>
      </c>
      <c r="AR104" s="75" t="s">
        <v>726</v>
      </c>
      <c r="AS104" s="161">
        <v>0</v>
      </c>
      <c r="AU104" s="227"/>
    </row>
    <row r="105" spans="1:47" s="83" customFormat="1" hidden="1">
      <c r="A105" s="4" t="s">
        <v>80</v>
      </c>
      <c r="B105" s="93"/>
      <c r="C105" s="93" t="s">
        <v>566</v>
      </c>
      <c r="D105" s="93" t="s">
        <v>701</v>
      </c>
      <c r="E105" s="93" t="s">
        <v>285</v>
      </c>
      <c r="F105" s="14">
        <v>0</v>
      </c>
      <c r="G105" s="151"/>
      <c r="H105" s="81">
        <f t="shared" si="59"/>
        <v>0</v>
      </c>
      <c r="I105" s="81">
        <f t="shared" ref="I105:I114" si="67">J105-H105</f>
        <v>0</v>
      </c>
      <c r="J105" s="14">
        <f t="shared" si="65"/>
        <v>0</v>
      </c>
      <c r="K105" s="135">
        <v>4.0000000000000003E-5</v>
      </c>
      <c r="L105" s="81">
        <f t="shared" si="66"/>
        <v>0</v>
      </c>
      <c r="M105" s="82" t="s">
        <v>6</v>
      </c>
      <c r="N105" s="81">
        <f t="shared" si="50"/>
        <v>0</v>
      </c>
      <c r="Y105" s="81">
        <f t="shared" si="60"/>
        <v>0</v>
      </c>
      <c r="Z105" s="81">
        <f t="shared" si="61"/>
        <v>0</v>
      </c>
      <c r="AA105" s="81">
        <f t="shared" si="62"/>
        <v>0</v>
      </c>
      <c r="AC105" s="84">
        <v>15</v>
      </c>
      <c r="AD105" s="84">
        <f t="shared" si="56"/>
        <v>0</v>
      </c>
      <c r="AE105" s="84">
        <f t="shared" si="57"/>
        <v>0</v>
      </c>
      <c r="AL105" s="84">
        <f t="shared" si="63"/>
        <v>0</v>
      </c>
      <c r="AM105" s="84">
        <f t="shared" si="64"/>
        <v>0</v>
      </c>
      <c r="AN105" s="85" t="s">
        <v>319</v>
      </c>
      <c r="AO105" s="85" t="s">
        <v>334</v>
      </c>
      <c r="AP105" s="86" t="s">
        <v>339</v>
      </c>
      <c r="AR105" t="s">
        <v>733</v>
      </c>
      <c r="AS105" s="160">
        <v>4.0000000000000003E-5</v>
      </c>
      <c r="AU105" s="228"/>
    </row>
    <row r="106" spans="1:47" hidden="1">
      <c r="A106" s="4" t="s">
        <v>81</v>
      </c>
      <c r="B106" s="4"/>
      <c r="C106" s="4" t="s">
        <v>126</v>
      </c>
      <c r="D106" s="4" t="s">
        <v>214</v>
      </c>
      <c r="E106" s="4" t="s">
        <v>285</v>
      </c>
      <c r="F106" s="14">
        <v>0</v>
      </c>
      <c r="G106" s="151"/>
      <c r="H106" s="14">
        <f t="shared" si="59"/>
        <v>0</v>
      </c>
      <c r="I106" s="14">
        <f t="shared" si="67"/>
        <v>0</v>
      </c>
      <c r="J106" s="14">
        <f t="shared" si="65"/>
        <v>0</v>
      </c>
      <c r="K106" s="136">
        <v>7.2999999999999996E-4</v>
      </c>
      <c r="L106" s="14">
        <f t="shared" si="66"/>
        <v>0</v>
      </c>
      <c r="M106" s="20" t="s">
        <v>6</v>
      </c>
      <c r="N106" s="14">
        <f t="shared" si="50"/>
        <v>0</v>
      </c>
      <c r="Y106" s="81">
        <f t="shared" si="60"/>
        <v>0</v>
      </c>
      <c r="Z106" s="81">
        <f t="shared" si="61"/>
        <v>0</v>
      </c>
      <c r="AA106" s="81">
        <f t="shared" si="62"/>
        <v>0</v>
      </c>
      <c r="AC106" s="24">
        <v>15</v>
      </c>
      <c r="AD106" s="84">
        <f t="shared" si="56"/>
        <v>0</v>
      </c>
      <c r="AE106" s="84">
        <f t="shared" si="57"/>
        <v>0</v>
      </c>
      <c r="AL106" s="24">
        <f t="shared" si="63"/>
        <v>0</v>
      </c>
      <c r="AM106" s="24">
        <f t="shared" si="64"/>
        <v>0</v>
      </c>
      <c r="AN106" s="25" t="s">
        <v>319</v>
      </c>
      <c r="AO106" s="25" t="s">
        <v>334</v>
      </c>
      <c r="AP106" s="19" t="s">
        <v>339</v>
      </c>
      <c r="AR106" t="s">
        <v>726</v>
      </c>
      <c r="AS106" s="160">
        <v>7.2999999999999996E-4</v>
      </c>
    </row>
    <row r="107" spans="1:47" hidden="1">
      <c r="A107" s="4" t="s">
        <v>490</v>
      </c>
      <c r="B107" s="4"/>
      <c r="C107" s="4" t="s">
        <v>401</v>
      </c>
      <c r="D107" s="4" t="s">
        <v>402</v>
      </c>
      <c r="E107" s="4" t="s">
        <v>287</v>
      </c>
      <c r="F107" s="14">
        <v>0</v>
      </c>
      <c r="G107" s="151"/>
      <c r="H107" s="14">
        <f t="shared" si="59"/>
        <v>0</v>
      </c>
      <c r="I107" s="14">
        <f t="shared" si="67"/>
        <v>0</v>
      </c>
      <c r="J107" s="14">
        <f t="shared" si="65"/>
        <v>0</v>
      </c>
      <c r="K107" s="136">
        <v>2.4000000000000001E-4</v>
      </c>
      <c r="L107" s="14">
        <f t="shared" si="66"/>
        <v>0</v>
      </c>
      <c r="M107" s="20" t="s">
        <v>6</v>
      </c>
      <c r="N107" s="14">
        <f t="shared" si="50"/>
        <v>0</v>
      </c>
      <c r="Y107" s="81">
        <f t="shared" si="60"/>
        <v>0</v>
      </c>
      <c r="Z107" s="81">
        <f t="shared" si="61"/>
        <v>0</v>
      </c>
      <c r="AA107" s="81">
        <f t="shared" si="62"/>
        <v>0</v>
      </c>
      <c r="AC107" s="24">
        <v>15</v>
      </c>
      <c r="AD107" s="84">
        <f t="shared" si="56"/>
        <v>0</v>
      </c>
      <c r="AE107" s="84">
        <f t="shared" si="57"/>
        <v>0</v>
      </c>
      <c r="AL107" s="24">
        <f t="shared" si="63"/>
        <v>0</v>
      </c>
      <c r="AM107" s="24">
        <f t="shared" si="64"/>
        <v>0</v>
      </c>
      <c r="AN107" s="25" t="s">
        <v>319</v>
      </c>
      <c r="AO107" s="25" t="s">
        <v>334</v>
      </c>
      <c r="AP107" s="19" t="s">
        <v>339</v>
      </c>
      <c r="AR107" t="s">
        <v>726</v>
      </c>
      <c r="AS107" s="160">
        <v>2.4000000000000001E-4</v>
      </c>
    </row>
    <row r="108" spans="1:47" hidden="1">
      <c r="A108" s="4" t="s">
        <v>82</v>
      </c>
      <c r="B108" s="4"/>
      <c r="C108" s="4" t="s">
        <v>403</v>
      </c>
      <c r="D108" s="4" t="s">
        <v>404</v>
      </c>
      <c r="E108" s="4" t="s">
        <v>287</v>
      </c>
      <c r="F108" s="14">
        <v>0</v>
      </c>
      <c r="G108" s="151"/>
      <c r="H108" s="14">
        <f t="shared" si="59"/>
        <v>0</v>
      </c>
      <c r="I108" s="14">
        <f t="shared" si="67"/>
        <v>0</v>
      </c>
      <c r="J108" s="14">
        <f t="shared" si="65"/>
        <v>0</v>
      </c>
      <c r="K108" s="136">
        <v>2.4000000000000001E-4</v>
      </c>
      <c r="L108" s="14">
        <f t="shared" si="66"/>
        <v>0</v>
      </c>
      <c r="M108" s="20" t="s">
        <v>6</v>
      </c>
      <c r="N108" s="14">
        <f>IF(M108="5",I109,0)</f>
        <v>0</v>
      </c>
      <c r="Y108" s="81">
        <f t="shared" si="60"/>
        <v>0</v>
      </c>
      <c r="Z108" s="81">
        <f t="shared" si="61"/>
        <v>0</v>
      </c>
      <c r="AA108" s="81">
        <f t="shared" si="62"/>
        <v>0</v>
      </c>
      <c r="AC108" s="24">
        <v>15</v>
      </c>
      <c r="AD108" s="84">
        <f t="shared" si="56"/>
        <v>0</v>
      </c>
      <c r="AE108" s="84">
        <f t="shared" si="57"/>
        <v>0</v>
      </c>
      <c r="AL108" s="24">
        <f t="shared" si="63"/>
        <v>0</v>
      </c>
      <c r="AM108" s="24">
        <f t="shared" si="64"/>
        <v>0</v>
      </c>
      <c r="AN108" s="25" t="s">
        <v>319</v>
      </c>
      <c r="AO108" s="25" t="s">
        <v>334</v>
      </c>
      <c r="AP108" s="19" t="s">
        <v>339</v>
      </c>
      <c r="AR108" t="s">
        <v>726</v>
      </c>
      <c r="AS108" s="160">
        <v>2.4000000000000001E-4</v>
      </c>
    </row>
    <row r="109" spans="1:47" hidden="1">
      <c r="A109" s="4" t="s">
        <v>83</v>
      </c>
      <c r="B109" s="4"/>
      <c r="C109" s="4" t="s">
        <v>692</v>
      </c>
      <c r="D109" s="4" t="s">
        <v>693</v>
      </c>
      <c r="E109" s="4" t="s">
        <v>287</v>
      </c>
      <c r="F109" s="14">
        <v>0</v>
      </c>
      <c r="G109" s="151"/>
      <c r="H109" s="14">
        <f t="shared" si="59"/>
        <v>0</v>
      </c>
      <c r="I109" s="14">
        <f t="shared" si="67"/>
        <v>0</v>
      </c>
      <c r="J109" s="14">
        <f t="shared" si="65"/>
        <v>0</v>
      </c>
      <c r="K109" s="136">
        <v>3.4000000000000002E-4</v>
      </c>
      <c r="L109" s="14">
        <f t="shared" si="66"/>
        <v>0</v>
      </c>
      <c r="M109" s="20" t="s">
        <v>6</v>
      </c>
      <c r="N109" s="14">
        <f>IF(M109="5",I110,0)</f>
        <v>0</v>
      </c>
      <c r="Y109" s="81">
        <f t="shared" si="60"/>
        <v>0</v>
      </c>
      <c r="Z109" s="81">
        <f t="shared" si="61"/>
        <v>0</v>
      </c>
      <c r="AA109" s="81">
        <f t="shared" si="62"/>
        <v>0</v>
      </c>
      <c r="AC109" s="24">
        <v>15</v>
      </c>
      <c r="AD109" s="84">
        <f t="shared" si="56"/>
        <v>0</v>
      </c>
      <c r="AE109" s="84">
        <f t="shared" si="57"/>
        <v>0</v>
      </c>
      <c r="AL109" s="24">
        <f t="shared" si="63"/>
        <v>0</v>
      </c>
      <c r="AM109" s="24">
        <f t="shared" si="64"/>
        <v>0</v>
      </c>
      <c r="AN109" s="25" t="s">
        <v>319</v>
      </c>
      <c r="AO109" s="25" t="s">
        <v>334</v>
      </c>
      <c r="AP109" s="19" t="s">
        <v>339</v>
      </c>
      <c r="AR109" t="s">
        <v>726</v>
      </c>
      <c r="AS109" s="160">
        <v>3.4000000000000002E-4</v>
      </c>
    </row>
    <row r="110" spans="1:47" s="104" customFormat="1" hidden="1">
      <c r="A110" s="4" t="s">
        <v>84</v>
      </c>
      <c r="B110" s="80"/>
      <c r="C110" s="80" t="s">
        <v>567</v>
      </c>
      <c r="D110" s="80" t="s">
        <v>568</v>
      </c>
      <c r="E110" s="80" t="s">
        <v>287</v>
      </c>
      <c r="F110" s="14">
        <v>0</v>
      </c>
      <c r="G110" s="151"/>
      <c r="H110" s="81">
        <f t="shared" si="59"/>
        <v>0</v>
      </c>
      <c r="I110" s="81">
        <f t="shared" si="67"/>
        <v>0</v>
      </c>
      <c r="J110" s="14">
        <f t="shared" si="65"/>
        <v>0</v>
      </c>
      <c r="K110" s="135">
        <v>1.2999999999999999E-3</v>
      </c>
      <c r="L110" s="81">
        <f t="shared" si="66"/>
        <v>0</v>
      </c>
      <c r="M110" s="82" t="s">
        <v>6</v>
      </c>
      <c r="N110" s="81">
        <f t="shared" ref="N110:N119" si="68">IF(M110="5",I110,0)</f>
        <v>0</v>
      </c>
      <c r="Y110" s="81">
        <f t="shared" si="60"/>
        <v>0</v>
      </c>
      <c r="Z110" s="81">
        <f t="shared" si="61"/>
        <v>0</v>
      </c>
      <c r="AA110" s="81">
        <f t="shared" si="62"/>
        <v>0</v>
      </c>
      <c r="AC110" s="84">
        <v>15</v>
      </c>
      <c r="AD110" s="84">
        <f t="shared" si="56"/>
        <v>0</v>
      </c>
      <c r="AE110" s="84">
        <f t="shared" si="57"/>
        <v>0</v>
      </c>
      <c r="AL110" s="84">
        <f t="shared" si="63"/>
        <v>0</v>
      </c>
      <c r="AM110" s="84">
        <f t="shared" si="64"/>
        <v>0</v>
      </c>
      <c r="AN110" s="85" t="s">
        <v>319</v>
      </c>
      <c r="AO110" s="85" t="s">
        <v>334</v>
      </c>
      <c r="AP110" s="105" t="s">
        <v>339</v>
      </c>
      <c r="AR110" t="s">
        <v>726</v>
      </c>
      <c r="AS110" s="160">
        <v>1.2999999999999999E-3</v>
      </c>
      <c r="AU110" s="227"/>
    </row>
    <row r="111" spans="1:47" s="104" customFormat="1" hidden="1">
      <c r="A111" s="4" t="s">
        <v>85</v>
      </c>
      <c r="B111" s="80"/>
      <c r="C111" s="80" t="s">
        <v>569</v>
      </c>
      <c r="D111" s="80" t="s">
        <v>570</v>
      </c>
      <c r="E111" s="80" t="s">
        <v>287</v>
      </c>
      <c r="F111" s="14">
        <v>0</v>
      </c>
      <c r="G111" s="151"/>
      <c r="H111" s="81">
        <f t="shared" si="59"/>
        <v>0</v>
      </c>
      <c r="I111" s="81">
        <f t="shared" si="67"/>
        <v>0</v>
      </c>
      <c r="J111" s="14">
        <f t="shared" si="65"/>
        <v>0</v>
      </c>
      <c r="K111" s="135">
        <v>1.5E-3</v>
      </c>
      <c r="L111" s="81">
        <f t="shared" si="66"/>
        <v>0</v>
      </c>
      <c r="M111" s="82" t="s">
        <v>6</v>
      </c>
      <c r="N111" s="81">
        <f t="shared" si="68"/>
        <v>0</v>
      </c>
      <c r="Y111" s="81">
        <f t="shared" si="60"/>
        <v>0</v>
      </c>
      <c r="Z111" s="81">
        <f t="shared" si="61"/>
        <v>0</v>
      </c>
      <c r="AA111" s="81">
        <f t="shared" si="62"/>
        <v>0</v>
      </c>
      <c r="AC111" s="84">
        <v>15</v>
      </c>
      <c r="AD111" s="84">
        <f t="shared" si="56"/>
        <v>0</v>
      </c>
      <c r="AE111" s="84">
        <f t="shared" si="57"/>
        <v>0</v>
      </c>
      <c r="AL111" s="84">
        <f t="shared" si="63"/>
        <v>0</v>
      </c>
      <c r="AM111" s="84">
        <f t="shared" si="64"/>
        <v>0</v>
      </c>
      <c r="AN111" s="85" t="s">
        <v>319</v>
      </c>
      <c r="AO111" s="85" t="s">
        <v>334</v>
      </c>
      <c r="AP111" s="105" t="s">
        <v>339</v>
      </c>
      <c r="AR111" t="s">
        <v>726</v>
      </c>
      <c r="AS111" s="160">
        <v>1.5E-3</v>
      </c>
      <c r="AU111" s="227"/>
    </row>
    <row r="112" spans="1:47" s="104" customFormat="1" hidden="1">
      <c r="A112" s="4" t="s">
        <v>86</v>
      </c>
      <c r="B112" s="80"/>
      <c r="C112" s="80" t="s">
        <v>571</v>
      </c>
      <c r="D112" s="80" t="s">
        <v>572</v>
      </c>
      <c r="E112" s="80" t="s">
        <v>287</v>
      </c>
      <c r="F112" s="14">
        <v>0</v>
      </c>
      <c r="G112" s="151"/>
      <c r="H112" s="81">
        <f t="shared" si="59"/>
        <v>0</v>
      </c>
      <c r="I112" s="81">
        <f t="shared" si="67"/>
        <v>0</v>
      </c>
      <c r="J112" s="14">
        <f t="shared" si="65"/>
        <v>0</v>
      </c>
      <c r="K112" s="135">
        <v>2.3E-3</v>
      </c>
      <c r="L112" s="81">
        <f t="shared" si="66"/>
        <v>0</v>
      </c>
      <c r="M112" s="82" t="s">
        <v>6</v>
      </c>
      <c r="N112" s="81">
        <f t="shared" si="68"/>
        <v>0</v>
      </c>
      <c r="Y112" s="81">
        <f t="shared" si="60"/>
        <v>0</v>
      </c>
      <c r="Z112" s="81">
        <f t="shared" si="61"/>
        <v>0</v>
      </c>
      <c r="AA112" s="81">
        <f t="shared" si="62"/>
        <v>0</v>
      </c>
      <c r="AC112" s="84">
        <v>15</v>
      </c>
      <c r="AD112" s="84">
        <f t="shared" si="56"/>
        <v>0</v>
      </c>
      <c r="AE112" s="84">
        <f t="shared" si="57"/>
        <v>0</v>
      </c>
      <c r="AL112" s="84">
        <f t="shared" si="63"/>
        <v>0</v>
      </c>
      <c r="AM112" s="84">
        <f t="shared" si="64"/>
        <v>0</v>
      </c>
      <c r="AN112" s="85" t="s">
        <v>319</v>
      </c>
      <c r="AO112" s="85" t="s">
        <v>334</v>
      </c>
      <c r="AP112" s="105" t="s">
        <v>339</v>
      </c>
      <c r="AR112" t="s">
        <v>726</v>
      </c>
      <c r="AS112" s="160">
        <v>2.3E-3</v>
      </c>
      <c r="AU112" s="227"/>
    </row>
    <row r="113" spans="1:47" s="104" customFormat="1" hidden="1">
      <c r="A113" s="4" t="s">
        <v>87</v>
      </c>
      <c r="B113" s="80"/>
      <c r="C113" s="80" t="s">
        <v>573</v>
      </c>
      <c r="D113" s="80" t="s">
        <v>574</v>
      </c>
      <c r="E113" s="80" t="s">
        <v>287</v>
      </c>
      <c r="F113" s="14">
        <v>0</v>
      </c>
      <c r="G113" s="151"/>
      <c r="H113" s="81">
        <f t="shared" si="59"/>
        <v>0</v>
      </c>
      <c r="I113" s="81">
        <f t="shared" si="67"/>
        <v>0</v>
      </c>
      <c r="J113" s="14">
        <f t="shared" si="65"/>
        <v>0</v>
      </c>
      <c r="K113" s="135">
        <v>2.3E-3</v>
      </c>
      <c r="L113" s="81">
        <f t="shared" si="66"/>
        <v>0</v>
      </c>
      <c r="M113" s="82" t="s">
        <v>6</v>
      </c>
      <c r="N113" s="81">
        <f t="shared" si="68"/>
        <v>0</v>
      </c>
      <c r="Y113" s="81">
        <f t="shared" si="60"/>
        <v>0</v>
      </c>
      <c r="Z113" s="81">
        <f t="shared" si="61"/>
        <v>0</v>
      </c>
      <c r="AA113" s="81">
        <f t="shared" si="62"/>
        <v>0</v>
      </c>
      <c r="AC113" s="84">
        <v>15</v>
      </c>
      <c r="AD113" s="84">
        <f t="shared" si="56"/>
        <v>0</v>
      </c>
      <c r="AE113" s="84">
        <f t="shared" si="57"/>
        <v>0</v>
      </c>
      <c r="AL113" s="84">
        <f t="shared" si="63"/>
        <v>0</v>
      </c>
      <c r="AM113" s="84">
        <f t="shared" si="64"/>
        <v>0</v>
      </c>
      <c r="AN113" s="85" t="s">
        <v>319</v>
      </c>
      <c r="AO113" s="85" t="s">
        <v>334</v>
      </c>
      <c r="AP113" s="105" t="s">
        <v>339</v>
      </c>
      <c r="AR113" t="s">
        <v>726</v>
      </c>
      <c r="AS113" s="160">
        <v>2.3E-3</v>
      </c>
      <c r="AU113" s="227"/>
    </row>
    <row r="114" spans="1:47" s="104" customFormat="1" hidden="1">
      <c r="A114" s="4" t="s">
        <v>88</v>
      </c>
      <c r="B114" s="80"/>
      <c r="C114" s="80" t="s">
        <v>575</v>
      </c>
      <c r="D114" s="80" t="s">
        <v>576</v>
      </c>
      <c r="E114" s="80" t="s">
        <v>287</v>
      </c>
      <c r="F114" s="14">
        <v>0</v>
      </c>
      <c r="G114" s="151"/>
      <c r="H114" s="81">
        <f t="shared" si="59"/>
        <v>0</v>
      </c>
      <c r="I114" s="81">
        <f t="shared" si="67"/>
        <v>0</v>
      </c>
      <c r="J114" s="14">
        <f t="shared" si="65"/>
        <v>0</v>
      </c>
      <c r="K114" s="135">
        <v>1E-3</v>
      </c>
      <c r="L114" s="81">
        <f t="shared" si="66"/>
        <v>0</v>
      </c>
      <c r="M114" s="82" t="s">
        <v>6</v>
      </c>
      <c r="N114" s="81">
        <f t="shared" si="68"/>
        <v>0</v>
      </c>
      <c r="Y114" s="81">
        <f t="shared" si="60"/>
        <v>0</v>
      </c>
      <c r="Z114" s="81">
        <f t="shared" si="61"/>
        <v>0</v>
      </c>
      <c r="AA114" s="81">
        <f t="shared" si="62"/>
        <v>0</v>
      </c>
      <c r="AC114" s="84">
        <v>15</v>
      </c>
      <c r="AD114" s="84">
        <f t="shared" si="56"/>
        <v>0</v>
      </c>
      <c r="AE114" s="84">
        <f t="shared" si="57"/>
        <v>0</v>
      </c>
      <c r="AL114" s="84">
        <f t="shared" si="63"/>
        <v>0</v>
      </c>
      <c r="AM114" s="84">
        <f t="shared" si="64"/>
        <v>0</v>
      </c>
      <c r="AN114" s="85" t="s">
        <v>319</v>
      </c>
      <c r="AO114" s="85" t="s">
        <v>334</v>
      </c>
      <c r="AP114" s="105" t="s">
        <v>339</v>
      </c>
      <c r="AR114" t="s">
        <v>726</v>
      </c>
      <c r="AS114" s="160">
        <v>1E-3</v>
      </c>
      <c r="AU114" s="227"/>
    </row>
    <row r="115" spans="1:47" s="104" customFormat="1" hidden="1">
      <c r="A115" s="4" t="s">
        <v>89</v>
      </c>
      <c r="B115" s="90"/>
      <c r="C115" s="90" t="s">
        <v>627</v>
      </c>
      <c r="D115" s="90" t="s">
        <v>628</v>
      </c>
      <c r="E115" s="90" t="s">
        <v>285</v>
      </c>
      <c r="F115" s="15">
        <v>0</v>
      </c>
      <c r="G115" s="151"/>
      <c r="H115" s="91">
        <f t="shared" si="59"/>
        <v>0</v>
      </c>
      <c r="I115" s="91">
        <f t="shared" ref="I115:I120" si="69">J115-H115</f>
        <v>0</v>
      </c>
      <c r="J115" s="14">
        <f t="shared" si="65"/>
        <v>0</v>
      </c>
      <c r="K115" s="144">
        <v>4.0000000000000001E-3</v>
      </c>
      <c r="L115" s="91">
        <f t="shared" si="66"/>
        <v>0</v>
      </c>
      <c r="M115" s="92" t="s">
        <v>302</v>
      </c>
      <c r="N115" s="91">
        <f t="shared" si="68"/>
        <v>0</v>
      </c>
      <c r="Y115" s="81">
        <f t="shared" si="60"/>
        <v>0</v>
      </c>
      <c r="Z115" s="81">
        <f t="shared" si="61"/>
        <v>0</v>
      </c>
      <c r="AA115" s="81">
        <f t="shared" si="62"/>
        <v>0</v>
      </c>
      <c r="AC115" s="84">
        <v>15</v>
      </c>
      <c r="AD115" s="84">
        <f t="shared" si="56"/>
        <v>0</v>
      </c>
      <c r="AE115" s="84">
        <f t="shared" si="57"/>
        <v>0</v>
      </c>
      <c r="AL115" s="84">
        <f t="shared" si="63"/>
        <v>0</v>
      </c>
      <c r="AM115" s="84">
        <f t="shared" si="64"/>
        <v>0</v>
      </c>
      <c r="AN115" s="85" t="s">
        <v>622</v>
      </c>
      <c r="AO115" s="85" t="s">
        <v>339</v>
      </c>
      <c r="AP115" s="105" t="s">
        <v>339</v>
      </c>
      <c r="AR115" t="s">
        <v>726</v>
      </c>
      <c r="AS115" s="161">
        <v>4.0000000000000001E-3</v>
      </c>
      <c r="AU115" s="227"/>
    </row>
    <row r="116" spans="1:47" s="109" customFormat="1" hidden="1">
      <c r="A116" s="4" t="s">
        <v>90</v>
      </c>
      <c r="B116" s="60"/>
      <c r="C116" s="60" t="s">
        <v>510</v>
      </c>
      <c r="D116" s="60" t="s">
        <v>511</v>
      </c>
      <c r="E116" s="60" t="s">
        <v>285</v>
      </c>
      <c r="F116" s="14">
        <v>0</v>
      </c>
      <c r="G116" s="151"/>
      <c r="H116" s="61">
        <f t="shared" si="59"/>
        <v>0</v>
      </c>
      <c r="I116" s="61">
        <f t="shared" si="69"/>
        <v>0</v>
      </c>
      <c r="J116" s="14">
        <f t="shared" si="65"/>
        <v>0</v>
      </c>
      <c r="K116" s="140">
        <v>1.66E-2</v>
      </c>
      <c r="L116" s="61">
        <f t="shared" si="66"/>
        <v>0</v>
      </c>
      <c r="M116" s="62" t="s">
        <v>6</v>
      </c>
      <c r="N116" s="61">
        <f t="shared" si="68"/>
        <v>0</v>
      </c>
      <c r="Y116" s="81">
        <f t="shared" si="60"/>
        <v>0</v>
      </c>
      <c r="Z116" s="81">
        <f t="shared" si="61"/>
        <v>0</v>
      </c>
      <c r="AA116" s="81">
        <f t="shared" si="62"/>
        <v>0</v>
      </c>
      <c r="AC116" s="64">
        <v>15</v>
      </c>
      <c r="AD116" s="84">
        <f t="shared" si="56"/>
        <v>0</v>
      </c>
      <c r="AE116" s="84">
        <f t="shared" si="57"/>
        <v>0</v>
      </c>
      <c r="AL116" s="64">
        <f t="shared" si="63"/>
        <v>0</v>
      </c>
      <c r="AM116" s="64">
        <f t="shared" si="64"/>
        <v>0</v>
      </c>
      <c r="AN116" s="65" t="s">
        <v>512</v>
      </c>
      <c r="AO116" s="65" t="s">
        <v>412</v>
      </c>
      <c r="AP116" s="110" t="s">
        <v>339</v>
      </c>
      <c r="AR116" t="s">
        <v>726</v>
      </c>
      <c r="AS116" s="160">
        <v>1.66E-2</v>
      </c>
      <c r="AU116" s="230"/>
    </row>
    <row r="117" spans="1:47" s="75" customFormat="1" hidden="1">
      <c r="A117" s="4" t="s">
        <v>91</v>
      </c>
      <c r="B117" s="4"/>
      <c r="C117" s="4" t="s">
        <v>129</v>
      </c>
      <c r="D117" s="4" t="s">
        <v>921</v>
      </c>
      <c r="E117" s="4" t="s">
        <v>285</v>
      </c>
      <c r="F117" s="14">
        <v>0</v>
      </c>
      <c r="G117" s="151"/>
      <c r="H117" s="14">
        <f t="shared" si="59"/>
        <v>0</v>
      </c>
      <c r="I117" s="14">
        <f t="shared" si="69"/>
        <v>0</v>
      </c>
      <c r="J117" s="14">
        <f t="shared" si="65"/>
        <v>0</v>
      </c>
      <c r="K117" s="136">
        <v>8.0000000000000004E-4</v>
      </c>
      <c r="L117" s="14">
        <f t="shared" si="66"/>
        <v>0</v>
      </c>
      <c r="M117" s="20" t="s">
        <v>6</v>
      </c>
      <c r="N117" s="14">
        <f t="shared" si="68"/>
        <v>0</v>
      </c>
      <c r="Y117" s="81">
        <f t="shared" si="60"/>
        <v>0</v>
      </c>
      <c r="Z117" s="81">
        <f t="shared" si="61"/>
        <v>0</v>
      </c>
      <c r="AA117" s="81">
        <f t="shared" si="62"/>
        <v>0</v>
      </c>
      <c r="AC117" s="24">
        <v>15</v>
      </c>
      <c r="AD117" s="84">
        <f t="shared" si="56"/>
        <v>0</v>
      </c>
      <c r="AE117" s="84">
        <f t="shared" si="57"/>
        <v>0</v>
      </c>
      <c r="AL117" s="24">
        <f t="shared" si="63"/>
        <v>0</v>
      </c>
      <c r="AM117" s="24">
        <f t="shared" si="64"/>
        <v>0</v>
      </c>
      <c r="AN117" s="25" t="s">
        <v>319</v>
      </c>
      <c r="AO117" s="25" t="s">
        <v>334</v>
      </c>
      <c r="AP117" s="76" t="s">
        <v>339</v>
      </c>
      <c r="AR117" t="s">
        <v>726</v>
      </c>
      <c r="AS117" s="160">
        <v>8.0000000000000004E-4</v>
      </c>
      <c r="AU117" s="229"/>
    </row>
    <row r="118" spans="1:47" s="75" customFormat="1" hidden="1">
      <c r="A118" s="4" t="s">
        <v>92</v>
      </c>
      <c r="B118" s="4"/>
      <c r="C118" s="4" t="s">
        <v>178</v>
      </c>
      <c r="D118" s="4" t="s">
        <v>258</v>
      </c>
      <c r="E118" s="4" t="s">
        <v>285</v>
      </c>
      <c r="F118" s="14">
        <v>0</v>
      </c>
      <c r="G118" s="151"/>
      <c r="H118" s="14">
        <f t="shared" si="59"/>
        <v>0</v>
      </c>
      <c r="I118" s="14">
        <f t="shared" si="69"/>
        <v>0</v>
      </c>
      <c r="J118" s="14">
        <f t="shared" si="65"/>
        <v>0</v>
      </c>
      <c r="K118" s="136">
        <v>2.0000000000000001E-4</v>
      </c>
      <c r="L118" s="14">
        <f t="shared" si="66"/>
        <v>0</v>
      </c>
      <c r="M118" s="20" t="s">
        <v>6</v>
      </c>
      <c r="N118" s="14">
        <f t="shared" si="68"/>
        <v>0</v>
      </c>
      <c r="Y118" s="81">
        <f t="shared" si="60"/>
        <v>0</v>
      </c>
      <c r="Z118" s="81">
        <f t="shared" si="61"/>
        <v>0</v>
      </c>
      <c r="AA118" s="81">
        <f t="shared" si="62"/>
        <v>0</v>
      </c>
      <c r="AC118" s="24">
        <v>15</v>
      </c>
      <c r="AD118" s="84">
        <f t="shared" si="56"/>
        <v>0</v>
      </c>
      <c r="AE118" s="84">
        <f t="shared" si="57"/>
        <v>0</v>
      </c>
      <c r="AL118" s="24">
        <f t="shared" si="63"/>
        <v>0</v>
      </c>
      <c r="AM118" s="24">
        <f t="shared" si="64"/>
        <v>0</v>
      </c>
      <c r="AN118" s="25" t="s">
        <v>328</v>
      </c>
      <c r="AO118" s="25" t="s">
        <v>338</v>
      </c>
      <c r="AP118" s="76" t="s">
        <v>339</v>
      </c>
      <c r="AR118" s="75" t="s">
        <v>728</v>
      </c>
      <c r="AS118" s="160">
        <v>2.0000000000000001E-4</v>
      </c>
      <c r="AU118" s="229"/>
    </row>
    <row r="119" spans="1:47" s="75" customFormat="1" hidden="1">
      <c r="A119" s="4" t="s">
        <v>93</v>
      </c>
      <c r="B119" s="5"/>
      <c r="C119" s="5" t="s">
        <v>179</v>
      </c>
      <c r="D119" s="5" t="s">
        <v>259</v>
      </c>
      <c r="E119" s="5" t="s">
        <v>285</v>
      </c>
      <c r="F119" s="15">
        <v>0</v>
      </c>
      <c r="G119" s="151"/>
      <c r="H119" s="15">
        <f t="shared" si="59"/>
        <v>0</v>
      </c>
      <c r="I119" s="15">
        <f t="shared" si="69"/>
        <v>0</v>
      </c>
      <c r="J119" s="14">
        <f t="shared" si="65"/>
        <v>0</v>
      </c>
      <c r="K119" s="137">
        <v>4.0000000000000002E-4</v>
      </c>
      <c r="L119" s="15">
        <f t="shared" si="66"/>
        <v>0</v>
      </c>
      <c r="M119" s="21" t="s">
        <v>302</v>
      </c>
      <c r="N119" s="15">
        <f t="shared" si="68"/>
        <v>0</v>
      </c>
      <c r="Y119" s="81">
        <f t="shared" si="60"/>
        <v>0</v>
      </c>
      <c r="Z119" s="81">
        <f t="shared" si="61"/>
        <v>0</v>
      </c>
      <c r="AA119" s="81">
        <f t="shared" si="62"/>
        <v>0</v>
      </c>
      <c r="AC119" s="24">
        <v>15</v>
      </c>
      <c r="AD119" s="84">
        <f t="shared" si="56"/>
        <v>0</v>
      </c>
      <c r="AE119" s="84">
        <f t="shared" si="57"/>
        <v>0</v>
      </c>
      <c r="AL119" s="24">
        <f t="shared" si="63"/>
        <v>0</v>
      </c>
      <c r="AM119" s="24">
        <f t="shared" si="64"/>
        <v>0</v>
      </c>
      <c r="AN119" s="25" t="s">
        <v>328</v>
      </c>
      <c r="AO119" s="25" t="s">
        <v>338</v>
      </c>
      <c r="AP119" s="76" t="s">
        <v>339</v>
      </c>
      <c r="AR119" s="75" t="s">
        <v>728</v>
      </c>
      <c r="AS119" s="161">
        <v>4.0000000000000002E-4</v>
      </c>
      <c r="AU119" s="229"/>
    </row>
    <row r="120" spans="1:47" s="83" customFormat="1" hidden="1">
      <c r="A120" s="4" t="s">
        <v>94</v>
      </c>
      <c r="B120" s="80"/>
      <c r="C120" s="4" t="s">
        <v>819</v>
      </c>
      <c r="D120" s="80" t="s">
        <v>604</v>
      </c>
      <c r="E120" s="4" t="s">
        <v>498</v>
      </c>
      <c r="F120" s="81">
        <v>6.1</v>
      </c>
      <c r="G120" s="14"/>
      <c r="H120" s="81">
        <f t="shared" si="59"/>
        <v>0</v>
      </c>
      <c r="I120" s="81">
        <f t="shared" si="69"/>
        <v>0</v>
      </c>
      <c r="J120" s="14">
        <f t="shared" si="65"/>
        <v>0</v>
      </c>
      <c r="K120" s="135"/>
      <c r="L120" s="81"/>
      <c r="M120" s="82" t="s">
        <v>10</v>
      </c>
      <c r="N120" s="81">
        <f>IF(M120="5",J120,0)</f>
        <v>0</v>
      </c>
      <c r="Y120" s="81">
        <f t="shared" si="60"/>
        <v>0</v>
      </c>
      <c r="Z120" s="81">
        <f t="shared" si="61"/>
        <v>0</v>
      </c>
      <c r="AA120" s="81">
        <f t="shared" si="62"/>
        <v>0</v>
      </c>
      <c r="AC120" s="84">
        <v>15</v>
      </c>
      <c r="AD120" s="84">
        <f>G120*0.81143570536829</f>
        <v>0</v>
      </c>
      <c r="AE120" s="84">
        <f t="shared" si="57"/>
        <v>0</v>
      </c>
      <c r="AL120" s="84">
        <f t="shared" si="63"/>
        <v>0</v>
      </c>
      <c r="AM120" s="84">
        <f t="shared" si="64"/>
        <v>0</v>
      </c>
      <c r="AN120" s="85" t="s">
        <v>605</v>
      </c>
      <c r="AO120" s="85" t="s">
        <v>338</v>
      </c>
      <c r="AP120" s="86" t="s">
        <v>339</v>
      </c>
      <c r="AR120" t="s">
        <v>726</v>
      </c>
      <c r="AS120" s="160"/>
      <c r="AU120" s="228"/>
    </row>
    <row r="121" spans="1:47" s="83" customFormat="1" hidden="1">
      <c r="A121" s="87"/>
      <c r="B121" s="88"/>
      <c r="C121" s="88" t="s">
        <v>577</v>
      </c>
      <c r="D121" s="122" t="s">
        <v>578</v>
      </c>
      <c r="E121" s="123"/>
      <c r="F121" s="123"/>
      <c r="G121" s="123"/>
      <c r="H121" s="89">
        <f>SUM(H122:H123)</f>
        <v>0</v>
      </c>
      <c r="I121" s="89">
        <f>SUM(I122:I123)</f>
        <v>0</v>
      </c>
      <c r="J121" s="89">
        <f>H121+I121</f>
        <v>0</v>
      </c>
      <c r="K121" s="138"/>
      <c r="L121" s="89">
        <f>SUM(L122:L122)</f>
        <v>0</v>
      </c>
      <c r="O121" s="89">
        <f>IF(P121="PR",J121,SUM(N122:N122))</f>
        <v>0</v>
      </c>
      <c r="P121" s="86" t="s">
        <v>306</v>
      </c>
      <c r="Q121" s="89">
        <f>IF(P121="HS",H121,0)</f>
        <v>0</v>
      </c>
      <c r="R121" s="89">
        <f>IF(P121="HS",I121-O121,0)</f>
        <v>0</v>
      </c>
      <c r="S121" s="89">
        <f>IF(P121="PS",H121,0)</f>
        <v>0</v>
      </c>
      <c r="T121" s="89">
        <f>IF(P121="PS",I121-O121,0)</f>
        <v>0</v>
      </c>
      <c r="U121" s="89">
        <f>IF(P121="MP",H121,0)</f>
        <v>0</v>
      </c>
      <c r="V121" s="89">
        <f>IF(P121="MP",I121-O121,0)</f>
        <v>0</v>
      </c>
      <c r="W121" s="89">
        <f>IF(P121="OM",H121,0)</f>
        <v>0</v>
      </c>
      <c r="X121" s="86"/>
      <c r="Y121" s="81"/>
      <c r="Z121" s="81"/>
      <c r="AA121" s="81"/>
      <c r="AD121" s="84"/>
      <c r="AE121" s="84"/>
      <c r="AH121" s="89">
        <f>SUM(Y122:Y122)</f>
        <v>0</v>
      </c>
      <c r="AI121" s="89">
        <f>SUM(Z122:Z122)</f>
        <v>0</v>
      </c>
      <c r="AJ121" s="89">
        <f>SUM(AA122:AA122)</f>
        <v>0</v>
      </c>
      <c r="AS121" s="162"/>
      <c r="AU121" s="228"/>
    </row>
    <row r="122" spans="1:47" s="83" customFormat="1" hidden="1">
      <c r="A122" s="4" t="s">
        <v>95</v>
      </c>
      <c r="B122" s="80"/>
      <c r="C122" s="80" t="s">
        <v>579</v>
      </c>
      <c r="D122" s="4" t="s">
        <v>739</v>
      </c>
      <c r="E122" s="124" t="s">
        <v>287</v>
      </c>
      <c r="F122" s="81">
        <v>0</v>
      </c>
      <c r="G122" s="81"/>
      <c r="H122" s="81">
        <f>F122*AD122</f>
        <v>0</v>
      </c>
      <c r="I122" s="81">
        <f>J122-H122</f>
        <v>0</v>
      </c>
      <c r="J122" s="81">
        <f>F122*G122</f>
        <v>0</v>
      </c>
      <c r="K122" s="135">
        <v>2.3400000000000001E-3</v>
      </c>
      <c r="L122" s="81">
        <f>F122*K122</f>
        <v>0</v>
      </c>
      <c r="M122" s="82" t="s">
        <v>6</v>
      </c>
      <c r="N122" s="81">
        <f>IF(M122="5",I122,0)</f>
        <v>0</v>
      </c>
      <c r="Y122" s="81">
        <f>IF(AC122=0,J122,0)</f>
        <v>0</v>
      </c>
      <c r="Z122" s="81">
        <f>IF(AC122=15,J122,0)</f>
        <v>0</v>
      </c>
      <c r="AA122" s="81">
        <f>IF(AC122=21,J122,0)</f>
        <v>0</v>
      </c>
      <c r="AC122" s="84">
        <v>15</v>
      </c>
      <c r="AD122" s="84">
        <f t="shared" si="56"/>
        <v>0</v>
      </c>
      <c r="AE122" s="84">
        <f t="shared" si="57"/>
        <v>0</v>
      </c>
      <c r="AL122" s="84">
        <f>F122*AD122</f>
        <v>0</v>
      </c>
      <c r="AM122" s="84">
        <f>F122*AE122</f>
        <v>0</v>
      </c>
      <c r="AN122" s="85" t="s">
        <v>580</v>
      </c>
      <c r="AO122" s="85" t="s">
        <v>412</v>
      </c>
      <c r="AP122" s="86" t="s">
        <v>339</v>
      </c>
      <c r="AR122" t="s">
        <v>726</v>
      </c>
      <c r="AS122" s="160">
        <v>2.3400000000000001E-3</v>
      </c>
      <c r="AU122" s="228"/>
    </row>
    <row r="123" spans="1:47" s="83" customFormat="1" hidden="1">
      <c r="A123" s="4" t="s">
        <v>96</v>
      </c>
      <c r="B123" s="80"/>
      <c r="C123" s="4" t="s">
        <v>856</v>
      </c>
      <c r="D123" s="154" t="s">
        <v>960</v>
      </c>
      <c r="E123" s="118" t="s">
        <v>857</v>
      </c>
      <c r="F123" s="81">
        <v>0</v>
      </c>
      <c r="G123" s="81"/>
      <c r="H123" s="81">
        <f>F123*AD123</f>
        <v>0</v>
      </c>
      <c r="I123" s="81">
        <f>J123-H123</f>
        <v>0</v>
      </c>
      <c r="J123" s="81">
        <f>F123*G123</f>
        <v>0</v>
      </c>
      <c r="K123" s="135">
        <v>1.8000000000000001E-4</v>
      </c>
      <c r="L123" s="81">
        <f>F123*K123</f>
        <v>0</v>
      </c>
      <c r="M123" s="82" t="s">
        <v>6</v>
      </c>
      <c r="N123" s="81">
        <f>IF(M123="5",I123,0)</f>
        <v>0</v>
      </c>
      <c r="Y123" s="81">
        <f>IF(AC123=0,J123,0)</f>
        <v>0</v>
      </c>
      <c r="Z123" s="81">
        <f>IF(AC123=15,J123,0)</f>
        <v>0</v>
      </c>
      <c r="AA123" s="81">
        <f>IF(AC123=21,J123,0)</f>
        <v>0</v>
      </c>
      <c r="AC123" s="84">
        <v>15</v>
      </c>
      <c r="AD123" s="84">
        <f>G123*0.81143570536829</f>
        <v>0</v>
      </c>
      <c r="AE123" s="84">
        <f>G123*(1-0.81143570536829)</f>
        <v>0</v>
      </c>
      <c r="AL123" s="84">
        <f>F123*AD123</f>
        <v>0</v>
      </c>
      <c r="AM123" s="84">
        <f>F123*AE123</f>
        <v>0</v>
      </c>
      <c r="AN123" s="85" t="s">
        <v>580</v>
      </c>
      <c r="AO123" s="85" t="s">
        <v>412</v>
      </c>
      <c r="AP123" s="86" t="s">
        <v>339</v>
      </c>
      <c r="AR123" t="s">
        <v>726</v>
      </c>
      <c r="AS123" s="160">
        <v>2.3400000000000001E-3</v>
      </c>
      <c r="AU123" s="228"/>
    </row>
    <row r="124" spans="1:47" s="83" customFormat="1" hidden="1">
      <c r="A124" s="87"/>
      <c r="B124" s="88"/>
      <c r="C124" s="88" t="s">
        <v>581</v>
      </c>
      <c r="D124" s="122" t="s">
        <v>582</v>
      </c>
      <c r="E124" s="123"/>
      <c r="F124" s="123"/>
      <c r="G124" s="123"/>
      <c r="H124" s="89">
        <f>SUM(H125:H129)</f>
        <v>0</v>
      </c>
      <c r="I124" s="89">
        <f>SUM(I125:I129)</f>
        <v>0</v>
      </c>
      <c r="J124" s="89">
        <f>H124+I124</f>
        <v>0</v>
      </c>
      <c r="K124" s="138"/>
      <c r="L124" s="89">
        <f>SUM(L125:L128)</f>
        <v>0</v>
      </c>
      <c r="O124" s="89">
        <f>IF(P124="PR",J124,SUM(N125:N129))</f>
        <v>0</v>
      </c>
      <c r="P124" s="86" t="s">
        <v>306</v>
      </c>
      <c r="Q124" s="89">
        <f>IF(P124="HS",H124,0)</f>
        <v>0</v>
      </c>
      <c r="R124" s="89">
        <f>IF(P124="HS",I124-O124,0)</f>
        <v>0</v>
      </c>
      <c r="S124" s="89">
        <f>IF(P124="PS",H124,0)</f>
        <v>0</v>
      </c>
      <c r="T124" s="89">
        <f>IF(P124="PS",I124-O124,0)</f>
        <v>0</v>
      </c>
      <c r="U124" s="89">
        <f>IF(P124="MP",H124,0)</f>
        <v>0</v>
      </c>
      <c r="V124" s="89">
        <f>IF(P124="MP",I124-O124,0)</f>
        <v>0</v>
      </c>
      <c r="W124" s="89">
        <f>IF(P124="OM",H124,0)</f>
        <v>0</v>
      </c>
      <c r="X124" s="86"/>
      <c r="Y124" s="81"/>
      <c r="Z124" s="81"/>
      <c r="AA124" s="81"/>
      <c r="AD124" s="84"/>
      <c r="AE124" s="84"/>
      <c r="AH124" s="89">
        <f>SUM(Y125:Y129)</f>
        <v>0</v>
      </c>
      <c r="AI124" s="89">
        <f>SUM(Z125:Z129)</f>
        <v>0</v>
      </c>
      <c r="AJ124" s="89">
        <f>SUM(AA125:AA129)</f>
        <v>0</v>
      </c>
      <c r="AS124" s="162"/>
      <c r="AU124" s="228"/>
    </row>
    <row r="125" spans="1:47" s="104" customFormat="1" hidden="1">
      <c r="A125" s="4" t="s">
        <v>97</v>
      </c>
      <c r="B125" s="80"/>
      <c r="C125" s="80" t="s">
        <v>583</v>
      </c>
      <c r="D125" s="80" t="s">
        <v>584</v>
      </c>
      <c r="E125" s="80" t="s">
        <v>285</v>
      </c>
      <c r="F125" s="81">
        <v>0</v>
      </c>
      <c r="G125" s="81"/>
      <c r="H125" s="81">
        <f>F125*AD125</f>
        <v>0</v>
      </c>
      <c r="I125" s="81">
        <f>J125-H125</f>
        <v>0</v>
      </c>
      <c r="J125" s="81">
        <f>F125*G125</f>
        <v>0</v>
      </c>
      <c r="K125" s="135">
        <v>0</v>
      </c>
      <c r="L125" s="81">
        <f>F125*K125</f>
        <v>0</v>
      </c>
      <c r="M125" s="82" t="s">
        <v>6</v>
      </c>
      <c r="N125" s="81">
        <f>IF(M125="5",I125,0)</f>
        <v>0</v>
      </c>
      <c r="Y125" s="81">
        <f>IF(AC125=0,J125,0)</f>
        <v>0</v>
      </c>
      <c r="Z125" s="81">
        <f>IF(AC125=15,J125,0)</f>
        <v>0</v>
      </c>
      <c r="AA125" s="81">
        <f>IF(AC125=21,J125,0)</f>
        <v>0</v>
      </c>
      <c r="AC125" s="84">
        <v>15</v>
      </c>
      <c r="AD125" s="84">
        <f t="shared" si="56"/>
        <v>0</v>
      </c>
      <c r="AE125" s="84">
        <f t="shared" si="57"/>
        <v>0</v>
      </c>
      <c r="AL125" s="84">
        <f>F125*AD125</f>
        <v>0</v>
      </c>
      <c r="AM125" s="84">
        <f>F125*AE125</f>
        <v>0</v>
      </c>
      <c r="AN125" s="85" t="s">
        <v>512</v>
      </c>
      <c r="AO125" s="85" t="s">
        <v>412</v>
      </c>
      <c r="AP125" s="105" t="s">
        <v>339</v>
      </c>
      <c r="AR125" t="s">
        <v>726</v>
      </c>
      <c r="AS125" s="160">
        <v>0</v>
      </c>
      <c r="AU125" s="227"/>
    </row>
    <row r="126" spans="1:47" s="104" customFormat="1" hidden="1">
      <c r="A126" s="4" t="s">
        <v>98</v>
      </c>
      <c r="B126" s="80"/>
      <c r="C126" s="80" t="s">
        <v>585</v>
      </c>
      <c r="D126" s="80" t="s">
        <v>586</v>
      </c>
      <c r="E126" s="80" t="s">
        <v>285</v>
      </c>
      <c r="F126" s="81">
        <v>0</v>
      </c>
      <c r="G126" s="81"/>
      <c r="H126" s="81">
        <f>F126*AD126</f>
        <v>0</v>
      </c>
      <c r="I126" s="81">
        <f>J126-H126</f>
        <v>0</v>
      </c>
      <c r="J126" s="81">
        <f>F126*G126</f>
        <v>0</v>
      </c>
      <c r="K126" s="135">
        <v>1.24E-2</v>
      </c>
      <c r="L126" s="81">
        <f>F126*K126</f>
        <v>0</v>
      </c>
      <c r="M126" s="82" t="s">
        <v>6</v>
      </c>
      <c r="N126" s="81">
        <f>IF(M126="5",I126,0)</f>
        <v>0</v>
      </c>
      <c r="Y126" s="81">
        <f>IF(AC126=0,J126,0)</f>
        <v>0</v>
      </c>
      <c r="Z126" s="81">
        <f>IF(AC126=15,J126,0)</f>
        <v>0</v>
      </c>
      <c r="AA126" s="81">
        <f>IF(AC126=21,J126,0)</f>
        <v>0</v>
      </c>
      <c r="AC126" s="84">
        <v>15</v>
      </c>
      <c r="AD126" s="84">
        <f t="shared" si="56"/>
        <v>0</v>
      </c>
      <c r="AE126" s="84">
        <f t="shared" si="57"/>
        <v>0</v>
      </c>
      <c r="AL126" s="84">
        <f>F126*AD126</f>
        <v>0</v>
      </c>
      <c r="AM126" s="84">
        <f>F126*AE126</f>
        <v>0</v>
      </c>
      <c r="AN126" s="85" t="s">
        <v>512</v>
      </c>
      <c r="AO126" s="85" t="s">
        <v>412</v>
      </c>
      <c r="AP126" s="105" t="s">
        <v>339</v>
      </c>
      <c r="AR126" t="s">
        <v>726</v>
      </c>
      <c r="AS126" s="160">
        <v>1.24E-2</v>
      </c>
      <c r="AU126" s="227"/>
    </row>
    <row r="127" spans="1:47" s="104" customFormat="1" hidden="1">
      <c r="A127" s="4" t="s">
        <v>425</v>
      </c>
      <c r="B127" s="80"/>
      <c r="C127" s="4" t="s">
        <v>965</v>
      </c>
      <c r="D127" s="4" t="s">
        <v>742</v>
      </c>
      <c r="E127" s="4" t="s">
        <v>743</v>
      </c>
      <c r="F127" s="81">
        <v>0</v>
      </c>
      <c r="G127" s="81"/>
      <c r="H127" s="81">
        <f>F127*AD127</f>
        <v>0</v>
      </c>
      <c r="I127" s="81">
        <f>J127-H127</f>
        <v>0</v>
      </c>
      <c r="J127" s="81">
        <f>F127*G127</f>
        <v>0</v>
      </c>
      <c r="K127" s="135"/>
      <c r="L127" s="81"/>
      <c r="M127" s="20" t="s">
        <v>6</v>
      </c>
      <c r="N127" s="81">
        <f>IF(M127="5",I127,0)</f>
        <v>0</v>
      </c>
      <c r="Y127" s="81">
        <f>IF(AC127=0,J127,0)</f>
        <v>0</v>
      </c>
      <c r="Z127" s="81">
        <f>IF(AC127=15,J127,0)</f>
        <v>0</v>
      </c>
      <c r="AA127" s="81">
        <f>IF(AC127=21,J127,0)</f>
        <v>0</v>
      </c>
      <c r="AC127" s="84">
        <v>15</v>
      </c>
      <c r="AD127" s="84">
        <f t="shared" si="56"/>
        <v>0</v>
      </c>
      <c r="AE127" s="84">
        <f t="shared" si="57"/>
        <v>0</v>
      </c>
      <c r="AL127" s="84">
        <f>F127*AD127</f>
        <v>0</v>
      </c>
      <c r="AM127" s="84">
        <f>F127*AE127</f>
        <v>0</v>
      </c>
      <c r="AN127" s="85" t="s">
        <v>512</v>
      </c>
      <c r="AO127" s="85" t="s">
        <v>412</v>
      </c>
      <c r="AP127" s="105" t="s">
        <v>339</v>
      </c>
      <c r="AR127" t="s">
        <v>726</v>
      </c>
      <c r="AS127" s="160"/>
      <c r="AU127" s="227"/>
    </row>
    <row r="128" spans="1:47" s="104" customFormat="1" hidden="1">
      <c r="A128" s="4" t="s">
        <v>426</v>
      </c>
      <c r="B128" s="90"/>
      <c r="C128" s="90" t="s">
        <v>631</v>
      </c>
      <c r="D128" s="90" t="s">
        <v>632</v>
      </c>
      <c r="E128" s="90" t="s">
        <v>285</v>
      </c>
      <c r="F128" s="91">
        <v>0</v>
      </c>
      <c r="G128" s="91"/>
      <c r="H128" s="91">
        <f>F128*AD128</f>
        <v>0</v>
      </c>
      <c r="I128" s="91">
        <f>J128-H128</f>
        <v>0</v>
      </c>
      <c r="J128" s="91">
        <f>F128*G128</f>
        <v>0</v>
      </c>
      <c r="K128" s="144">
        <v>1.2500000000000001E-2</v>
      </c>
      <c r="L128" s="91">
        <f>F128*K128</f>
        <v>0</v>
      </c>
      <c r="M128" s="92" t="s">
        <v>302</v>
      </c>
      <c r="N128" s="91">
        <f>IF(M128="5",I128,0)</f>
        <v>0</v>
      </c>
      <c r="Y128" s="81">
        <f>IF(AC128=0,J128,0)</f>
        <v>0</v>
      </c>
      <c r="Z128" s="81">
        <f>IF(AC128=15,J128,0)</f>
        <v>0</v>
      </c>
      <c r="AA128" s="81">
        <f>IF(AC128=21,J128,0)</f>
        <v>0</v>
      </c>
      <c r="AC128" s="84">
        <v>15</v>
      </c>
      <c r="AD128" s="84">
        <f t="shared" si="56"/>
        <v>0</v>
      </c>
      <c r="AE128" s="84">
        <f t="shared" si="57"/>
        <v>0</v>
      </c>
      <c r="AL128" s="84">
        <f>F128*AD128</f>
        <v>0</v>
      </c>
      <c r="AM128" s="84">
        <f>F128*AE128</f>
        <v>0</v>
      </c>
      <c r="AN128" s="85" t="s">
        <v>622</v>
      </c>
      <c r="AO128" s="85" t="s">
        <v>339</v>
      </c>
      <c r="AP128" s="105" t="s">
        <v>339</v>
      </c>
      <c r="AR128" t="s">
        <v>726</v>
      </c>
      <c r="AS128" s="161">
        <v>1.2500000000000001E-2</v>
      </c>
      <c r="AU128" s="227"/>
    </row>
    <row r="129" spans="1:47" s="104" customFormat="1" hidden="1">
      <c r="A129" s="4" t="s">
        <v>427</v>
      </c>
      <c r="B129" s="80"/>
      <c r="C129" s="4" t="s">
        <v>635</v>
      </c>
      <c r="D129" s="80" t="s">
        <v>606</v>
      </c>
      <c r="E129" s="4" t="s">
        <v>498</v>
      </c>
      <c r="F129" s="81">
        <v>2.9</v>
      </c>
      <c r="G129" s="81"/>
      <c r="H129" s="81">
        <f>F129*AD129</f>
        <v>0</v>
      </c>
      <c r="I129" s="81">
        <f>J129-H129</f>
        <v>0</v>
      </c>
      <c r="J129" s="81">
        <f>F129*G129</f>
        <v>0</v>
      </c>
      <c r="K129" s="135"/>
      <c r="L129" s="81"/>
      <c r="M129" s="82" t="s">
        <v>10</v>
      </c>
      <c r="N129" s="81">
        <f>IF(M129="5",J129,0)</f>
        <v>0</v>
      </c>
      <c r="Y129" s="81">
        <f>IF(AC129=0,J129,0)</f>
        <v>0</v>
      </c>
      <c r="Z129" s="81">
        <f>IF(AC129=15,J129,0)</f>
        <v>0</v>
      </c>
      <c r="AA129" s="81">
        <f>IF(AC129=21,J129,0)</f>
        <v>0</v>
      </c>
      <c r="AC129" s="84">
        <v>15</v>
      </c>
      <c r="AD129" s="84">
        <f t="shared" si="56"/>
        <v>0</v>
      </c>
      <c r="AE129" s="84">
        <f t="shared" si="57"/>
        <v>0</v>
      </c>
      <c r="AL129" s="84">
        <f>F129*AD129</f>
        <v>0</v>
      </c>
      <c r="AM129" s="84">
        <f>F129*AE129</f>
        <v>0</v>
      </c>
      <c r="AN129" s="85" t="s">
        <v>607</v>
      </c>
      <c r="AO129" s="85" t="s">
        <v>338</v>
      </c>
      <c r="AP129" s="105" t="s">
        <v>339</v>
      </c>
      <c r="AR129" t="s">
        <v>726</v>
      </c>
      <c r="AS129" s="160"/>
      <c r="AU129" s="227"/>
    </row>
    <row r="130" spans="1:47">
      <c r="A130" s="6"/>
      <c r="B130" s="12"/>
      <c r="C130" s="12" t="s">
        <v>130</v>
      </c>
      <c r="D130" s="71" t="s">
        <v>217</v>
      </c>
      <c r="E130" s="72"/>
      <c r="F130" s="72"/>
      <c r="G130" s="72"/>
      <c r="H130" s="27">
        <f>SUM(H131:H169)</f>
        <v>0</v>
      </c>
      <c r="I130" s="27">
        <f>SUM(I131:I169)</f>
        <v>0</v>
      </c>
      <c r="J130" s="27">
        <f>H130+I130</f>
        <v>0</v>
      </c>
      <c r="K130" s="139"/>
      <c r="L130" s="27">
        <f>SUM(L131:L168)</f>
        <v>2.5207199999999998</v>
      </c>
      <c r="O130" s="27">
        <f>IF(P130="PR",J130,SUM(N131:N169))</f>
        <v>0</v>
      </c>
      <c r="P130" s="19" t="s">
        <v>306</v>
      </c>
      <c r="Q130" s="27">
        <f>IF(P130="HS",H130,0)</f>
        <v>0</v>
      </c>
      <c r="R130" s="27">
        <f>IF(P130="HS",I130-O130,0)</f>
        <v>0</v>
      </c>
      <c r="S130" s="27">
        <f>IF(P130="PS",H130,0)</f>
        <v>0</v>
      </c>
      <c r="T130" s="27">
        <f>IF(P130="PS",I130-O130,0)</f>
        <v>0</v>
      </c>
      <c r="U130" s="27">
        <f>IF(P130="MP",H130,0)</f>
        <v>0</v>
      </c>
      <c r="V130" s="27">
        <f>IF(P130="MP",I130-O130,0)</f>
        <v>0</v>
      </c>
      <c r="W130" s="27">
        <f>IF(P130="OM",H130,0)</f>
        <v>0</v>
      </c>
      <c r="X130" s="19"/>
      <c r="Y130" s="81"/>
      <c r="Z130" s="81"/>
      <c r="AA130" s="81"/>
      <c r="AD130" s="84"/>
      <c r="AE130" s="84"/>
      <c r="AH130" s="27">
        <f>SUM(Y131:Y169)</f>
        <v>0</v>
      </c>
      <c r="AI130" s="27">
        <f>SUM(Z131:Z169)</f>
        <v>0</v>
      </c>
      <c r="AJ130" s="27">
        <f>SUM(AA131:AA169)</f>
        <v>0</v>
      </c>
      <c r="AS130" s="162"/>
    </row>
    <row r="131" spans="1:47" s="75" customFormat="1" hidden="1">
      <c r="A131" s="4" t="s">
        <v>749</v>
      </c>
      <c r="B131" s="5"/>
      <c r="C131" s="5" t="s">
        <v>468</v>
      </c>
      <c r="D131" s="5" t="s">
        <v>469</v>
      </c>
      <c r="E131" s="5" t="s">
        <v>285</v>
      </c>
      <c r="F131" s="15">
        <v>0</v>
      </c>
      <c r="G131" s="15"/>
      <c r="H131" s="15">
        <f t="shared" ref="H131:H169" si="70">F131*AD131</f>
        <v>0</v>
      </c>
      <c r="I131" s="15">
        <f t="shared" ref="I131:I148" si="71">J131-H131</f>
        <v>0</v>
      </c>
      <c r="J131" s="15">
        <f t="shared" ref="J131:J169" si="72">F131*G131</f>
        <v>0</v>
      </c>
      <c r="K131" s="137">
        <v>2.1499999999999998E-2</v>
      </c>
      <c r="L131" s="15">
        <f t="shared" ref="L131:L168" si="73">F131*K131</f>
        <v>0</v>
      </c>
      <c r="M131" s="21" t="s">
        <v>302</v>
      </c>
      <c r="N131" s="15">
        <f t="shared" ref="N131:N168" si="74">IF(M131="5",I131,0)</f>
        <v>0</v>
      </c>
      <c r="Y131" s="81">
        <f t="shared" ref="Y131:Y169" si="75">IF(AC131=0,J131,0)</f>
        <v>0</v>
      </c>
      <c r="Z131" s="81">
        <f t="shared" ref="Z131:Z169" si="76">IF(AC131=15,J131,0)</f>
        <v>0</v>
      </c>
      <c r="AA131" s="81">
        <f t="shared" ref="AA131:AA169" si="77">IF(AC131=21,J131,0)</f>
        <v>0</v>
      </c>
      <c r="AC131" s="24">
        <v>15</v>
      </c>
      <c r="AD131" s="84">
        <f t="shared" si="56"/>
        <v>0</v>
      </c>
      <c r="AE131" s="84">
        <f t="shared" si="57"/>
        <v>0</v>
      </c>
      <c r="AL131" s="24">
        <f t="shared" ref="AL131:AL169" si="78">F131*AD131</f>
        <v>0</v>
      </c>
      <c r="AM131" s="24">
        <f t="shared" ref="AM131:AM169" si="79">F131*AE131</f>
        <v>0</v>
      </c>
      <c r="AN131" s="25" t="s">
        <v>320</v>
      </c>
      <c r="AO131" s="25" t="s">
        <v>335</v>
      </c>
      <c r="AP131" s="76" t="s">
        <v>339</v>
      </c>
      <c r="AR131" s="75" t="s">
        <v>728</v>
      </c>
      <c r="AS131" s="161">
        <v>2.1499999999999998E-2</v>
      </c>
      <c r="AU131" s="229"/>
    </row>
    <row r="132" spans="1:47" s="96" customFormat="1" hidden="1">
      <c r="A132" s="4" t="s">
        <v>428</v>
      </c>
      <c r="B132" s="4"/>
      <c r="C132" s="5" t="s">
        <v>705</v>
      </c>
      <c r="D132" s="5" t="s">
        <v>706</v>
      </c>
      <c r="E132" s="5" t="s">
        <v>285</v>
      </c>
      <c r="F132" s="15">
        <v>0</v>
      </c>
      <c r="G132" s="15"/>
      <c r="H132" s="102">
        <f t="shared" si="70"/>
        <v>0</v>
      </c>
      <c r="I132" s="102">
        <f t="shared" si="71"/>
        <v>0</v>
      </c>
      <c r="J132" s="15">
        <f t="shared" si="72"/>
        <v>0</v>
      </c>
      <c r="K132" s="147">
        <v>2.4E-2</v>
      </c>
      <c r="L132" s="102">
        <f t="shared" si="73"/>
        <v>0</v>
      </c>
      <c r="M132" s="103" t="s">
        <v>302</v>
      </c>
      <c r="N132" s="102">
        <f t="shared" si="74"/>
        <v>0</v>
      </c>
      <c r="Y132" s="81">
        <f t="shared" si="75"/>
        <v>0</v>
      </c>
      <c r="Z132" s="81">
        <f t="shared" si="76"/>
        <v>0</v>
      </c>
      <c r="AA132" s="81">
        <f t="shared" si="77"/>
        <v>0</v>
      </c>
      <c r="AC132" s="97">
        <v>15</v>
      </c>
      <c r="AD132" s="84">
        <f t="shared" si="56"/>
        <v>0</v>
      </c>
      <c r="AE132" s="84">
        <f t="shared" si="57"/>
        <v>0</v>
      </c>
      <c r="AL132" s="97">
        <f t="shared" si="78"/>
        <v>0</v>
      </c>
      <c r="AM132" s="97">
        <f t="shared" si="79"/>
        <v>0</v>
      </c>
      <c r="AN132" s="98" t="s">
        <v>622</v>
      </c>
      <c r="AO132" s="98" t="s">
        <v>707</v>
      </c>
      <c r="AP132" s="99" t="s">
        <v>339</v>
      </c>
      <c r="AS132" s="161">
        <v>2.4E-2</v>
      </c>
      <c r="AU132" s="232"/>
    </row>
    <row r="133" spans="1:47" s="75" customFormat="1" hidden="1">
      <c r="A133" s="4" t="s">
        <v>429</v>
      </c>
      <c r="B133" s="5"/>
      <c r="C133" s="5" t="s">
        <v>470</v>
      </c>
      <c r="D133" s="5" t="s">
        <v>471</v>
      </c>
      <c r="E133" s="5" t="s">
        <v>285</v>
      </c>
      <c r="F133" s="15">
        <v>0</v>
      </c>
      <c r="G133" s="15"/>
      <c r="H133" s="15">
        <f t="shared" si="70"/>
        <v>0</v>
      </c>
      <c r="I133" s="15">
        <f t="shared" si="71"/>
        <v>0</v>
      </c>
      <c r="J133" s="15">
        <f t="shared" si="72"/>
        <v>0</v>
      </c>
      <c r="K133" s="137">
        <v>1.7000000000000001E-2</v>
      </c>
      <c r="L133" s="15">
        <f t="shared" si="73"/>
        <v>0</v>
      </c>
      <c r="M133" s="21" t="s">
        <v>302</v>
      </c>
      <c r="N133" s="15">
        <f t="shared" si="74"/>
        <v>0</v>
      </c>
      <c r="Y133" s="81">
        <f t="shared" si="75"/>
        <v>0</v>
      </c>
      <c r="Z133" s="81">
        <f t="shared" si="76"/>
        <v>0</v>
      </c>
      <c r="AA133" s="81">
        <f t="shared" si="77"/>
        <v>0</v>
      </c>
      <c r="AC133" s="24">
        <v>15</v>
      </c>
      <c r="AD133" s="84">
        <f t="shared" si="56"/>
        <v>0</v>
      </c>
      <c r="AE133" s="84">
        <f t="shared" si="57"/>
        <v>0</v>
      </c>
      <c r="AL133" s="24">
        <f t="shared" si="78"/>
        <v>0</v>
      </c>
      <c r="AM133" s="24">
        <f t="shared" si="79"/>
        <v>0</v>
      </c>
      <c r="AN133" s="25" t="s">
        <v>320</v>
      </c>
      <c r="AO133" s="25" t="s">
        <v>335</v>
      </c>
      <c r="AP133" s="76" t="s">
        <v>339</v>
      </c>
      <c r="AR133" s="75" t="s">
        <v>726</v>
      </c>
      <c r="AS133" s="161">
        <v>1.7000000000000001E-2</v>
      </c>
      <c r="AU133" s="229"/>
    </row>
    <row r="134" spans="1:47" hidden="1">
      <c r="A134" s="4" t="s">
        <v>430</v>
      </c>
      <c r="B134" s="5"/>
      <c r="C134" s="5" t="s">
        <v>472</v>
      </c>
      <c r="D134" s="5" t="s">
        <v>473</v>
      </c>
      <c r="E134" s="5" t="s">
        <v>285</v>
      </c>
      <c r="F134" s="15">
        <v>0</v>
      </c>
      <c r="G134" s="15"/>
      <c r="H134" s="15">
        <f t="shared" si="70"/>
        <v>0</v>
      </c>
      <c r="I134" s="15">
        <f t="shared" si="71"/>
        <v>0</v>
      </c>
      <c r="J134" s="15">
        <f t="shared" si="72"/>
        <v>0</v>
      </c>
      <c r="K134" s="137">
        <v>1.9E-2</v>
      </c>
      <c r="L134" s="15">
        <f t="shared" si="73"/>
        <v>0</v>
      </c>
      <c r="M134" s="21" t="s">
        <v>302</v>
      </c>
      <c r="N134" s="15">
        <f t="shared" si="74"/>
        <v>0</v>
      </c>
      <c r="Y134" s="81">
        <f t="shared" si="75"/>
        <v>0</v>
      </c>
      <c r="Z134" s="81">
        <f t="shared" si="76"/>
        <v>0</v>
      </c>
      <c r="AA134" s="81">
        <f t="shared" si="77"/>
        <v>0</v>
      </c>
      <c r="AC134" s="24">
        <v>15</v>
      </c>
      <c r="AD134" s="84">
        <f t="shared" si="56"/>
        <v>0</v>
      </c>
      <c r="AE134" s="84">
        <f t="shared" si="57"/>
        <v>0</v>
      </c>
      <c r="AL134" s="24">
        <f t="shared" si="78"/>
        <v>0</v>
      </c>
      <c r="AM134" s="24">
        <f t="shared" si="79"/>
        <v>0</v>
      </c>
      <c r="AN134" s="25" t="s">
        <v>320</v>
      </c>
      <c r="AO134" s="25" t="s">
        <v>335</v>
      </c>
      <c r="AP134" s="19" t="s">
        <v>339</v>
      </c>
      <c r="AR134" t="s">
        <v>726</v>
      </c>
      <c r="AS134" s="161">
        <v>1.9E-2</v>
      </c>
    </row>
    <row r="135" spans="1:47" s="115" customFormat="1" hidden="1">
      <c r="A135" s="4" t="s">
        <v>431</v>
      </c>
      <c r="B135" s="4"/>
      <c r="C135" s="5" t="s">
        <v>708</v>
      </c>
      <c r="D135" s="5" t="s">
        <v>709</v>
      </c>
      <c r="E135" s="5" t="s">
        <v>285</v>
      </c>
      <c r="F135" s="15">
        <v>0</v>
      </c>
      <c r="G135" s="15"/>
      <c r="H135" s="102">
        <f t="shared" si="70"/>
        <v>0</v>
      </c>
      <c r="I135" s="102">
        <f t="shared" si="71"/>
        <v>0</v>
      </c>
      <c r="J135" s="15">
        <f t="shared" si="72"/>
        <v>0</v>
      </c>
      <c r="K135" s="147">
        <v>2.1499999999999998E-2</v>
      </c>
      <c r="L135" s="102">
        <f t="shared" si="73"/>
        <v>0</v>
      </c>
      <c r="M135" s="103" t="s">
        <v>302</v>
      </c>
      <c r="N135" s="102">
        <f t="shared" si="74"/>
        <v>0</v>
      </c>
      <c r="Y135" s="81">
        <f t="shared" si="75"/>
        <v>0</v>
      </c>
      <c r="Z135" s="81">
        <f t="shared" si="76"/>
        <v>0</v>
      </c>
      <c r="AA135" s="81">
        <f t="shared" si="77"/>
        <v>0</v>
      </c>
      <c r="AC135" s="97">
        <v>15</v>
      </c>
      <c r="AD135" s="84">
        <f t="shared" si="56"/>
        <v>0</v>
      </c>
      <c r="AE135" s="84">
        <f t="shared" si="57"/>
        <v>0</v>
      </c>
      <c r="AL135" s="97">
        <f t="shared" si="78"/>
        <v>0</v>
      </c>
      <c r="AM135" s="97">
        <f t="shared" si="79"/>
        <v>0</v>
      </c>
      <c r="AN135" s="98" t="s">
        <v>622</v>
      </c>
      <c r="AO135" s="98" t="s">
        <v>707</v>
      </c>
      <c r="AP135" s="116" t="s">
        <v>339</v>
      </c>
      <c r="AS135" s="161">
        <v>2.1499999999999998E-2</v>
      </c>
      <c r="AU135" s="231"/>
    </row>
    <row r="136" spans="1:47" hidden="1">
      <c r="A136" s="4" t="s">
        <v>432</v>
      </c>
      <c r="B136" s="4"/>
      <c r="C136" s="4" t="s">
        <v>180</v>
      </c>
      <c r="D136" s="4" t="s">
        <v>261</v>
      </c>
      <c r="E136" s="4" t="s">
        <v>285</v>
      </c>
      <c r="F136" s="14">
        <v>0</v>
      </c>
      <c r="G136" s="14"/>
      <c r="H136" s="14">
        <f t="shared" si="70"/>
        <v>0</v>
      </c>
      <c r="I136" s="14">
        <f>J136-H136</f>
        <v>0</v>
      </c>
      <c r="J136" s="15">
        <f t="shared" si="72"/>
        <v>0</v>
      </c>
      <c r="K136" s="136">
        <v>0</v>
      </c>
      <c r="L136" s="14">
        <f t="shared" si="73"/>
        <v>0</v>
      </c>
      <c r="M136" s="20" t="s">
        <v>6</v>
      </c>
      <c r="N136" s="14">
        <f t="shared" si="74"/>
        <v>0</v>
      </c>
      <c r="Y136" s="81">
        <f t="shared" si="75"/>
        <v>0</v>
      </c>
      <c r="Z136" s="81">
        <f t="shared" si="76"/>
        <v>0</v>
      </c>
      <c r="AA136" s="81">
        <f t="shared" si="77"/>
        <v>0</v>
      </c>
      <c r="AC136" s="24">
        <v>15</v>
      </c>
      <c r="AD136" s="84">
        <f t="shared" si="56"/>
        <v>0</v>
      </c>
      <c r="AE136" s="84">
        <f t="shared" si="57"/>
        <v>0</v>
      </c>
      <c r="AL136" s="24">
        <f t="shared" si="78"/>
        <v>0</v>
      </c>
      <c r="AM136" s="24">
        <f t="shared" si="79"/>
        <v>0</v>
      </c>
      <c r="AN136" s="25" t="s">
        <v>329</v>
      </c>
      <c r="AO136" s="25" t="s">
        <v>338</v>
      </c>
      <c r="AP136" s="19" t="s">
        <v>339</v>
      </c>
      <c r="AR136" s="75" t="s">
        <v>730</v>
      </c>
      <c r="AS136" s="160">
        <v>0</v>
      </c>
    </row>
    <row r="137" spans="1:47" hidden="1">
      <c r="A137" s="4" t="s">
        <v>398</v>
      </c>
      <c r="B137" s="4"/>
      <c r="C137" s="4" t="s">
        <v>180</v>
      </c>
      <c r="D137" s="4" t="s">
        <v>792</v>
      </c>
      <c r="E137" s="4" t="s">
        <v>285</v>
      </c>
      <c r="F137" s="14">
        <f>SUM(F131:F135)</f>
        <v>0</v>
      </c>
      <c r="G137" s="14"/>
      <c r="H137" s="14">
        <f t="shared" si="70"/>
        <v>0</v>
      </c>
      <c r="I137" s="14">
        <f>J137-H137</f>
        <v>0</v>
      </c>
      <c r="J137" s="15">
        <f t="shared" si="72"/>
        <v>0</v>
      </c>
      <c r="K137" s="136">
        <v>1.2E-2</v>
      </c>
      <c r="L137" s="14">
        <f t="shared" si="73"/>
        <v>0</v>
      </c>
      <c r="M137" s="20" t="s">
        <v>6</v>
      </c>
      <c r="N137" s="14">
        <f t="shared" si="74"/>
        <v>0</v>
      </c>
      <c r="Y137" s="81">
        <f t="shared" si="75"/>
        <v>0</v>
      </c>
      <c r="Z137" s="81">
        <f t="shared" si="76"/>
        <v>0</v>
      </c>
      <c r="AA137" s="81">
        <f t="shared" si="77"/>
        <v>0</v>
      </c>
      <c r="AC137" s="24">
        <v>15</v>
      </c>
      <c r="AD137" s="84">
        <f t="shared" si="56"/>
        <v>0</v>
      </c>
      <c r="AE137" s="84">
        <f t="shared" si="57"/>
        <v>0</v>
      </c>
      <c r="AL137" s="24">
        <f t="shared" si="78"/>
        <v>0</v>
      </c>
      <c r="AM137" s="24">
        <f t="shared" si="79"/>
        <v>0</v>
      </c>
      <c r="AN137" s="25" t="s">
        <v>320</v>
      </c>
      <c r="AO137" s="25" t="s">
        <v>335</v>
      </c>
      <c r="AP137" s="19" t="s">
        <v>339</v>
      </c>
      <c r="AR137" t="s">
        <v>726</v>
      </c>
      <c r="AS137" s="160">
        <v>1.2E-2</v>
      </c>
    </row>
    <row r="138" spans="1:47" hidden="1">
      <c r="A138" s="4" t="s">
        <v>392</v>
      </c>
      <c r="B138" s="4"/>
      <c r="C138" s="4" t="s">
        <v>131</v>
      </c>
      <c r="D138" s="4" t="s">
        <v>218</v>
      </c>
      <c r="E138" s="4" t="s">
        <v>285</v>
      </c>
      <c r="F138" s="14">
        <f>SUM(F131:F135)</f>
        <v>0</v>
      </c>
      <c r="G138" s="14"/>
      <c r="H138" s="14">
        <f t="shared" si="70"/>
        <v>0</v>
      </c>
      <c r="I138" s="14">
        <f t="shared" si="71"/>
        <v>0</v>
      </c>
      <c r="J138" s="15">
        <f t="shared" si="72"/>
        <v>0</v>
      </c>
      <c r="K138" s="136">
        <v>0</v>
      </c>
      <c r="L138" s="14">
        <f t="shared" si="73"/>
        <v>0</v>
      </c>
      <c r="M138" s="20" t="s">
        <v>6</v>
      </c>
      <c r="N138" s="14">
        <f t="shared" si="74"/>
        <v>0</v>
      </c>
      <c r="Y138" s="81">
        <f t="shared" si="75"/>
        <v>0</v>
      </c>
      <c r="Z138" s="81">
        <f t="shared" si="76"/>
        <v>0</v>
      </c>
      <c r="AA138" s="81">
        <f t="shared" si="77"/>
        <v>0</v>
      </c>
      <c r="AC138" s="24">
        <v>15</v>
      </c>
      <c r="AD138" s="84">
        <f t="shared" si="56"/>
        <v>0</v>
      </c>
      <c r="AE138" s="84">
        <f t="shared" si="57"/>
        <v>0</v>
      </c>
      <c r="AL138" s="24">
        <f t="shared" si="78"/>
        <v>0</v>
      </c>
      <c r="AM138" s="24">
        <f t="shared" si="79"/>
        <v>0</v>
      </c>
      <c r="AN138" s="25" t="s">
        <v>320</v>
      </c>
      <c r="AO138" s="25" t="s">
        <v>335</v>
      </c>
      <c r="AP138" s="19" t="s">
        <v>339</v>
      </c>
      <c r="AR138" t="s">
        <v>726</v>
      </c>
      <c r="AS138" s="160">
        <v>0</v>
      </c>
    </row>
    <row r="139" spans="1:47" hidden="1">
      <c r="A139" s="4" t="s">
        <v>433</v>
      </c>
      <c r="B139" s="5"/>
      <c r="C139" s="5" t="s">
        <v>136</v>
      </c>
      <c r="D139" s="5" t="s">
        <v>223</v>
      </c>
      <c r="E139" s="5" t="s">
        <v>285</v>
      </c>
      <c r="F139" s="15">
        <v>0</v>
      </c>
      <c r="G139" s="15"/>
      <c r="H139" s="15">
        <f t="shared" si="70"/>
        <v>0</v>
      </c>
      <c r="I139" s="15">
        <f t="shared" si="71"/>
        <v>0</v>
      </c>
      <c r="J139" s="15">
        <f t="shared" si="72"/>
        <v>0</v>
      </c>
      <c r="K139" s="137">
        <v>7.5000000000000002E-4</v>
      </c>
      <c r="L139" s="15">
        <f t="shared" si="73"/>
        <v>0</v>
      </c>
      <c r="M139" s="21" t="s">
        <v>302</v>
      </c>
      <c r="N139" s="15">
        <f t="shared" si="74"/>
        <v>0</v>
      </c>
      <c r="Y139" s="81">
        <f t="shared" si="75"/>
        <v>0</v>
      </c>
      <c r="Z139" s="81">
        <f t="shared" si="76"/>
        <v>0</v>
      </c>
      <c r="AA139" s="81">
        <f t="shared" si="77"/>
        <v>0</v>
      </c>
      <c r="AC139" s="24">
        <v>15</v>
      </c>
      <c r="AD139" s="84">
        <f t="shared" si="56"/>
        <v>0</v>
      </c>
      <c r="AE139" s="84">
        <f t="shared" si="57"/>
        <v>0</v>
      </c>
      <c r="AL139" s="24">
        <f t="shared" si="78"/>
        <v>0</v>
      </c>
      <c r="AM139" s="24">
        <f t="shared" si="79"/>
        <v>0</v>
      </c>
      <c r="AN139" s="25" t="s">
        <v>320</v>
      </c>
      <c r="AO139" s="25" t="s">
        <v>335</v>
      </c>
      <c r="AP139" s="19" t="s">
        <v>339</v>
      </c>
      <c r="AR139" t="s">
        <v>726</v>
      </c>
      <c r="AS139" s="161">
        <v>7.5000000000000002E-4</v>
      </c>
    </row>
    <row r="140" spans="1:47" hidden="1">
      <c r="A140" s="4" t="s">
        <v>434</v>
      </c>
      <c r="B140" s="5"/>
      <c r="C140" s="5" t="s">
        <v>137</v>
      </c>
      <c r="D140" s="5" t="s">
        <v>966</v>
      </c>
      <c r="E140" s="5" t="s">
        <v>285</v>
      </c>
      <c r="F140" s="15">
        <v>0</v>
      </c>
      <c r="G140" s="15"/>
      <c r="H140" s="15">
        <f t="shared" si="70"/>
        <v>0</v>
      </c>
      <c r="I140" s="15">
        <f t="shared" si="71"/>
        <v>0</v>
      </c>
      <c r="J140" s="15">
        <f t="shared" si="72"/>
        <v>0</v>
      </c>
      <c r="K140" s="137">
        <v>7.5000000000000002E-4</v>
      </c>
      <c r="L140" s="15">
        <f t="shared" si="73"/>
        <v>0</v>
      </c>
      <c r="M140" s="21" t="s">
        <v>302</v>
      </c>
      <c r="N140" s="15">
        <f t="shared" si="74"/>
        <v>0</v>
      </c>
      <c r="Y140" s="81">
        <f t="shared" si="75"/>
        <v>0</v>
      </c>
      <c r="Z140" s="81">
        <f t="shared" si="76"/>
        <v>0</v>
      </c>
      <c r="AA140" s="81">
        <f t="shared" si="77"/>
        <v>0</v>
      </c>
      <c r="AC140" s="24">
        <v>15</v>
      </c>
      <c r="AD140" s="84">
        <f t="shared" si="56"/>
        <v>0</v>
      </c>
      <c r="AE140" s="84">
        <f t="shared" si="57"/>
        <v>0</v>
      </c>
      <c r="AL140" s="24">
        <f t="shared" si="78"/>
        <v>0</v>
      </c>
      <c r="AM140" s="24">
        <f t="shared" si="79"/>
        <v>0</v>
      </c>
      <c r="AN140" s="25" t="s">
        <v>320</v>
      </c>
      <c r="AO140" s="25" t="s">
        <v>335</v>
      </c>
      <c r="AP140" s="19" t="s">
        <v>339</v>
      </c>
      <c r="AR140" t="s">
        <v>726</v>
      </c>
      <c r="AS140" s="161">
        <v>7.5000000000000002E-4</v>
      </c>
    </row>
    <row r="141" spans="1:47" s="83" customFormat="1" hidden="1">
      <c r="A141" s="4" t="s">
        <v>491</v>
      </c>
      <c r="B141" s="80"/>
      <c r="C141" s="80" t="s">
        <v>134</v>
      </c>
      <c r="D141" s="80" t="s">
        <v>221</v>
      </c>
      <c r="E141" s="80" t="s">
        <v>285</v>
      </c>
      <c r="F141" s="14">
        <f>F139+F140</f>
        <v>0</v>
      </c>
      <c r="G141" s="14"/>
      <c r="H141" s="81">
        <f t="shared" si="70"/>
        <v>0</v>
      </c>
      <c r="I141" s="81">
        <f t="shared" si="71"/>
        <v>0</v>
      </c>
      <c r="J141" s="15">
        <f t="shared" si="72"/>
        <v>0</v>
      </c>
      <c r="K141" s="135">
        <v>0</v>
      </c>
      <c r="L141" s="81">
        <f t="shared" si="73"/>
        <v>0</v>
      </c>
      <c r="M141" s="82" t="s">
        <v>6</v>
      </c>
      <c r="N141" s="81">
        <f t="shared" si="74"/>
        <v>0</v>
      </c>
      <c r="Y141" s="81">
        <f t="shared" si="75"/>
        <v>0</v>
      </c>
      <c r="Z141" s="81">
        <f t="shared" si="76"/>
        <v>0</v>
      </c>
      <c r="AA141" s="81">
        <f t="shared" si="77"/>
        <v>0</v>
      </c>
      <c r="AC141" s="84">
        <v>15</v>
      </c>
      <c r="AD141" s="84">
        <f t="shared" si="56"/>
        <v>0</v>
      </c>
      <c r="AE141" s="84">
        <f t="shared" si="57"/>
        <v>0</v>
      </c>
      <c r="AL141" s="84">
        <f t="shared" si="78"/>
        <v>0</v>
      </c>
      <c r="AM141" s="84">
        <f t="shared" si="79"/>
        <v>0</v>
      </c>
      <c r="AN141" s="85" t="s">
        <v>320</v>
      </c>
      <c r="AO141" s="85" t="s">
        <v>335</v>
      </c>
      <c r="AP141" s="86" t="s">
        <v>339</v>
      </c>
      <c r="AR141" t="s">
        <v>726</v>
      </c>
      <c r="AS141" s="160">
        <v>0</v>
      </c>
      <c r="AU141" s="228"/>
    </row>
    <row r="142" spans="1:47" ht="63.75">
      <c r="A142" s="316" t="s">
        <v>1125</v>
      </c>
      <c r="B142" s="317"/>
      <c r="C142" s="317" t="s">
        <v>499</v>
      </c>
      <c r="D142" s="308" t="s">
        <v>1135</v>
      </c>
      <c r="E142" s="317" t="s">
        <v>285</v>
      </c>
      <c r="F142" s="318">
        <f>'BD-PODLAŽÍ'!F263+'BD-PODLAŽÍ'!G263+'BD-PODLAŽÍ'!B263+'BD-PODLAŽÍ'!C263</f>
        <v>17</v>
      </c>
      <c r="G142" s="319"/>
      <c r="H142" s="318">
        <f t="shared" si="70"/>
        <v>0</v>
      </c>
      <c r="I142" s="318">
        <f t="shared" si="71"/>
        <v>0</v>
      </c>
      <c r="J142" s="318">
        <f t="shared" si="72"/>
        <v>0</v>
      </c>
      <c r="K142" s="320">
        <v>2.5999999999999999E-2</v>
      </c>
      <c r="L142" s="318">
        <f t="shared" si="73"/>
        <v>0.442</v>
      </c>
      <c r="M142" s="21" t="s">
        <v>302</v>
      </c>
      <c r="N142" s="15">
        <f t="shared" si="74"/>
        <v>0</v>
      </c>
      <c r="Y142" s="81">
        <f t="shared" si="75"/>
        <v>0</v>
      </c>
      <c r="Z142" s="81">
        <f t="shared" si="76"/>
        <v>0</v>
      </c>
      <c r="AA142" s="81">
        <f t="shared" si="77"/>
        <v>0</v>
      </c>
      <c r="AC142" s="24">
        <v>15</v>
      </c>
      <c r="AD142" s="84">
        <f t="shared" si="56"/>
        <v>0</v>
      </c>
      <c r="AE142" s="84">
        <f t="shared" si="57"/>
        <v>0</v>
      </c>
      <c r="AL142" s="24">
        <f t="shared" si="78"/>
        <v>0</v>
      </c>
      <c r="AM142" s="24">
        <f t="shared" si="79"/>
        <v>0</v>
      </c>
      <c r="AN142" s="25" t="s">
        <v>320</v>
      </c>
      <c r="AO142" s="25" t="s">
        <v>335</v>
      </c>
      <c r="AP142" s="19" t="s">
        <v>339</v>
      </c>
      <c r="AR142" t="s">
        <v>726</v>
      </c>
      <c r="AS142" s="161">
        <v>2.5999999999999999E-2</v>
      </c>
    </row>
    <row r="143" spans="1:47" ht="63.75">
      <c r="A143" s="316" t="s">
        <v>1126</v>
      </c>
      <c r="B143" s="317"/>
      <c r="C143" s="317" t="s">
        <v>499</v>
      </c>
      <c r="D143" s="308" t="s">
        <v>1136</v>
      </c>
      <c r="E143" s="317" t="s">
        <v>285</v>
      </c>
      <c r="F143" s="318">
        <f>'BD-PODLAŽÍ'!H263+'BD-PODLAŽÍ'!I263+'BD-PODLAŽÍ'!D263+'BD-PODLAŽÍ'!E263</f>
        <v>64</v>
      </c>
      <c r="G143" s="319"/>
      <c r="H143" s="318">
        <f t="shared" ref="H143" si="80">F143*AD143</f>
        <v>0</v>
      </c>
      <c r="I143" s="318">
        <f t="shared" ref="I143" si="81">J143-H143</f>
        <v>0</v>
      </c>
      <c r="J143" s="318">
        <f t="shared" ref="J143" si="82">F143*G143</f>
        <v>0</v>
      </c>
      <c r="K143" s="320">
        <v>2.5999999999999999E-2</v>
      </c>
      <c r="L143" s="318">
        <f t="shared" ref="L143" si="83">F143*K143</f>
        <v>1.6639999999999999</v>
      </c>
      <c r="M143" s="21" t="s">
        <v>302</v>
      </c>
      <c r="N143" s="15">
        <f t="shared" ref="N143" si="84">IF(M143="5",I143,0)</f>
        <v>0</v>
      </c>
      <c r="Y143" s="81">
        <f t="shared" ref="Y143" si="85">IF(AC143=0,J143,0)</f>
        <v>0</v>
      </c>
      <c r="Z143" s="81">
        <f t="shared" ref="Z143" si="86">IF(AC143=15,J143,0)</f>
        <v>0</v>
      </c>
      <c r="AA143" s="81">
        <f t="shared" ref="AA143" si="87">IF(AC143=21,J143,0)</f>
        <v>0</v>
      </c>
      <c r="AC143" s="24">
        <v>15</v>
      </c>
      <c r="AD143" s="84">
        <f t="shared" ref="AD143" si="88">G143*0.81143570536829</f>
        <v>0</v>
      </c>
      <c r="AE143" s="84">
        <f t="shared" ref="AE143" si="89">G143*(1-0.81143570536829)</f>
        <v>0</v>
      </c>
      <c r="AL143" s="24">
        <f t="shared" ref="AL143" si="90">F143*AD143</f>
        <v>0</v>
      </c>
      <c r="AM143" s="24">
        <f t="shared" ref="AM143" si="91">F143*AE143</f>
        <v>0</v>
      </c>
      <c r="AN143" s="25" t="s">
        <v>320</v>
      </c>
      <c r="AO143" s="25" t="s">
        <v>335</v>
      </c>
      <c r="AP143" s="19" t="s">
        <v>339</v>
      </c>
      <c r="AR143" t="s">
        <v>726</v>
      </c>
      <c r="AS143" s="161">
        <v>2.5999999999999999E-2</v>
      </c>
    </row>
    <row r="144" spans="1:47">
      <c r="A144" s="4" t="s">
        <v>456</v>
      </c>
      <c r="B144" s="4"/>
      <c r="C144" s="4" t="s">
        <v>132</v>
      </c>
      <c r="D144" s="4" t="s">
        <v>219</v>
      </c>
      <c r="E144" s="4" t="s">
        <v>285</v>
      </c>
      <c r="F144" s="14">
        <f>F142+F143</f>
        <v>81</v>
      </c>
      <c r="G144" s="14"/>
      <c r="H144" s="14">
        <f t="shared" si="70"/>
        <v>0</v>
      </c>
      <c r="I144" s="14">
        <f t="shared" si="71"/>
        <v>0</v>
      </c>
      <c r="J144" s="15">
        <f t="shared" si="72"/>
        <v>0</v>
      </c>
      <c r="K144" s="136">
        <v>0</v>
      </c>
      <c r="L144" s="14">
        <f t="shared" si="73"/>
        <v>0</v>
      </c>
      <c r="M144" s="20" t="s">
        <v>6</v>
      </c>
      <c r="N144" s="14">
        <f t="shared" si="74"/>
        <v>0</v>
      </c>
      <c r="Y144" s="81">
        <f t="shared" si="75"/>
        <v>0</v>
      </c>
      <c r="Z144" s="81">
        <f t="shared" si="76"/>
        <v>0</v>
      </c>
      <c r="AA144" s="81">
        <f t="shared" si="77"/>
        <v>0</v>
      </c>
      <c r="AC144" s="24">
        <v>15</v>
      </c>
      <c r="AD144" s="84">
        <f t="shared" si="56"/>
        <v>0</v>
      </c>
      <c r="AE144" s="84">
        <f t="shared" si="57"/>
        <v>0</v>
      </c>
      <c r="AL144" s="24">
        <f t="shared" si="78"/>
        <v>0</v>
      </c>
      <c r="AM144" s="24">
        <f t="shared" si="79"/>
        <v>0</v>
      </c>
      <c r="AN144" s="25" t="s">
        <v>320</v>
      </c>
      <c r="AO144" s="25" t="s">
        <v>335</v>
      </c>
      <c r="AP144" s="19" t="s">
        <v>339</v>
      </c>
      <c r="AR144" t="s">
        <v>726</v>
      </c>
      <c r="AS144" s="160">
        <v>0</v>
      </c>
    </row>
    <row r="145" spans="1:47">
      <c r="A145" s="4" t="s">
        <v>492</v>
      </c>
      <c r="B145" s="5"/>
      <c r="C145" s="5" t="s">
        <v>135</v>
      </c>
      <c r="D145" s="5" t="s">
        <v>222</v>
      </c>
      <c r="E145" s="5" t="s">
        <v>285</v>
      </c>
      <c r="F145" s="15">
        <f>F144</f>
        <v>81</v>
      </c>
      <c r="G145" s="14"/>
      <c r="H145" s="15">
        <f t="shared" si="70"/>
        <v>0</v>
      </c>
      <c r="I145" s="15">
        <f t="shared" si="71"/>
        <v>0</v>
      </c>
      <c r="J145" s="15">
        <f t="shared" si="72"/>
        <v>0</v>
      </c>
      <c r="K145" s="137">
        <v>1.5E-3</v>
      </c>
      <c r="L145" s="15">
        <f t="shared" si="73"/>
        <v>0.1215</v>
      </c>
      <c r="M145" s="21" t="s">
        <v>302</v>
      </c>
      <c r="N145" s="15">
        <f t="shared" si="74"/>
        <v>0</v>
      </c>
      <c r="Y145" s="81">
        <f t="shared" si="75"/>
        <v>0</v>
      </c>
      <c r="Z145" s="81">
        <f t="shared" si="76"/>
        <v>0</v>
      </c>
      <c r="AA145" s="81">
        <f t="shared" si="77"/>
        <v>0</v>
      </c>
      <c r="AC145" s="24">
        <v>15</v>
      </c>
      <c r="AD145" s="84">
        <f t="shared" si="56"/>
        <v>0</v>
      </c>
      <c r="AE145" s="84">
        <f t="shared" si="57"/>
        <v>0</v>
      </c>
      <c r="AL145" s="24">
        <f t="shared" si="78"/>
        <v>0</v>
      </c>
      <c r="AM145" s="24">
        <f t="shared" si="79"/>
        <v>0</v>
      </c>
      <c r="AN145" s="25" t="s">
        <v>320</v>
      </c>
      <c r="AO145" s="25" t="s">
        <v>335</v>
      </c>
      <c r="AP145" s="19" t="s">
        <v>339</v>
      </c>
      <c r="AR145" t="s">
        <v>726</v>
      </c>
      <c r="AS145" s="161">
        <v>1.5E-3</v>
      </c>
    </row>
    <row r="146" spans="1:47" s="83" customFormat="1">
      <c r="A146" s="4" t="s">
        <v>453</v>
      </c>
      <c r="B146" s="80"/>
      <c r="C146" s="80" t="s">
        <v>134</v>
      </c>
      <c r="D146" s="80" t="s">
        <v>221</v>
      </c>
      <c r="E146" s="80" t="s">
        <v>285</v>
      </c>
      <c r="F146" s="14">
        <f>F144</f>
        <v>81</v>
      </c>
      <c r="G146" s="14"/>
      <c r="H146" s="81">
        <f t="shared" si="70"/>
        <v>0</v>
      </c>
      <c r="I146" s="81">
        <f t="shared" si="71"/>
        <v>0</v>
      </c>
      <c r="J146" s="15">
        <f t="shared" si="72"/>
        <v>0</v>
      </c>
      <c r="K146" s="135">
        <v>0</v>
      </c>
      <c r="L146" s="81">
        <f t="shared" si="73"/>
        <v>0</v>
      </c>
      <c r="M146" s="82" t="s">
        <v>6</v>
      </c>
      <c r="N146" s="81">
        <f t="shared" si="74"/>
        <v>0</v>
      </c>
      <c r="Y146" s="81">
        <f t="shared" si="75"/>
        <v>0</v>
      </c>
      <c r="Z146" s="81">
        <f t="shared" si="76"/>
        <v>0</v>
      </c>
      <c r="AA146" s="81">
        <f t="shared" si="77"/>
        <v>0</v>
      </c>
      <c r="AC146" s="84">
        <v>15</v>
      </c>
      <c r="AD146" s="84">
        <f t="shared" si="56"/>
        <v>0</v>
      </c>
      <c r="AE146" s="84">
        <f t="shared" si="57"/>
        <v>0</v>
      </c>
      <c r="AL146" s="84">
        <f t="shared" si="78"/>
        <v>0</v>
      </c>
      <c r="AM146" s="84">
        <f t="shared" si="79"/>
        <v>0</v>
      </c>
      <c r="AN146" s="85" t="s">
        <v>320</v>
      </c>
      <c r="AO146" s="85" t="s">
        <v>335</v>
      </c>
      <c r="AP146" s="86" t="s">
        <v>339</v>
      </c>
      <c r="AR146" t="s">
        <v>726</v>
      </c>
      <c r="AS146" s="160">
        <v>0</v>
      </c>
      <c r="AU146" s="228"/>
    </row>
    <row r="147" spans="1:47" s="119" customFormat="1" hidden="1">
      <c r="A147" s="4" t="s">
        <v>493</v>
      </c>
      <c r="B147" s="90"/>
      <c r="C147" s="90" t="s">
        <v>633</v>
      </c>
      <c r="D147" s="90" t="s">
        <v>634</v>
      </c>
      <c r="E147" s="90" t="s">
        <v>285</v>
      </c>
      <c r="F147" s="91">
        <v>0</v>
      </c>
      <c r="G147" s="91"/>
      <c r="H147" s="91">
        <f t="shared" si="70"/>
        <v>0</v>
      </c>
      <c r="I147" s="91">
        <f t="shared" si="71"/>
        <v>0</v>
      </c>
      <c r="J147" s="15">
        <f t="shared" si="72"/>
        <v>0</v>
      </c>
      <c r="K147" s="144">
        <v>1.4999999999999999E-2</v>
      </c>
      <c r="L147" s="91">
        <f t="shared" si="73"/>
        <v>0</v>
      </c>
      <c r="M147" s="92" t="s">
        <v>302</v>
      </c>
      <c r="N147" s="91">
        <f t="shared" si="74"/>
        <v>0</v>
      </c>
      <c r="Y147" s="81">
        <f t="shared" si="75"/>
        <v>0</v>
      </c>
      <c r="Z147" s="81">
        <f t="shared" si="76"/>
        <v>0</v>
      </c>
      <c r="AA147" s="81">
        <f t="shared" si="77"/>
        <v>0</v>
      </c>
      <c r="AC147" s="84">
        <v>15</v>
      </c>
      <c r="AD147" s="84">
        <f t="shared" si="56"/>
        <v>0</v>
      </c>
      <c r="AE147" s="84">
        <f t="shared" si="57"/>
        <v>0</v>
      </c>
      <c r="AL147" s="84">
        <f t="shared" si="78"/>
        <v>0</v>
      </c>
      <c r="AM147" s="84">
        <f t="shared" si="79"/>
        <v>0</v>
      </c>
      <c r="AN147" s="85" t="s">
        <v>622</v>
      </c>
      <c r="AO147" s="85" t="s">
        <v>339</v>
      </c>
      <c r="AP147" s="105" t="s">
        <v>339</v>
      </c>
      <c r="AR147" s="120" t="s">
        <v>726</v>
      </c>
      <c r="AS147" s="161">
        <v>1.4999999999999999E-2</v>
      </c>
      <c r="AU147" s="237"/>
    </row>
    <row r="148" spans="1:47" s="104" customFormat="1" hidden="1">
      <c r="A148" s="4" t="s">
        <v>494</v>
      </c>
      <c r="B148" s="80"/>
      <c r="C148" s="80" t="s">
        <v>587</v>
      </c>
      <c r="D148" s="80" t="s">
        <v>588</v>
      </c>
      <c r="E148" s="80" t="s">
        <v>285</v>
      </c>
      <c r="F148" s="81">
        <v>0</v>
      </c>
      <c r="G148" s="81"/>
      <c r="H148" s="81">
        <f t="shared" si="70"/>
        <v>0</v>
      </c>
      <c r="I148" s="81">
        <f t="shared" si="71"/>
        <v>0</v>
      </c>
      <c r="J148" s="15">
        <f t="shared" si="72"/>
        <v>0</v>
      </c>
      <c r="K148" s="135">
        <v>0</v>
      </c>
      <c r="L148" s="81">
        <f t="shared" si="73"/>
        <v>0</v>
      </c>
      <c r="M148" s="82" t="s">
        <v>6</v>
      </c>
      <c r="N148" s="81">
        <f t="shared" si="74"/>
        <v>0</v>
      </c>
      <c r="Y148" s="81">
        <f t="shared" si="75"/>
        <v>0</v>
      </c>
      <c r="Z148" s="81">
        <f t="shared" si="76"/>
        <v>0</v>
      </c>
      <c r="AA148" s="81">
        <f t="shared" si="77"/>
        <v>0</v>
      </c>
      <c r="AC148" s="84">
        <v>15</v>
      </c>
      <c r="AD148" s="84">
        <f t="shared" ref="AD148:AD215" si="92">G148*0.81143570536829</f>
        <v>0</v>
      </c>
      <c r="AE148" s="84">
        <f t="shared" ref="AE148:AE215" si="93">G148*(1-0.81143570536829)</f>
        <v>0</v>
      </c>
      <c r="AL148" s="84">
        <f t="shared" si="78"/>
        <v>0</v>
      </c>
      <c r="AM148" s="84">
        <f t="shared" si="79"/>
        <v>0</v>
      </c>
      <c r="AN148" s="85" t="s">
        <v>320</v>
      </c>
      <c r="AO148" s="85" t="s">
        <v>335</v>
      </c>
      <c r="AP148" s="105" t="s">
        <v>339</v>
      </c>
      <c r="AR148" s="75" t="s">
        <v>726</v>
      </c>
      <c r="AS148" s="160">
        <v>0</v>
      </c>
      <c r="AU148" s="227"/>
    </row>
    <row r="149" spans="1:47" s="75" customFormat="1" hidden="1">
      <c r="A149" s="4" t="s">
        <v>495</v>
      </c>
      <c r="B149" s="4"/>
      <c r="C149" s="4" t="s">
        <v>133</v>
      </c>
      <c r="D149" s="4" t="s">
        <v>220</v>
      </c>
      <c r="E149" s="4" t="s">
        <v>285</v>
      </c>
      <c r="F149" s="14">
        <v>0</v>
      </c>
      <c r="G149" s="14"/>
      <c r="H149" s="14">
        <f t="shared" si="70"/>
        <v>0</v>
      </c>
      <c r="I149" s="14">
        <f>J149-H149</f>
        <v>0</v>
      </c>
      <c r="J149" s="15">
        <f t="shared" si="72"/>
        <v>0</v>
      </c>
      <c r="K149" s="136">
        <v>6.0999999999999997E-4</v>
      </c>
      <c r="L149" s="14">
        <f t="shared" si="73"/>
        <v>0</v>
      </c>
      <c r="M149" s="20" t="s">
        <v>6</v>
      </c>
      <c r="N149" s="14">
        <f t="shared" si="74"/>
        <v>0</v>
      </c>
      <c r="Y149" s="81">
        <f t="shared" si="75"/>
        <v>0</v>
      </c>
      <c r="Z149" s="81">
        <f t="shared" si="76"/>
        <v>0</v>
      </c>
      <c r="AA149" s="81">
        <f t="shared" si="77"/>
        <v>0</v>
      </c>
      <c r="AC149" s="24">
        <v>15</v>
      </c>
      <c r="AD149" s="84">
        <f t="shared" si="92"/>
        <v>0</v>
      </c>
      <c r="AE149" s="84">
        <f t="shared" si="93"/>
        <v>0</v>
      </c>
      <c r="AL149" s="24">
        <f t="shared" si="78"/>
        <v>0</v>
      </c>
      <c r="AM149" s="24">
        <f t="shared" si="79"/>
        <v>0</v>
      </c>
      <c r="AN149" s="25" t="s">
        <v>320</v>
      </c>
      <c r="AO149" s="25" t="s">
        <v>335</v>
      </c>
      <c r="AP149" s="76" t="s">
        <v>339</v>
      </c>
      <c r="AR149" s="75" t="s">
        <v>726</v>
      </c>
      <c r="AS149" s="160">
        <v>6.0999999999999997E-4</v>
      </c>
      <c r="AU149" s="229"/>
    </row>
    <row r="150" spans="1:47">
      <c r="A150" s="4" t="s">
        <v>496</v>
      </c>
      <c r="B150" s="4"/>
      <c r="C150" s="4" t="s">
        <v>394</v>
      </c>
      <c r="D150" s="4" t="s">
        <v>395</v>
      </c>
      <c r="E150" s="4" t="s">
        <v>285</v>
      </c>
      <c r="F150" s="14">
        <f>F144</f>
        <v>81</v>
      </c>
      <c r="G150" s="14"/>
      <c r="H150" s="14">
        <f t="shared" si="70"/>
        <v>0</v>
      </c>
      <c r="I150" s="14">
        <f t="shared" ref="I150:I158" si="94">J150-H150</f>
        <v>0</v>
      </c>
      <c r="J150" s="15">
        <f t="shared" si="72"/>
        <v>0</v>
      </c>
      <c r="K150" s="136">
        <v>1.8E-3</v>
      </c>
      <c r="L150" s="14">
        <f t="shared" si="73"/>
        <v>0.14579999999999999</v>
      </c>
      <c r="M150" s="20" t="s">
        <v>6</v>
      </c>
      <c r="N150" s="14">
        <f t="shared" si="74"/>
        <v>0</v>
      </c>
      <c r="Y150" s="81">
        <f t="shared" si="75"/>
        <v>0</v>
      </c>
      <c r="Z150" s="81">
        <f t="shared" si="76"/>
        <v>0</v>
      </c>
      <c r="AA150" s="81">
        <f t="shared" si="77"/>
        <v>0</v>
      </c>
      <c r="AC150" s="24">
        <v>15</v>
      </c>
      <c r="AD150" s="84">
        <f t="shared" si="92"/>
        <v>0</v>
      </c>
      <c r="AE150" s="84">
        <f t="shared" si="93"/>
        <v>0</v>
      </c>
      <c r="AL150" s="24">
        <f t="shared" si="78"/>
        <v>0</v>
      </c>
      <c r="AM150" s="24">
        <f t="shared" si="79"/>
        <v>0</v>
      </c>
      <c r="AN150" s="25" t="s">
        <v>320</v>
      </c>
      <c r="AO150" s="25" t="s">
        <v>335</v>
      </c>
      <c r="AP150" s="19" t="s">
        <v>339</v>
      </c>
      <c r="AR150" t="s">
        <v>726</v>
      </c>
      <c r="AS150" s="160">
        <v>1.8E-3</v>
      </c>
    </row>
    <row r="151" spans="1:47" hidden="1">
      <c r="A151" s="4" t="s">
        <v>497</v>
      </c>
      <c r="B151" s="4"/>
      <c r="C151" s="4" t="s">
        <v>803</v>
      </c>
      <c r="D151" s="4" t="s">
        <v>804</v>
      </c>
      <c r="E151" s="4" t="s">
        <v>285</v>
      </c>
      <c r="F151" s="14">
        <v>0</v>
      </c>
      <c r="G151" s="14"/>
      <c r="H151" s="14">
        <f t="shared" si="70"/>
        <v>0</v>
      </c>
      <c r="I151" s="14">
        <f>J151-H151</f>
        <v>0</v>
      </c>
      <c r="J151" s="15">
        <f t="shared" si="72"/>
        <v>0</v>
      </c>
      <c r="K151" s="136">
        <v>2.2300000000000002E-3</v>
      </c>
      <c r="L151" s="14">
        <f t="shared" si="73"/>
        <v>0</v>
      </c>
      <c r="M151" s="20" t="s">
        <v>6</v>
      </c>
      <c r="N151" s="14">
        <f t="shared" si="74"/>
        <v>0</v>
      </c>
      <c r="Y151" s="81">
        <f t="shared" si="75"/>
        <v>0</v>
      </c>
      <c r="Z151" s="81">
        <f t="shared" si="76"/>
        <v>0</v>
      </c>
      <c r="AA151" s="81">
        <f t="shared" si="77"/>
        <v>0</v>
      </c>
      <c r="AC151" s="24">
        <v>15</v>
      </c>
      <c r="AD151" s="84">
        <f t="shared" si="92"/>
        <v>0</v>
      </c>
      <c r="AE151" s="84">
        <f t="shared" si="93"/>
        <v>0</v>
      </c>
      <c r="AL151" s="24">
        <f t="shared" si="78"/>
        <v>0</v>
      </c>
      <c r="AM151" s="24">
        <f t="shared" si="79"/>
        <v>0</v>
      </c>
      <c r="AN151" s="25" t="s">
        <v>320</v>
      </c>
      <c r="AO151" s="25" t="s">
        <v>335</v>
      </c>
      <c r="AP151" s="19" t="s">
        <v>339</v>
      </c>
      <c r="AS151" s="160">
        <v>2.2300000000000002E-3</v>
      </c>
    </row>
    <row r="152" spans="1:47" hidden="1">
      <c r="A152" s="4" t="s">
        <v>518</v>
      </c>
      <c r="B152" s="4"/>
      <c r="C152" s="4" t="s">
        <v>801</v>
      </c>
      <c r="D152" s="4" t="s">
        <v>802</v>
      </c>
      <c r="E152" s="4" t="s">
        <v>285</v>
      </c>
      <c r="F152" s="14">
        <v>0</v>
      </c>
      <c r="G152" s="14"/>
      <c r="H152" s="14">
        <f t="shared" si="70"/>
        <v>0</v>
      </c>
      <c r="I152" s="14">
        <f t="shared" si="94"/>
        <v>0</v>
      </c>
      <c r="J152" s="15">
        <f t="shared" si="72"/>
        <v>0</v>
      </c>
      <c r="K152" s="136">
        <v>1E-4</v>
      </c>
      <c r="L152" s="14">
        <f t="shared" si="73"/>
        <v>0</v>
      </c>
      <c r="M152" s="20" t="s">
        <v>6</v>
      </c>
      <c r="N152" s="14">
        <f t="shared" si="74"/>
        <v>0</v>
      </c>
      <c r="Y152" s="81">
        <f t="shared" si="75"/>
        <v>0</v>
      </c>
      <c r="Z152" s="81">
        <f t="shared" si="76"/>
        <v>0</v>
      </c>
      <c r="AA152" s="81">
        <f t="shared" si="77"/>
        <v>0</v>
      </c>
      <c r="AC152" s="24">
        <v>15</v>
      </c>
      <c r="AD152" s="84">
        <f t="shared" si="92"/>
        <v>0</v>
      </c>
      <c r="AE152" s="84">
        <f t="shared" si="93"/>
        <v>0</v>
      </c>
      <c r="AL152" s="24">
        <f t="shared" si="78"/>
        <v>0</v>
      </c>
      <c r="AM152" s="24">
        <f t="shared" si="79"/>
        <v>0</v>
      </c>
      <c r="AN152" s="25" t="s">
        <v>320</v>
      </c>
      <c r="AO152" s="25" t="s">
        <v>335</v>
      </c>
      <c r="AP152" s="19" t="s">
        <v>339</v>
      </c>
      <c r="AS152" s="160">
        <v>1E-4</v>
      </c>
    </row>
    <row r="153" spans="1:47" hidden="1">
      <c r="A153" s="4" t="s">
        <v>519</v>
      </c>
      <c r="B153" s="4"/>
      <c r="C153" s="4" t="s">
        <v>809</v>
      </c>
      <c r="D153" s="4" t="s">
        <v>810</v>
      </c>
      <c r="E153" s="4" t="s">
        <v>285</v>
      </c>
      <c r="F153" s="14">
        <f>SUM(F131:F135)</f>
        <v>0</v>
      </c>
      <c r="G153" s="14"/>
      <c r="H153" s="14">
        <f t="shared" si="70"/>
        <v>0</v>
      </c>
      <c r="I153" s="14">
        <f t="shared" si="94"/>
        <v>0</v>
      </c>
      <c r="J153" s="15">
        <f t="shared" si="72"/>
        <v>0</v>
      </c>
      <c r="K153" s="136">
        <v>1.1E-4</v>
      </c>
      <c r="L153" s="14">
        <f t="shared" si="73"/>
        <v>0</v>
      </c>
      <c r="M153" s="20" t="s">
        <v>6</v>
      </c>
      <c r="N153" s="14">
        <f t="shared" si="74"/>
        <v>0</v>
      </c>
      <c r="Y153" s="81">
        <f t="shared" si="75"/>
        <v>0</v>
      </c>
      <c r="Z153" s="81">
        <f t="shared" si="76"/>
        <v>0</v>
      </c>
      <c r="AA153" s="81">
        <f t="shared" si="77"/>
        <v>0</v>
      </c>
      <c r="AC153" s="24">
        <v>15</v>
      </c>
      <c r="AD153" s="84">
        <f t="shared" si="92"/>
        <v>0</v>
      </c>
      <c r="AE153" s="84">
        <f t="shared" si="93"/>
        <v>0</v>
      </c>
      <c r="AL153" s="24">
        <f t="shared" si="78"/>
        <v>0</v>
      </c>
      <c r="AM153" s="24">
        <f t="shared" si="79"/>
        <v>0</v>
      </c>
      <c r="AN153" s="25" t="s">
        <v>320</v>
      </c>
      <c r="AO153" s="25" t="s">
        <v>335</v>
      </c>
      <c r="AP153" s="19" t="s">
        <v>339</v>
      </c>
      <c r="AS153" s="160">
        <v>1.1E-4</v>
      </c>
    </row>
    <row r="154" spans="1:47">
      <c r="A154" s="4" t="s">
        <v>520</v>
      </c>
      <c r="B154" s="4"/>
      <c r="C154" s="4" t="s">
        <v>396</v>
      </c>
      <c r="D154" s="4" t="s">
        <v>397</v>
      </c>
      <c r="E154" s="4" t="s">
        <v>285</v>
      </c>
      <c r="F154" s="14">
        <f>F144</f>
        <v>81</v>
      </c>
      <c r="G154" s="151"/>
      <c r="H154" s="14">
        <f t="shared" si="70"/>
        <v>0</v>
      </c>
      <c r="I154" s="14">
        <f t="shared" si="94"/>
        <v>0</v>
      </c>
      <c r="J154" s="15">
        <f t="shared" si="72"/>
        <v>0</v>
      </c>
      <c r="K154" s="136">
        <v>1.0000000000000001E-5</v>
      </c>
      <c r="L154" s="14">
        <f t="shared" si="73"/>
        <v>8.1000000000000006E-4</v>
      </c>
      <c r="M154" s="20" t="s">
        <v>6</v>
      </c>
      <c r="N154" s="14">
        <f t="shared" si="74"/>
        <v>0</v>
      </c>
      <c r="Y154" s="81">
        <f t="shared" si="75"/>
        <v>0</v>
      </c>
      <c r="Z154" s="81">
        <f t="shared" si="76"/>
        <v>0</v>
      </c>
      <c r="AA154" s="81">
        <f t="shared" si="77"/>
        <v>0</v>
      </c>
      <c r="AC154" s="24">
        <v>15</v>
      </c>
      <c r="AD154" s="84">
        <f t="shared" si="92"/>
        <v>0</v>
      </c>
      <c r="AE154" s="84">
        <f t="shared" si="93"/>
        <v>0</v>
      </c>
      <c r="AL154" s="24">
        <f t="shared" si="78"/>
        <v>0</v>
      </c>
      <c r="AM154" s="24">
        <f t="shared" si="79"/>
        <v>0</v>
      </c>
      <c r="AN154" s="25" t="s">
        <v>320</v>
      </c>
      <c r="AO154" s="25" t="s">
        <v>335</v>
      </c>
      <c r="AP154" s="19" t="s">
        <v>339</v>
      </c>
      <c r="AR154" t="s">
        <v>726</v>
      </c>
      <c r="AS154" s="160">
        <v>1.0000000000000001E-5</v>
      </c>
    </row>
    <row r="155" spans="1:47" hidden="1">
      <c r="A155" s="4" t="s">
        <v>521</v>
      </c>
      <c r="B155" s="4"/>
      <c r="C155" s="4" t="s">
        <v>805</v>
      </c>
      <c r="D155" s="4" t="s">
        <v>806</v>
      </c>
      <c r="E155" s="4" t="s">
        <v>285</v>
      </c>
      <c r="F155" s="14">
        <v>0</v>
      </c>
      <c r="G155" s="151"/>
      <c r="H155" s="14">
        <f t="shared" si="70"/>
        <v>0</v>
      </c>
      <c r="I155" s="14">
        <f>J155-H155</f>
        <v>0</v>
      </c>
      <c r="J155" s="15">
        <f t="shared" si="72"/>
        <v>0</v>
      </c>
      <c r="K155" s="136">
        <v>2.0000000000000002E-5</v>
      </c>
      <c r="L155" s="14">
        <f t="shared" si="73"/>
        <v>0</v>
      </c>
      <c r="M155" s="20" t="s">
        <v>6</v>
      </c>
      <c r="N155" s="14">
        <f t="shared" si="74"/>
        <v>0</v>
      </c>
      <c r="Y155" s="81">
        <f t="shared" si="75"/>
        <v>0</v>
      </c>
      <c r="Z155" s="81">
        <f t="shared" si="76"/>
        <v>0</v>
      </c>
      <c r="AA155" s="81">
        <f t="shared" si="77"/>
        <v>0</v>
      </c>
      <c r="AC155" s="24">
        <v>15</v>
      </c>
      <c r="AD155" s="84">
        <f t="shared" si="92"/>
        <v>0</v>
      </c>
      <c r="AE155" s="84">
        <f t="shared" si="93"/>
        <v>0</v>
      </c>
      <c r="AL155" s="24">
        <f t="shared" si="78"/>
        <v>0</v>
      </c>
      <c r="AM155" s="24">
        <f t="shared" si="79"/>
        <v>0</v>
      </c>
      <c r="AN155" s="25" t="s">
        <v>320</v>
      </c>
      <c r="AO155" s="25" t="s">
        <v>335</v>
      </c>
      <c r="AP155" s="19" t="s">
        <v>339</v>
      </c>
      <c r="AS155" s="160">
        <v>2.0000000000000002E-5</v>
      </c>
    </row>
    <row r="156" spans="1:47">
      <c r="A156" s="4" t="s">
        <v>522</v>
      </c>
      <c r="B156" s="5"/>
      <c r="C156" s="5" t="s">
        <v>399</v>
      </c>
      <c r="D156" s="5" t="s">
        <v>400</v>
      </c>
      <c r="E156" s="5" t="s">
        <v>285</v>
      </c>
      <c r="F156" s="15">
        <f>F144</f>
        <v>81</v>
      </c>
      <c r="G156" s="151"/>
      <c r="H156" s="15">
        <f t="shared" si="70"/>
        <v>0</v>
      </c>
      <c r="I156" s="15">
        <f t="shared" si="94"/>
        <v>0</v>
      </c>
      <c r="J156" s="15">
        <f t="shared" si="72"/>
        <v>0</v>
      </c>
      <c r="K156" s="137">
        <v>1.81E-3</v>
      </c>
      <c r="L156" s="15">
        <f t="shared" si="73"/>
        <v>0.14660999999999999</v>
      </c>
      <c r="M156" s="21" t="s">
        <v>302</v>
      </c>
      <c r="N156" s="15">
        <f t="shared" si="74"/>
        <v>0</v>
      </c>
      <c r="Y156" s="81">
        <f t="shared" si="75"/>
        <v>0</v>
      </c>
      <c r="Z156" s="81">
        <f t="shared" si="76"/>
        <v>0</v>
      </c>
      <c r="AA156" s="81">
        <f t="shared" si="77"/>
        <v>0</v>
      </c>
      <c r="AC156" s="24">
        <v>15</v>
      </c>
      <c r="AD156" s="84">
        <f t="shared" si="92"/>
        <v>0</v>
      </c>
      <c r="AE156" s="84">
        <f t="shared" si="93"/>
        <v>0</v>
      </c>
      <c r="AL156" s="24">
        <f t="shared" si="78"/>
        <v>0</v>
      </c>
      <c r="AM156" s="24">
        <f t="shared" si="79"/>
        <v>0</v>
      </c>
      <c r="AN156" s="25" t="s">
        <v>320</v>
      </c>
      <c r="AO156" s="25" t="s">
        <v>335</v>
      </c>
      <c r="AP156" s="19" t="s">
        <v>339</v>
      </c>
      <c r="AR156" t="s">
        <v>726</v>
      </c>
      <c r="AS156" s="161">
        <v>1.81E-3</v>
      </c>
    </row>
    <row r="157" spans="1:47" s="58" customFormat="1" hidden="1">
      <c r="A157" s="4" t="s">
        <v>523</v>
      </c>
      <c r="B157" s="5"/>
      <c r="C157" s="5" t="s">
        <v>807</v>
      </c>
      <c r="D157" s="5" t="s">
        <v>808</v>
      </c>
      <c r="E157" s="5" t="s">
        <v>285</v>
      </c>
      <c r="F157" s="15">
        <v>0</v>
      </c>
      <c r="G157" s="15"/>
      <c r="H157" s="15">
        <f t="shared" si="70"/>
        <v>0</v>
      </c>
      <c r="I157" s="15">
        <f>J157-H157</f>
        <v>0</v>
      </c>
      <c r="J157" s="15">
        <f t="shared" si="72"/>
        <v>0</v>
      </c>
      <c r="K157" s="137">
        <v>2.9099999999999998E-3</v>
      </c>
      <c r="L157" s="15">
        <f t="shared" si="73"/>
        <v>0</v>
      </c>
      <c r="M157" s="21" t="s">
        <v>302</v>
      </c>
      <c r="N157" s="15">
        <f t="shared" si="74"/>
        <v>0</v>
      </c>
      <c r="Y157" s="81">
        <f t="shared" si="75"/>
        <v>0</v>
      </c>
      <c r="Z157" s="81">
        <f t="shared" si="76"/>
        <v>0</v>
      </c>
      <c r="AA157" s="81">
        <f t="shared" si="77"/>
        <v>0</v>
      </c>
      <c r="AC157" s="24">
        <v>15</v>
      </c>
      <c r="AD157" s="84">
        <f t="shared" si="92"/>
        <v>0</v>
      </c>
      <c r="AE157" s="84">
        <f t="shared" si="93"/>
        <v>0</v>
      </c>
      <c r="AL157" s="24">
        <f t="shared" si="78"/>
        <v>0</v>
      </c>
      <c r="AM157" s="24">
        <f t="shared" si="79"/>
        <v>0</v>
      </c>
      <c r="AN157" s="25" t="s">
        <v>622</v>
      </c>
      <c r="AO157" s="25" t="s">
        <v>707</v>
      </c>
      <c r="AP157" s="19" t="s">
        <v>339</v>
      </c>
      <c r="AS157" s="161">
        <v>2.9099999999999998E-3</v>
      </c>
      <c r="AU157" s="233"/>
    </row>
    <row r="158" spans="1:47" hidden="1">
      <c r="A158" s="4" t="s">
        <v>524</v>
      </c>
      <c r="B158" s="4"/>
      <c r="C158" s="4" t="s">
        <v>150</v>
      </c>
      <c r="D158" s="4" t="s">
        <v>234</v>
      </c>
      <c r="E158" s="4" t="s">
        <v>286</v>
      </c>
      <c r="F158" s="14">
        <v>0</v>
      </c>
      <c r="G158" s="14"/>
      <c r="H158" s="14">
        <f t="shared" si="70"/>
        <v>0</v>
      </c>
      <c r="I158" s="14">
        <f t="shared" si="94"/>
        <v>0</v>
      </c>
      <c r="J158" s="15">
        <f t="shared" si="72"/>
        <v>0</v>
      </c>
      <c r="K158" s="136">
        <v>7.1000000000000002E-4</v>
      </c>
      <c r="L158" s="14">
        <f t="shared" si="73"/>
        <v>0</v>
      </c>
      <c r="M158" s="20" t="s">
        <v>6</v>
      </c>
      <c r="N158" s="14">
        <f t="shared" si="74"/>
        <v>0</v>
      </c>
      <c r="Y158" s="81">
        <f t="shared" si="75"/>
        <v>0</v>
      </c>
      <c r="Z158" s="81">
        <f t="shared" si="76"/>
        <v>0</v>
      </c>
      <c r="AA158" s="81">
        <f t="shared" si="77"/>
        <v>0</v>
      </c>
      <c r="AC158" s="24">
        <v>15</v>
      </c>
      <c r="AD158" s="84">
        <f t="shared" si="92"/>
        <v>0</v>
      </c>
      <c r="AE158" s="84">
        <f t="shared" si="93"/>
        <v>0</v>
      </c>
      <c r="AL158" s="24">
        <f t="shared" si="78"/>
        <v>0</v>
      </c>
      <c r="AM158" s="24">
        <f t="shared" si="79"/>
        <v>0</v>
      </c>
      <c r="AN158" s="25" t="s">
        <v>323</v>
      </c>
      <c r="AO158" s="25" t="s">
        <v>336</v>
      </c>
      <c r="AP158" s="19" t="s">
        <v>339</v>
      </c>
      <c r="AR158" t="s">
        <v>726</v>
      </c>
      <c r="AS158" s="160">
        <v>7.1000000000000002E-4</v>
      </c>
    </row>
    <row r="159" spans="1:47" s="63" customFormat="1" hidden="1">
      <c r="A159" s="4" t="s">
        <v>525</v>
      </c>
      <c r="B159" s="60"/>
      <c r="C159" s="60" t="s">
        <v>513</v>
      </c>
      <c r="D159" s="4" t="s">
        <v>976</v>
      </c>
      <c r="E159" s="60" t="s">
        <v>285</v>
      </c>
      <c r="F159" s="14">
        <v>0</v>
      </c>
      <c r="G159" s="14"/>
      <c r="H159" s="61">
        <f t="shared" si="70"/>
        <v>0</v>
      </c>
      <c r="I159" s="61">
        <f t="shared" ref="I159:I169" si="95">J159-H159</f>
        <v>0</v>
      </c>
      <c r="J159" s="15">
        <f t="shared" si="72"/>
        <v>0</v>
      </c>
      <c r="K159" s="140">
        <v>0.17399999999999999</v>
      </c>
      <c r="L159" s="61">
        <f t="shared" si="73"/>
        <v>0</v>
      </c>
      <c r="M159" s="62" t="s">
        <v>6</v>
      </c>
      <c r="N159" s="61">
        <f t="shared" si="74"/>
        <v>0</v>
      </c>
      <c r="Y159" s="81">
        <f t="shared" si="75"/>
        <v>0</v>
      </c>
      <c r="Z159" s="81">
        <f t="shared" si="76"/>
        <v>0</v>
      </c>
      <c r="AA159" s="81">
        <f t="shared" si="77"/>
        <v>0</v>
      </c>
      <c r="AC159" s="64">
        <v>15</v>
      </c>
      <c r="AD159" s="84">
        <f t="shared" si="92"/>
        <v>0</v>
      </c>
      <c r="AE159" s="84">
        <f t="shared" si="93"/>
        <v>0</v>
      </c>
      <c r="AL159" s="64">
        <f t="shared" si="78"/>
        <v>0</v>
      </c>
      <c r="AM159" s="64">
        <f t="shared" si="79"/>
        <v>0</v>
      </c>
      <c r="AN159" s="65" t="s">
        <v>320</v>
      </c>
      <c r="AO159" s="65" t="s">
        <v>335</v>
      </c>
      <c r="AP159" s="66" t="s">
        <v>339</v>
      </c>
      <c r="AR159" t="s">
        <v>726</v>
      </c>
      <c r="AS159" s="160">
        <v>0.17399999999999999</v>
      </c>
      <c r="AU159" s="238"/>
    </row>
    <row r="160" spans="1:47" ht="25.5" hidden="1">
      <c r="A160" s="4" t="s">
        <v>526</v>
      </c>
      <c r="B160" s="4"/>
      <c r="C160" s="4"/>
      <c r="D160" s="213" t="s">
        <v>985</v>
      </c>
      <c r="E160" s="4" t="s">
        <v>285</v>
      </c>
      <c r="F160" s="14">
        <v>0</v>
      </c>
      <c r="G160" s="170"/>
      <c r="H160" s="14">
        <f t="shared" si="70"/>
        <v>0</v>
      </c>
      <c r="I160" s="14">
        <f t="shared" si="95"/>
        <v>0</v>
      </c>
      <c r="J160" s="15">
        <f t="shared" si="72"/>
        <v>0</v>
      </c>
      <c r="K160" s="136">
        <v>0.221</v>
      </c>
      <c r="L160" s="14">
        <f t="shared" si="73"/>
        <v>0</v>
      </c>
      <c r="M160" s="20" t="s">
        <v>6</v>
      </c>
      <c r="N160" s="14">
        <f t="shared" si="74"/>
        <v>0</v>
      </c>
      <c r="Y160" s="81">
        <f t="shared" si="75"/>
        <v>0</v>
      </c>
      <c r="Z160" s="81">
        <f t="shared" si="76"/>
        <v>0</v>
      </c>
      <c r="AA160" s="81">
        <f t="shared" si="77"/>
        <v>0</v>
      </c>
      <c r="AC160" s="24">
        <v>15</v>
      </c>
      <c r="AD160" s="84">
        <f t="shared" si="92"/>
        <v>0</v>
      </c>
      <c r="AE160" s="84">
        <f t="shared" si="93"/>
        <v>0</v>
      </c>
      <c r="AL160" s="24">
        <f t="shared" si="78"/>
        <v>0</v>
      </c>
      <c r="AM160" s="24">
        <f t="shared" si="79"/>
        <v>0</v>
      </c>
      <c r="AN160" s="25" t="s">
        <v>320</v>
      </c>
      <c r="AO160" s="25" t="s">
        <v>335</v>
      </c>
      <c r="AP160" s="19" t="s">
        <v>339</v>
      </c>
      <c r="AR160" t="s">
        <v>726</v>
      </c>
      <c r="AS160" s="160">
        <v>0.221</v>
      </c>
    </row>
    <row r="161" spans="1:47" s="63" customFormat="1" hidden="1">
      <c r="A161" s="169" t="s">
        <v>881</v>
      </c>
      <c r="B161" s="169"/>
      <c r="C161" s="169" t="s">
        <v>882</v>
      </c>
      <c r="D161" s="169" t="s">
        <v>937</v>
      </c>
      <c r="E161" s="169" t="s">
        <v>285</v>
      </c>
      <c r="F161" s="170">
        <v>0</v>
      </c>
      <c r="G161" s="170"/>
      <c r="H161" s="170">
        <f t="shared" ref="H161" si="96">F161*AD161</f>
        <v>0</v>
      </c>
      <c r="I161" s="170">
        <f t="shared" ref="I161" si="97">J161-H161</f>
        <v>0</v>
      </c>
      <c r="J161" s="170">
        <f t="shared" ref="J161" si="98">F161*G161</f>
        <v>0</v>
      </c>
      <c r="K161" s="171">
        <v>0.17399999999999999</v>
      </c>
      <c r="L161" s="170">
        <f t="shared" ref="L161" si="99">F161*K161</f>
        <v>0</v>
      </c>
      <c r="M161" s="62" t="s">
        <v>6</v>
      </c>
      <c r="N161" s="61">
        <f t="shared" ref="N161" si="100">IF(M161="5",I161,0)</f>
        <v>0</v>
      </c>
      <c r="Y161" s="81">
        <f t="shared" ref="Y161" si="101">IF(AC161=0,J161,0)</f>
        <v>0</v>
      </c>
      <c r="Z161" s="81">
        <f t="shared" ref="Z161" si="102">IF(AC161=15,J161,0)</f>
        <v>0</v>
      </c>
      <c r="AA161" s="81">
        <f t="shared" ref="AA161" si="103">IF(AC161=21,J161,0)</f>
        <v>0</v>
      </c>
      <c r="AC161" s="64">
        <v>15</v>
      </c>
      <c r="AD161" s="84">
        <f t="shared" ref="AD161" si="104">G161*0.81143570536829</f>
        <v>0</v>
      </c>
      <c r="AE161" s="84">
        <f t="shared" ref="AE161" si="105">G161*(1-0.81143570536829)</f>
        <v>0</v>
      </c>
      <c r="AL161" s="64">
        <f t="shared" ref="AL161" si="106">F161*AD161</f>
        <v>0</v>
      </c>
      <c r="AM161" s="64">
        <f t="shared" ref="AM161" si="107">F161*AE161</f>
        <v>0</v>
      </c>
      <c r="AN161" s="65" t="s">
        <v>320</v>
      </c>
      <c r="AO161" s="65" t="s">
        <v>335</v>
      </c>
      <c r="AP161" s="66" t="s">
        <v>339</v>
      </c>
      <c r="AR161" t="s">
        <v>726</v>
      </c>
      <c r="AS161" s="160">
        <v>0.17399999999999999</v>
      </c>
      <c r="AU161" s="238"/>
    </row>
    <row r="162" spans="1:47" hidden="1">
      <c r="A162" s="4" t="s">
        <v>527</v>
      </c>
      <c r="B162" s="4"/>
      <c r="C162" s="4" t="s">
        <v>384</v>
      </c>
      <c r="D162" s="4" t="s">
        <v>385</v>
      </c>
      <c r="E162" s="4" t="s">
        <v>285</v>
      </c>
      <c r="F162" s="14">
        <v>0</v>
      </c>
      <c r="G162" s="14"/>
      <c r="H162" s="14">
        <f t="shared" si="70"/>
        <v>0</v>
      </c>
      <c r="I162" s="14">
        <f t="shared" si="95"/>
        <v>0</v>
      </c>
      <c r="J162" s="15">
        <f t="shared" si="72"/>
        <v>0</v>
      </c>
      <c r="K162" s="136">
        <v>1.2500000000000001E-2</v>
      </c>
      <c r="L162" s="14">
        <f t="shared" si="73"/>
        <v>0</v>
      </c>
      <c r="M162" s="20" t="s">
        <v>6</v>
      </c>
      <c r="N162" s="14">
        <f t="shared" si="74"/>
        <v>0</v>
      </c>
      <c r="Y162" s="81">
        <f t="shared" si="75"/>
        <v>0</v>
      </c>
      <c r="Z162" s="81">
        <f t="shared" si="76"/>
        <v>0</v>
      </c>
      <c r="AA162" s="81">
        <f t="shared" si="77"/>
        <v>0</v>
      </c>
      <c r="AC162" s="24">
        <v>15</v>
      </c>
      <c r="AD162" s="84">
        <f t="shared" si="92"/>
        <v>0</v>
      </c>
      <c r="AE162" s="84">
        <f t="shared" si="93"/>
        <v>0</v>
      </c>
      <c r="AL162" s="24">
        <f t="shared" si="78"/>
        <v>0</v>
      </c>
      <c r="AM162" s="24">
        <f t="shared" si="79"/>
        <v>0</v>
      </c>
      <c r="AN162" s="25" t="s">
        <v>320</v>
      </c>
      <c r="AO162" s="25" t="s">
        <v>335</v>
      </c>
      <c r="AP162" s="19" t="s">
        <v>339</v>
      </c>
      <c r="AR162" t="s">
        <v>726</v>
      </c>
      <c r="AS162" s="160">
        <v>1.2500000000000001E-2</v>
      </c>
    </row>
    <row r="163" spans="1:47" hidden="1">
      <c r="A163" s="4" t="s">
        <v>528</v>
      </c>
      <c r="B163" s="4"/>
      <c r="C163" s="4" t="s">
        <v>384</v>
      </c>
      <c r="D163" s="4" t="s">
        <v>823</v>
      </c>
      <c r="E163" s="4" t="s">
        <v>285</v>
      </c>
      <c r="F163" s="14">
        <v>0</v>
      </c>
      <c r="G163" s="14"/>
      <c r="H163" s="14">
        <f t="shared" si="70"/>
        <v>0</v>
      </c>
      <c r="I163" s="14">
        <f t="shared" si="95"/>
        <v>0</v>
      </c>
      <c r="J163" s="15">
        <f t="shared" si="72"/>
        <v>0</v>
      </c>
      <c r="K163" s="136">
        <v>1.2500000000000001E-2</v>
      </c>
      <c r="L163" s="14">
        <f t="shared" si="73"/>
        <v>0</v>
      </c>
      <c r="M163" s="20" t="s">
        <v>6</v>
      </c>
      <c r="N163" s="14">
        <f t="shared" si="74"/>
        <v>0</v>
      </c>
      <c r="Y163" s="81">
        <f t="shared" si="75"/>
        <v>0</v>
      </c>
      <c r="Z163" s="81">
        <f t="shared" si="76"/>
        <v>0</v>
      </c>
      <c r="AA163" s="81">
        <f t="shared" si="77"/>
        <v>0</v>
      </c>
      <c r="AC163" s="24">
        <v>15</v>
      </c>
      <c r="AD163" s="84">
        <f t="shared" si="92"/>
        <v>0</v>
      </c>
      <c r="AE163" s="84">
        <f t="shared" si="93"/>
        <v>0</v>
      </c>
      <c r="AL163" s="24">
        <f t="shared" si="78"/>
        <v>0</v>
      </c>
      <c r="AM163" s="24">
        <f t="shared" si="79"/>
        <v>0</v>
      </c>
      <c r="AN163" s="25" t="s">
        <v>320</v>
      </c>
      <c r="AO163" s="25" t="s">
        <v>335</v>
      </c>
      <c r="AP163" s="19" t="s">
        <v>339</v>
      </c>
      <c r="AR163" t="s">
        <v>726</v>
      </c>
      <c r="AS163" s="160">
        <v>1.2500000000000001E-2</v>
      </c>
    </row>
    <row r="164" spans="1:47" hidden="1">
      <c r="A164" s="4" t="s">
        <v>531</v>
      </c>
      <c r="B164" s="4"/>
      <c r="C164" s="4" t="s">
        <v>138</v>
      </c>
      <c r="D164" s="4" t="s">
        <v>224</v>
      </c>
      <c r="E164" s="4" t="s">
        <v>285</v>
      </c>
      <c r="F164" s="14">
        <v>0</v>
      </c>
      <c r="G164" s="14"/>
      <c r="H164" s="14">
        <f t="shared" si="70"/>
        <v>0</v>
      </c>
      <c r="I164" s="14">
        <f t="shared" si="95"/>
        <v>0</v>
      </c>
      <c r="J164" s="15">
        <f t="shared" si="72"/>
        <v>0</v>
      </c>
      <c r="K164" s="136">
        <v>0.1104</v>
      </c>
      <c r="L164" s="14">
        <f t="shared" si="73"/>
        <v>0</v>
      </c>
      <c r="M164" s="20" t="s">
        <v>6</v>
      </c>
      <c r="N164" s="14">
        <f t="shared" si="74"/>
        <v>0</v>
      </c>
      <c r="Y164" s="81">
        <f t="shared" si="75"/>
        <v>0</v>
      </c>
      <c r="Z164" s="81">
        <f t="shared" si="76"/>
        <v>0</v>
      </c>
      <c r="AA164" s="81">
        <f t="shared" si="77"/>
        <v>0</v>
      </c>
      <c r="AC164" s="24">
        <v>15</v>
      </c>
      <c r="AD164" s="84">
        <f t="shared" si="92"/>
        <v>0</v>
      </c>
      <c r="AE164" s="84">
        <f t="shared" si="93"/>
        <v>0</v>
      </c>
      <c r="AL164" s="24">
        <f t="shared" si="78"/>
        <v>0</v>
      </c>
      <c r="AM164" s="24">
        <f t="shared" si="79"/>
        <v>0</v>
      </c>
      <c r="AN164" s="25" t="s">
        <v>320</v>
      </c>
      <c r="AO164" s="25" t="s">
        <v>335</v>
      </c>
      <c r="AP164" s="19" t="s">
        <v>339</v>
      </c>
      <c r="AR164" t="s">
        <v>726</v>
      </c>
      <c r="AS164" s="160">
        <v>0.1104</v>
      </c>
    </row>
    <row r="165" spans="1:47" s="75" customFormat="1" hidden="1">
      <c r="A165" s="4" t="s">
        <v>534</v>
      </c>
      <c r="B165" s="4"/>
      <c r="C165" s="4" t="s">
        <v>139</v>
      </c>
      <c r="D165" s="4" t="s">
        <v>225</v>
      </c>
      <c r="E165" s="4" t="s">
        <v>285</v>
      </c>
      <c r="F165" s="14">
        <v>0</v>
      </c>
      <c r="G165" s="14"/>
      <c r="H165" s="14">
        <f t="shared" si="70"/>
        <v>0</v>
      </c>
      <c r="I165" s="14">
        <f t="shared" si="95"/>
        <v>0</v>
      </c>
      <c r="J165" s="15">
        <f t="shared" si="72"/>
        <v>0</v>
      </c>
      <c r="K165" s="136">
        <v>2.7000000000000001E-3</v>
      </c>
      <c r="L165" s="14">
        <f t="shared" si="73"/>
        <v>0</v>
      </c>
      <c r="M165" s="20" t="s">
        <v>6</v>
      </c>
      <c r="N165" s="14">
        <f t="shared" si="74"/>
        <v>0</v>
      </c>
      <c r="Y165" s="81">
        <f t="shared" si="75"/>
        <v>0</v>
      </c>
      <c r="Z165" s="81">
        <f t="shared" si="76"/>
        <v>0</v>
      </c>
      <c r="AA165" s="81">
        <f t="shared" si="77"/>
        <v>0</v>
      </c>
      <c r="AC165" s="24">
        <v>15</v>
      </c>
      <c r="AD165" s="84">
        <f t="shared" si="92"/>
        <v>0</v>
      </c>
      <c r="AE165" s="84">
        <f t="shared" si="93"/>
        <v>0</v>
      </c>
      <c r="AL165" s="24">
        <f t="shared" si="78"/>
        <v>0</v>
      </c>
      <c r="AM165" s="24">
        <f t="shared" si="79"/>
        <v>0</v>
      </c>
      <c r="AN165" s="25" t="s">
        <v>320</v>
      </c>
      <c r="AO165" s="25" t="s">
        <v>335</v>
      </c>
      <c r="AP165" s="76" t="s">
        <v>339</v>
      </c>
      <c r="AR165" s="75" t="s">
        <v>726</v>
      </c>
      <c r="AS165" s="160">
        <v>2.7000000000000001E-3</v>
      </c>
      <c r="AU165" s="229"/>
    </row>
    <row r="166" spans="1:47" s="75" customFormat="1" hidden="1">
      <c r="A166" s="4" t="s">
        <v>546</v>
      </c>
      <c r="B166" s="4"/>
      <c r="C166" s="4" t="s">
        <v>140</v>
      </c>
      <c r="D166" s="4" t="s">
        <v>226</v>
      </c>
      <c r="E166" s="4" t="s">
        <v>285</v>
      </c>
      <c r="F166" s="14">
        <v>0</v>
      </c>
      <c r="G166" s="151"/>
      <c r="H166" s="14">
        <f t="shared" si="70"/>
        <v>0</v>
      </c>
      <c r="I166" s="14">
        <f t="shared" si="95"/>
        <v>0</v>
      </c>
      <c r="J166" s="15">
        <f t="shared" si="72"/>
        <v>0</v>
      </c>
      <c r="K166" s="136">
        <v>2.0999999999999999E-3</v>
      </c>
      <c r="L166" s="14">
        <f t="shared" si="73"/>
        <v>0</v>
      </c>
      <c r="M166" s="20" t="s">
        <v>6</v>
      </c>
      <c r="N166" s="14">
        <f t="shared" si="74"/>
        <v>0</v>
      </c>
      <c r="Y166" s="81">
        <f t="shared" si="75"/>
        <v>0</v>
      </c>
      <c r="Z166" s="81">
        <f t="shared" si="76"/>
        <v>0</v>
      </c>
      <c r="AA166" s="81">
        <f t="shared" si="77"/>
        <v>0</v>
      </c>
      <c r="AC166" s="24">
        <v>15</v>
      </c>
      <c r="AD166" s="84">
        <f t="shared" si="92"/>
        <v>0</v>
      </c>
      <c r="AE166" s="84">
        <f t="shared" si="93"/>
        <v>0</v>
      </c>
      <c r="AL166" s="24">
        <f t="shared" si="78"/>
        <v>0</v>
      </c>
      <c r="AM166" s="24">
        <f t="shared" si="79"/>
        <v>0</v>
      </c>
      <c r="AN166" s="25" t="s">
        <v>320</v>
      </c>
      <c r="AO166" s="25" t="s">
        <v>335</v>
      </c>
      <c r="AP166" s="76" t="s">
        <v>339</v>
      </c>
      <c r="AR166" s="75" t="s">
        <v>726</v>
      </c>
      <c r="AS166" s="160">
        <v>2.0999999999999999E-3</v>
      </c>
      <c r="AU166" s="229"/>
    </row>
    <row r="167" spans="1:47" s="104" customFormat="1" hidden="1">
      <c r="A167" s="4" t="s">
        <v>547</v>
      </c>
      <c r="B167" s="80"/>
      <c r="C167" s="80" t="s">
        <v>140</v>
      </c>
      <c r="D167" s="80" t="s">
        <v>589</v>
      </c>
      <c r="E167" s="80" t="s">
        <v>285</v>
      </c>
      <c r="F167" s="81">
        <v>0</v>
      </c>
      <c r="G167" s="151"/>
      <c r="H167" s="81">
        <f t="shared" si="70"/>
        <v>0</v>
      </c>
      <c r="I167" s="81">
        <f t="shared" si="95"/>
        <v>0</v>
      </c>
      <c r="J167" s="15">
        <f t="shared" si="72"/>
        <v>0</v>
      </c>
      <c r="K167" s="135">
        <v>2.1000000000000001E-4</v>
      </c>
      <c r="L167" s="81">
        <f t="shared" si="73"/>
        <v>0</v>
      </c>
      <c r="M167" s="82" t="s">
        <v>6</v>
      </c>
      <c r="N167" s="81">
        <f t="shared" si="74"/>
        <v>0</v>
      </c>
      <c r="Y167" s="81">
        <f t="shared" si="75"/>
        <v>0</v>
      </c>
      <c r="Z167" s="81">
        <f t="shared" si="76"/>
        <v>0</v>
      </c>
      <c r="AA167" s="81">
        <f t="shared" si="77"/>
        <v>0</v>
      </c>
      <c r="AC167" s="84">
        <v>15</v>
      </c>
      <c r="AD167" s="84">
        <f t="shared" si="92"/>
        <v>0</v>
      </c>
      <c r="AE167" s="84">
        <f t="shared" si="93"/>
        <v>0</v>
      </c>
      <c r="AL167" s="84">
        <f t="shared" si="78"/>
        <v>0</v>
      </c>
      <c r="AM167" s="84">
        <f t="shared" si="79"/>
        <v>0</v>
      </c>
      <c r="AN167" s="85" t="s">
        <v>320</v>
      </c>
      <c r="AO167" s="85" t="s">
        <v>335</v>
      </c>
      <c r="AP167" s="105" t="s">
        <v>339</v>
      </c>
      <c r="AR167" s="75" t="s">
        <v>726</v>
      </c>
      <c r="AS167" s="160">
        <v>2.1000000000000001E-4</v>
      </c>
      <c r="AU167" s="227"/>
    </row>
    <row r="168" spans="1:47" s="83" customFormat="1" hidden="1">
      <c r="A168" s="4" t="s">
        <v>548</v>
      </c>
      <c r="B168" s="80"/>
      <c r="C168" s="5" t="s">
        <v>715</v>
      </c>
      <c r="D168" s="5" t="s">
        <v>710</v>
      </c>
      <c r="E168" s="4" t="s">
        <v>285</v>
      </c>
      <c r="F168" s="81">
        <v>0</v>
      </c>
      <c r="G168" s="151"/>
      <c r="H168" s="81">
        <f t="shared" si="70"/>
        <v>0</v>
      </c>
      <c r="I168" s="81">
        <f t="shared" si="95"/>
        <v>0</v>
      </c>
      <c r="J168" s="15">
        <f t="shared" si="72"/>
        <v>0</v>
      </c>
      <c r="K168" s="135">
        <v>2.0999999999999999E-3</v>
      </c>
      <c r="L168" s="81">
        <f t="shared" si="73"/>
        <v>0</v>
      </c>
      <c r="M168" s="82" t="s">
        <v>6</v>
      </c>
      <c r="N168" s="81">
        <f t="shared" si="74"/>
        <v>0</v>
      </c>
      <c r="Y168" s="81">
        <f t="shared" si="75"/>
        <v>0</v>
      </c>
      <c r="Z168" s="81">
        <f t="shared" si="76"/>
        <v>0</v>
      </c>
      <c r="AA168" s="81">
        <f t="shared" si="77"/>
        <v>0</v>
      </c>
      <c r="AC168" s="84">
        <v>15</v>
      </c>
      <c r="AD168" s="84">
        <f t="shared" si="92"/>
        <v>0</v>
      </c>
      <c r="AE168" s="84">
        <f t="shared" si="93"/>
        <v>0</v>
      </c>
      <c r="AL168" s="84">
        <f t="shared" si="78"/>
        <v>0</v>
      </c>
      <c r="AM168" s="84">
        <f t="shared" si="79"/>
        <v>0</v>
      </c>
      <c r="AN168" s="85" t="s">
        <v>320</v>
      </c>
      <c r="AO168" s="85" t="s">
        <v>335</v>
      </c>
      <c r="AP168" s="86" t="s">
        <v>339</v>
      </c>
      <c r="AS168" s="160">
        <v>2.0999999999999999E-3</v>
      </c>
      <c r="AU168" s="228"/>
    </row>
    <row r="169" spans="1:47" s="83" customFormat="1">
      <c r="A169" s="4" t="s">
        <v>549</v>
      </c>
      <c r="B169" s="80"/>
      <c r="C169" s="4" t="s">
        <v>818</v>
      </c>
      <c r="D169" s="4" t="s">
        <v>817</v>
      </c>
      <c r="E169" s="80" t="s">
        <v>498</v>
      </c>
      <c r="F169" s="81">
        <v>1.6</v>
      </c>
      <c r="G169" s="81"/>
      <c r="H169" s="81">
        <f t="shared" si="70"/>
        <v>0</v>
      </c>
      <c r="I169" s="81">
        <f t="shared" si="95"/>
        <v>0</v>
      </c>
      <c r="J169" s="15">
        <f t="shared" si="72"/>
        <v>0</v>
      </c>
      <c r="K169" s="135"/>
      <c r="L169" s="81"/>
      <c r="M169" s="82" t="s">
        <v>10</v>
      </c>
      <c r="N169" s="81">
        <f>IF(M169="5",J169,0)</f>
        <v>0</v>
      </c>
      <c r="Y169" s="81">
        <f t="shared" si="75"/>
        <v>0</v>
      </c>
      <c r="Z169" s="81">
        <f t="shared" si="76"/>
        <v>0</v>
      </c>
      <c r="AA169" s="81">
        <f t="shared" si="77"/>
        <v>0</v>
      </c>
      <c r="AC169" s="84">
        <v>15</v>
      </c>
      <c r="AD169" s="84">
        <f t="shared" si="92"/>
        <v>0</v>
      </c>
      <c r="AE169" s="84">
        <f t="shared" si="93"/>
        <v>0</v>
      </c>
      <c r="AL169" s="84">
        <f t="shared" si="78"/>
        <v>0</v>
      </c>
      <c r="AM169" s="84">
        <f t="shared" si="79"/>
        <v>0</v>
      </c>
      <c r="AN169" s="85" t="s">
        <v>608</v>
      </c>
      <c r="AO169" s="85" t="s">
        <v>338</v>
      </c>
      <c r="AP169" s="86" t="s">
        <v>339</v>
      </c>
      <c r="AR169" t="s">
        <v>726</v>
      </c>
      <c r="AS169" s="160"/>
      <c r="AU169" s="228"/>
    </row>
    <row r="170" spans="1:47" hidden="1">
      <c r="A170" s="6"/>
      <c r="B170" s="12"/>
      <c r="C170" s="12" t="s">
        <v>141</v>
      </c>
      <c r="D170" s="71" t="s">
        <v>227</v>
      </c>
      <c r="E170" s="72"/>
      <c r="F170" s="72"/>
      <c r="G170" s="72"/>
      <c r="H170" s="27">
        <f>SUM(H171:H174)</f>
        <v>0</v>
      </c>
      <c r="I170" s="27">
        <f>SUM(I171:I174)</f>
        <v>0</v>
      </c>
      <c r="J170" s="27">
        <f>H170+I170</f>
        <v>0</v>
      </c>
      <c r="K170" s="139"/>
      <c r="L170" s="27">
        <f>SUM(L171:L173)</f>
        <v>0</v>
      </c>
      <c r="O170" s="27">
        <f>IF(P170="PR",J170,SUM(N171:N173))</f>
        <v>0</v>
      </c>
      <c r="P170" s="19" t="s">
        <v>306</v>
      </c>
      <c r="Q170" s="27">
        <f>IF(P170="HS",H170,0)</f>
        <v>0</v>
      </c>
      <c r="R170" s="27">
        <f>IF(P170="HS",I170-O170,0)</f>
        <v>0</v>
      </c>
      <c r="S170" s="27">
        <f>IF(P170="PS",H170,0)</f>
        <v>0</v>
      </c>
      <c r="T170" s="27">
        <f>IF(P170="PS",I170-O170,0)</f>
        <v>0</v>
      </c>
      <c r="U170" s="27">
        <f>IF(P170="MP",H170,0)</f>
        <v>0</v>
      </c>
      <c r="V170" s="27">
        <f>IF(P170="MP",I170-O170,0)</f>
        <v>0</v>
      </c>
      <c r="W170" s="27">
        <f>IF(P170="OM",H170,0)</f>
        <v>0</v>
      </c>
      <c r="X170" s="19"/>
      <c r="Y170" s="81"/>
      <c r="Z170" s="81"/>
      <c r="AA170" s="81"/>
      <c r="AD170" s="84"/>
      <c r="AE170" s="84"/>
      <c r="AH170" s="27">
        <f>SUM(Y171:Y173)</f>
        <v>0</v>
      </c>
      <c r="AI170" s="27">
        <f>SUM(Z171:Z173)</f>
        <v>0</v>
      </c>
      <c r="AJ170" s="27">
        <f>SUM(AA171:AA173)</f>
        <v>0</v>
      </c>
      <c r="AS170" s="162"/>
    </row>
    <row r="171" spans="1:47" s="75" customFormat="1" hidden="1">
      <c r="A171" s="4" t="s">
        <v>638</v>
      </c>
      <c r="B171" s="4"/>
      <c r="C171" s="4" t="s">
        <v>142</v>
      </c>
      <c r="D171" s="4" t="s">
        <v>228</v>
      </c>
      <c r="E171" s="4" t="s">
        <v>285</v>
      </c>
      <c r="F171" s="14">
        <v>0</v>
      </c>
      <c r="G171" s="14"/>
      <c r="H171" s="14">
        <f>F171*AD171</f>
        <v>0</v>
      </c>
      <c r="I171" s="14">
        <f>J171-H171</f>
        <v>0</v>
      </c>
      <c r="J171" s="14">
        <f>F171*G171</f>
        <v>0</v>
      </c>
      <c r="K171" s="136">
        <v>1E-3</v>
      </c>
      <c r="L171" s="14">
        <f>F171*K171</f>
        <v>0</v>
      </c>
      <c r="M171" s="20" t="s">
        <v>6</v>
      </c>
      <c r="N171" s="14">
        <f>IF(M171="5",I171,0)</f>
        <v>0</v>
      </c>
      <c r="Y171" s="81">
        <f>IF(AC171=0,J171,0)</f>
        <v>0</v>
      </c>
      <c r="Z171" s="81">
        <f>IF(AC171=15,J171,0)</f>
        <v>0</v>
      </c>
      <c r="AA171" s="81">
        <f>IF(AC171=21,J171,0)</f>
        <v>0</v>
      </c>
      <c r="AC171" s="24">
        <v>15</v>
      </c>
      <c r="AD171" s="84">
        <f t="shared" si="92"/>
        <v>0</v>
      </c>
      <c r="AE171" s="84">
        <f t="shared" si="93"/>
        <v>0</v>
      </c>
      <c r="AL171" s="24">
        <f>F171*AD171</f>
        <v>0</v>
      </c>
      <c r="AM171" s="24">
        <f>F171*AE171</f>
        <v>0</v>
      </c>
      <c r="AN171" s="25" t="s">
        <v>321</v>
      </c>
      <c r="AO171" s="25" t="s">
        <v>335</v>
      </c>
      <c r="AP171" s="76" t="s">
        <v>339</v>
      </c>
      <c r="AR171" s="75" t="s">
        <v>726</v>
      </c>
      <c r="AS171" s="160">
        <v>1E-3</v>
      </c>
      <c r="AU171" s="229"/>
    </row>
    <row r="172" spans="1:47" hidden="1">
      <c r="A172" s="4" t="s">
        <v>639</v>
      </c>
      <c r="B172" s="4"/>
      <c r="C172" s="4" t="s">
        <v>811</v>
      </c>
      <c r="D172" s="4" t="s">
        <v>812</v>
      </c>
      <c r="E172" s="4" t="s">
        <v>285</v>
      </c>
      <c r="F172" s="14">
        <v>0</v>
      </c>
      <c r="G172" s="14"/>
      <c r="H172" s="14">
        <f>F172*AD172</f>
        <v>0</v>
      </c>
      <c r="I172" s="14">
        <f>J172-H172</f>
        <v>0</v>
      </c>
      <c r="J172" s="14">
        <f>F172*G172</f>
        <v>0</v>
      </c>
      <c r="K172" s="136">
        <v>0</v>
      </c>
      <c r="L172" s="14">
        <f>F172*K172</f>
        <v>0</v>
      </c>
      <c r="M172" s="20" t="s">
        <v>6</v>
      </c>
      <c r="N172" s="14">
        <f>IF(M172="5",I172,0)</f>
        <v>0</v>
      </c>
      <c r="Y172" s="81">
        <f>IF(AC172=0,J172,0)</f>
        <v>0</v>
      </c>
      <c r="Z172" s="81">
        <f>IF(AC172=15,J172,0)</f>
        <v>0</v>
      </c>
      <c r="AA172" s="81">
        <f>IF(AC172=21,J172,0)</f>
        <v>0</v>
      </c>
      <c r="AC172" s="24">
        <v>15</v>
      </c>
      <c r="AD172" s="84">
        <f t="shared" si="92"/>
        <v>0</v>
      </c>
      <c r="AE172" s="84">
        <f t="shared" si="93"/>
        <v>0</v>
      </c>
      <c r="AL172" s="24">
        <f>F172*AD172</f>
        <v>0</v>
      </c>
      <c r="AM172" s="24">
        <f>F172*AE172</f>
        <v>0</v>
      </c>
      <c r="AN172" s="25" t="s">
        <v>321</v>
      </c>
      <c r="AO172" s="25" t="s">
        <v>335</v>
      </c>
      <c r="AP172" s="19" t="s">
        <v>339</v>
      </c>
      <c r="AS172" s="160">
        <v>0</v>
      </c>
    </row>
    <row r="173" spans="1:47" s="75" customFormat="1" hidden="1">
      <c r="A173" s="4" t="s">
        <v>640</v>
      </c>
      <c r="B173" s="4"/>
      <c r="C173" s="4" t="s">
        <v>143</v>
      </c>
      <c r="D173" s="4" t="s">
        <v>784</v>
      </c>
      <c r="E173" s="4" t="s">
        <v>285</v>
      </c>
      <c r="F173" s="208">
        <v>0</v>
      </c>
      <c r="G173" s="14"/>
      <c r="H173" s="14">
        <f>F173*AD173</f>
        <v>0</v>
      </c>
      <c r="I173" s="14">
        <f>J173-H173</f>
        <v>0</v>
      </c>
      <c r="J173" s="14">
        <f>F173*G173</f>
        <v>0</v>
      </c>
      <c r="K173" s="136">
        <v>0</v>
      </c>
      <c r="L173" s="14">
        <f>F173*K173</f>
        <v>0</v>
      </c>
      <c r="M173" s="20" t="s">
        <v>6</v>
      </c>
      <c r="N173" s="14">
        <f>IF(M173="5",I173,0)</f>
        <v>0</v>
      </c>
      <c r="Y173" s="81">
        <f>IF(AC173=0,J173,0)</f>
        <v>0</v>
      </c>
      <c r="Z173" s="81">
        <f>IF(AC173=15,J173,0)</f>
        <v>0</v>
      </c>
      <c r="AA173" s="81">
        <f>IF(AC173=21,J173,0)</f>
        <v>0</v>
      </c>
      <c r="AC173" s="24">
        <v>15</v>
      </c>
      <c r="AD173" s="84">
        <f t="shared" si="92"/>
        <v>0</v>
      </c>
      <c r="AE173" s="84">
        <f t="shared" si="93"/>
        <v>0</v>
      </c>
      <c r="AL173" s="24">
        <f>F173*AD173</f>
        <v>0</v>
      </c>
      <c r="AM173" s="24">
        <f>F173*AE173</f>
        <v>0</v>
      </c>
      <c r="AN173" s="25" t="s">
        <v>321</v>
      </c>
      <c r="AO173" s="25" t="s">
        <v>335</v>
      </c>
      <c r="AP173" s="76" t="s">
        <v>339</v>
      </c>
      <c r="AR173" s="75" t="s">
        <v>726</v>
      </c>
      <c r="AS173" s="160">
        <v>0</v>
      </c>
      <c r="AU173" s="229"/>
    </row>
    <row r="174" spans="1:47" s="199" customFormat="1" ht="38.25" hidden="1">
      <c r="A174" s="169" t="s">
        <v>903</v>
      </c>
      <c r="B174" s="169"/>
      <c r="C174" s="169" t="s">
        <v>904</v>
      </c>
      <c r="D174" s="172" t="s">
        <v>986</v>
      </c>
      <c r="E174" s="169" t="s">
        <v>743</v>
      </c>
      <c r="F174" s="170">
        <v>0</v>
      </c>
      <c r="G174" s="170"/>
      <c r="H174" s="170">
        <f>F174*AD174</f>
        <v>0</v>
      </c>
      <c r="I174" s="170">
        <f>J174-H174</f>
        <v>0</v>
      </c>
      <c r="J174" s="170">
        <f>F174*G174</f>
        <v>0</v>
      </c>
      <c r="K174" s="171">
        <v>0</v>
      </c>
      <c r="L174" s="170">
        <f>F174*K174</f>
        <v>0</v>
      </c>
      <c r="M174" s="198" t="s">
        <v>6</v>
      </c>
      <c r="N174" s="197">
        <f>IF(M174="5",I174,0)</f>
        <v>0</v>
      </c>
      <c r="Y174" s="197">
        <f>IF(AC174=0,J174,0)</f>
        <v>0</v>
      </c>
      <c r="Z174" s="197">
        <f>IF(AC174=15,J174,0)</f>
        <v>0</v>
      </c>
      <c r="AA174" s="197">
        <f>IF(AC174=21,J174,0)</f>
        <v>0</v>
      </c>
      <c r="AC174" s="197">
        <v>15</v>
      </c>
      <c r="AD174" s="197">
        <f t="shared" ref="AD174" si="108">G174*0.81143570536829</f>
        <v>0</v>
      </c>
      <c r="AE174" s="197">
        <f t="shared" ref="AE174" si="109">G174*(1-0.81143570536829)</f>
        <v>0</v>
      </c>
      <c r="AL174" s="197">
        <f>F174*AD174</f>
        <v>0</v>
      </c>
      <c r="AM174" s="197">
        <f>F174*AE174</f>
        <v>0</v>
      </c>
      <c r="AN174" s="198" t="s">
        <v>321</v>
      </c>
      <c r="AO174" s="198" t="s">
        <v>335</v>
      </c>
      <c r="AP174" s="200" t="s">
        <v>339</v>
      </c>
      <c r="AR174" s="199" t="s">
        <v>726</v>
      </c>
      <c r="AS174" s="201">
        <v>0</v>
      </c>
      <c r="AU174" s="239"/>
    </row>
    <row r="175" spans="1:47" hidden="1">
      <c r="A175" s="6"/>
      <c r="B175" s="12"/>
      <c r="C175" s="12" t="s">
        <v>144</v>
      </c>
      <c r="D175" s="71" t="s">
        <v>229</v>
      </c>
      <c r="E175" s="72"/>
      <c r="F175" s="72"/>
      <c r="G175" s="72"/>
      <c r="H175" s="27">
        <f>SUM(H176:H192)</f>
        <v>0</v>
      </c>
      <c r="I175" s="27">
        <f>SUM(I176:I192)</f>
        <v>0</v>
      </c>
      <c r="J175" s="27">
        <f>H175+I175</f>
        <v>0</v>
      </c>
      <c r="K175" s="139"/>
      <c r="L175" s="27">
        <f>SUM(L176:L191)</f>
        <v>0</v>
      </c>
      <c r="O175" s="27">
        <f>IF(P175="PR",J175,SUM(N176:N192))</f>
        <v>0</v>
      </c>
      <c r="P175" s="19" t="s">
        <v>306</v>
      </c>
      <c r="Q175" s="27">
        <f>IF(P175="HS",H175,0)</f>
        <v>0</v>
      </c>
      <c r="R175" s="27">
        <f>IF(P175="HS",I175-O175,0)</f>
        <v>0</v>
      </c>
      <c r="S175" s="27">
        <f>IF(P175="PS",H175,0)</f>
        <v>0</v>
      </c>
      <c r="T175" s="27">
        <f>IF(P175="PS",I175-O175,0)</f>
        <v>0</v>
      </c>
      <c r="U175" s="27">
        <f>IF(P175="MP",H175,0)</f>
        <v>0</v>
      </c>
      <c r="V175" s="27">
        <f>IF(P175="MP",I175-O175,0)</f>
        <v>0</v>
      </c>
      <c r="W175" s="27">
        <f>IF(P175="OM",H175,0)</f>
        <v>0</v>
      </c>
      <c r="X175" s="19"/>
      <c r="Y175" s="81"/>
      <c r="Z175" s="81"/>
      <c r="AA175" s="81"/>
      <c r="AD175" s="84"/>
      <c r="AE175" s="84"/>
      <c r="AH175" s="27">
        <f>SUM(Y176:Y192)</f>
        <v>0</v>
      </c>
      <c r="AI175" s="27">
        <f>SUM(Z176:Z192)</f>
        <v>0</v>
      </c>
      <c r="AJ175" s="27">
        <f>SUM(AA176:AA192)</f>
        <v>0</v>
      </c>
      <c r="AS175" s="162"/>
    </row>
    <row r="176" spans="1:47" s="75" customFormat="1" hidden="1">
      <c r="A176" s="4" t="s">
        <v>641</v>
      </c>
      <c r="B176" s="4"/>
      <c r="C176" s="4" t="s">
        <v>145</v>
      </c>
      <c r="D176" s="4" t="s">
        <v>230</v>
      </c>
      <c r="E176" s="4" t="s">
        <v>284</v>
      </c>
      <c r="F176" s="14">
        <f>Výměry!P24</f>
        <v>0</v>
      </c>
      <c r="G176" s="151"/>
      <c r="H176" s="14">
        <f t="shared" ref="H176:H192" si="110">F176*AD176</f>
        <v>0</v>
      </c>
      <c r="I176" s="14">
        <f t="shared" ref="I176:I186" si="111">J176-H176</f>
        <v>0</v>
      </c>
      <c r="J176" s="14">
        <f t="shared" ref="J176:J192" si="112">F176*G176</f>
        <v>0</v>
      </c>
      <c r="K176" s="136">
        <v>3.8999999999999998E-3</v>
      </c>
      <c r="L176" s="14">
        <f t="shared" ref="L176:L191" si="113">F176*K176</f>
        <v>0</v>
      </c>
      <c r="M176" s="20" t="s">
        <v>6</v>
      </c>
      <c r="N176" s="14">
        <f t="shared" ref="N176:N191" si="114">IF(M176="5",I176,0)</f>
        <v>0</v>
      </c>
      <c r="Y176" s="81">
        <f t="shared" ref="Y176:Y192" si="115">IF(AC176=0,J176,0)</f>
        <v>0</v>
      </c>
      <c r="Z176" s="81">
        <f t="shared" ref="Z176:Z192" si="116">IF(AC176=15,J176,0)</f>
        <v>0</v>
      </c>
      <c r="AA176" s="81">
        <f t="shared" ref="AA176:AA192" si="117">IF(AC176=21,J176,0)</f>
        <v>0</v>
      </c>
      <c r="AC176" s="24">
        <v>15</v>
      </c>
      <c r="AD176" s="84">
        <f t="shared" si="92"/>
        <v>0</v>
      </c>
      <c r="AE176" s="84">
        <f t="shared" si="93"/>
        <v>0</v>
      </c>
      <c r="AL176" s="24">
        <f t="shared" ref="AL176:AL192" si="118">F176*AD176</f>
        <v>0</v>
      </c>
      <c r="AM176" s="24">
        <f t="shared" ref="AM176:AM192" si="119">F176*AE176</f>
        <v>0</v>
      </c>
      <c r="AN176" s="25" t="s">
        <v>322</v>
      </c>
      <c r="AO176" s="25" t="s">
        <v>336</v>
      </c>
      <c r="AP176" s="76" t="s">
        <v>339</v>
      </c>
      <c r="AR176" s="75" t="s">
        <v>726</v>
      </c>
      <c r="AS176" s="160">
        <v>3.8999999999999998E-3</v>
      </c>
      <c r="AU176" s="229"/>
    </row>
    <row r="177" spans="1:47" s="75" customFormat="1" hidden="1">
      <c r="A177" s="4" t="s">
        <v>642</v>
      </c>
      <c r="B177" s="4"/>
      <c r="C177" s="4" t="s">
        <v>146</v>
      </c>
      <c r="D177" s="4" t="s">
        <v>231</v>
      </c>
      <c r="E177" s="4" t="s">
        <v>284</v>
      </c>
      <c r="F177" s="14">
        <f>F176</f>
        <v>0</v>
      </c>
      <c r="G177" s="151"/>
      <c r="H177" s="14">
        <f t="shared" si="110"/>
        <v>0</v>
      </c>
      <c r="I177" s="14">
        <f t="shared" si="111"/>
        <v>0</v>
      </c>
      <c r="J177" s="14">
        <f t="shared" si="112"/>
        <v>0</v>
      </c>
      <c r="K177" s="136">
        <v>1.1999999999999999E-3</v>
      </c>
      <c r="L177" s="14">
        <f t="shared" si="113"/>
        <v>0</v>
      </c>
      <c r="M177" s="20" t="s">
        <v>6</v>
      </c>
      <c r="N177" s="14">
        <f t="shared" si="114"/>
        <v>0</v>
      </c>
      <c r="Y177" s="81">
        <f t="shared" si="115"/>
        <v>0</v>
      </c>
      <c r="Z177" s="81">
        <f t="shared" si="116"/>
        <v>0</v>
      </c>
      <c r="AA177" s="81">
        <f t="shared" si="117"/>
        <v>0</v>
      </c>
      <c r="AC177" s="24">
        <v>15</v>
      </c>
      <c r="AD177" s="84">
        <f t="shared" si="92"/>
        <v>0</v>
      </c>
      <c r="AE177" s="84">
        <f t="shared" si="93"/>
        <v>0</v>
      </c>
      <c r="AL177" s="24">
        <f t="shared" si="118"/>
        <v>0</v>
      </c>
      <c r="AM177" s="24">
        <f t="shared" si="119"/>
        <v>0</v>
      </c>
      <c r="AN177" s="25" t="s">
        <v>322</v>
      </c>
      <c r="AO177" s="25" t="s">
        <v>336</v>
      </c>
      <c r="AP177" s="76" t="s">
        <v>339</v>
      </c>
      <c r="AR177" s="75" t="s">
        <v>726</v>
      </c>
      <c r="AS177" s="160">
        <v>1.1999999999999999E-3</v>
      </c>
      <c r="AU177" s="229"/>
    </row>
    <row r="178" spans="1:47" s="75" customFormat="1" hidden="1">
      <c r="A178" s="4" t="s">
        <v>643</v>
      </c>
      <c r="B178" s="4"/>
      <c r="C178" s="4" t="s">
        <v>147</v>
      </c>
      <c r="D178" s="4" t="s">
        <v>232</v>
      </c>
      <c r="E178" s="4" t="s">
        <v>284</v>
      </c>
      <c r="F178" s="14">
        <f>F176</f>
        <v>0</v>
      </c>
      <c r="G178" s="151"/>
      <c r="H178" s="14">
        <f t="shared" si="110"/>
        <v>0</v>
      </c>
      <c r="I178" s="14">
        <f t="shared" si="111"/>
        <v>0</v>
      </c>
      <c r="J178" s="14">
        <f t="shared" si="112"/>
        <v>0</v>
      </c>
      <c r="K178" s="136">
        <v>0</v>
      </c>
      <c r="L178" s="14">
        <f t="shared" si="113"/>
        <v>0</v>
      </c>
      <c r="M178" s="20" t="s">
        <v>6</v>
      </c>
      <c r="N178" s="14">
        <f t="shared" si="114"/>
        <v>0</v>
      </c>
      <c r="Y178" s="81">
        <f t="shared" si="115"/>
        <v>0</v>
      </c>
      <c r="Z178" s="81">
        <f t="shared" si="116"/>
        <v>0</v>
      </c>
      <c r="AA178" s="81">
        <f t="shared" si="117"/>
        <v>0</v>
      </c>
      <c r="AC178" s="24">
        <v>15</v>
      </c>
      <c r="AD178" s="84">
        <f t="shared" si="92"/>
        <v>0</v>
      </c>
      <c r="AE178" s="84">
        <f t="shared" si="93"/>
        <v>0</v>
      </c>
      <c r="AL178" s="24">
        <f t="shared" si="118"/>
        <v>0</v>
      </c>
      <c r="AM178" s="24">
        <f t="shared" si="119"/>
        <v>0</v>
      </c>
      <c r="AN178" s="25" t="s">
        <v>322</v>
      </c>
      <c r="AO178" s="25" t="s">
        <v>336</v>
      </c>
      <c r="AP178" s="76" t="s">
        <v>339</v>
      </c>
      <c r="AR178" s="75" t="s">
        <v>726</v>
      </c>
      <c r="AS178" s="160">
        <v>0</v>
      </c>
      <c r="AU178" s="229"/>
    </row>
    <row r="179" spans="1:47" s="109" customFormat="1" hidden="1">
      <c r="A179" s="4" t="s">
        <v>644</v>
      </c>
      <c r="B179" s="60"/>
      <c r="C179" s="60" t="s">
        <v>535</v>
      </c>
      <c r="D179" s="60" t="s">
        <v>536</v>
      </c>
      <c r="E179" s="60" t="s">
        <v>286</v>
      </c>
      <c r="F179" s="61">
        <f>F182</f>
        <v>0</v>
      </c>
      <c r="G179" s="151"/>
      <c r="H179" s="61">
        <f t="shared" si="110"/>
        <v>0</v>
      </c>
      <c r="I179" s="61">
        <f t="shared" si="111"/>
        <v>0</v>
      </c>
      <c r="J179" s="14">
        <f t="shared" si="112"/>
        <v>0</v>
      </c>
      <c r="K179" s="140">
        <v>2.1000000000000001E-4</v>
      </c>
      <c r="L179" s="61">
        <f t="shared" si="113"/>
        <v>0</v>
      </c>
      <c r="M179" s="62" t="s">
        <v>6</v>
      </c>
      <c r="N179" s="61">
        <f t="shared" si="114"/>
        <v>0</v>
      </c>
      <c r="Y179" s="81">
        <f t="shared" si="115"/>
        <v>0</v>
      </c>
      <c r="Z179" s="81">
        <f t="shared" si="116"/>
        <v>0</v>
      </c>
      <c r="AA179" s="81">
        <f t="shared" si="117"/>
        <v>0</v>
      </c>
      <c r="AC179" s="64">
        <v>15</v>
      </c>
      <c r="AD179" s="84">
        <f t="shared" si="92"/>
        <v>0</v>
      </c>
      <c r="AE179" s="84">
        <f t="shared" si="93"/>
        <v>0</v>
      </c>
      <c r="AL179" s="64">
        <f t="shared" si="118"/>
        <v>0</v>
      </c>
      <c r="AM179" s="64">
        <f t="shared" si="119"/>
        <v>0</v>
      </c>
      <c r="AN179" s="65" t="s">
        <v>322</v>
      </c>
      <c r="AO179" s="65" t="s">
        <v>336</v>
      </c>
      <c r="AP179" s="110" t="s">
        <v>339</v>
      </c>
      <c r="AR179" s="75" t="s">
        <v>726</v>
      </c>
      <c r="AS179" s="160">
        <v>2.1000000000000001E-4</v>
      </c>
      <c r="AU179" s="230"/>
    </row>
    <row r="180" spans="1:47" s="83" customFormat="1" hidden="1">
      <c r="A180" s="4" t="s">
        <v>645</v>
      </c>
      <c r="B180" s="80"/>
      <c r="C180" s="80" t="s">
        <v>590</v>
      </c>
      <c r="D180" s="80" t="s">
        <v>591</v>
      </c>
      <c r="E180" s="80" t="s">
        <v>284</v>
      </c>
      <c r="F180" s="81">
        <v>0</v>
      </c>
      <c r="G180" s="151"/>
      <c r="H180" s="81">
        <f t="shared" si="110"/>
        <v>0</v>
      </c>
      <c r="I180" s="81">
        <f>J180-H180</f>
        <v>0</v>
      </c>
      <c r="J180" s="14">
        <f t="shared" si="112"/>
        <v>0</v>
      </c>
      <c r="K180" s="135">
        <v>0</v>
      </c>
      <c r="L180" s="81">
        <f t="shared" si="113"/>
        <v>0</v>
      </c>
      <c r="M180" s="82" t="s">
        <v>6</v>
      </c>
      <c r="N180" s="81">
        <f t="shared" si="114"/>
        <v>0</v>
      </c>
      <c r="Y180" s="81">
        <f t="shared" si="115"/>
        <v>0</v>
      </c>
      <c r="Z180" s="81">
        <f t="shared" si="116"/>
        <v>0</v>
      </c>
      <c r="AA180" s="81">
        <f t="shared" si="117"/>
        <v>0</v>
      </c>
      <c r="AC180" s="84">
        <v>15</v>
      </c>
      <c r="AD180" s="84">
        <f t="shared" si="92"/>
        <v>0</v>
      </c>
      <c r="AE180" s="84">
        <f t="shared" si="93"/>
        <v>0</v>
      </c>
      <c r="AL180" s="84">
        <f t="shared" si="118"/>
        <v>0</v>
      </c>
      <c r="AM180" s="84">
        <f t="shared" si="119"/>
        <v>0</v>
      </c>
      <c r="AN180" s="85" t="s">
        <v>322</v>
      </c>
      <c r="AO180" s="85" t="s">
        <v>336</v>
      </c>
      <c r="AP180" s="86" t="s">
        <v>339</v>
      </c>
      <c r="AR180" s="75" t="s">
        <v>726</v>
      </c>
      <c r="AS180" s="160">
        <v>0</v>
      </c>
      <c r="AU180" s="228"/>
    </row>
    <row r="181" spans="1:47" hidden="1">
      <c r="A181" s="4" t="s">
        <v>646</v>
      </c>
      <c r="B181" s="5"/>
      <c r="C181" s="5" t="s">
        <v>464</v>
      </c>
      <c r="D181" s="5" t="s">
        <v>745</v>
      </c>
      <c r="E181" s="5" t="s">
        <v>284</v>
      </c>
      <c r="F181" s="15">
        <f>F176*1.1</f>
        <v>0</v>
      </c>
      <c r="G181" s="151"/>
      <c r="H181" s="15">
        <f t="shared" si="110"/>
        <v>0</v>
      </c>
      <c r="I181" s="15">
        <f t="shared" si="111"/>
        <v>0</v>
      </c>
      <c r="J181" s="14">
        <f t="shared" si="112"/>
        <v>0</v>
      </c>
      <c r="K181" s="137">
        <v>1.7999999999999999E-2</v>
      </c>
      <c r="L181" s="15">
        <f t="shared" si="113"/>
        <v>0</v>
      </c>
      <c r="M181" s="21" t="s">
        <v>302</v>
      </c>
      <c r="N181" s="15">
        <f t="shared" si="114"/>
        <v>0</v>
      </c>
      <c r="Y181" s="81">
        <f t="shared" si="115"/>
        <v>0</v>
      </c>
      <c r="Z181" s="81">
        <f t="shared" si="116"/>
        <v>0</v>
      </c>
      <c r="AA181" s="81">
        <f t="shared" si="117"/>
        <v>0</v>
      </c>
      <c r="AC181" s="24">
        <v>15</v>
      </c>
      <c r="AD181" s="84">
        <f t="shared" si="92"/>
        <v>0</v>
      </c>
      <c r="AE181" s="84">
        <f t="shared" si="93"/>
        <v>0</v>
      </c>
      <c r="AL181" s="24">
        <f t="shared" si="118"/>
        <v>0</v>
      </c>
      <c r="AM181" s="24">
        <f t="shared" si="119"/>
        <v>0</v>
      </c>
      <c r="AN181" s="25" t="s">
        <v>322</v>
      </c>
      <c r="AO181" s="25" t="s">
        <v>336</v>
      </c>
      <c r="AP181" s="19" t="s">
        <v>339</v>
      </c>
      <c r="AR181" s="75" t="s">
        <v>726</v>
      </c>
      <c r="AS181" s="161">
        <v>1.7999999999999999E-2</v>
      </c>
    </row>
    <row r="182" spans="1:47" s="109" customFormat="1" hidden="1">
      <c r="A182" s="4" t="s">
        <v>647</v>
      </c>
      <c r="B182" s="67"/>
      <c r="C182" s="67" t="s">
        <v>537</v>
      </c>
      <c r="D182" s="67" t="s">
        <v>538</v>
      </c>
      <c r="E182" s="67" t="s">
        <v>286</v>
      </c>
      <c r="F182" s="68">
        <v>0</v>
      </c>
      <c r="G182" s="151"/>
      <c r="H182" s="68">
        <f t="shared" si="110"/>
        <v>0</v>
      </c>
      <c r="I182" s="68">
        <f t="shared" si="111"/>
        <v>0</v>
      </c>
      <c r="J182" s="14">
        <f t="shared" si="112"/>
        <v>0</v>
      </c>
      <c r="K182" s="146">
        <v>2.0000000000000002E-5</v>
      </c>
      <c r="L182" s="68">
        <f t="shared" si="113"/>
        <v>0</v>
      </c>
      <c r="M182" s="69" t="s">
        <v>302</v>
      </c>
      <c r="N182" s="68">
        <f t="shared" si="114"/>
        <v>0</v>
      </c>
      <c r="Y182" s="81">
        <f t="shared" si="115"/>
        <v>0</v>
      </c>
      <c r="Z182" s="81">
        <f t="shared" si="116"/>
        <v>0</v>
      </c>
      <c r="AA182" s="81">
        <f t="shared" si="117"/>
        <v>0</v>
      </c>
      <c r="AC182" s="64">
        <v>15</v>
      </c>
      <c r="AD182" s="84">
        <f t="shared" si="92"/>
        <v>0</v>
      </c>
      <c r="AE182" s="84">
        <f t="shared" si="93"/>
        <v>0</v>
      </c>
      <c r="AL182" s="64">
        <f t="shared" si="118"/>
        <v>0</v>
      </c>
      <c r="AM182" s="64">
        <f t="shared" si="119"/>
        <v>0</v>
      </c>
      <c r="AN182" s="65" t="s">
        <v>322</v>
      </c>
      <c r="AO182" s="65" t="s">
        <v>336</v>
      </c>
      <c r="AP182" s="110" t="s">
        <v>339</v>
      </c>
      <c r="AR182" s="75" t="s">
        <v>726</v>
      </c>
      <c r="AS182" s="161">
        <v>2.0000000000000002E-5</v>
      </c>
      <c r="AU182" s="230"/>
    </row>
    <row r="183" spans="1:47" s="109" customFormat="1" hidden="1">
      <c r="A183" s="4" t="s">
        <v>648</v>
      </c>
      <c r="B183" s="60"/>
      <c r="C183" s="60" t="s">
        <v>539</v>
      </c>
      <c r="D183" s="60" t="s">
        <v>540</v>
      </c>
      <c r="E183" s="60" t="s">
        <v>284</v>
      </c>
      <c r="F183" s="61">
        <f>Výměry!P11</f>
        <v>0</v>
      </c>
      <c r="G183" s="151"/>
      <c r="H183" s="61">
        <f t="shared" si="110"/>
        <v>0</v>
      </c>
      <c r="I183" s="61">
        <f t="shared" si="111"/>
        <v>0</v>
      </c>
      <c r="J183" s="14">
        <f t="shared" si="112"/>
        <v>0</v>
      </c>
      <c r="K183" s="140">
        <v>3.6800000000000001E-3</v>
      </c>
      <c r="L183" s="61">
        <f t="shared" si="113"/>
        <v>0</v>
      </c>
      <c r="M183" s="62" t="s">
        <v>6</v>
      </c>
      <c r="N183" s="61">
        <f t="shared" si="114"/>
        <v>0</v>
      </c>
      <c r="Y183" s="81">
        <f t="shared" si="115"/>
        <v>0</v>
      </c>
      <c r="Z183" s="81">
        <f t="shared" si="116"/>
        <v>0</v>
      </c>
      <c r="AA183" s="81">
        <f t="shared" si="117"/>
        <v>0</v>
      </c>
      <c r="AC183" s="64">
        <v>15</v>
      </c>
      <c r="AD183" s="84">
        <f t="shared" si="92"/>
        <v>0</v>
      </c>
      <c r="AE183" s="84">
        <f t="shared" si="93"/>
        <v>0</v>
      </c>
      <c r="AL183" s="64">
        <f t="shared" si="118"/>
        <v>0</v>
      </c>
      <c r="AM183" s="64">
        <f t="shared" si="119"/>
        <v>0</v>
      </c>
      <c r="AN183" s="65" t="s">
        <v>322</v>
      </c>
      <c r="AO183" s="65" t="s">
        <v>336</v>
      </c>
      <c r="AP183" s="110" t="s">
        <v>339</v>
      </c>
      <c r="AR183" s="75" t="s">
        <v>726</v>
      </c>
      <c r="AS183" s="160">
        <v>3.6800000000000001E-3</v>
      </c>
      <c r="AU183" s="230"/>
    </row>
    <row r="184" spans="1:47" s="75" customFormat="1" hidden="1">
      <c r="A184" s="4" t="s">
        <v>649</v>
      </c>
      <c r="B184" s="4"/>
      <c r="C184" s="4" t="s">
        <v>148</v>
      </c>
      <c r="D184" s="4" t="s">
        <v>741</v>
      </c>
      <c r="E184" s="4" t="s">
        <v>286</v>
      </c>
      <c r="F184" s="14">
        <f>F179</f>
        <v>0</v>
      </c>
      <c r="G184" s="151"/>
      <c r="H184" s="14">
        <f t="shared" si="110"/>
        <v>0</v>
      </c>
      <c r="I184" s="14">
        <f t="shared" si="111"/>
        <v>0</v>
      </c>
      <c r="J184" s="14">
        <f t="shared" si="112"/>
        <v>0</v>
      </c>
      <c r="K184" s="136">
        <v>4.0000000000000003E-5</v>
      </c>
      <c r="L184" s="14">
        <f t="shared" si="113"/>
        <v>0</v>
      </c>
      <c r="M184" s="20" t="s">
        <v>6</v>
      </c>
      <c r="N184" s="14">
        <f t="shared" si="114"/>
        <v>0</v>
      </c>
      <c r="Y184" s="81">
        <f t="shared" si="115"/>
        <v>0</v>
      </c>
      <c r="Z184" s="81">
        <f t="shared" si="116"/>
        <v>0</v>
      </c>
      <c r="AA184" s="81">
        <f t="shared" si="117"/>
        <v>0</v>
      </c>
      <c r="AC184" s="24">
        <v>15</v>
      </c>
      <c r="AD184" s="84">
        <f t="shared" si="92"/>
        <v>0</v>
      </c>
      <c r="AE184" s="84">
        <f t="shared" si="93"/>
        <v>0</v>
      </c>
      <c r="AL184" s="24">
        <f t="shared" si="118"/>
        <v>0</v>
      </c>
      <c r="AM184" s="24">
        <f t="shared" si="119"/>
        <v>0</v>
      </c>
      <c r="AN184" s="25" t="s">
        <v>322</v>
      </c>
      <c r="AO184" s="25" t="s">
        <v>336</v>
      </c>
      <c r="AP184" s="76" t="s">
        <v>339</v>
      </c>
      <c r="AR184" s="75" t="s">
        <v>726</v>
      </c>
      <c r="AS184" s="160">
        <v>4.0000000000000003E-5</v>
      </c>
      <c r="AU184" s="229"/>
    </row>
    <row r="185" spans="1:47" s="75" customFormat="1" hidden="1">
      <c r="A185" s="4" t="s">
        <v>650</v>
      </c>
      <c r="B185" s="4"/>
      <c r="C185" s="4" t="s">
        <v>465</v>
      </c>
      <c r="D185" s="4" t="s">
        <v>466</v>
      </c>
      <c r="E185" s="4" t="s">
        <v>284</v>
      </c>
      <c r="F185" s="14">
        <f>F176</f>
        <v>0</v>
      </c>
      <c r="G185" s="151"/>
      <c r="H185" s="14">
        <f t="shared" si="110"/>
        <v>0</v>
      </c>
      <c r="I185" s="14">
        <f t="shared" si="111"/>
        <v>0</v>
      </c>
      <c r="J185" s="14">
        <f t="shared" si="112"/>
        <v>0</v>
      </c>
      <c r="K185" s="136">
        <v>0</v>
      </c>
      <c r="L185" s="14">
        <f t="shared" si="113"/>
        <v>0</v>
      </c>
      <c r="M185" s="20" t="s">
        <v>6</v>
      </c>
      <c r="N185" s="14">
        <f t="shared" si="114"/>
        <v>0</v>
      </c>
      <c r="Y185" s="81">
        <f t="shared" si="115"/>
        <v>0</v>
      </c>
      <c r="Z185" s="81">
        <f t="shared" si="116"/>
        <v>0</v>
      </c>
      <c r="AA185" s="81">
        <f t="shared" si="117"/>
        <v>0</v>
      </c>
      <c r="AC185" s="24">
        <v>15</v>
      </c>
      <c r="AD185" s="84">
        <f t="shared" si="92"/>
        <v>0</v>
      </c>
      <c r="AE185" s="84">
        <f t="shared" si="93"/>
        <v>0</v>
      </c>
      <c r="AL185" s="24">
        <f t="shared" si="118"/>
        <v>0</v>
      </c>
      <c r="AM185" s="24">
        <f t="shared" si="119"/>
        <v>0</v>
      </c>
      <c r="AN185" s="25" t="s">
        <v>322</v>
      </c>
      <c r="AO185" s="25" t="s">
        <v>336</v>
      </c>
      <c r="AP185" s="76" t="s">
        <v>339</v>
      </c>
      <c r="AR185" s="75" t="s">
        <v>726</v>
      </c>
      <c r="AS185" s="160">
        <v>0</v>
      </c>
      <c r="AU185" s="229"/>
    </row>
    <row r="186" spans="1:47" s="75" customFormat="1" hidden="1">
      <c r="A186" s="4" t="s">
        <v>651</v>
      </c>
      <c r="B186" s="4"/>
      <c r="C186" s="4" t="s">
        <v>467</v>
      </c>
      <c r="D186" s="4" t="s">
        <v>843</v>
      </c>
      <c r="E186" s="4" t="s">
        <v>284</v>
      </c>
      <c r="F186" s="14">
        <f>F176</f>
        <v>0</v>
      </c>
      <c r="G186" s="151"/>
      <c r="H186" s="14">
        <f t="shared" si="110"/>
        <v>0</v>
      </c>
      <c r="I186" s="14">
        <f t="shared" si="111"/>
        <v>0</v>
      </c>
      <c r="J186" s="14">
        <f t="shared" si="112"/>
        <v>0</v>
      </c>
      <c r="K186" s="136">
        <v>0</v>
      </c>
      <c r="L186" s="14">
        <f t="shared" si="113"/>
        <v>0</v>
      </c>
      <c r="M186" s="20" t="s">
        <v>6</v>
      </c>
      <c r="N186" s="14">
        <f t="shared" si="114"/>
        <v>0</v>
      </c>
      <c r="Y186" s="81">
        <f t="shared" si="115"/>
        <v>0</v>
      </c>
      <c r="Z186" s="81">
        <f t="shared" si="116"/>
        <v>0</v>
      </c>
      <c r="AA186" s="81">
        <f t="shared" si="117"/>
        <v>0</v>
      </c>
      <c r="AC186" s="24">
        <v>15</v>
      </c>
      <c r="AD186" s="84">
        <f t="shared" si="92"/>
        <v>0</v>
      </c>
      <c r="AE186" s="84">
        <f t="shared" si="93"/>
        <v>0</v>
      </c>
      <c r="AL186" s="24">
        <f t="shared" si="118"/>
        <v>0</v>
      </c>
      <c r="AM186" s="24">
        <f t="shared" si="119"/>
        <v>0</v>
      </c>
      <c r="AN186" s="25" t="s">
        <v>322</v>
      </c>
      <c r="AO186" s="25" t="s">
        <v>336</v>
      </c>
      <c r="AP186" s="76" t="s">
        <v>339</v>
      </c>
      <c r="AR186" s="75" t="s">
        <v>726</v>
      </c>
      <c r="AS186" s="160">
        <v>0</v>
      </c>
      <c r="AU186" s="229"/>
    </row>
    <row r="187" spans="1:47" hidden="1">
      <c r="A187" s="4" t="s">
        <v>652</v>
      </c>
      <c r="B187" s="4"/>
      <c r="C187" s="4" t="s">
        <v>813</v>
      </c>
      <c r="D187" s="4" t="s">
        <v>844</v>
      </c>
      <c r="E187" s="4" t="s">
        <v>284</v>
      </c>
      <c r="F187" s="14">
        <v>0</v>
      </c>
      <c r="G187" s="151"/>
      <c r="H187" s="14">
        <f t="shared" si="110"/>
        <v>0</v>
      </c>
      <c r="I187" s="14">
        <f t="shared" ref="I187:I192" si="120">J187-H187</f>
        <v>0</v>
      </c>
      <c r="J187" s="14">
        <f t="shared" si="112"/>
        <v>0</v>
      </c>
      <c r="K187" s="136">
        <v>0</v>
      </c>
      <c r="L187" s="14">
        <f t="shared" si="113"/>
        <v>0</v>
      </c>
      <c r="M187" s="20" t="s">
        <v>6</v>
      </c>
      <c r="N187" s="14">
        <f t="shared" si="114"/>
        <v>0</v>
      </c>
      <c r="Y187" s="81">
        <f t="shared" si="115"/>
        <v>0</v>
      </c>
      <c r="Z187" s="81">
        <f t="shared" si="116"/>
        <v>0</v>
      </c>
      <c r="AA187" s="81">
        <f t="shared" si="117"/>
        <v>0</v>
      </c>
      <c r="AC187" s="24">
        <v>15</v>
      </c>
      <c r="AD187" s="84">
        <f t="shared" si="92"/>
        <v>0</v>
      </c>
      <c r="AE187" s="84">
        <f t="shared" si="93"/>
        <v>0</v>
      </c>
      <c r="AL187" s="24">
        <f t="shared" si="118"/>
        <v>0</v>
      </c>
      <c r="AM187" s="24">
        <f t="shared" si="119"/>
        <v>0</v>
      </c>
      <c r="AN187" s="25" t="s">
        <v>322</v>
      </c>
      <c r="AO187" s="25" t="s">
        <v>336</v>
      </c>
      <c r="AP187" s="19" t="s">
        <v>339</v>
      </c>
      <c r="AS187" s="160">
        <v>0</v>
      </c>
    </row>
    <row r="188" spans="1:47" hidden="1">
      <c r="A188" s="4" t="s">
        <v>653</v>
      </c>
      <c r="B188" s="4"/>
      <c r="C188" s="4" t="s">
        <v>814</v>
      </c>
      <c r="D188" s="4" t="s">
        <v>247</v>
      </c>
      <c r="E188" s="4" t="s">
        <v>284</v>
      </c>
      <c r="F188" s="14">
        <f>F176</f>
        <v>0</v>
      </c>
      <c r="G188" s="151"/>
      <c r="H188" s="14">
        <f t="shared" si="110"/>
        <v>0</v>
      </c>
      <c r="I188" s="14">
        <f t="shared" si="120"/>
        <v>0</v>
      </c>
      <c r="J188" s="14">
        <f t="shared" si="112"/>
        <v>0</v>
      </c>
      <c r="K188" s="136">
        <v>1.1999999999999999E-3</v>
      </c>
      <c r="L188" s="14">
        <f t="shared" si="113"/>
        <v>0</v>
      </c>
      <c r="M188" s="20" t="s">
        <v>6</v>
      </c>
      <c r="N188" s="14">
        <f t="shared" si="114"/>
        <v>0</v>
      </c>
      <c r="Y188" s="81">
        <f t="shared" si="115"/>
        <v>0</v>
      </c>
      <c r="Z188" s="81">
        <f t="shared" si="116"/>
        <v>0</v>
      </c>
      <c r="AA188" s="81">
        <f t="shared" si="117"/>
        <v>0</v>
      </c>
      <c r="AC188" s="24">
        <v>15</v>
      </c>
      <c r="AD188" s="84">
        <f t="shared" si="92"/>
        <v>0</v>
      </c>
      <c r="AE188" s="84">
        <f t="shared" si="93"/>
        <v>0</v>
      </c>
      <c r="AL188" s="24">
        <f t="shared" si="118"/>
        <v>0</v>
      </c>
      <c r="AM188" s="24">
        <f t="shared" si="119"/>
        <v>0</v>
      </c>
      <c r="AN188" s="25" t="s">
        <v>322</v>
      </c>
      <c r="AO188" s="25" t="s">
        <v>336</v>
      </c>
      <c r="AP188" s="19" t="s">
        <v>339</v>
      </c>
      <c r="AS188" s="160">
        <v>1.1999999999999999E-3</v>
      </c>
    </row>
    <row r="189" spans="1:47" hidden="1">
      <c r="A189" s="4" t="s">
        <v>654</v>
      </c>
      <c r="B189" s="4"/>
      <c r="C189" s="4" t="s">
        <v>815</v>
      </c>
      <c r="D189" s="4" t="s">
        <v>816</v>
      </c>
      <c r="E189" s="4" t="s">
        <v>284</v>
      </c>
      <c r="F189" s="14">
        <v>0</v>
      </c>
      <c r="G189" s="151"/>
      <c r="H189" s="14">
        <f t="shared" si="110"/>
        <v>0</v>
      </c>
      <c r="I189" s="14">
        <f t="shared" si="120"/>
        <v>0</v>
      </c>
      <c r="J189" s="14">
        <f t="shared" si="112"/>
        <v>0</v>
      </c>
      <c r="K189" s="136">
        <v>8.0000000000000004E-4</v>
      </c>
      <c r="L189" s="14">
        <f t="shared" si="113"/>
        <v>0</v>
      </c>
      <c r="M189" s="20" t="s">
        <v>6</v>
      </c>
      <c r="N189" s="14">
        <f t="shared" si="114"/>
        <v>0</v>
      </c>
      <c r="Y189" s="81">
        <f t="shared" si="115"/>
        <v>0</v>
      </c>
      <c r="Z189" s="81">
        <f t="shared" si="116"/>
        <v>0</v>
      </c>
      <c r="AA189" s="81">
        <f t="shared" si="117"/>
        <v>0</v>
      </c>
      <c r="AC189" s="24">
        <v>15</v>
      </c>
      <c r="AD189" s="84">
        <f t="shared" si="92"/>
        <v>0</v>
      </c>
      <c r="AE189" s="84">
        <f t="shared" si="93"/>
        <v>0</v>
      </c>
      <c r="AL189" s="24">
        <f t="shared" si="118"/>
        <v>0</v>
      </c>
      <c r="AM189" s="24">
        <f t="shared" si="119"/>
        <v>0</v>
      </c>
      <c r="AN189" s="25" t="s">
        <v>322</v>
      </c>
      <c r="AO189" s="25" t="s">
        <v>336</v>
      </c>
      <c r="AP189" s="19" t="s">
        <v>339</v>
      </c>
      <c r="AS189" s="160">
        <v>8.0000000000000004E-4</v>
      </c>
    </row>
    <row r="190" spans="1:47" hidden="1">
      <c r="A190" s="4" t="s">
        <v>655</v>
      </c>
      <c r="B190" s="4"/>
      <c r="C190" s="4" t="s">
        <v>858</v>
      </c>
      <c r="D190" s="154" t="s">
        <v>859</v>
      </c>
      <c r="E190" s="4" t="s">
        <v>284</v>
      </c>
      <c r="F190" s="14">
        <v>0</v>
      </c>
      <c r="G190" s="151"/>
      <c r="H190" s="14">
        <f t="shared" si="110"/>
        <v>0</v>
      </c>
      <c r="I190" s="14">
        <f t="shared" si="120"/>
        <v>0</v>
      </c>
      <c r="J190" s="14">
        <f>F190*G190</f>
        <v>0</v>
      </c>
      <c r="K190" s="136">
        <v>6.2500000000000001E-4</v>
      </c>
      <c r="L190" s="14">
        <f>F190*K190</f>
        <v>0</v>
      </c>
      <c r="M190" s="20" t="s">
        <v>6</v>
      </c>
      <c r="N190" s="14">
        <f t="shared" si="114"/>
        <v>0</v>
      </c>
      <c r="Y190" s="81">
        <f t="shared" si="115"/>
        <v>0</v>
      </c>
      <c r="Z190" s="81">
        <f t="shared" si="116"/>
        <v>0</v>
      </c>
      <c r="AA190" s="81">
        <f t="shared" si="117"/>
        <v>0</v>
      </c>
      <c r="AC190" s="24">
        <v>15</v>
      </c>
      <c r="AD190" s="84">
        <f>G190*0.81143570536829</f>
        <v>0</v>
      </c>
      <c r="AE190" s="84">
        <f>G190*(1-0.81143570536829)</f>
        <v>0</v>
      </c>
      <c r="AL190" s="24">
        <f t="shared" si="118"/>
        <v>0</v>
      </c>
      <c r="AM190" s="24">
        <f t="shared" si="119"/>
        <v>0</v>
      </c>
      <c r="AN190" s="25" t="s">
        <v>322</v>
      </c>
      <c r="AO190" s="25" t="s">
        <v>336</v>
      </c>
      <c r="AP190" s="19" t="s">
        <v>339</v>
      </c>
      <c r="AS190" s="160">
        <v>8.0000000000000004E-4</v>
      </c>
    </row>
    <row r="191" spans="1:47" s="75" customFormat="1" hidden="1">
      <c r="A191" s="4" t="s">
        <v>656</v>
      </c>
      <c r="B191" s="4"/>
      <c r="C191" s="4" t="s">
        <v>148</v>
      </c>
      <c r="D191" s="4" t="s">
        <v>967</v>
      </c>
      <c r="E191" s="4" t="s">
        <v>286</v>
      </c>
      <c r="F191" s="14">
        <f>F182</f>
        <v>0</v>
      </c>
      <c r="G191" s="151"/>
      <c r="H191" s="14">
        <f t="shared" si="110"/>
        <v>0</v>
      </c>
      <c r="I191" s="14">
        <f t="shared" si="120"/>
        <v>0</v>
      </c>
      <c r="J191" s="14">
        <f t="shared" si="112"/>
        <v>0</v>
      </c>
      <c r="K191" s="136">
        <v>4.0000000000000003E-5</v>
      </c>
      <c r="L191" s="14">
        <f t="shared" si="113"/>
        <v>0</v>
      </c>
      <c r="M191" s="20" t="s">
        <v>6</v>
      </c>
      <c r="N191" s="14">
        <f t="shared" si="114"/>
        <v>0</v>
      </c>
      <c r="Y191" s="81">
        <f t="shared" si="115"/>
        <v>0</v>
      </c>
      <c r="Z191" s="81">
        <f t="shared" si="116"/>
        <v>0</v>
      </c>
      <c r="AA191" s="81">
        <f t="shared" si="117"/>
        <v>0</v>
      </c>
      <c r="AC191" s="24">
        <v>15</v>
      </c>
      <c r="AD191" s="84">
        <f t="shared" si="92"/>
        <v>0</v>
      </c>
      <c r="AE191" s="84">
        <f t="shared" si="93"/>
        <v>0</v>
      </c>
      <c r="AL191" s="24">
        <f t="shared" si="118"/>
        <v>0</v>
      </c>
      <c r="AM191" s="24">
        <f t="shared" si="119"/>
        <v>0</v>
      </c>
      <c r="AN191" s="25" t="s">
        <v>322</v>
      </c>
      <c r="AO191" s="25" t="s">
        <v>336</v>
      </c>
      <c r="AP191" s="76" t="s">
        <v>339</v>
      </c>
      <c r="AR191" s="75" t="s">
        <v>726</v>
      </c>
      <c r="AS191" s="160">
        <v>4.0000000000000003E-5</v>
      </c>
      <c r="AU191" s="229"/>
    </row>
    <row r="192" spans="1:47" s="104" customFormat="1" hidden="1">
      <c r="A192" s="4" t="s">
        <v>657</v>
      </c>
      <c r="B192" s="80"/>
      <c r="C192" s="80" t="s">
        <v>609</v>
      </c>
      <c r="D192" s="4" t="s">
        <v>637</v>
      </c>
      <c r="E192" s="80" t="s">
        <v>498</v>
      </c>
      <c r="F192" s="14">
        <v>6.01</v>
      </c>
      <c r="G192" s="14"/>
      <c r="H192" s="81">
        <f t="shared" si="110"/>
        <v>0</v>
      </c>
      <c r="I192" s="81">
        <f t="shared" si="120"/>
        <v>0</v>
      </c>
      <c r="J192" s="14">
        <f t="shared" si="112"/>
        <v>0</v>
      </c>
      <c r="K192" s="135"/>
      <c r="L192" s="81"/>
      <c r="M192" s="82" t="s">
        <v>10</v>
      </c>
      <c r="N192" s="81">
        <f>IF(M192="5",J192,0)</f>
        <v>0</v>
      </c>
      <c r="Y192" s="81">
        <f t="shared" si="115"/>
        <v>0</v>
      </c>
      <c r="Z192" s="81">
        <f t="shared" si="116"/>
        <v>0</v>
      </c>
      <c r="AA192" s="81">
        <f t="shared" si="117"/>
        <v>0</v>
      </c>
      <c r="AC192" s="84">
        <v>15</v>
      </c>
      <c r="AD192" s="84">
        <f t="shared" si="92"/>
        <v>0</v>
      </c>
      <c r="AE192" s="84">
        <f t="shared" si="93"/>
        <v>0</v>
      </c>
      <c r="AL192" s="84">
        <f t="shared" si="118"/>
        <v>0</v>
      </c>
      <c r="AM192" s="84">
        <f t="shared" si="119"/>
        <v>0</v>
      </c>
      <c r="AN192" s="85" t="s">
        <v>610</v>
      </c>
      <c r="AO192" s="85" t="s">
        <v>338</v>
      </c>
      <c r="AP192" s="105" t="s">
        <v>339</v>
      </c>
      <c r="AR192" s="75" t="s">
        <v>726</v>
      </c>
      <c r="AS192" s="160"/>
      <c r="AU192" s="227"/>
    </row>
    <row r="193" spans="1:47" hidden="1">
      <c r="A193" s="6"/>
      <c r="B193" s="12"/>
      <c r="C193" s="12" t="s">
        <v>149</v>
      </c>
      <c r="D193" s="71" t="s">
        <v>233</v>
      </c>
      <c r="E193" s="72"/>
      <c r="F193" s="72"/>
      <c r="G193" s="72"/>
      <c r="H193" s="27">
        <f>SUM(H194:H195)</f>
        <v>0</v>
      </c>
      <c r="I193" s="27">
        <f>SUM(I194:I195)</f>
        <v>0</v>
      </c>
      <c r="J193" s="27">
        <f>H193+I193</f>
        <v>0</v>
      </c>
      <c r="K193" s="139"/>
      <c r="L193" s="27">
        <f>SUM(L194:L195)</f>
        <v>0</v>
      </c>
      <c r="O193" s="27">
        <f>IF(P193="PR",J193,SUM(N194:N195))</f>
        <v>0</v>
      </c>
      <c r="P193" s="19" t="s">
        <v>306</v>
      </c>
      <c r="Q193" s="27">
        <f>IF(P193="HS",H193,0)</f>
        <v>0</v>
      </c>
      <c r="R193" s="27">
        <f>IF(P193="HS",I193-O193,0)</f>
        <v>0</v>
      </c>
      <c r="S193" s="27">
        <f>IF(P193="PS",H193,0)</f>
        <v>0</v>
      </c>
      <c r="T193" s="27">
        <f>IF(P193="PS",I193-O193,0)</f>
        <v>0</v>
      </c>
      <c r="U193" s="27">
        <f>IF(P193="MP",H193,0)</f>
        <v>0</v>
      </c>
      <c r="V193" s="27">
        <f>IF(P193="MP",I193-O193,0)</f>
        <v>0</v>
      </c>
      <c r="W193" s="27">
        <f>IF(P193="OM",H193,0)</f>
        <v>0</v>
      </c>
      <c r="X193" s="19"/>
      <c r="Y193" s="81"/>
      <c r="Z193" s="81"/>
      <c r="AA193" s="81"/>
      <c r="AD193" s="84"/>
      <c r="AE193" s="84"/>
      <c r="AH193" s="27">
        <f>SUM(Y194:Y195)</f>
        <v>0</v>
      </c>
      <c r="AI193" s="27">
        <f>SUM(Z194:Z195)</f>
        <v>0</v>
      </c>
      <c r="AJ193" s="27">
        <f>SUM(AA194:AA195)</f>
        <v>0</v>
      </c>
      <c r="AS193" s="162"/>
    </row>
    <row r="194" spans="1:47" s="75" customFormat="1" hidden="1">
      <c r="A194" s="4" t="s">
        <v>658</v>
      </c>
      <c r="B194" s="4"/>
      <c r="C194" s="4" t="s">
        <v>151</v>
      </c>
      <c r="D194" s="4" t="s">
        <v>235</v>
      </c>
      <c r="E194" s="4" t="s">
        <v>286</v>
      </c>
      <c r="F194" s="14">
        <v>0</v>
      </c>
      <c r="G194" s="14"/>
      <c r="H194" s="14">
        <f>F194*AD194</f>
        <v>0</v>
      </c>
      <c r="I194" s="14">
        <f>J194-H194</f>
        <v>0</v>
      </c>
      <c r="J194" s="14">
        <f>F194*G194</f>
        <v>0</v>
      </c>
      <c r="K194" s="136">
        <v>1E-3</v>
      </c>
      <c r="L194" s="14">
        <f>F194*K194</f>
        <v>0</v>
      </c>
      <c r="M194" s="20" t="s">
        <v>6</v>
      </c>
      <c r="N194" s="14">
        <f>IF(M194="5",I194,0)</f>
        <v>0</v>
      </c>
      <c r="Y194" s="81">
        <f>IF(AC194=0,J194,0)</f>
        <v>0</v>
      </c>
      <c r="Z194" s="81">
        <f>IF(AC194=15,J194,0)</f>
        <v>0</v>
      </c>
      <c r="AA194" s="81">
        <f>IF(AC194=21,J194,0)</f>
        <v>0</v>
      </c>
      <c r="AC194" s="24">
        <v>15</v>
      </c>
      <c r="AD194" s="84">
        <f t="shared" si="92"/>
        <v>0</v>
      </c>
      <c r="AE194" s="84">
        <f t="shared" si="93"/>
        <v>0</v>
      </c>
      <c r="AL194" s="24">
        <f>F194*AD194</f>
        <v>0</v>
      </c>
      <c r="AM194" s="24">
        <f>F194*AE194</f>
        <v>0</v>
      </c>
      <c r="AN194" s="25" t="s">
        <v>323</v>
      </c>
      <c r="AO194" s="25" t="s">
        <v>336</v>
      </c>
      <c r="AP194" s="76" t="s">
        <v>339</v>
      </c>
      <c r="AR194" s="75" t="s">
        <v>726</v>
      </c>
      <c r="AS194" s="160">
        <v>1E-3</v>
      </c>
      <c r="AU194" s="229"/>
    </row>
    <row r="195" spans="1:47" s="75" customFormat="1" hidden="1">
      <c r="A195" s="4" t="s">
        <v>658</v>
      </c>
      <c r="B195" s="4"/>
      <c r="C195" s="4" t="s">
        <v>463</v>
      </c>
      <c r="D195" s="4" t="s">
        <v>480</v>
      </c>
      <c r="E195" s="4" t="s">
        <v>284</v>
      </c>
      <c r="F195" s="14">
        <v>0</v>
      </c>
      <c r="G195" s="14"/>
      <c r="H195" s="14">
        <f>F195*AD195</f>
        <v>0</v>
      </c>
      <c r="I195" s="14">
        <f>J195-H195</f>
        <v>0</v>
      </c>
      <c r="J195" s="14">
        <f>F195*G195</f>
        <v>0</v>
      </c>
      <c r="K195" s="153">
        <v>9.4999999999999998E-3</v>
      </c>
      <c r="L195" s="14">
        <f>F195*K195</f>
        <v>0</v>
      </c>
      <c r="M195" s="20" t="s">
        <v>6</v>
      </c>
      <c r="N195" s="14">
        <f>IF(M195="5",I195,0)</f>
        <v>0</v>
      </c>
      <c r="Y195" s="81">
        <f>IF(AC195=0,J195,0)</f>
        <v>0</v>
      </c>
      <c r="Z195" s="81">
        <f>IF(AC195=15,J195,0)</f>
        <v>0</v>
      </c>
      <c r="AA195" s="81">
        <f>IF(AC195=21,J195,0)</f>
        <v>0</v>
      </c>
      <c r="AC195" s="24">
        <v>15</v>
      </c>
      <c r="AD195" s="84">
        <f t="shared" si="92"/>
        <v>0</v>
      </c>
      <c r="AE195" s="84">
        <f t="shared" si="93"/>
        <v>0</v>
      </c>
      <c r="AL195" s="24">
        <f>F195*AD195</f>
        <v>0</v>
      </c>
      <c r="AM195" s="24">
        <f>F195*AE195</f>
        <v>0</v>
      </c>
      <c r="AN195" s="25" t="s">
        <v>323</v>
      </c>
      <c r="AO195" s="25" t="s">
        <v>336</v>
      </c>
      <c r="AP195" s="76" t="s">
        <v>339</v>
      </c>
      <c r="AR195" s="75" t="s">
        <v>726</v>
      </c>
      <c r="AS195" s="160">
        <v>0.02</v>
      </c>
      <c r="AU195" s="229"/>
    </row>
    <row r="196" spans="1:47" hidden="1">
      <c r="A196" s="6"/>
      <c r="B196" s="12"/>
      <c r="C196" s="12" t="s">
        <v>152</v>
      </c>
      <c r="D196" s="71" t="s">
        <v>236</v>
      </c>
      <c r="E196" s="72"/>
      <c r="F196" s="72"/>
      <c r="G196" s="72"/>
      <c r="H196" s="27">
        <f>SUM(H197:H210)</f>
        <v>0</v>
      </c>
      <c r="I196" s="27">
        <f>SUM(I197:I210)</f>
        <v>0</v>
      </c>
      <c r="J196" s="27">
        <f>H196+I196</f>
        <v>0</v>
      </c>
      <c r="K196" s="139"/>
      <c r="L196" s="27">
        <f>SUM(L197:L209)</f>
        <v>0</v>
      </c>
      <c r="O196" s="27">
        <f>IF(P196="PR",J196,SUM(N197:N210))</f>
        <v>0</v>
      </c>
      <c r="P196" s="19" t="s">
        <v>306</v>
      </c>
      <c r="Q196" s="27">
        <f>IF(P196="HS",H196,0)</f>
        <v>0</v>
      </c>
      <c r="R196" s="27">
        <f>IF(P196="HS",I196-O196,0)</f>
        <v>0</v>
      </c>
      <c r="S196" s="27">
        <f>IF(P196="PS",H196,0)</f>
        <v>0</v>
      </c>
      <c r="T196" s="27">
        <f>IF(P196="PS",I196-O196,0)</f>
        <v>0</v>
      </c>
      <c r="U196" s="27">
        <f>IF(P196="MP",H196,0)</f>
        <v>0</v>
      </c>
      <c r="V196" s="27">
        <f>IF(P196="MP",I196-O196,0)</f>
        <v>0</v>
      </c>
      <c r="W196" s="27">
        <f>IF(P196="OM",H196,0)</f>
        <v>0</v>
      </c>
      <c r="X196" s="19"/>
      <c r="Y196" s="81"/>
      <c r="Z196" s="81"/>
      <c r="AA196" s="81"/>
      <c r="AD196" s="84"/>
      <c r="AE196" s="84"/>
      <c r="AH196" s="27">
        <f>SUM(Y197:Y210)</f>
        <v>0</v>
      </c>
      <c r="AI196" s="27">
        <f>SUM(Z197:Z210)</f>
        <v>0</v>
      </c>
      <c r="AJ196" s="27">
        <f>SUM(AA197:AA210)</f>
        <v>0</v>
      </c>
      <c r="AS196" s="162"/>
    </row>
    <row r="197" spans="1:47" s="83" customFormat="1" hidden="1">
      <c r="A197" s="4" t="s">
        <v>659</v>
      </c>
      <c r="B197" s="80"/>
      <c r="C197" s="4" t="s">
        <v>592</v>
      </c>
      <c r="D197" s="80" t="s">
        <v>232</v>
      </c>
      <c r="E197" s="80" t="s">
        <v>284</v>
      </c>
      <c r="F197" s="81">
        <v>0</v>
      </c>
      <c r="G197" s="14"/>
      <c r="H197" s="81">
        <f t="shared" ref="H197:H210" si="121">F197*AD197</f>
        <v>0</v>
      </c>
      <c r="I197" s="81">
        <f>J197-H197</f>
        <v>0</v>
      </c>
      <c r="J197" s="81">
        <f t="shared" ref="J197:J210" si="122">F197*G197</f>
        <v>0</v>
      </c>
      <c r="K197" s="135">
        <v>0</v>
      </c>
      <c r="L197" s="81">
        <f t="shared" ref="L197:L209" si="123">F197*K197</f>
        <v>0</v>
      </c>
      <c r="M197" s="82" t="s">
        <v>6</v>
      </c>
      <c r="N197" s="81">
        <f t="shared" ref="N197:N209" si="124">IF(M197="5",I197,0)</f>
        <v>0</v>
      </c>
      <c r="Y197" s="81">
        <f t="shared" ref="Y197:Y210" si="125">IF(AC197=0,J197,0)</f>
        <v>0</v>
      </c>
      <c r="Z197" s="81">
        <f t="shared" ref="Z197:Z210" si="126">IF(AC197=15,J197,0)</f>
        <v>0</v>
      </c>
      <c r="AA197" s="81">
        <f t="shared" ref="AA197:AA210" si="127">IF(AC197=21,J197,0)</f>
        <v>0</v>
      </c>
      <c r="AC197" s="84">
        <v>15</v>
      </c>
      <c r="AD197" s="84">
        <f t="shared" si="92"/>
        <v>0</v>
      </c>
      <c r="AE197" s="84">
        <f t="shared" si="93"/>
        <v>0</v>
      </c>
      <c r="AL197" s="84">
        <f t="shared" ref="AL197:AL210" si="128">F197*AD197</f>
        <v>0</v>
      </c>
      <c r="AM197" s="84">
        <f t="shared" ref="AM197:AM210" si="129">F197*AE197</f>
        <v>0</v>
      </c>
      <c r="AN197" s="85" t="s">
        <v>324</v>
      </c>
      <c r="AO197" s="85" t="s">
        <v>336</v>
      </c>
      <c r="AP197" s="86" t="s">
        <v>339</v>
      </c>
      <c r="AR197" t="s">
        <v>726</v>
      </c>
      <c r="AS197" s="160">
        <v>0</v>
      </c>
      <c r="AU197" s="228"/>
    </row>
    <row r="198" spans="1:47" s="83" customFormat="1" hidden="1">
      <c r="A198" s="4" t="s">
        <v>660</v>
      </c>
      <c r="B198" s="80"/>
      <c r="C198" s="4" t="s">
        <v>862</v>
      </c>
      <c r="D198" s="154" t="s">
        <v>864</v>
      </c>
      <c r="E198" s="4" t="s">
        <v>863</v>
      </c>
      <c r="F198" s="81">
        <f>F197*0.25</f>
        <v>0</v>
      </c>
      <c r="G198" s="14"/>
      <c r="H198" s="81">
        <f t="shared" si="121"/>
        <v>0</v>
      </c>
      <c r="I198" s="81">
        <f>J198-H198</f>
        <v>0</v>
      </c>
      <c r="J198" s="81">
        <f>F198*G198</f>
        <v>0</v>
      </c>
      <c r="K198" s="135">
        <v>1E-3</v>
      </c>
      <c r="L198" s="81">
        <f>F198*K198</f>
        <v>0</v>
      </c>
      <c r="M198" s="82" t="s">
        <v>6</v>
      </c>
      <c r="N198" s="81">
        <f t="shared" si="124"/>
        <v>0</v>
      </c>
      <c r="Y198" s="81">
        <f t="shared" si="125"/>
        <v>0</v>
      </c>
      <c r="Z198" s="81">
        <f t="shared" si="126"/>
        <v>0</v>
      </c>
      <c r="AA198" s="81">
        <f t="shared" si="127"/>
        <v>0</v>
      </c>
      <c r="AC198" s="84">
        <v>15</v>
      </c>
      <c r="AD198" s="84">
        <f>G198*0.81143570536829</f>
        <v>0</v>
      </c>
      <c r="AE198" s="84">
        <f>G198*(1-0.81143570536829)</f>
        <v>0</v>
      </c>
      <c r="AL198" s="84">
        <f t="shared" si="128"/>
        <v>0</v>
      </c>
      <c r="AM198" s="84">
        <f t="shared" si="129"/>
        <v>0</v>
      </c>
      <c r="AN198" s="85" t="s">
        <v>324</v>
      </c>
      <c r="AO198" s="85" t="s">
        <v>336</v>
      </c>
      <c r="AP198" s="86" t="s">
        <v>339</v>
      </c>
      <c r="AR198" t="s">
        <v>726</v>
      </c>
      <c r="AS198" s="160">
        <v>0</v>
      </c>
      <c r="AU198" s="228"/>
    </row>
    <row r="199" spans="1:47" s="96" customFormat="1" hidden="1">
      <c r="A199" s="4" t="s">
        <v>661</v>
      </c>
      <c r="B199" s="93"/>
      <c r="C199" s="93" t="s">
        <v>695</v>
      </c>
      <c r="D199" s="118" t="s">
        <v>783</v>
      </c>
      <c r="E199" s="93" t="s">
        <v>284</v>
      </c>
      <c r="F199" s="94">
        <v>0</v>
      </c>
      <c r="G199" s="14"/>
      <c r="H199" s="94">
        <f t="shared" si="121"/>
        <v>0</v>
      </c>
      <c r="I199" s="94">
        <f>J199-H199</f>
        <v>0</v>
      </c>
      <c r="J199" s="81">
        <f t="shared" si="122"/>
        <v>0</v>
      </c>
      <c r="K199" s="142">
        <v>1E-3</v>
      </c>
      <c r="L199" s="94">
        <f t="shared" si="123"/>
        <v>0</v>
      </c>
      <c r="M199" s="95" t="s">
        <v>6</v>
      </c>
      <c r="N199" s="94">
        <f t="shared" si="124"/>
        <v>0</v>
      </c>
      <c r="Y199" s="81">
        <f t="shared" si="125"/>
        <v>0</v>
      </c>
      <c r="Z199" s="81">
        <f t="shared" si="126"/>
        <v>0</v>
      </c>
      <c r="AA199" s="81">
        <f t="shared" si="127"/>
        <v>0</v>
      </c>
      <c r="AC199" s="97">
        <v>15</v>
      </c>
      <c r="AD199" s="84">
        <f t="shared" si="92"/>
        <v>0</v>
      </c>
      <c r="AE199" s="84">
        <f t="shared" si="93"/>
        <v>0</v>
      </c>
      <c r="AL199" s="97">
        <f t="shared" si="128"/>
        <v>0</v>
      </c>
      <c r="AM199" s="97">
        <f t="shared" si="129"/>
        <v>0</v>
      </c>
      <c r="AN199" s="98" t="s">
        <v>324</v>
      </c>
      <c r="AO199" s="98" t="s">
        <v>336</v>
      </c>
      <c r="AP199" s="99" t="s">
        <v>339</v>
      </c>
      <c r="AS199" s="160">
        <v>1E-3</v>
      </c>
      <c r="AU199" s="232"/>
    </row>
    <row r="200" spans="1:47" hidden="1">
      <c r="A200" s="4" t="s">
        <v>662</v>
      </c>
      <c r="B200" s="4"/>
      <c r="C200" s="4" t="s">
        <v>153</v>
      </c>
      <c r="D200" s="4" t="s">
        <v>237</v>
      </c>
      <c r="E200" s="4" t="s">
        <v>286</v>
      </c>
      <c r="F200" s="14">
        <v>0</v>
      </c>
      <c r="G200" s="14"/>
      <c r="H200" s="14">
        <f t="shared" si="121"/>
        <v>0</v>
      </c>
      <c r="I200" s="14">
        <f t="shared" ref="I200:I208" si="130">J200-H200</f>
        <v>0</v>
      </c>
      <c r="J200" s="81">
        <f t="shared" si="122"/>
        <v>0</v>
      </c>
      <c r="K200" s="136">
        <v>1E-4</v>
      </c>
      <c r="L200" s="14">
        <f t="shared" si="123"/>
        <v>0</v>
      </c>
      <c r="M200" s="20" t="s">
        <v>6</v>
      </c>
      <c r="N200" s="14">
        <f t="shared" si="124"/>
        <v>0</v>
      </c>
      <c r="Y200" s="81">
        <f t="shared" si="125"/>
        <v>0</v>
      </c>
      <c r="Z200" s="81">
        <f t="shared" si="126"/>
        <v>0</v>
      </c>
      <c r="AA200" s="81">
        <f t="shared" si="127"/>
        <v>0</v>
      </c>
      <c r="AC200" s="24">
        <v>15</v>
      </c>
      <c r="AD200" s="84">
        <f t="shared" si="92"/>
        <v>0</v>
      </c>
      <c r="AE200" s="84">
        <f t="shared" si="93"/>
        <v>0</v>
      </c>
      <c r="AL200" s="24">
        <f t="shared" si="128"/>
        <v>0</v>
      </c>
      <c r="AM200" s="24">
        <f t="shared" si="129"/>
        <v>0</v>
      </c>
      <c r="AN200" s="25" t="s">
        <v>324</v>
      </c>
      <c r="AO200" s="25" t="s">
        <v>336</v>
      </c>
      <c r="AP200" s="19" t="s">
        <v>339</v>
      </c>
      <c r="AR200" t="s">
        <v>726</v>
      </c>
      <c r="AS200" s="160">
        <v>1E-4</v>
      </c>
    </row>
    <row r="201" spans="1:47" hidden="1">
      <c r="A201" s="4" t="s">
        <v>663</v>
      </c>
      <c r="B201" s="4"/>
      <c r="C201" s="4" t="s">
        <v>154</v>
      </c>
      <c r="D201" s="4" t="s">
        <v>238</v>
      </c>
      <c r="E201" s="4" t="s">
        <v>286</v>
      </c>
      <c r="F201" s="14">
        <f>F200</f>
        <v>0</v>
      </c>
      <c r="G201" s="14"/>
      <c r="H201" s="14">
        <f t="shared" si="121"/>
        <v>0</v>
      </c>
      <c r="I201" s="14">
        <f t="shared" si="130"/>
        <v>0</v>
      </c>
      <c r="J201" s="81">
        <f t="shared" si="122"/>
        <v>0</v>
      </c>
      <c r="K201" s="136">
        <v>3.0000000000000001E-5</v>
      </c>
      <c r="L201" s="14">
        <f t="shared" si="123"/>
        <v>0</v>
      </c>
      <c r="M201" s="20" t="s">
        <v>6</v>
      </c>
      <c r="N201" s="14">
        <f t="shared" si="124"/>
        <v>0</v>
      </c>
      <c r="Y201" s="81">
        <f t="shared" si="125"/>
        <v>0</v>
      </c>
      <c r="Z201" s="81">
        <f t="shared" si="126"/>
        <v>0</v>
      </c>
      <c r="AA201" s="81">
        <f t="shared" si="127"/>
        <v>0</v>
      </c>
      <c r="AC201" s="24">
        <v>15</v>
      </c>
      <c r="AD201" s="84">
        <f t="shared" si="92"/>
        <v>0</v>
      </c>
      <c r="AE201" s="84">
        <f t="shared" si="93"/>
        <v>0</v>
      </c>
      <c r="AL201" s="24">
        <f t="shared" si="128"/>
        <v>0</v>
      </c>
      <c r="AM201" s="24">
        <f t="shared" si="129"/>
        <v>0</v>
      </c>
      <c r="AN201" s="25" t="s">
        <v>324</v>
      </c>
      <c r="AO201" s="25" t="s">
        <v>336</v>
      </c>
      <c r="AP201" s="19" t="s">
        <v>339</v>
      </c>
      <c r="AR201" t="s">
        <v>726</v>
      </c>
      <c r="AS201" s="160">
        <v>3.0000000000000001E-5</v>
      </c>
    </row>
    <row r="202" spans="1:47" hidden="1">
      <c r="A202" s="4" t="s">
        <v>664</v>
      </c>
      <c r="B202" s="4"/>
      <c r="C202" s="4" t="s">
        <v>440</v>
      </c>
      <c r="D202" s="4" t="s">
        <v>441</v>
      </c>
      <c r="E202" s="4" t="s">
        <v>284</v>
      </c>
      <c r="F202" s="14">
        <f>F197</f>
        <v>0</v>
      </c>
      <c r="G202" s="14"/>
      <c r="H202" s="14">
        <f t="shared" si="121"/>
        <v>0</v>
      </c>
      <c r="I202" s="14">
        <f>J202-H202</f>
        <v>0</v>
      </c>
      <c r="J202" s="81">
        <f t="shared" si="122"/>
        <v>0</v>
      </c>
      <c r="K202" s="136">
        <v>2.6400000000000002E-4</v>
      </c>
      <c r="L202" s="14">
        <f t="shared" si="123"/>
        <v>0</v>
      </c>
      <c r="M202" s="20" t="s">
        <v>6</v>
      </c>
      <c r="N202" s="14">
        <f t="shared" si="124"/>
        <v>0</v>
      </c>
      <c r="Y202" s="81">
        <f t="shared" si="125"/>
        <v>0</v>
      </c>
      <c r="Z202" s="81">
        <f t="shared" si="126"/>
        <v>0</v>
      </c>
      <c r="AA202" s="81">
        <f t="shared" si="127"/>
        <v>0</v>
      </c>
      <c r="AC202" s="24">
        <v>15</v>
      </c>
      <c r="AD202" s="84">
        <f t="shared" si="92"/>
        <v>0</v>
      </c>
      <c r="AE202" s="84">
        <f t="shared" si="93"/>
        <v>0</v>
      </c>
      <c r="AL202" s="24">
        <f t="shared" si="128"/>
        <v>0</v>
      </c>
      <c r="AM202" s="24">
        <f t="shared" si="129"/>
        <v>0</v>
      </c>
      <c r="AN202" s="25" t="s">
        <v>324</v>
      </c>
      <c r="AO202" s="25" t="s">
        <v>336</v>
      </c>
      <c r="AP202" s="19" t="s">
        <v>339</v>
      </c>
      <c r="AR202" t="s">
        <v>726</v>
      </c>
      <c r="AS202" s="160">
        <v>2.6400000000000002E-4</v>
      </c>
    </row>
    <row r="203" spans="1:47" hidden="1">
      <c r="A203" s="4" t="s">
        <v>665</v>
      </c>
      <c r="B203" s="5"/>
      <c r="C203" s="5" t="s">
        <v>155</v>
      </c>
      <c r="D203" s="5" t="s">
        <v>239</v>
      </c>
      <c r="E203" s="5" t="s">
        <v>286</v>
      </c>
      <c r="F203" s="15">
        <f>F200*1.1</f>
        <v>0</v>
      </c>
      <c r="G203" s="15"/>
      <c r="H203" s="15">
        <f t="shared" si="121"/>
        <v>0</v>
      </c>
      <c r="I203" s="15">
        <f t="shared" si="130"/>
        <v>0</v>
      </c>
      <c r="J203" s="81">
        <f t="shared" si="122"/>
        <v>0</v>
      </c>
      <c r="K203" s="137">
        <v>1.2E-4</v>
      </c>
      <c r="L203" s="15">
        <f t="shared" si="123"/>
        <v>0</v>
      </c>
      <c r="M203" s="21" t="s">
        <v>302</v>
      </c>
      <c r="N203" s="15">
        <f t="shared" si="124"/>
        <v>0</v>
      </c>
      <c r="Y203" s="81">
        <f t="shared" si="125"/>
        <v>0</v>
      </c>
      <c r="Z203" s="81">
        <f t="shared" si="126"/>
        <v>0</v>
      </c>
      <c r="AA203" s="81">
        <f t="shared" si="127"/>
        <v>0</v>
      </c>
      <c r="AC203" s="24">
        <v>15</v>
      </c>
      <c r="AD203" s="84">
        <f t="shared" si="92"/>
        <v>0</v>
      </c>
      <c r="AE203" s="84">
        <f t="shared" si="93"/>
        <v>0</v>
      </c>
      <c r="AL203" s="24">
        <f t="shared" si="128"/>
        <v>0</v>
      </c>
      <c r="AM203" s="24">
        <f t="shared" si="129"/>
        <v>0</v>
      </c>
      <c r="AN203" s="25" t="s">
        <v>324</v>
      </c>
      <c r="AO203" s="25" t="s">
        <v>336</v>
      </c>
      <c r="AP203" s="19" t="s">
        <v>339</v>
      </c>
      <c r="AR203" t="s">
        <v>726</v>
      </c>
      <c r="AS203" s="161">
        <v>1.2E-4</v>
      </c>
    </row>
    <row r="204" spans="1:47" hidden="1">
      <c r="A204" s="4" t="s">
        <v>666</v>
      </c>
      <c r="B204" s="4"/>
      <c r="C204" s="4" t="s">
        <v>156</v>
      </c>
      <c r="D204" s="4" t="s">
        <v>240</v>
      </c>
      <c r="E204" s="4" t="s">
        <v>284</v>
      </c>
      <c r="F204" s="14">
        <f>F197</f>
        <v>0</v>
      </c>
      <c r="G204" s="14"/>
      <c r="H204" s="14">
        <f t="shared" si="121"/>
        <v>0</v>
      </c>
      <c r="I204" s="14">
        <f t="shared" si="130"/>
        <v>0</v>
      </c>
      <c r="J204" s="81">
        <f t="shared" si="122"/>
        <v>0</v>
      </c>
      <c r="K204" s="136">
        <v>1E-3</v>
      </c>
      <c r="L204" s="14">
        <f t="shared" si="123"/>
        <v>0</v>
      </c>
      <c r="M204" s="20" t="s">
        <v>6</v>
      </c>
      <c r="N204" s="14">
        <f t="shared" si="124"/>
        <v>0</v>
      </c>
      <c r="Y204" s="81">
        <f t="shared" si="125"/>
        <v>0</v>
      </c>
      <c r="Z204" s="81">
        <f t="shared" si="126"/>
        <v>0</v>
      </c>
      <c r="AA204" s="81">
        <f t="shared" si="127"/>
        <v>0</v>
      </c>
      <c r="AC204" s="24">
        <v>15</v>
      </c>
      <c r="AD204" s="84">
        <f t="shared" si="92"/>
        <v>0</v>
      </c>
      <c r="AE204" s="84">
        <f t="shared" si="93"/>
        <v>0</v>
      </c>
      <c r="AL204" s="24">
        <f t="shared" si="128"/>
        <v>0</v>
      </c>
      <c r="AM204" s="24">
        <f t="shared" si="129"/>
        <v>0</v>
      </c>
      <c r="AN204" s="25" t="s">
        <v>324</v>
      </c>
      <c r="AO204" s="25" t="s">
        <v>336</v>
      </c>
      <c r="AP204" s="19" t="s">
        <v>339</v>
      </c>
      <c r="AR204" t="s">
        <v>726</v>
      </c>
      <c r="AS204" s="160">
        <v>1E-3</v>
      </c>
    </row>
    <row r="205" spans="1:47" hidden="1">
      <c r="A205" s="4" t="s">
        <v>667</v>
      </c>
      <c r="B205" s="4"/>
      <c r="C205" s="4" t="s">
        <v>550</v>
      </c>
      <c r="D205" s="4" t="s">
        <v>551</v>
      </c>
      <c r="E205" s="4" t="s">
        <v>284</v>
      </c>
      <c r="F205" s="14">
        <f>F197</f>
        <v>0</v>
      </c>
      <c r="G205" s="151"/>
      <c r="H205" s="14">
        <f t="shared" si="121"/>
        <v>0</v>
      </c>
      <c r="I205" s="14">
        <f>J205-H205</f>
        <v>0</v>
      </c>
      <c r="J205" s="81">
        <f t="shared" si="122"/>
        <v>0</v>
      </c>
      <c r="K205" s="153">
        <v>1E-4</v>
      </c>
      <c r="L205" s="14">
        <f t="shared" si="123"/>
        <v>0</v>
      </c>
      <c r="M205" s="20" t="s">
        <v>6</v>
      </c>
      <c r="N205" s="14">
        <f t="shared" si="124"/>
        <v>0</v>
      </c>
      <c r="Y205" s="81">
        <f t="shared" si="125"/>
        <v>0</v>
      </c>
      <c r="Z205" s="81">
        <f t="shared" si="126"/>
        <v>0</v>
      </c>
      <c r="AA205" s="81">
        <f t="shared" si="127"/>
        <v>0</v>
      </c>
      <c r="AC205" s="24">
        <v>15</v>
      </c>
      <c r="AD205" s="84">
        <f t="shared" si="92"/>
        <v>0</v>
      </c>
      <c r="AE205" s="84">
        <f t="shared" si="93"/>
        <v>0</v>
      </c>
      <c r="AL205" s="24">
        <f t="shared" si="128"/>
        <v>0</v>
      </c>
      <c r="AM205" s="24">
        <f t="shared" si="129"/>
        <v>0</v>
      </c>
      <c r="AN205" s="25" t="s">
        <v>324</v>
      </c>
      <c r="AO205" s="25" t="s">
        <v>336</v>
      </c>
      <c r="AP205" s="19" t="s">
        <v>339</v>
      </c>
      <c r="AR205" t="s">
        <v>726</v>
      </c>
      <c r="AS205" s="160">
        <v>1E-3</v>
      </c>
    </row>
    <row r="206" spans="1:47" hidden="1">
      <c r="A206" s="4" t="s">
        <v>668</v>
      </c>
      <c r="B206" s="4"/>
      <c r="C206" s="4" t="s">
        <v>157</v>
      </c>
      <c r="D206" s="4" t="s">
        <v>241</v>
      </c>
      <c r="E206" s="4" t="s">
        <v>284</v>
      </c>
      <c r="F206" s="14">
        <f>F197</f>
        <v>0</v>
      </c>
      <c r="G206" s="151"/>
      <c r="H206" s="14">
        <f t="shared" si="121"/>
        <v>0</v>
      </c>
      <c r="I206" s="14">
        <f t="shared" si="130"/>
        <v>0</v>
      </c>
      <c r="J206" s="81">
        <f t="shared" si="122"/>
        <v>0</v>
      </c>
      <c r="K206" s="136">
        <v>4.0000000000000002E-4</v>
      </c>
      <c r="L206" s="14">
        <f t="shared" si="123"/>
        <v>0</v>
      </c>
      <c r="M206" s="20" t="s">
        <v>6</v>
      </c>
      <c r="N206" s="14">
        <f t="shared" si="124"/>
        <v>0</v>
      </c>
      <c r="Y206" s="81">
        <f t="shared" si="125"/>
        <v>0</v>
      </c>
      <c r="Z206" s="81">
        <f t="shared" si="126"/>
        <v>0</v>
      </c>
      <c r="AA206" s="81">
        <f t="shared" si="127"/>
        <v>0</v>
      </c>
      <c r="AC206" s="24">
        <v>15</v>
      </c>
      <c r="AD206" s="84">
        <f t="shared" si="92"/>
        <v>0</v>
      </c>
      <c r="AE206" s="84">
        <f t="shared" si="93"/>
        <v>0</v>
      </c>
      <c r="AL206" s="24">
        <f t="shared" si="128"/>
        <v>0</v>
      </c>
      <c r="AM206" s="24">
        <f t="shared" si="129"/>
        <v>0</v>
      </c>
      <c r="AN206" s="25" t="s">
        <v>324</v>
      </c>
      <c r="AO206" s="25" t="s">
        <v>336</v>
      </c>
      <c r="AP206" s="19" t="s">
        <v>339</v>
      </c>
      <c r="AR206" t="s">
        <v>726</v>
      </c>
      <c r="AS206" s="160">
        <v>4.0000000000000002E-4</v>
      </c>
    </row>
    <row r="207" spans="1:47" hidden="1">
      <c r="A207" s="4" t="s">
        <v>669</v>
      </c>
      <c r="B207" s="4"/>
      <c r="C207" s="4" t="s">
        <v>158</v>
      </c>
      <c r="D207" s="4" t="s">
        <v>242</v>
      </c>
      <c r="E207" s="4" t="s">
        <v>286</v>
      </c>
      <c r="F207" s="14">
        <v>0</v>
      </c>
      <c r="G207" s="151"/>
      <c r="H207" s="14">
        <f t="shared" si="121"/>
        <v>0</v>
      </c>
      <c r="I207" s="14">
        <f t="shared" si="130"/>
        <v>0</v>
      </c>
      <c r="J207" s="81">
        <f t="shared" si="122"/>
        <v>0</v>
      </c>
      <c r="K207" s="136">
        <v>4.0000000000000003E-5</v>
      </c>
      <c r="L207" s="14">
        <f t="shared" si="123"/>
        <v>0</v>
      </c>
      <c r="M207" s="20" t="s">
        <v>6</v>
      </c>
      <c r="N207" s="14">
        <f t="shared" si="124"/>
        <v>0</v>
      </c>
      <c r="Y207" s="81">
        <f t="shared" si="125"/>
        <v>0</v>
      </c>
      <c r="Z207" s="81">
        <f t="shared" si="126"/>
        <v>0</v>
      </c>
      <c r="AA207" s="81">
        <f t="shared" si="127"/>
        <v>0</v>
      </c>
      <c r="AC207" s="24">
        <v>15</v>
      </c>
      <c r="AD207" s="84">
        <f t="shared" si="92"/>
        <v>0</v>
      </c>
      <c r="AE207" s="84">
        <f t="shared" si="93"/>
        <v>0</v>
      </c>
      <c r="AL207" s="24">
        <f t="shared" si="128"/>
        <v>0</v>
      </c>
      <c r="AM207" s="24">
        <f t="shared" si="129"/>
        <v>0</v>
      </c>
      <c r="AN207" s="25" t="s">
        <v>324</v>
      </c>
      <c r="AO207" s="25" t="s">
        <v>336</v>
      </c>
      <c r="AP207" s="19" t="s">
        <v>339</v>
      </c>
      <c r="AR207" t="s">
        <v>726</v>
      </c>
      <c r="AS207" s="160">
        <v>4.0000000000000003E-5</v>
      </c>
    </row>
    <row r="208" spans="1:47" hidden="1">
      <c r="A208" s="4" t="s">
        <v>670</v>
      </c>
      <c r="B208" s="5"/>
      <c r="C208" s="5" t="s">
        <v>159</v>
      </c>
      <c r="D208" s="5" t="s">
        <v>926</v>
      </c>
      <c r="E208" s="5" t="s">
        <v>284</v>
      </c>
      <c r="F208" s="15">
        <f>F197*1.15</f>
        <v>0</v>
      </c>
      <c r="G208" s="151"/>
      <c r="H208" s="15">
        <f t="shared" si="121"/>
        <v>0</v>
      </c>
      <c r="I208" s="15">
        <f t="shared" si="130"/>
        <v>0</v>
      </c>
      <c r="J208" s="81">
        <f t="shared" si="122"/>
        <v>0</v>
      </c>
      <c r="K208" s="137">
        <v>3.1199999999999999E-3</v>
      </c>
      <c r="L208" s="15">
        <f t="shared" si="123"/>
        <v>0</v>
      </c>
      <c r="M208" s="21" t="s">
        <v>302</v>
      </c>
      <c r="N208" s="15">
        <f t="shared" si="124"/>
        <v>0</v>
      </c>
      <c r="Y208" s="81">
        <f t="shared" si="125"/>
        <v>0</v>
      </c>
      <c r="Z208" s="81">
        <f t="shared" si="126"/>
        <v>0</v>
      </c>
      <c r="AA208" s="81">
        <f t="shared" si="127"/>
        <v>0</v>
      </c>
      <c r="AC208" s="24">
        <v>15</v>
      </c>
      <c r="AD208" s="84">
        <f t="shared" si="92"/>
        <v>0</v>
      </c>
      <c r="AE208" s="84">
        <f t="shared" si="93"/>
        <v>0</v>
      </c>
      <c r="AL208" s="24">
        <f t="shared" si="128"/>
        <v>0</v>
      </c>
      <c r="AM208" s="24">
        <f t="shared" si="129"/>
        <v>0</v>
      </c>
      <c r="AN208" s="25" t="s">
        <v>324</v>
      </c>
      <c r="AO208" s="25" t="s">
        <v>336</v>
      </c>
      <c r="AP208" s="19" t="s">
        <v>339</v>
      </c>
      <c r="AR208" t="s">
        <v>726</v>
      </c>
      <c r="AS208" s="161">
        <v>3.1199999999999999E-3</v>
      </c>
    </row>
    <row r="209" spans="1:47" s="83" customFormat="1" hidden="1">
      <c r="A209" s="4" t="s">
        <v>671</v>
      </c>
      <c r="B209" s="80"/>
      <c r="C209" s="80" t="s">
        <v>593</v>
      </c>
      <c r="D209" s="4" t="s">
        <v>594</v>
      </c>
      <c r="E209" s="80" t="s">
        <v>284</v>
      </c>
      <c r="F209" s="81">
        <f>F197</f>
        <v>0</v>
      </c>
      <c r="G209" s="151"/>
      <c r="H209" s="81">
        <f t="shared" si="121"/>
        <v>0</v>
      </c>
      <c r="I209" s="81">
        <f>J209-H209</f>
        <v>0</v>
      </c>
      <c r="J209" s="81">
        <f t="shared" si="122"/>
        <v>0</v>
      </c>
      <c r="K209" s="135">
        <v>2.2000000000000001E-3</v>
      </c>
      <c r="L209" s="81">
        <f t="shared" si="123"/>
        <v>0</v>
      </c>
      <c r="M209" s="82" t="s">
        <v>6</v>
      </c>
      <c r="N209" s="81">
        <f t="shared" si="124"/>
        <v>0</v>
      </c>
      <c r="Y209" s="81">
        <f t="shared" si="125"/>
        <v>0</v>
      </c>
      <c r="Z209" s="81">
        <f t="shared" si="126"/>
        <v>0</v>
      </c>
      <c r="AA209" s="81">
        <f t="shared" si="127"/>
        <v>0</v>
      </c>
      <c r="AC209" s="84">
        <v>15</v>
      </c>
      <c r="AD209" s="84">
        <f t="shared" si="92"/>
        <v>0</v>
      </c>
      <c r="AE209" s="84">
        <f t="shared" si="93"/>
        <v>0</v>
      </c>
      <c r="AL209" s="84">
        <f t="shared" si="128"/>
        <v>0</v>
      </c>
      <c r="AM209" s="84">
        <f t="shared" si="129"/>
        <v>0</v>
      </c>
      <c r="AN209" s="85" t="s">
        <v>595</v>
      </c>
      <c r="AO209" s="85" t="s">
        <v>336</v>
      </c>
      <c r="AP209" s="86" t="s">
        <v>339</v>
      </c>
      <c r="AR209" t="s">
        <v>726</v>
      </c>
      <c r="AS209" s="160">
        <v>2.2000000000000001E-3</v>
      </c>
      <c r="AU209" s="228"/>
    </row>
    <row r="210" spans="1:47" s="83" customFormat="1" hidden="1">
      <c r="A210" s="4" t="s">
        <v>672</v>
      </c>
      <c r="B210" s="80"/>
      <c r="C210" s="4" t="s">
        <v>636</v>
      </c>
      <c r="D210" s="80" t="s">
        <v>611</v>
      </c>
      <c r="E210" s="4" t="s">
        <v>498</v>
      </c>
      <c r="F210" s="81">
        <v>4.5</v>
      </c>
      <c r="G210" s="151"/>
      <c r="H210" s="81">
        <f t="shared" si="121"/>
        <v>0</v>
      </c>
      <c r="I210" s="81">
        <f>J210-H210</f>
        <v>0</v>
      </c>
      <c r="J210" s="81">
        <f t="shared" si="122"/>
        <v>0</v>
      </c>
      <c r="K210" s="135"/>
      <c r="L210" s="81"/>
      <c r="M210" s="82" t="s">
        <v>10</v>
      </c>
      <c r="N210" s="81">
        <f>IF(M210="5",J210,0)</f>
        <v>0</v>
      </c>
      <c r="Y210" s="81">
        <f t="shared" si="125"/>
        <v>0</v>
      </c>
      <c r="Z210" s="81">
        <f t="shared" si="126"/>
        <v>0</v>
      </c>
      <c r="AA210" s="81">
        <f t="shared" si="127"/>
        <v>0</v>
      </c>
      <c r="AC210" s="84">
        <v>15</v>
      </c>
      <c r="AD210" s="84">
        <f t="shared" si="92"/>
        <v>0</v>
      </c>
      <c r="AE210" s="84">
        <f t="shared" si="93"/>
        <v>0</v>
      </c>
      <c r="AL210" s="84">
        <f t="shared" si="128"/>
        <v>0</v>
      </c>
      <c r="AM210" s="84">
        <f t="shared" si="129"/>
        <v>0</v>
      </c>
      <c r="AN210" s="85" t="s">
        <v>612</v>
      </c>
      <c r="AO210" s="85" t="s">
        <v>338</v>
      </c>
      <c r="AP210" s="86" t="s">
        <v>339</v>
      </c>
      <c r="AR210" t="s">
        <v>726</v>
      </c>
      <c r="AS210" s="160"/>
      <c r="AU210" s="228"/>
    </row>
    <row r="211" spans="1:47" hidden="1">
      <c r="A211" s="6"/>
      <c r="B211" s="12"/>
      <c r="C211" s="12" t="s">
        <v>160</v>
      </c>
      <c r="D211" s="71" t="s">
        <v>243</v>
      </c>
      <c r="E211" s="72"/>
      <c r="F211" s="72">
        <v>0</v>
      </c>
      <c r="G211" s="72"/>
      <c r="H211" s="27">
        <f>SUM(H212:H223)</f>
        <v>0</v>
      </c>
      <c r="I211" s="27">
        <f>SUM(I212:I223)</f>
        <v>0</v>
      </c>
      <c r="J211" s="27">
        <f>H211+I211</f>
        <v>0</v>
      </c>
      <c r="K211" s="139"/>
      <c r="L211" s="27">
        <f>SUM(L212:L222)</f>
        <v>0</v>
      </c>
      <c r="O211" s="27">
        <f>IF(P211="PR",J211,SUM(N212:N223))</f>
        <v>0</v>
      </c>
      <c r="P211" s="19" t="s">
        <v>306</v>
      </c>
      <c r="Q211" s="27">
        <f>IF(P211="HS",H211,0)</f>
        <v>0</v>
      </c>
      <c r="R211" s="27">
        <f>IF(P211="HS",I211-O211,0)</f>
        <v>0</v>
      </c>
      <c r="S211" s="27">
        <f>IF(P211="PS",H211,0)</f>
        <v>0</v>
      </c>
      <c r="T211" s="27">
        <f>IF(P211="PS",I211-O211,0)</f>
        <v>0</v>
      </c>
      <c r="U211" s="27">
        <f>IF(P211="MP",H211,0)</f>
        <v>0</v>
      </c>
      <c r="V211" s="27">
        <f>IF(P211="MP",I211-O211,0)</f>
        <v>0</v>
      </c>
      <c r="W211" s="27">
        <f>IF(P211="OM",H211,0)</f>
        <v>0</v>
      </c>
      <c r="X211" s="19"/>
      <c r="Y211" s="81"/>
      <c r="Z211" s="81"/>
      <c r="AA211" s="81"/>
      <c r="AD211" s="84"/>
      <c r="AE211" s="84"/>
      <c r="AH211" s="27">
        <f>SUM(Y212:Y223)</f>
        <v>0</v>
      </c>
      <c r="AI211" s="27">
        <f>SUM(Z212:Z223)</f>
        <v>0</v>
      </c>
      <c r="AJ211" s="27">
        <f>SUM(AA212:AA223)</f>
        <v>0</v>
      </c>
      <c r="AS211" s="162"/>
    </row>
    <row r="212" spans="1:47" hidden="1">
      <c r="A212" s="4" t="s">
        <v>673</v>
      </c>
      <c r="B212" s="4"/>
      <c r="C212" s="4" t="s">
        <v>161</v>
      </c>
      <c r="D212" s="4" t="s">
        <v>244</v>
      </c>
      <c r="E212" s="4" t="s">
        <v>284</v>
      </c>
      <c r="F212" s="14">
        <f>F267</f>
        <v>0</v>
      </c>
      <c r="G212" s="151"/>
      <c r="H212" s="14">
        <f t="shared" ref="H212:H223" si="131">F212*AD212</f>
        <v>0</v>
      </c>
      <c r="I212" s="14">
        <f t="shared" ref="I212:I220" si="132">J212-H212</f>
        <v>0</v>
      </c>
      <c r="J212" s="14">
        <f t="shared" ref="J212:J223" si="133">F212*G212</f>
        <v>0</v>
      </c>
      <c r="K212" s="136">
        <v>1.83E-3</v>
      </c>
      <c r="L212" s="14">
        <f t="shared" ref="L212:L222" si="134">F212*K212</f>
        <v>0</v>
      </c>
      <c r="M212" s="20" t="s">
        <v>6</v>
      </c>
      <c r="N212" s="14">
        <f t="shared" ref="N212:N222" si="135">IF(M212="5",I212,0)</f>
        <v>0</v>
      </c>
      <c r="Y212" s="81">
        <f t="shared" ref="Y212:Y223" si="136">IF(AC212=0,J212,0)</f>
        <v>0</v>
      </c>
      <c r="Z212" s="81">
        <f t="shared" ref="Z212:Z223" si="137">IF(AC212=15,J212,0)</f>
        <v>0</v>
      </c>
      <c r="AA212" s="81">
        <f t="shared" ref="AA212:AA223" si="138">IF(AC212=21,J212,0)</f>
        <v>0</v>
      </c>
      <c r="AC212" s="24">
        <v>15</v>
      </c>
      <c r="AD212" s="84">
        <f t="shared" si="92"/>
        <v>0</v>
      </c>
      <c r="AE212" s="84">
        <f t="shared" si="93"/>
        <v>0</v>
      </c>
      <c r="AL212" s="24">
        <f t="shared" ref="AL212:AL223" si="139">F212*AD212</f>
        <v>0</v>
      </c>
      <c r="AM212" s="24">
        <f t="shared" ref="AM212:AM223" si="140">F212*AE212</f>
        <v>0</v>
      </c>
      <c r="AN212" s="25" t="s">
        <v>325</v>
      </c>
      <c r="AO212" s="25" t="s">
        <v>337</v>
      </c>
      <c r="AP212" s="19" t="s">
        <v>339</v>
      </c>
      <c r="AR212" t="s">
        <v>726</v>
      </c>
      <c r="AS212" s="160">
        <v>1.83E-3</v>
      </c>
    </row>
    <row r="213" spans="1:47" s="109" customFormat="1" hidden="1">
      <c r="A213" s="4" t="s">
        <v>674</v>
      </c>
      <c r="B213" s="60"/>
      <c r="C213" s="60" t="s">
        <v>544</v>
      </c>
      <c r="D213" s="60" t="s">
        <v>545</v>
      </c>
      <c r="E213" s="60" t="s">
        <v>284</v>
      </c>
      <c r="F213" s="14">
        <f>F212+Výměry!D68</f>
        <v>0</v>
      </c>
      <c r="G213" s="151"/>
      <c r="H213" s="61">
        <f t="shared" si="131"/>
        <v>0</v>
      </c>
      <c r="I213" s="61">
        <f t="shared" si="132"/>
        <v>0</v>
      </c>
      <c r="J213" s="14">
        <f t="shared" si="133"/>
        <v>0</v>
      </c>
      <c r="K213" s="140">
        <v>0</v>
      </c>
      <c r="L213" s="61">
        <f t="shared" si="134"/>
        <v>0</v>
      </c>
      <c r="M213" s="62" t="s">
        <v>6</v>
      </c>
      <c r="N213" s="61">
        <f t="shared" si="135"/>
        <v>0</v>
      </c>
      <c r="Y213" s="81">
        <f t="shared" si="136"/>
        <v>0</v>
      </c>
      <c r="Z213" s="81">
        <f t="shared" si="137"/>
        <v>0</v>
      </c>
      <c r="AA213" s="81">
        <f t="shared" si="138"/>
        <v>0</v>
      </c>
      <c r="AC213" s="64">
        <v>15</v>
      </c>
      <c r="AD213" s="84">
        <f t="shared" si="92"/>
        <v>0</v>
      </c>
      <c r="AE213" s="84">
        <f t="shared" si="93"/>
        <v>0</v>
      </c>
      <c r="AL213" s="64">
        <f t="shared" si="139"/>
        <v>0</v>
      </c>
      <c r="AM213" s="64">
        <f t="shared" si="140"/>
        <v>0</v>
      </c>
      <c r="AN213" s="65" t="s">
        <v>325</v>
      </c>
      <c r="AO213" s="65" t="s">
        <v>337</v>
      </c>
      <c r="AP213" s="110" t="s">
        <v>339</v>
      </c>
      <c r="AR213" s="75" t="s">
        <v>726</v>
      </c>
      <c r="AS213" s="160">
        <v>0</v>
      </c>
      <c r="AU213" s="230"/>
    </row>
    <row r="214" spans="1:47" hidden="1">
      <c r="A214" s="4" t="s">
        <v>675</v>
      </c>
      <c r="B214" s="4"/>
      <c r="C214" s="4" t="s">
        <v>162</v>
      </c>
      <c r="D214" s="4" t="s">
        <v>245</v>
      </c>
      <c r="E214" s="4" t="s">
        <v>284</v>
      </c>
      <c r="F214" s="14">
        <f>F212</f>
        <v>0</v>
      </c>
      <c r="G214" s="151"/>
      <c r="H214" s="14">
        <f t="shared" si="131"/>
        <v>0</v>
      </c>
      <c r="I214" s="14">
        <f t="shared" si="132"/>
        <v>0</v>
      </c>
      <c r="J214" s="14">
        <f t="shared" si="133"/>
        <v>0</v>
      </c>
      <c r="K214" s="136">
        <v>2.1000000000000001E-4</v>
      </c>
      <c r="L214" s="14">
        <f t="shared" si="134"/>
        <v>0</v>
      </c>
      <c r="M214" s="20" t="s">
        <v>6</v>
      </c>
      <c r="N214" s="14">
        <f t="shared" si="135"/>
        <v>0</v>
      </c>
      <c r="Y214" s="81">
        <f t="shared" si="136"/>
        <v>0</v>
      </c>
      <c r="Z214" s="81">
        <f t="shared" si="137"/>
        <v>0</v>
      </c>
      <c r="AA214" s="81">
        <f t="shared" si="138"/>
        <v>0</v>
      </c>
      <c r="AC214" s="24">
        <v>15</v>
      </c>
      <c r="AD214" s="84">
        <f t="shared" si="92"/>
        <v>0</v>
      </c>
      <c r="AE214" s="84">
        <f t="shared" si="93"/>
        <v>0</v>
      </c>
      <c r="AL214" s="24">
        <f t="shared" si="139"/>
        <v>0</v>
      </c>
      <c r="AM214" s="24">
        <f t="shared" si="140"/>
        <v>0</v>
      </c>
      <c r="AN214" s="25" t="s">
        <v>325</v>
      </c>
      <c r="AO214" s="25" t="s">
        <v>337</v>
      </c>
      <c r="AP214" s="19" t="s">
        <v>339</v>
      </c>
      <c r="AR214" t="s">
        <v>726</v>
      </c>
      <c r="AS214" s="160">
        <v>2.1000000000000001E-4</v>
      </c>
    </row>
    <row r="215" spans="1:47" hidden="1">
      <c r="A215" s="4" t="s">
        <v>676</v>
      </c>
      <c r="B215" s="4"/>
      <c r="C215" s="4" t="s">
        <v>163</v>
      </c>
      <c r="D215" s="4" t="s">
        <v>436</v>
      </c>
      <c r="E215" s="4" t="s">
        <v>284</v>
      </c>
      <c r="F215" s="14">
        <f>F214</f>
        <v>0</v>
      </c>
      <c r="G215" s="151"/>
      <c r="H215" s="14">
        <f t="shared" si="131"/>
        <v>0</v>
      </c>
      <c r="I215" s="14">
        <f t="shared" si="132"/>
        <v>0</v>
      </c>
      <c r="J215" s="14">
        <f t="shared" si="133"/>
        <v>0</v>
      </c>
      <c r="K215" s="136">
        <v>3.2200000000000002E-3</v>
      </c>
      <c r="L215" s="14">
        <f t="shared" si="134"/>
        <v>0</v>
      </c>
      <c r="M215" s="20" t="s">
        <v>6</v>
      </c>
      <c r="N215" s="14">
        <f t="shared" si="135"/>
        <v>0</v>
      </c>
      <c r="Y215" s="81">
        <f t="shared" si="136"/>
        <v>0</v>
      </c>
      <c r="Z215" s="81">
        <f t="shared" si="137"/>
        <v>0</v>
      </c>
      <c r="AA215" s="81">
        <f t="shared" si="138"/>
        <v>0</v>
      </c>
      <c r="AC215" s="24">
        <v>15</v>
      </c>
      <c r="AD215" s="84">
        <f t="shared" si="92"/>
        <v>0</v>
      </c>
      <c r="AE215" s="84">
        <f t="shared" si="93"/>
        <v>0</v>
      </c>
      <c r="AL215" s="24">
        <f t="shared" si="139"/>
        <v>0</v>
      </c>
      <c r="AM215" s="24">
        <f t="shared" si="140"/>
        <v>0</v>
      </c>
      <c r="AN215" s="25" t="s">
        <v>325</v>
      </c>
      <c r="AO215" s="25" t="s">
        <v>337</v>
      </c>
      <c r="AP215" s="19" t="s">
        <v>339</v>
      </c>
      <c r="AR215" t="s">
        <v>726</v>
      </c>
      <c r="AS215" s="160">
        <v>3.2200000000000002E-3</v>
      </c>
    </row>
    <row r="216" spans="1:47" hidden="1">
      <c r="A216" s="4" t="s">
        <v>677</v>
      </c>
      <c r="B216" s="4"/>
      <c r="C216" s="4" t="s">
        <v>164</v>
      </c>
      <c r="D216" s="4" t="s">
        <v>246</v>
      </c>
      <c r="E216" s="4" t="s">
        <v>284</v>
      </c>
      <c r="F216" s="14">
        <f>F212</f>
        <v>0</v>
      </c>
      <c r="G216" s="151"/>
      <c r="H216" s="14">
        <f t="shared" si="131"/>
        <v>0</v>
      </c>
      <c r="I216" s="14">
        <f t="shared" si="132"/>
        <v>0</v>
      </c>
      <c r="J216" s="14">
        <f t="shared" si="133"/>
        <v>0</v>
      </c>
      <c r="K216" s="136">
        <v>0</v>
      </c>
      <c r="L216" s="14">
        <f t="shared" si="134"/>
        <v>0</v>
      </c>
      <c r="M216" s="20" t="s">
        <v>6</v>
      </c>
      <c r="N216" s="14">
        <f t="shared" si="135"/>
        <v>0</v>
      </c>
      <c r="Y216" s="81">
        <f t="shared" si="136"/>
        <v>0</v>
      </c>
      <c r="Z216" s="81">
        <f t="shared" si="137"/>
        <v>0</v>
      </c>
      <c r="AA216" s="81">
        <f t="shared" si="138"/>
        <v>0</v>
      </c>
      <c r="AC216" s="24">
        <v>15</v>
      </c>
      <c r="AD216" s="84">
        <f t="shared" ref="AD216:AD292" si="141">G216*0.81143570536829</f>
        <v>0</v>
      </c>
      <c r="AE216" s="84">
        <f t="shared" ref="AE216:AE292" si="142">G216*(1-0.81143570536829)</f>
        <v>0</v>
      </c>
      <c r="AL216" s="24">
        <f t="shared" si="139"/>
        <v>0</v>
      </c>
      <c r="AM216" s="24">
        <f t="shared" si="140"/>
        <v>0</v>
      </c>
      <c r="AN216" s="25" t="s">
        <v>325</v>
      </c>
      <c r="AO216" s="25" t="s">
        <v>337</v>
      </c>
      <c r="AP216" s="19" t="s">
        <v>339</v>
      </c>
      <c r="AR216" t="s">
        <v>726</v>
      </c>
      <c r="AS216" s="160">
        <v>0</v>
      </c>
    </row>
    <row r="217" spans="1:47" hidden="1">
      <c r="A217" s="4" t="s">
        <v>678</v>
      </c>
      <c r="B217" s="4"/>
      <c r="C217" s="4" t="s">
        <v>461</v>
      </c>
      <c r="D217" s="4" t="s">
        <v>462</v>
      </c>
      <c r="E217" s="4" t="s">
        <v>286</v>
      </c>
      <c r="F217" s="14">
        <v>0</v>
      </c>
      <c r="G217" s="151"/>
      <c r="H217" s="14">
        <f t="shared" si="131"/>
        <v>0</v>
      </c>
      <c r="I217" s="14">
        <f t="shared" si="132"/>
        <v>0</v>
      </c>
      <c r="J217" s="14">
        <f t="shared" si="133"/>
        <v>0</v>
      </c>
      <c r="K217" s="136">
        <v>0</v>
      </c>
      <c r="L217" s="14">
        <f t="shared" si="134"/>
        <v>0</v>
      </c>
      <c r="M217" s="20" t="s">
        <v>6</v>
      </c>
      <c r="N217" s="14">
        <f t="shared" si="135"/>
        <v>0</v>
      </c>
      <c r="Y217" s="81">
        <f t="shared" si="136"/>
        <v>0</v>
      </c>
      <c r="Z217" s="81">
        <f t="shared" si="137"/>
        <v>0</v>
      </c>
      <c r="AA217" s="81">
        <f t="shared" si="138"/>
        <v>0</v>
      </c>
      <c r="AC217" s="24">
        <v>15</v>
      </c>
      <c r="AD217" s="84">
        <f t="shared" si="141"/>
        <v>0</v>
      </c>
      <c r="AE217" s="84">
        <f t="shared" si="142"/>
        <v>0</v>
      </c>
      <c r="AL217" s="24">
        <f t="shared" si="139"/>
        <v>0</v>
      </c>
      <c r="AM217" s="24">
        <f t="shared" si="140"/>
        <v>0</v>
      </c>
      <c r="AN217" s="25" t="s">
        <v>325</v>
      </c>
      <c r="AO217" s="25" t="s">
        <v>337</v>
      </c>
      <c r="AP217" s="19" t="s">
        <v>339</v>
      </c>
      <c r="AR217" t="s">
        <v>726</v>
      </c>
      <c r="AS217" s="160">
        <v>0</v>
      </c>
    </row>
    <row r="218" spans="1:47" s="58" customFormat="1" hidden="1">
      <c r="A218" s="4" t="s">
        <v>679</v>
      </c>
      <c r="B218" s="5"/>
      <c r="C218" s="5" t="s">
        <v>459</v>
      </c>
      <c r="D218" s="5" t="s">
        <v>460</v>
      </c>
      <c r="E218" s="5" t="s">
        <v>286</v>
      </c>
      <c r="F218" s="15">
        <f>F217*1.15</f>
        <v>0</v>
      </c>
      <c r="G218" s="151"/>
      <c r="H218" s="15">
        <f t="shared" si="131"/>
        <v>0</v>
      </c>
      <c r="I218" s="15">
        <f>J218-H218</f>
        <v>0</v>
      </c>
      <c r="J218" s="14">
        <f t="shared" si="133"/>
        <v>0</v>
      </c>
      <c r="K218" s="137">
        <v>2.2000000000000001E-4</v>
      </c>
      <c r="L218" s="15">
        <f t="shared" si="134"/>
        <v>0</v>
      </c>
      <c r="M218" s="21" t="s">
        <v>302</v>
      </c>
      <c r="N218" s="15">
        <f t="shared" si="135"/>
        <v>0</v>
      </c>
      <c r="Y218" s="81">
        <f t="shared" si="136"/>
        <v>0</v>
      </c>
      <c r="Z218" s="81">
        <f t="shared" si="137"/>
        <v>0</v>
      </c>
      <c r="AA218" s="81">
        <f t="shared" si="138"/>
        <v>0</v>
      </c>
      <c r="AC218" s="24">
        <v>15</v>
      </c>
      <c r="AD218" s="84">
        <f t="shared" si="141"/>
        <v>0</v>
      </c>
      <c r="AE218" s="84">
        <f t="shared" si="142"/>
        <v>0</v>
      </c>
      <c r="AL218" s="24">
        <f t="shared" si="139"/>
        <v>0</v>
      </c>
      <c r="AM218" s="24">
        <f t="shared" si="140"/>
        <v>0</v>
      </c>
      <c r="AN218" s="25" t="s">
        <v>325</v>
      </c>
      <c r="AO218" s="25" t="s">
        <v>337</v>
      </c>
      <c r="AP218" s="19" t="s">
        <v>339</v>
      </c>
      <c r="AR218" t="s">
        <v>726</v>
      </c>
      <c r="AS218" s="161">
        <v>2.2000000000000001E-4</v>
      </c>
      <c r="AU218" s="233"/>
    </row>
    <row r="219" spans="1:47" hidden="1">
      <c r="A219" s="4" t="s">
        <v>680</v>
      </c>
      <c r="B219" s="5"/>
      <c r="C219" s="5" t="s">
        <v>165</v>
      </c>
      <c r="D219" s="5" t="s">
        <v>744</v>
      </c>
      <c r="E219" s="5" t="s">
        <v>284</v>
      </c>
      <c r="F219" s="15">
        <f>F212*1.1</f>
        <v>0</v>
      </c>
      <c r="G219" s="151"/>
      <c r="H219" s="15">
        <f t="shared" si="131"/>
        <v>0</v>
      </c>
      <c r="I219" s="15">
        <f t="shared" si="132"/>
        <v>0</v>
      </c>
      <c r="J219" s="14">
        <f t="shared" si="133"/>
        <v>0</v>
      </c>
      <c r="K219" s="137">
        <v>1.2200000000000001E-2</v>
      </c>
      <c r="L219" s="15">
        <f t="shared" si="134"/>
        <v>0</v>
      </c>
      <c r="M219" s="21" t="s">
        <v>302</v>
      </c>
      <c r="N219" s="15">
        <f t="shared" si="135"/>
        <v>0</v>
      </c>
      <c r="Y219" s="81">
        <f t="shared" si="136"/>
        <v>0</v>
      </c>
      <c r="Z219" s="81">
        <f t="shared" si="137"/>
        <v>0</v>
      </c>
      <c r="AA219" s="81">
        <f t="shared" si="138"/>
        <v>0</v>
      </c>
      <c r="AC219" s="24">
        <v>15</v>
      </c>
      <c r="AD219" s="84">
        <f t="shared" si="141"/>
        <v>0</v>
      </c>
      <c r="AE219" s="84">
        <f t="shared" si="142"/>
        <v>0</v>
      </c>
      <c r="AL219" s="24">
        <f t="shared" si="139"/>
        <v>0</v>
      </c>
      <c r="AM219" s="24">
        <f t="shared" si="140"/>
        <v>0</v>
      </c>
      <c r="AN219" s="25" t="s">
        <v>325</v>
      </c>
      <c r="AO219" s="25" t="s">
        <v>337</v>
      </c>
      <c r="AP219" s="19" t="s">
        <v>339</v>
      </c>
      <c r="AR219" t="s">
        <v>726</v>
      </c>
      <c r="AS219" s="161">
        <v>1.2200000000000001E-2</v>
      </c>
    </row>
    <row r="220" spans="1:47" hidden="1">
      <c r="A220" s="4" t="s">
        <v>681</v>
      </c>
      <c r="B220" s="4"/>
      <c r="C220" s="4" t="s">
        <v>166</v>
      </c>
      <c r="D220" s="4" t="s">
        <v>247</v>
      </c>
      <c r="E220" s="4" t="s">
        <v>284</v>
      </c>
      <c r="F220" s="14">
        <f>F212</f>
        <v>0</v>
      </c>
      <c r="G220" s="151"/>
      <c r="H220" s="14">
        <f t="shared" si="131"/>
        <v>0</v>
      </c>
      <c r="I220" s="14">
        <f t="shared" si="132"/>
        <v>0</v>
      </c>
      <c r="J220" s="14">
        <f t="shared" si="133"/>
        <v>0</v>
      </c>
      <c r="K220" s="136">
        <v>4.0000000000000002E-4</v>
      </c>
      <c r="L220" s="14">
        <f t="shared" si="134"/>
        <v>0</v>
      </c>
      <c r="M220" s="20" t="s">
        <v>6</v>
      </c>
      <c r="N220" s="14">
        <f t="shared" si="135"/>
        <v>0</v>
      </c>
      <c r="Y220" s="81">
        <f t="shared" si="136"/>
        <v>0</v>
      </c>
      <c r="Z220" s="81">
        <f t="shared" si="137"/>
        <v>0</v>
      </c>
      <c r="AA220" s="81">
        <f t="shared" si="138"/>
        <v>0</v>
      </c>
      <c r="AC220" s="24">
        <v>15</v>
      </c>
      <c r="AD220" s="84">
        <f t="shared" si="141"/>
        <v>0</v>
      </c>
      <c r="AE220" s="84">
        <f t="shared" si="142"/>
        <v>0</v>
      </c>
      <c r="AL220" s="24">
        <f t="shared" si="139"/>
        <v>0</v>
      </c>
      <c r="AM220" s="24">
        <f t="shared" si="140"/>
        <v>0</v>
      </c>
      <c r="AN220" s="25" t="s">
        <v>325</v>
      </c>
      <c r="AO220" s="25" t="s">
        <v>337</v>
      </c>
      <c r="AP220" s="19" t="s">
        <v>339</v>
      </c>
      <c r="AR220" t="s">
        <v>726</v>
      </c>
      <c r="AS220" s="160">
        <v>4.0000000000000002E-4</v>
      </c>
    </row>
    <row r="221" spans="1:47" hidden="1">
      <c r="A221" s="4" t="s">
        <v>682</v>
      </c>
      <c r="B221" s="4"/>
      <c r="C221" s="4" t="s">
        <v>860</v>
      </c>
      <c r="D221" s="154" t="s">
        <v>861</v>
      </c>
      <c r="E221" s="4" t="s">
        <v>284</v>
      </c>
      <c r="F221" s="14">
        <v>0</v>
      </c>
      <c r="G221" s="151"/>
      <c r="H221" s="14">
        <f t="shared" si="131"/>
        <v>0</v>
      </c>
      <c r="I221" s="14">
        <f>J221-H221</f>
        <v>0</v>
      </c>
      <c r="J221" s="14">
        <f t="shared" si="133"/>
        <v>0</v>
      </c>
      <c r="K221" s="136">
        <v>6.2500000000000001E-4</v>
      </c>
      <c r="L221" s="14">
        <f t="shared" si="134"/>
        <v>0</v>
      </c>
      <c r="M221" s="20" t="s">
        <v>6</v>
      </c>
      <c r="N221" s="14">
        <f t="shared" si="135"/>
        <v>0</v>
      </c>
      <c r="Y221" s="81">
        <f t="shared" si="136"/>
        <v>0</v>
      </c>
      <c r="Z221" s="81">
        <f t="shared" si="137"/>
        <v>0</v>
      </c>
      <c r="AA221" s="81">
        <f t="shared" si="138"/>
        <v>0</v>
      </c>
      <c r="AC221" s="24">
        <v>15</v>
      </c>
      <c r="AD221" s="84">
        <f t="shared" si="141"/>
        <v>0</v>
      </c>
      <c r="AE221" s="84">
        <f t="shared" si="142"/>
        <v>0</v>
      </c>
      <c r="AL221" s="24">
        <f t="shared" si="139"/>
        <v>0</v>
      </c>
      <c r="AM221" s="24">
        <f t="shared" si="140"/>
        <v>0</v>
      </c>
      <c r="AN221" s="25" t="s">
        <v>322</v>
      </c>
      <c r="AO221" s="25" t="s">
        <v>336</v>
      </c>
      <c r="AP221" s="19" t="s">
        <v>339</v>
      </c>
      <c r="AS221" s="160">
        <v>8.0000000000000004E-4</v>
      </c>
    </row>
    <row r="222" spans="1:47" s="75" customFormat="1" hidden="1">
      <c r="A222" s="4" t="s">
        <v>683</v>
      </c>
      <c r="B222" s="4"/>
      <c r="C222" s="4" t="s">
        <v>148</v>
      </c>
      <c r="D222" s="4" t="s">
        <v>746</v>
      </c>
      <c r="E222" s="4" t="s">
        <v>286</v>
      </c>
      <c r="F222" s="14">
        <v>0</v>
      </c>
      <c r="G222" s="151"/>
      <c r="H222" s="14">
        <f t="shared" si="131"/>
        <v>0</v>
      </c>
      <c r="I222" s="14">
        <f>J222-H222</f>
        <v>0</v>
      </c>
      <c r="J222" s="14">
        <f t="shared" si="133"/>
        <v>0</v>
      </c>
      <c r="K222" s="136">
        <v>4.0000000000000003E-5</v>
      </c>
      <c r="L222" s="14">
        <f t="shared" si="134"/>
        <v>0</v>
      </c>
      <c r="M222" s="20" t="s">
        <v>6</v>
      </c>
      <c r="N222" s="14">
        <f t="shared" si="135"/>
        <v>0</v>
      </c>
      <c r="Y222" s="81">
        <f t="shared" si="136"/>
        <v>0</v>
      </c>
      <c r="Z222" s="81">
        <f t="shared" si="137"/>
        <v>0</v>
      </c>
      <c r="AA222" s="81">
        <f t="shared" si="138"/>
        <v>0</v>
      </c>
      <c r="AC222" s="24">
        <v>15</v>
      </c>
      <c r="AD222" s="84">
        <f t="shared" si="141"/>
        <v>0</v>
      </c>
      <c r="AE222" s="84">
        <f t="shared" si="142"/>
        <v>0</v>
      </c>
      <c r="AL222" s="24">
        <f t="shared" si="139"/>
        <v>0</v>
      </c>
      <c r="AM222" s="24">
        <f t="shared" si="140"/>
        <v>0</v>
      </c>
      <c r="AN222" s="25" t="s">
        <v>322</v>
      </c>
      <c r="AO222" s="25" t="s">
        <v>336</v>
      </c>
      <c r="AP222" s="76" t="s">
        <v>339</v>
      </c>
      <c r="AR222" s="75" t="s">
        <v>726</v>
      </c>
      <c r="AS222" s="160">
        <v>4.0000000000000003E-5</v>
      </c>
      <c r="AU222" s="229"/>
    </row>
    <row r="223" spans="1:47" s="83" customFormat="1" hidden="1">
      <c r="A223" s="4" t="s">
        <v>750</v>
      </c>
      <c r="B223" s="80"/>
      <c r="C223" s="80" t="s">
        <v>613</v>
      </c>
      <c r="D223" s="80" t="s">
        <v>614</v>
      </c>
      <c r="E223" s="80" t="s">
        <v>498</v>
      </c>
      <c r="F223" s="81">
        <v>3.1</v>
      </c>
      <c r="G223" s="14"/>
      <c r="H223" s="81">
        <f t="shared" si="131"/>
        <v>0</v>
      </c>
      <c r="I223" s="81">
        <f>J223-H223</f>
        <v>0</v>
      </c>
      <c r="J223" s="14">
        <f t="shared" si="133"/>
        <v>0</v>
      </c>
      <c r="K223" s="135"/>
      <c r="L223" s="81"/>
      <c r="M223" s="82" t="s">
        <v>10</v>
      </c>
      <c r="N223" s="81">
        <f>IF(M223="5",J223,0)</f>
        <v>0</v>
      </c>
      <c r="Y223" s="81">
        <f t="shared" si="136"/>
        <v>0</v>
      </c>
      <c r="Z223" s="81">
        <f t="shared" si="137"/>
        <v>0</v>
      </c>
      <c r="AA223" s="81">
        <f t="shared" si="138"/>
        <v>0</v>
      </c>
      <c r="AC223" s="84">
        <v>15</v>
      </c>
      <c r="AD223" s="84">
        <f t="shared" si="141"/>
        <v>0</v>
      </c>
      <c r="AE223" s="84">
        <f t="shared" si="142"/>
        <v>0</v>
      </c>
      <c r="AL223" s="84">
        <f t="shared" si="139"/>
        <v>0</v>
      </c>
      <c r="AM223" s="84">
        <f t="shared" si="140"/>
        <v>0</v>
      </c>
      <c r="AN223" s="85" t="s">
        <v>615</v>
      </c>
      <c r="AO223" s="85" t="s">
        <v>338</v>
      </c>
      <c r="AP223" s="86" t="s">
        <v>339</v>
      </c>
      <c r="AR223" t="s">
        <v>726</v>
      </c>
      <c r="AS223" s="160"/>
      <c r="AU223" s="228"/>
    </row>
    <row r="224" spans="1:47">
      <c r="A224" s="6"/>
      <c r="B224" s="12"/>
      <c r="C224" s="12" t="s">
        <v>167</v>
      </c>
      <c r="D224" s="71" t="s">
        <v>919</v>
      </c>
      <c r="E224" s="72"/>
      <c r="F224" s="72"/>
      <c r="G224" s="72"/>
      <c r="H224" s="27">
        <f>SUM(H225:H230)</f>
        <v>0</v>
      </c>
      <c r="I224" s="27">
        <f>SUM(I225:I230)</f>
        <v>0</v>
      </c>
      <c r="J224" s="27">
        <f>H224+I224</f>
        <v>0</v>
      </c>
      <c r="K224" s="139"/>
      <c r="L224" s="27">
        <f>SUM(L225:L230)</f>
        <v>4.7264342399999999E-2</v>
      </c>
      <c r="O224" s="27">
        <f>IF(P224="PR",J224,SUM(N225:N230))</f>
        <v>0</v>
      </c>
      <c r="P224" s="19" t="s">
        <v>306</v>
      </c>
      <c r="Q224" s="27">
        <f>IF(P224="HS",H224,0)</f>
        <v>0</v>
      </c>
      <c r="R224" s="27">
        <f>IF(P224="HS",I224-O224,0)</f>
        <v>0</v>
      </c>
      <c r="S224" s="27">
        <f>IF(P224="PS",H224,0)</f>
        <v>0</v>
      </c>
      <c r="T224" s="27">
        <f>IF(P224="PS",I224-O224,0)</f>
        <v>0</v>
      </c>
      <c r="U224" s="27">
        <f>IF(P224="MP",H224,0)</f>
        <v>0</v>
      </c>
      <c r="V224" s="27">
        <f>IF(P224="MP",I224-O224,0)</f>
        <v>0</v>
      </c>
      <c r="W224" s="27">
        <f>IF(P224="OM",H224,0)</f>
        <v>0</v>
      </c>
      <c r="X224" s="19"/>
      <c r="Y224" s="81"/>
      <c r="Z224" s="81"/>
      <c r="AA224" s="81"/>
      <c r="AD224" s="84"/>
      <c r="AE224" s="84"/>
      <c r="AH224" s="27">
        <f>SUM(Y225:Y230)</f>
        <v>0</v>
      </c>
      <c r="AI224" s="27">
        <f>SUM(Z225:Z230)</f>
        <v>0</v>
      </c>
      <c r="AJ224" s="27">
        <f>SUM(AA225:AA230)</f>
        <v>0</v>
      </c>
      <c r="AS224" s="162"/>
    </row>
    <row r="225" spans="1:47">
      <c r="A225" s="4" t="s">
        <v>751</v>
      </c>
      <c r="B225" s="4"/>
      <c r="C225" s="4" t="s">
        <v>168</v>
      </c>
      <c r="D225" s="4" t="s">
        <v>248</v>
      </c>
      <c r="E225" s="4" t="s">
        <v>284</v>
      </c>
      <c r="F225" s="49">
        <f>(Výměry!K9+Výměry!K26+Výměry!K32)*('BD-PODLAŽÍ'!F263+'BD-PODLAŽÍ'!G263+'BD-PODLAŽÍ'!H263+'BD-PODLAŽÍ'!I263+'BD-PODLAŽÍ'!B263+'BD-PODLAŽÍ'!C263+'BD-PODLAŽÍ'!D263+'BD-PODLAŽÍ'!E263)</f>
        <v>107.41896</v>
      </c>
      <c r="G225" s="14"/>
      <c r="H225" s="14">
        <f t="shared" ref="H225:H230" si="143">F225*AD225</f>
        <v>0</v>
      </c>
      <c r="I225" s="14">
        <f t="shared" ref="I225:I230" si="144">J225-H225</f>
        <v>0</v>
      </c>
      <c r="J225" s="14">
        <f t="shared" ref="J225:J230" si="145">F225*G225</f>
        <v>0</v>
      </c>
      <c r="K225" s="136">
        <v>3.6000000000000002E-4</v>
      </c>
      <c r="L225" s="14">
        <f t="shared" ref="L225:L230" si="146">F225*K225</f>
        <v>3.86708256E-2</v>
      </c>
      <c r="M225" s="20" t="s">
        <v>6</v>
      </c>
      <c r="N225" s="14">
        <f t="shared" ref="N225:N230" si="147">IF(M225="5",I225,0)</f>
        <v>0</v>
      </c>
      <c r="Y225" s="81">
        <f t="shared" ref="Y225:Y230" si="148">IF(AC225=0,J225,0)</f>
        <v>0</v>
      </c>
      <c r="Z225" s="81">
        <f t="shared" ref="Z225:Z230" si="149">IF(AC225=15,J225,0)</f>
        <v>0</v>
      </c>
      <c r="AA225" s="81">
        <f t="shared" ref="AA225:AA230" si="150">IF(AC225=21,J225,0)</f>
        <v>0</v>
      </c>
      <c r="AC225" s="24">
        <v>15</v>
      </c>
      <c r="AD225" s="84">
        <f t="shared" si="141"/>
        <v>0</v>
      </c>
      <c r="AE225" s="84">
        <f t="shared" si="142"/>
        <v>0</v>
      </c>
      <c r="AL225" s="24">
        <f t="shared" ref="AL225:AL230" si="151">F225*AD225</f>
        <v>0</v>
      </c>
      <c r="AM225" s="24">
        <f t="shared" ref="AM225:AM230" si="152">F225*AE225</f>
        <v>0</v>
      </c>
      <c r="AN225" s="25" t="s">
        <v>326</v>
      </c>
      <c r="AO225" s="25" t="s">
        <v>337</v>
      </c>
      <c r="AP225" s="19" t="s">
        <v>339</v>
      </c>
      <c r="AR225" t="s">
        <v>726</v>
      </c>
      <c r="AS225" s="160">
        <v>3.6000000000000002E-4</v>
      </c>
    </row>
    <row r="226" spans="1:47" s="63" customFormat="1" hidden="1">
      <c r="A226" s="4" t="s">
        <v>752</v>
      </c>
      <c r="B226" s="60"/>
      <c r="C226" s="60" t="s">
        <v>514</v>
      </c>
      <c r="D226" s="4" t="s">
        <v>968</v>
      </c>
      <c r="E226" s="60" t="s">
        <v>284</v>
      </c>
      <c r="F226" s="49">
        <f>Výměry!K15</f>
        <v>0</v>
      </c>
      <c r="G226" s="14"/>
      <c r="H226" s="61">
        <f t="shared" si="143"/>
        <v>0</v>
      </c>
      <c r="I226" s="61">
        <f t="shared" si="144"/>
        <v>0</v>
      </c>
      <c r="J226" s="61">
        <f t="shared" si="145"/>
        <v>0</v>
      </c>
      <c r="K226" s="140">
        <v>8.0999999999999996E-4</v>
      </c>
      <c r="L226" s="61">
        <f t="shared" si="146"/>
        <v>0</v>
      </c>
      <c r="M226" s="62" t="s">
        <v>6</v>
      </c>
      <c r="N226" s="61">
        <f t="shared" si="147"/>
        <v>0</v>
      </c>
      <c r="Y226" s="81">
        <f t="shared" si="148"/>
        <v>0</v>
      </c>
      <c r="Z226" s="81">
        <f t="shared" si="149"/>
        <v>0</v>
      </c>
      <c r="AA226" s="81">
        <f t="shared" si="150"/>
        <v>0</v>
      </c>
      <c r="AC226" s="64">
        <v>15</v>
      </c>
      <c r="AD226" s="84">
        <f t="shared" si="141"/>
        <v>0</v>
      </c>
      <c r="AE226" s="84">
        <f t="shared" si="142"/>
        <v>0</v>
      </c>
      <c r="AL226" s="64">
        <f t="shared" si="151"/>
        <v>0</v>
      </c>
      <c r="AM226" s="64">
        <f t="shared" si="152"/>
        <v>0</v>
      </c>
      <c r="AN226" s="65" t="s">
        <v>326</v>
      </c>
      <c r="AO226" s="65" t="s">
        <v>337</v>
      </c>
      <c r="AP226" s="66" t="s">
        <v>339</v>
      </c>
      <c r="AR226" t="s">
        <v>726</v>
      </c>
      <c r="AS226" s="160">
        <v>8.0999999999999996E-4</v>
      </c>
      <c r="AU226" s="238"/>
    </row>
    <row r="227" spans="1:47" s="70" customFormat="1" hidden="1">
      <c r="A227" s="4" t="s">
        <v>753</v>
      </c>
      <c r="B227" s="60"/>
      <c r="C227" s="60" t="s">
        <v>515</v>
      </c>
      <c r="D227" s="60" t="s">
        <v>516</v>
      </c>
      <c r="E227" s="60" t="s">
        <v>286</v>
      </c>
      <c r="F227" s="49">
        <v>0</v>
      </c>
      <c r="G227" s="14"/>
      <c r="H227" s="61">
        <f t="shared" si="143"/>
        <v>0</v>
      </c>
      <c r="I227" s="61">
        <f t="shared" si="144"/>
        <v>0</v>
      </c>
      <c r="J227" s="61">
        <f t="shared" si="145"/>
        <v>0</v>
      </c>
      <c r="K227" s="140">
        <v>9.0000000000000006E-5</v>
      </c>
      <c r="L227" s="61">
        <f t="shared" si="146"/>
        <v>0</v>
      </c>
      <c r="M227" s="62" t="s">
        <v>6</v>
      </c>
      <c r="N227" s="61">
        <f t="shared" si="147"/>
        <v>0</v>
      </c>
      <c r="Y227" s="81">
        <f t="shared" si="148"/>
        <v>0</v>
      </c>
      <c r="Z227" s="81">
        <f t="shared" si="149"/>
        <v>0</v>
      </c>
      <c r="AA227" s="81">
        <f t="shared" si="150"/>
        <v>0</v>
      </c>
      <c r="AC227" s="64">
        <v>15</v>
      </c>
      <c r="AD227" s="84">
        <f t="shared" si="141"/>
        <v>0</v>
      </c>
      <c r="AE227" s="84">
        <f t="shared" si="142"/>
        <v>0</v>
      </c>
      <c r="AL227" s="64">
        <f t="shared" si="151"/>
        <v>0</v>
      </c>
      <c r="AM227" s="64">
        <f t="shared" si="152"/>
        <v>0</v>
      </c>
      <c r="AN227" s="65" t="s">
        <v>326</v>
      </c>
      <c r="AO227" s="65" t="s">
        <v>337</v>
      </c>
      <c r="AP227" s="66" t="s">
        <v>339</v>
      </c>
      <c r="AR227" t="s">
        <v>726</v>
      </c>
      <c r="AS227" s="160">
        <v>9.0000000000000006E-5</v>
      </c>
      <c r="AU227" s="236"/>
    </row>
    <row r="228" spans="1:47">
      <c r="A228" s="4" t="s">
        <v>754</v>
      </c>
      <c r="B228" s="4"/>
      <c r="C228" s="4" t="s">
        <v>457</v>
      </c>
      <c r="D228" s="4" t="s">
        <v>458</v>
      </c>
      <c r="E228" s="4" t="s">
        <v>284</v>
      </c>
      <c r="F228" s="14">
        <f>(Výměry!K9+Výměry!K26+Výměry!K32)*('BD-PODLAŽÍ'!B263+'BD-PODLAŽÍ'!C263+'BD-PODLAŽÍ'!D263+'BD-PODLAŽÍ'!E263)</f>
        <v>0</v>
      </c>
      <c r="G228" s="14"/>
      <c r="H228" s="14">
        <f t="shared" si="143"/>
        <v>0</v>
      </c>
      <c r="I228" s="14">
        <f t="shared" si="144"/>
        <v>0</v>
      </c>
      <c r="J228" s="14">
        <f t="shared" si="145"/>
        <v>0</v>
      </c>
      <c r="K228" s="136">
        <v>1.0000000000000001E-5</v>
      </c>
      <c r="L228" s="14">
        <f t="shared" si="146"/>
        <v>0</v>
      </c>
      <c r="M228" s="20" t="s">
        <v>6</v>
      </c>
      <c r="N228" s="14">
        <f t="shared" si="147"/>
        <v>0</v>
      </c>
      <c r="Y228" s="81">
        <f t="shared" si="148"/>
        <v>0</v>
      </c>
      <c r="Z228" s="81">
        <f t="shared" si="149"/>
        <v>0</v>
      </c>
      <c r="AA228" s="81">
        <f t="shared" si="150"/>
        <v>0</v>
      </c>
      <c r="AC228" s="24">
        <v>15</v>
      </c>
      <c r="AD228" s="84">
        <f t="shared" si="141"/>
        <v>0</v>
      </c>
      <c r="AE228" s="84">
        <f t="shared" si="142"/>
        <v>0</v>
      </c>
      <c r="AL228" s="24">
        <f t="shared" si="151"/>
        <v>0</v>
      </c>
      <c r="AM228" s="24">
        <f t="shared" si="152"/>
        <v>0</v>
      </c>
      <c r="AN228" s="25" t="s">
        <v>326</v>
      </c>
      <c r="AO228" s="25" t="s">
        <v>337</v>
      </c>
      <c r="AP228" s="19" t="s">
        <v>339</v>
      </c>
      <c r="AR228" t="s">
        <v>726</v>
      </c>
      <c r="AS228" s="160">
        <v>1.0000000000000001E-5</v>
      </c>
    </row>
    <row r="229" spans="1:47">
      <c r="A229" s="4" t="s">
        <v>755</v>
      </c>
      <c r="B229" s="4"/>
      <c r="C229" s="4" t="s">
        <v>454</v>
      </c>
      <c r="D229" s="4" t="s">
        <v>455</v>
      </c>
      <c r="E229" s="4" t="s">
        <v>284</v>
      </c>
      <c r="F229" s="14">
        <f>F228</f>
        <v>0</v>
      </c>
      <c r="G229" s="14"/>
      <c r="H229" s="14">
        <f t="shared" si="143"/>
        <v>0</v>
      </c>
      <c r="I229" s="14">
        <f t="shared" si="144"/>
        <v>0</v>
      </c>
      <c r="J229" s="14">
        <f t="shared" si="145"/>
        <v>0</v>
      </c>
      <c r="K229" s="136">
        <v>6.9999999999999994E-5</v>
      </c>
      <c r="L229" s="14">
        <f t="shared" si="146"/>
        <v>0</v>
      </c>
      <c r="M229" s="20" t="s">
        <v>6</v>
      </c>
      <c r="N229" s="14">
        <f t="shared" si="147"/>
        <v>0</v>
      </c>
      <c r="Y229" s="81">
        <f t="shared" si="148"/>
        <v>0</v>
      </c>
      <c r="Z229" s="81">
        <f t="shared" si="149"/>
        <v>0</v>
      </c>
      <c r="AA229" s="81">
        <f t="shared" si="150"/>
        <v>0</v>
      </c>
      <c r="AC229" s="24">
        <v>15</v>
      </c>
      <c r="AD229" s="84">
        <f t="shared" si="141"/>
        <v>0</v>
      </c>
      <c r="AE229" s="84">
        <f t="shared" si="142"/>
        <v>0</v>
      </c>
      <c r="AL229" s="24">
        <f t="shared" si="151"/>
        <v>0</v>
      </c>
      <c r="AM229" s="24">
        <f t="shared" si="152"/>
        <v>0</v>
      </c>
      <c r="AN229" s="25" t="s">
        <v>326</v>
      </c>
      <c r="AO229" s="25" t="s">
        <v>337</v>
      </c>
      <c r="AP229" s="19" t="s">
        <v>339</v>
      </c>
      <c r="AR229" t="s">
        <v>726</v>
      </c>
      <c r="AS229" s="160">
        <v>6.9999999999999994E-5</v>
      </c>
    </row>
    <row r="230" spans="1:47">
      <c r="A230" s="4" t="s">
        <v>756</v>
      </c>
      <c r="B230" s="4"/>
      <c r="C230" s="4" t="s">
        <v>169</v>
      </c>
      <c r="D230" s="4" t="s">
        <v>249</v>
      </c>
      <c r="E230" s="4" t="s">
        <v>284</v>
      </c>
      <c r="F230" s="14">
        <f>F225</f>
        <v>107.41896</v>
      </c>
      <c r="G230" s="14"/>
      <c r="H230" s="14">
        <f t="shared" si="143"/>
        <v>0</v>
      </c>
      <c r="I230" s="14">
        <f t="shared" si="144"/>
        <v>0</v>
      </c>
      <c r="J230" s="14">
        <f t="shared" si="145"/>
        <v>0</v>
      </c>
      <c r="K230" s="136">
        <v>8.0000000000000007E-5</v>
      </c>
      <c r="L230" s="14">
        <f t="shared" si="146"/>
        <v>8.593516800000001E-3</v>
      </c>
      <c r="M230" s="20" t="s">
        <v>6</v>
      </c>
      <c r="N230" s="14">
        <f t="shared" si="147"/>
        <v>0</v>
      </c>
      <c r="Y230" s="81">
        <f t="shared" si="148"/>
        <v>0</v>
      </c>
      <c r="Z230" s="81">
        <f t="shared" si="149"/>
        <v>0</v>
      </c>
      <c r="AA230" s="81">
        <f t="shared" si="150"/>
        <v>0</v>
      </c>
      <c r="AC230" s="24">
        <v>15</v>
      </c>
      <c r="AD230" s="84">
        <f t="shared" si="141"/>
        <v>0</v>
      </c>
      <c r="AE230" s="84">
        <f t="shared" si="142"/>
        <v>0</v>
      </c>
      <c r="AL230" s="24">
        <f t="shared" si="151"/>
        <v>0</v>
      </c>
      <c r="AM230" s="24">
        <f t="shared" si="152"/>
        <v>0</v>
      </c>
      <c r="AN230" s="25" t="s">
        <v>326</v>
      </c>
      <c r="AO230" s="25" t="s">
        <v>337</v>
      </c>
      <c r="AP230" s="19" t="s">
        <v>339</v>
      </c>
      <c r="AR230" t="s">
        <v>726</v>
      </c>
      <c r="AS230" s="160">
        <v>8.0000000000000007E-5</v>
      </c>
    </row>
    <row r="231" spans="1:47">
      <c r="A231" s="6"/>
      <c r="B231" s="12"/>
      <c r="C231" s="12" t="s">
        <v>170</v>
      </c>
      <c r="D231" s="71" t="s">
        <v>250</v>
      </c>
      <c r="E231" s="72"/>
      <c r="F231" s="72">
        <v>0</v>
      </c>
      <c r="G231" s="72"/>
      <c r="H231" s="27">
        <f>SUM(H232:H247)</f>
        <v>0</v>
      </c>
      <c r="I231" s="27">
        <f>SUM(I232:I247)</f>
        <v>0</v>
      </c>
      <c r="J231" s="27">
        <f>H231+I231</f>
        <v>0</v>
      </c>
      <c r="K231" s="139"/>
      <c r="L231" s="27">
        <f>SUM(L232:L247)</f>
        <v>0.200262618</v>
      </c>
      <c r="O231" s="27">
        <f>IF(P231="PR",J231,SUM(N232:N247))</f>
        <v>0</v>
      </c>
      <c r="P231" s="19" t="s">
        <v>306</v>
      </c>
      <c r="Q231" s="27">
        <f>IF(P231="HS",H231,0)</f>
        <v>0</v>
      </c>
      <c r="R231" s="27">
        <f>IF(P231="HS",I231-O231,0)</f>
        <v>0</v>
      </c>
      <c r="S231" s="27">
        <f>IF(P231="PS",H231,0)</f>
        <v>0</v>
      </c>
      <c r="T231" s="27">
        <f>IF(P231="PS",I231-O231,0)</f>
        <v>0</v>
      </c>
      <c r="U231" s="27">
        <f>IF(P231="MP",H231,0)</f>
        <v>0</v>
      </c>
      <c r="V231" s="27">
        <f>IF(P231="MP",I231-O231,0)</f>
        <v>0</v>
      </c>
      <c r="W231" s="27">
        <f>IF(P231="OM",H231,0)</f>
        <v>0</v>
      </c>
      <c r="X231" s="19"/>
      <c r="Y231" s="81"/>
      <c r="Z231" s="81"/>
      <c r="AA231" s="81"/>
      <c r="AD231" s="84"/>
      <c r="AE231" s="84"/>
      <c r="AH231" s="27">
        <f>SUM(Y232:Y247)</f>
        <v>0</v>
      </c>
      <c r="AI231" s="27">
        <f>SUM(Z232:Z247)</f>
        <v>0</v>
      </c>
      <c r="AJ231" s="27">
        <f>SUM(AA232:AA247)</f>
        <v>0</v>
      </c>
      <c r="AS231" s="162"/>
    </row>
    <row r="232" spans="1:47">
      <c r="A232" s="4" t="s">
        <v>757</v>
      </c>
      <c r="B232" s="4"/>
      <c r="C232" s="4" t="s">
        <v>171</v>
      </c>
      <c r="D232" s="4" t="s">
        <v>251</v>
      </c>
      <c r="E232" s="4" t="s">
        <v>284</v>
      </c>
      <c r="F232" s="14">
        <f>(Výměry!D60+Výměry!U60)*('BD-PODLAŽÍ'!F263+'BD-PODLAŽÍ'!G263+'BD-PODLAŽÍ'!H263+'BD-PODLAŽÍ'!I263)</f>
        <v>510.34860000000003</v>
      </c>
      <c r="G232" s="14"/>
      <c r="H232" s="14">
        <f t="shared" ref="H232:H247" si="153">F232*AD232</f>
        <v>0</v>
      </c>
      <c r="I232" s="14">
        <f t="shared" ref="I232:I247" si="154">J232-H232</f>
        <v>0</v>
      </c>
      <c r="J232" s="14">
        <f t="shared" ref="J232:J247" si="155">F232*G232</f>
        <v>0</v>
      </c>
      <c r="K232" s="136">
        <v>2.0000000000000001E-4</v>
      </c>
      <c r="L232" s="14">
        <f t="shared" ref="L232:L247" si="156">F232*K232</f>
        <v>0.10206972000000002</v>
      </c>
      <c r="M232" s="20" t="s">
        <v>6</v>
      </c>
      <c r="N232" s="14">
        <f t="shared" ref="N232:N247" si="157">IF(M232="5",I232,0)</f>
        <v>0</v>
      </c>
      <c r="Y232" s="81">
        <f t="shared" ref="Y232:Y247" si="158">IF(AC232=0,J232,0)</f>
        <v>0</v>
      </c>
      <c r="Z232" s="81">
        <f t="shared" ref="Z232:Z247" si="159">IF(AC232=15,J232,0)</f>
        <v>0</v>
      </c>
      <c r="AA232" s="81">
        <f t="shared" ref="AA232:AA247" si="160">IF(AC232=21,J232,0)</f>
        <v>0</v>
      </c>
      <c r="AC232" s="24">
        <v>15</v>
      </c>
      <c r="AD232" s="84">
        <f t="shared" si="141"/>
        <v>0</v>
      </c>
      <c r="AE232" s="84">
        <f t="shared" si="142"/>
        <v>0</v>
      </c>
      <c r="AL232" s="24">
        <f t="shared" ref="AL232:AL247" si="161">F232*AD232</f>
        <v>0</v>
      </c>
      <c r="AM232" s="24">
        <f t="shared" ref="AM232:AM247" si="162">F232*AE232</f>
        <v>0</v>
      </c>
      <c r="AN232" s="25" t="s">
        <v>327</v>
      </c>
      <c r="AO232" s="25" t="s">
        <v>337</v>
      </c>
      <c r="AP232" s="19" t="s">
        <v>339</v>
      </c>
      <c r="AR232" t="s">
        <v>726</v>
      </c>
      <c r="AS232" s="160">
        <v>2.0000000000000001E-4</v>
      </c>
    </row>
    <row r="233" spans="1:47" s="104" customFormat="1" hidden="1">
      <c r="A233" s="4" t="s">
        <v>758</v>
      </c>
      <c r="B233" s="80"/>
      <c r="C233" s="80" t="s">
        <v>596</v>
      </c>
      <c r="D233" s="80" t="s">
        <v>597</v>
      </c>
      <c r="E233" s="80" t="s">
        <v>284</v>
      </c>
      <c r="F233" s="14">
        <v>0</v>
      </c>
      <c r="G233" s="14"/>
      <c r="H233" s="81">
        <f t="shared" si="153"/>
        <v>0</v>
      </c>
      <c r="I233" s="81">
        <f t="shared" si="154"/>
        <v>0</v>
      </c>
      <c r="J233" s="14">
        <f t="shared" si="155"/>
        <v>0</v>
      </c>
      <c r="K233" s="135">
        <v>3.0000000000000001E-5</v>
      </c>
      <c r="L233" s="81">
        <f t="shared" si="156"/>
        <v>0</v>
      </c>
      <c r="M233" s="82" t="s">
        <v>6</v>
      </c>
      <c r="N233" s="81">
        <f t="shared" si="157"/>
        <v>0</v>
      </c>
      <c r="Y233" s="81">
        <f t="shared" si="158"/>
        <v>0</v>
      </c>
      <c r="Z233" s="81">
        <f t="shared" si="159"/>
        <v>0</v>
      </c>
      <c r="AA233" s="81">
        <f t="shared" si="160"/>
        <v>0</v>
      </c>
      <c r="AC233" s="84">
        <v>15</v>
      </c>
      <c r="AD233" s="84">
        <f t="shared" si="141"/>
        <v>0</v>
      </c>
      <c r="AE233" s="84">
        <f t="shared" si="142"/>
        <v>0</v>
      </c>
      <c r="AL233" s="84">
        <f t="shared" si="161"/>
        <v>0</v>
      </c>
      <c r="AM233" s="84">
        <f t="shared" si="162"/>
        <v>0</v>
      </c>
      <c r="AN233" s="85" t="s">
        <v>327</v>
      </c>
      <c r="AO233" s="85" t="s">
        <v>337</v>
      </c>
      <c r="AP233" s="105" t="s">
        <v>339</v>
      </c>
      <c r="AR233" s="75" t="s">
        <v>726</v>
      </c>
      <c r="AS233" s="160">
        <v>3.0000000000000001E-5</v>
      </c>
      <c r="AU233" s="227"/>
    </row>
    <row r="234" spans="1:47" s="104" customFormat="1" hidden="1">
      <c r="A234" s="4" t="s">
        <v>759</v>
      </c>
      <c r="B234" s="80"/>
      <c r="C234" s="80" t="s">
        <v>598</v>
      </c>
      <c r="D234" s="80" t="s">
        <v>599</v>
      </c>
      <c r="E234" s="80" t="s">
        <v>284</v>
      </c>
      <c r="F234" s="14">
        <v>0</v>
      </c>
      <c r="G234" s="14"/>
      <c r="H234" s="81">
        <f t="shared" si="153"/>
        <v>0</v>
      </c>
      <c r="I234" s="81">
        <f t="shared" si="154"/>
        <v>0</v>
      </c>
      <c r="J234" s="14">
        <f t="shared" si="155"/>
        <v>0</v>
      </c>
      <c r="K234" s="135">
        <v>6.9999999999999994E-5</v>
      </c>
      <c r="L234" s="81">
        <f t="shared" si="156"/>
        <v>0</v>
      </c>
      <c r="M234" s="82" t="s">
        <v>6</v>
      </c>
      <c r="N234" s="81">
        <f t="shared" si="157"/>
        <v>0</v>
      </c>
      <c r="Y234" s="81">
        <f t="shared" si="158"/>
        <v>0</v>
      </c>
      <c r="Z234" s="81">
        <f t="shared" si="159"/>
        <v>0</v>
      </c>
      <c r="AA234" s="81">
        <f t="shared" si="160"/>
        <v>0</v>
      </c>
      <c r="AC234" s="84">
        <v>15</v>
      </c>
      <c r="AD234" s="84">
        <f t="shared" si="141"/>
        <v>0</v>
      </c>
      <c r="AE234" s="84">
        <f t="shared" si="142"/>
        <v>0</v>
      </c>
      <c r="AL234" s="84">
        <f t="shared" si="161"/>
        <v>0</v>
      </c>
      <c r="AM234" s="84">
        <f t="shared" si="162"/>
        <v>0</v>
      </c>
      <c r="AN234" s="85" t="s">
        <v>327</v>
      </c>
      <c r="AO234" s="85" t="s">
        <v>337</v>
      </c>
      <c r="AP234" s="105" t="s">
        <v>339</v>
      </c>
      <c r="AR234" s="75" t="s">
        <v>726</v>
      </c>
      <c r="AS234" s="160">
        <v>6.9999999999999994E-5</v>
      </c>
      <c r="AU234" s="227"/>
    </row>
    <row r="235" spans="1:47" s="104" customFormat="1" hidden="1">
      <c r="A235" s="4" t="s">
        <v>760</v>
      </c>
      <c r="B235" s="80"/>
      <c r="C235" s="80" t="s">
        <v>600</v>
      </c>
      <c r="D235" s="80" t="s">
        <v>601</v>
      </c>
      <c r="E235" s="80" t="s">
        <v>284</v>
      </c>
      <c r="F235" s="14">
        <v>0</v>
      </c>
      <c r="G235" s="14"/>
      <c r="H235" s="81">
        <f t="shared" si="153"/>
        <v>0</v>
      </c>
      <c r="I235" s="81">
        <f t="shared" si="154"/>
        <v>0</v>
      </c>
      <c r="J235" s="14">
        <f t="shared" si="155"/>
        <v>0</v>
      </c>
      <c r="K235" s="157">
        <v>1.4999999999999999E-4</v>
      </c>
      <c r="L235" s="81">
        <f t="shared" si="156"/>
        <v>0</v>
      </c>
      <c r="M235" s="82" t="s">
        <v>6</v>
      </c>
      <c r="N235" s="81">
        <f t="shared" si="157"/>
        <v>0</v>
      </c>
      <c r="Y235" s="81">
        <f t="shared" si="158"/>
        <v>0</v>
      </c>
      <c r="Z235" s="81">
        <f t="shared" si="159"/>
        <v>0</v>
      </c>
      <c r="AA235" s="81">
        <f t="shared" si="160"/>
        <v>0</v>
      </c>
      <c r="AC235" s="84">
        <v>15</v>
      </c>
      <c r="AD235" s="84">
        <f t="shared" si="141"/>
        <v>0</v>
      </c>
      <c r="AE235" s="84">
        <f t="shared" si="142"/>
        <v>0</v>
      </c>
      <c r="AL235" s="84">
        <f t="shared" si="161"/>
        <v>0</v>
      </c>
      <c r="AM235" s="84">
        <f t="shared" si="162"/>
        <v>0</v>
      </c>
      <c r="AN235" s="85" t="s">
        <v>327</v>
      </c>
      <c r="AO235" s="85" t="s">
        <v>337</v>
      </c>
      <c r="AP235" s="105" t="s">
        <v>339</v>
      </c>
      <c r="AR235" s="75" t="s">
        <v>726</v>
      </c>
      <c r="AS235" s="160">
        <v>1.4999999999999999E-4</v>
      </c>
      <c r="AU235" s="227"/>
    </row>
    <row r="236" spans="1:47" s="75" customFormat="1" hidden="1">
      <c r="A236" s="4" t="s">
        <v>761</v>
      </c>
      <c r="B236" s="4"/>
      <c r="C236" s="4" t="s">
        <v>172</v>
      </c>
      <c r="D236" s="4" t="s">
        <v>883</v>
      </c>
      <c r="E236" s="4" t="s">
        <v>284</v>
      </c>
      <c r="F236" s="14">
        <v>0</v>
      </c>
      <c r="G236" s="14"/>
      <c r="H236" s="14">
        <f t="shared" si="153"/>
        <v>0</v>
      </c>
      <c r="I236" s="14">
        <f>J236-H236</f>
        <v>0</v>
      </c>
      <c r="J236" s="14">
        <f t="shared" si="155"/>
        <v>0</v>
      </c>
      <c r="K236" s="136">
        <v>1.5E-3</v>
      </c>
      <c r="L236" s="14">
        <f t="shared" si="156"/>
        <v>0</v>
      </c>
      <c r="M236" s="20" t="s">
        <v>6</v>
      </c>
      <c r="N236" s="14">
        <f t="shared" si="157"/>
        <v>0</v>
      </c>
      <c r="Y236" s="81">
        <f t="shared" si="158"/>
        <v>0</v>
      </c>
      <c r="Z236" s="81">
        <f t="shared" si="159"/>
        <v>0</v>
      </c>
      <c r="AA236" s="81">
        <f t="shared" si="160"/>
        <v>0</v>
      </c>
      <c r="AC236" s="24">
        <v>15</v>
      </c>
      <c r="AD236" s="84">
        <f t="shared" si="141"/>
        <v>0</v>
      </c>
      <c r="AE236" s="84">
        <f t="shared" si="142"/>
        <v>0</v>
      </c>
      <c r="AL236" s="24">
        <f t="shared" si="161"/>
        <v>0</v>
      </c>
      <c r="AM236" s="24">
        <f t="shared" si="162"/>
        <v>0</v>
      </c>
      <c r="AN236" s="25" t="s">
        <v>327</v>
      </c>
      <c r="AO236" s="25" t="s">
        <v>337</v>
      </c>
      <c r="AP236" s="76" t="s">
        <v>339</v>
      </c>
      <c r="AQ236" s="75" t="s">
        <v>439</v>
      </c>
      <c r="AR236" s="75" t="s">
        <v>726</v>
      </c>
      <c r="AS236" s="160">
        <v>1.5E-3</v>
      </c>
      <c r="AU236" s="229"/>
    </row>
    <row r="237" spans="1:47" s="75" customFormat="1" hidden="1">
      <c r="A237" s="4" t="s">
        <v>762</v>
      </c>
      <c r="B237" s="4"/>
      <c r="C237" s="4" t="s">
        <v>172</v>
      </c>
      <c r="D237" s="4" t="s">
        <v>987</v>
      </c>
      <c r="E237" s="4" t="s">
        <v>284</v>
      </c>
      <c r="F237" s="14">
        <v>0</v>
      </c>
      <c r="G237" s="14"/>
      <c r="H237" s="14">
        <f t="shared" si="153"/>
        <v>0</v>
      </c>
      <c r="I237" s="14">
        <f t="shared" si="154"/>
        <v>0</v>
      </c>
      <c r="J237" s="14">
        <f t="shared" si="155"/>
        <v>0</v>
      </c>
      <c r="K237" s="136">
        <v>1.5E-3</v>
      </c>
      <c r="L237" s="14">
        <f t="shared" si="156"/>
        <v>0</v>
      </c>
      <c r="M237" s="20" t="s">
        <v>6</v>
      </c>
      <c r="N237" s="14">
        <f t="shared" si="157"/>
        <v>0</v>
      </c>
      <c r="Y237" s="81">
        <f t="shared" si="158"/>
        <v>0</v>
      </c>
      <c r="Z237" s="81">
        <f t="shared" si="159"/>
        <v>0</v>
      </c>
      <c r="AA237" s="81">
        <f t="shared" si="160"/>
        <v>0</v>
      </c>
      <c r="AC237" s="24">
        <v>15</v>
      </c>
      <c r="AD237" s="84">
        <f t="shared" si="141"/>
        <v>0</v>
      </c>
      <c r="AE237" s="84">
        <f t="shared" si="142"/>
        <v>0</v>
      </c>
      <c r="AL237" s="24">
        <f t="shared" si="161"/>
        <v>0</v>
      </c>
      <c r="AM237" s="24">
        <f t="shared" si="162"/>
        <v>0</v>
      </c>
      <c r="AN237" s="25" t="s">
        <v>327</v>
      </c>
      <c r="AO237" s="25" t="s">
        <v>337</v>
      </c>
      <c r="AP237" s="76" t="s">
        <v>339</v>
      </c>
      <c r="AQ237" s="75" t="s">
        <v>439</v>
      </c>
      <c r="AR237" s="75" t="s">
        <v>726</v>
      </c>
      <c r="AS237" s="160">
        <v>1.5E-3</v>
      </c>
      <c r="AU237" s="229"/>
    </row>
    <row r="238" spans="1:47">
      <c r="A238" s="4" t="s">
        <v>763</v>
      </c>
      <c r="B238" s="4"/>
      <c r="C238" s="4" t="s">
        <v>173</v>
      </c>
      <c r="D238" s="4" t="s">
        <v>252</v>
      </c>
      <c r="E238" s="4" t="s">
        <v>284</v>
      </c>
      <c r="F238" s="14">
        <f>F232</f>
        <v>510.34860000000003</v>
      </c>
      <c r="G238" s="14"/>
      <c r="H238" s="14">
        <f t="shared" si="153"/>
        <v>0</v>
      </c>
      <c r="I238" s="14">
        <f t="shared" si="154"/>
        <v>0</v>
      </c>
      <c r="J238" s="14">
        <f t="shared" si="155"/>
        <v>0</v>
      </c>
      <c r="K238" s="136">
        <v>1.4999999999999999E-4</v>
      </c>
      <c r="L238" s="14">
        <f t="shared" si="156"/>
        <v>7.6552289999999995E-2</v>
      </c>
      <c r="M238" s="20" t="s">
        <v>6</v>
      </c>
      <c r="N238" s="14">
        <f t="shared" si="157"/>
        <v>0</v>
      </c>
      <c r="Y238" s="81">
        <f t="shared" si="158"/>
        <v>0</v>
      </c>
      <c r="Z238" s="81">
        <f t="shared" si="159"/>
        <v>0</v>
      </c>
      <c r="AA238" s="81">
        <f t="shared" si="160"/>
        <v>0</v>
      </c>
      <c r="AC238" s="24">
        <v>15</v>
      </c>
      <c r="AD238" s="84">
        <f t="shared" si="141"/>
        <v>0</v>
      </c>
      <c r="AE238" s="84">
        <f t="shared" si="142"/>
        <v>0</v>
      </c>
      <c r="AL238" s="24">
        <f t="shared" si="161"/>
        <v>0</v>
      </c>
      <c r="AM238" s="24">
        <f t="shared" si="162"/>
        <v>0</v>
      </c>
      <c r="AN238" s="25" t="s">
        <v>327</v>
      </c>
      <c r="AO238" s="25" t="s">
        <v>337</v>
      </c>
      <c r="AP238" s="19" t="s">
        <v>339</v>
      </c>
      <c r="AR238" t="s">
        <v>726</v>
      </c>
      <c r="AS238" s="160">
        <v>1.4999999999999999E-4</v>
      </c>
    </row>
    <row r="239" spans="1:47" s="75" customFormat="1" hidden="1">
      <c r="A239" s="4" t="s">
        <v>764</v>
      </c>
      <c r="B239" s="4"/>
      <c r="C239" s="4" t="s">
        <v>174</v>
      </c>
      <c r="D239" s="4" t="s">
        <v>253</v>
      </c>
      <c r="E239" s="4" t="s">
        <v>284</v>
      </c>
      <c r="F239" s="14">
        <v>0</v>
      </c>
      <c r="G239" s="14"/>
      <c r="H239" s="14">
        <f t="shared" si="153"/>
        <v>0</v>
      </c>
      <c r="I239" s="14">
        <f t="shared" si="154"/>
        <v>0</v>
      </c>
      <c r="J239" s="14">
        <f t="shared" si="155"/>
        <v>0</v>
      </c>
      <c r="K239" s="136">
        <v>1.4999999999999999E-4</v>
      </c>
      <c r="L239" s="14">
        <f t="shared" si="156"/>
        <v>0</v>
      </c>
      <c r="M239" s="20" t="s">
        <v>6</v>
      </c>
      <c r="N239" s="14">
        <f t="shared" si="157"/>
        <v>0</v>
      </c>
      <c r="Y239" s="81">
        <f t="shared" si="158"/>
        <v>0</v>
      </c>
      <c r="Z239" s="81">
        <f t="shared" si="159"/>
        <v>0</v>
      </c>
      <c r="AA239" s="81">
        <f t="shared" si="160"/>
        <v>0</v>
      </c>
      <c r="AC239" s="24">
        <v>15</v>
      </c>
      <c r="AD239" s="84">
        <f t="shared" si="141"/>
        <v>0</v>
      </c>
      <c r="AE239" s="84">
        <f t="shared" si="142"/>
        <v>0</v>
      </c>
      <c r="AL239" s="24">
        <f t="shared" si="161"/>
        <v>0</v>
      </c>
      <c r="AM239" s="24">
        <f t="shared" si="162"/>
        <v>0</v>
      </c>
      <c r="AN239" s="25" t="s">
        <v>327</v>
      </c>
      <c r="AO239" s="25" t="s">
        <v>337</v>
      </c>
      <c r="AP239" s="76" t="s">
        <v>339</v>
      </c>
      <c r="AR239" s="75" t="s">
        <v>726</v>
      </c>
      <c r="AS239" s="160">
        <v>1.4999999999999999E-4</v>
      </c>
      <c r="AU239" s="229"/>
    </row>
    <row r="240" spans="1:47" hidden="1">
      <c r="A240" s="4" t="s">
        <v>765</v>
      </c>
      <c r="B240" s="4"/>
      <c r="C240" s="93" t="s">
        <v>174</v>
      </c>
      <c r="D240" s="4" t="s">
        <v>988</v>
      </c>
      <c r="E240" s="93" t="s">
        <v>284</v>
      </c>
      <c r="F240" s="14">
        <v>0</v>
      </c>
      <c r="G240" s="14"/>
      <c r="H240" s="14">
        <f t="shared" si="153"/>
        <v>0</v>
      </c>
      <c r="I240" s="14">
        <f>J240-H240</f>
        <v>0</v>
      </c>
      <c r="J240" s="14">
        <f t="shared" si="155"/>
        <v>0</v>
      </c>
      <c r="K240" s="136">
        <v>0</v>
      </c>
      <c r="L240" s="14">
        <f t="shared" si="156"/>
        <v>0</v>
      </c>
      <c r="M240" s="20" t="s">
        <v>6</v>
      </c>
      <c r="N240" s="14">
        <f t="shared" si="157"/>
        <v>0</v>
      </c>
      <c r="Y240" s="81">
        <f t="shared" si="158"/>
        <v>0</v>
      </c>
      <c r="Z240" s="81">
        <f t="shared" si="159"/>
        <v>0</v>
      </c>
      <c r="AA240" s="81">
        <f t="shared" si="160"/>
        <v>0</v>
      </c>
      <c r="AC240" s="24">
        <v>15</v>
      </c>
      <c r="AD240" s="84">
        <f t="shared" si="141"/>
        <v>0</v>
      </c>
      <c r="AE240" s="84">
        <f t="shared" si="142"/>
        <v>0</v>
      </c>
      <c r="AL240" s="24">
        <f t="shared" si="161"/>
        <v>0</v>
      </c>
      <c r="AM240" s="24">
        <f t="shared" si="162"/>
        <v>0</v>
      </c>
      <c r="AN240" s="25" t="s">
        <v>327</v>
      </c>
      <c r="AO240" s="25" t="s">
        <v>337</v>
      </c>
      <c r="AP240" s="19" t="s">
        <v>339</v>
      </c>
      <c r="AS240" s="160">
        <v>1E-4</v>
      </c>
    </row>
    <row r="241" spans="1:47" s="115" customFormat="1" hidden="1">
      <c r="A241" s="4" t="s">
        <v>766</v>
      </c>
      <c r="B241" s="93"/>
      <c r="C241" s="93" t="s">
        <v>716</v>
      </c>
      <c r="D241" s="93" t="s">
        <v>717</v>
      </c>
      <c r="E241" s="93" t="s">
        <v>284</v>
      </c>
      <c r="F241" s="14">
        <v>0</v>
      </c>
      <c r="G241" s="14"/>
      <c r="H241" s="94">
        <f t="shared" si="153"/>
        <v>0</v>
      </c>
      <c r="I241" s="94">
        <f>J241-H241</f>
        <v>0</v>
      </c>
      <c r="J241" s="14">
        <f t="shared" si="155"/>
        <v>0</v>
      </c>
      <c r="K241" s="158">
        <v>1.1999999999999999E-3</v>
      </c>
      <c r="L241" s="94">
        <f t="shared" si="156"/>
        <v>0</v>
      </c>
      <c r="M241" s="95" t="s">
        <v>6</v>
      </c>
      <c r="N241" s="94">
        <f t="shared" si="157"/>
        <v>0</v>
      </c>
      <c r="Y241" s="81">
        <f t="shared" si="158"/>
        <v>0</v>
      </c>
      <c r="Z241" s="81">
        <f t="shared" si="159"/>
        <v>0</v>
      </c>
      <c r="AA241" s="81">
        <f t="shared" si="160"/>
        <v>0</v>
      </c>
      <c r="AC241" s="97">
        <v>15</v>
      </c>
      <c r="AD241" s="84">
        <f t="shared" si="141"/>
        <v>0</v>
      </c>
      <c r="AE241" s="84">
        <f t="shared" si="142"/>
        <v>0</v>
      </c>
      <c r="AL241" s="97">
        <f t="shared" si="161"/>
        <v>0</v>
      </c>
      <c r="AM241" s="97">
        <f t="shared" si="162"/>
        <v>0</v>
      </c>
      <c r="AN241" s="98" t="s">
        <v>718</v>
      </c>
      <c r="AO241" s="98" t="s">
        <v>337</v>
      </c>
      <c r="AP241" s="116" t="s">
        <v>339</v>
      </c>
      <c r="AR241" s="75"/>
      <c r="AS241" s="160">
        <v>1.1999999999999999E-3</v>
      </c>
      <c r="AU241" s="231"/>
    </row>
    <row r="242" spans="1:47" s="96" customFormat="1" hidden="1">
      <c r="A242" s="4" t="s">
        <v>767</v>
      </c>
      <c r="B242" s="93"/>
      <c r="C242" s="93" t="s">
        <v>716</v>
      </c>
      <c r="D242" s="93" t="s">
        <v>725</v>
      </c>
      <c r="E242" s="93" t="s">
        <v>284</v>
      </c>
      <c r="F242" s="14">
        <v>0</v>
      </c>
      <c r="G242" s="14"/>
      <c r="H242" s="94">
        <f t="shared" si="153"/>
        <v>0</v>
      </c>
      <c r="I242" s="94">
        <f>J242-H242</f>
        <v>0</v>
      </c>
      <c r="J242" s="14">
        <f t="shared" si="155"/>
        <v>0</v>
      </c>
      <c r="K242" s="156">
        <f>K243*0.6</f>
        <v>1.6619999999999998E-3</v>
      </c>
      <c r="L242" s="94">
        <f t="shared" si="156"/>
        <v>0</v>
      </c>
      <c r="M242" s="95" t="s">
        <v>6</v>
      </c>
      <c r="N242" s="94">
        <f t="shared" si="157"/>
        <v>0</v>
      </c>
      <c r="Y242" s="81">
        <f t="shared" si="158"/>
        <v>0</v>
      </c>
      <c r="Z242" s="81">
        <f t="shared" si="159"/>
        <v>0</v>
      </c>
      <c r="AA242" s="81">
        <f t="shared" si="160"/>
        <v>0</v>
      </c>
      <c r="AC242" s="97">
        <v>15</v>
      </c>
      <c r="AD242" s="84">
        <f t="shared" si="141"/>
        <v>0</v>
      </c>
      <c r="AE242" s="84">
        <f t="shared" si="142"/>
        <v>0</v>
      </c>
      <c r="AL242" s="97">
        <f t="shared" si="161"/>
        <v>0</v>
      </c>
      <c r="AM242" s="97">
        <f t="shared" si="162"/>
        <v>0</v>
      </c>
      <c r="AN242" s="98" t="s">
        <v>718</v>
      </c>
      <c r="AO242" s="98" t="s">
        <v>337</v>
      </c>
      <c r="AP242" s="99" t="s">
        <v>339</v>
      </c>
      <c r="AS242" s="160">
        <v>0</v>
      </c>
      <c r="AU242" s="232"/>
    </row>
    <row r="243" spans="1:47" s="115" customFormat="1" hidden="1">
      <c r="A243" s="4" t="s">
        <v>768</v>
      </c>
      <c r="B243" s="93"/>
      <c r="C243" s="93" t="s">
        <v>716</v>
      </c>
      <c r="D243" s="93" t="s">
        <v>698</v>
      </c>
      <c r="E243" s="93" t="s">
        <v>284</v>
      </c>
      <c r="F243" s="14">
        <v>0</v>
      </c>
      <c r="G243" s="14"/>
      <c r="H243" s="94">
        <f t="shared" si="153"/>
        <v>0</v>
      </c>
      <c r="I243" s="94">
        <f>J243-H243</f>
        <v>0</v>
      </c>
      <c r="J243" s="14">
        <f t="shared" si="155"/>
        <v>0</v>
      </c>
      <c r="K243" s="156">
        <v>2.7699999999999999E-3</v>
      </c>
      <c r="L243" s="94">
        <f t="shared" si="156"/>
        <v>0</v>
      </c>
      <c r="M243" s="95" t="s">
        <v>6</v>
      </c>
      <c r="N243" s="94">
        <f t="shared" si="157"/>
        <v>0</v>
      </c>
      <c r="Y243" s="81">
        <f t="shared" si="158"/>
        <v>0</v>
      </c>
      <c r="Z243" s="81">
        <f t="shared" si="159"/>
        <v>0</v>
      </c>
      <c r="AA243" s="81">
        <f t="shared" si="160"/>
        <v>0</v>
      </c>
      <c r="AC243" s="97">
        <v>15</v>
      </c>
      <c r="AD243" s="84">
        <f t="shared" si="141"/>
        <v>0</v>
      </c>
      <c r="AE243" s="84">
        <f t="shared" si="142"/>
        <v>0</v>
      </c>
      <c r="AL243" s="97">
        <f t="shared" si="161"/>
        <v>0</v>
      </c>
      <c r="AM243" s="97">
        <f t="shared" si="162"/>
        <v>0</v>
      </c>
      <c r="AN243" s="98" t="s">
        <v>718</v>
      </c>
      <c r="AO243" s="98" t="s">
        <v>337</v>
      </c>
      <c r="AP243" s="116" t="s">
        <v>339</v>
      </c>
      <c r="AS243" s="160">
        <v>0</v>
      </c>
      <c r="AU243" s="231"/>
    </row>
    <row r="244" spans="1:47" s="115" customFormat="1" hidden="1">
      <c r="A244" s="4" t="s">
        <v>769</v>
      </c>
      <c r="B244" s="93"/>
      <c r="C244" s="93" t="s">
        <v>716</v>
      </c>
      <c r="D244" s="93" t="s">
        <v>724</v>
      </c>
      <c r="E244" s="93" t="s">
        <v>284</v>
      </c>
      <c r="F244" s="14">
        <v>0</v>
      </c>
      <c r="G244" s="14"/>
      <c r="H244" s="94">
        <f t="shared" si="153"/>
        <v>0</v>
      </c>
      <c r="I244" s="94">
        <f>J244-H244</f>
        <v>0</v>
      </c>
      <c r="J244" s="14">
        <f t="shared" si="155"/>
        <v>0</v>
      </c>
      <c r="K244" s="156">
        <v>3.1099999999999999E-3</v>
      </c>
      <c r="L244" s="94">
        <f t="shared" si="156"/>
        <v>0</v>
      </c>
      <c r="M244" s="95" t="s">
        <v>6</v>
      </c>
      <c r="N244" s="94">
        <f t="shared" si="157"/>
        <v>0</v>
      </c>
      <c r="Y244" s="81">
        <f t="shared" si="158"/>
        <v>0</v>
      </c>
      <c r="Z244" s="81">
        <f t="shared" si="159"/>
        <v>0</v>
      </c>
      <c r="AA244" s="81">
        <f t="shared" si="160"/>
        <v>0</v>
      </c>
      <c r="AC244" s="97">
        <v>15</v>
      </c>
      <c r="AD244" s="84">
        <f t="shared" si="141"/>
        <v>0</v>
      </c>
      <c r="AE244" s="84">
        <f t="shared" si="142"/>
        <v>0</v>
      </c>
      <c r="AL244" s="97">
        <f t="shared" si="161"/>
        <v>0</v>
      </c>
      <c r="AM244" s="97">
        <f t="shared" si="162"/>
        <v>0</v>
      </c>
      <c r="AN244" s="98" t="s">
        <v>718</v>
      </c>
      <c r="AO244" s="98" t="s">
        <v>337</v>
      </c>
      <c r="AP244" s="116" t="s">
        <v>339</v>
      </c>
      <c r="AS244" s="160">
        <v>0</v>
      </c>
      <c r="AU244" s="231"/>
    </row>
    <row r="245" spans="1:47" hidden="1">
      <c r="A245" s="4" t="s">
        <v>770</v>
      </c>
      <c r="B245" s="4"/>
      <c r="C245" s="93" t="s">
        <v>714</v>
      </c>
      <c r="D245" s="4" t="s">
        <v>699</v>
      </c>
      <c r="E245" s="93" t="s">
        <v>383</v>
      </c>
      <c r="F245" s="14">
        <v>0</v>
      </c>
      <c r="G245" s="100"/>
      <c r="H245" s="14">
        <f t="shared" si="153"/>
        <v>0</v>
      </c>
      <c r="I245" s="14">
        <f t="shared" si="154"/>
        <v>0</v>
      </c>
      <c r="J245" s="14">
        <f t="shared" si="155"/>
        <v>0</v>
      </c>
      <c r="K245" s="136">
        <v>0</v>
      </c>
      <c r="L245" s="14">
        <f t="shared" si="156"/>
        <v>0</v>
      </c>
      <c r="M245" s="20" t="s">
        <v>6</v>
      </c>
      <c r="N245" s="14">
        <f t="shared" si="157"/>
        <v>0</v>
      </c>
      <c r="Y245" s="81">
        <f t="shared" si="158"/>
        <v>0</v>
      </c>
      <c r="Z245" s="81">
        <f t="shared" si="159"/>
        <v>0</v>
      </c>
      <c r="AA245" s="81">
        <f t="shared" si="160"/>
        <v>0</v>
      </c>
      <c r="AC245" s="24">
        <v>15</v>
      </c>
      <c r="AD245" s="84">
        <f t="shared" si="141"/>
        <v>0</v>
      </c>
      <c r="AE245" s="84">
        <f t="shared" si="142"/>
        <v>0</v>
      </c>
      <c r="AL245" s="24">
        <f t="shared" si="161"/>
        <v>0</v>
      </c>
      <c r="AM245" s="24">
        <f t="shared" si="162"/>
        <v>0</v>
      </c>
      <c r="AN245" s="25" t="s">
        <v>322</v>
      </c>
      <c r="AO245" s="25" t="s">
        <v>336</v>
      </c>
      <c r="AP245" s="19" t="s">
        <v>339</v>
      </c>
      <c r="AS245" s="160">
        <v>4.0000000000000003E-5</v>
      </c>
    </row>
    <row r="246" spans="1:47" s="75" customFormat="1">
      <c r="A246" s="4" t="s">
        <v>771</v>
      </c>
      <c r="B246" s="4"/>
      <c r="C246" s="4" t="s">
        <v>148</v>
      </c>
      <c r="D246" s="4" t="s">
        <v>747</v>
      </c>
      <c r="E246" s="4" t="s">
        <v>286</v>
      </c>
      <c r="F246" s="14">
        <f>((Výměry!G9*2*1.15)*('BD-PODLAŽÍ'!F263+'BD-PODLAŽÍ'!G263+'BD-PODLAŽÍ'!H263+'BD-PODLAŽÍ'!I263+'BD-PODLAŽÍ'!B263+'BD-PODLAŽÍ'!C263+'BD-PODLAŽÍ'!D263+'BD-PODLAŽÍ'!E263))*0.6</f>
        <v>541.01519999999994</v>
      </c>
      <c r="G246" s="14"/>
      <c r="H246" s="14">
        <f t="shared" si="153"/>
        <v>0</v>
      </c>
      <c r="I246" s="14">
        <f>J246-H246</f>
        <v>0</v>
      </c>
      <c r="J246" s="14">
        <f t="shared" si="155"/>
        <v>0</v>
      </c>
      <c r="K246" s="136">
        <v>4.0000000000000003E-5</v>
      </c>
      <c r="L246" s="14">
        <f t="shared" si="156"/>
        <v>2.1640607999999999E-2</v>
      </c>
      <c r="M246" s="20" t="s">
        <v>6</v>
      </c>
      <c r="N246" s="14">
        <f t="shared" si="157"/>
        <v>0</v>
      </c>
      <c r="Y246" s="81">
        <f t="shared" si="158"/>
        <v>0</v>
      </c>
      <c r="Z246" s="81">
        <f t="shared" si="159"/>
        <v>0</v>
      </c>
      <c r="AA246" s="81">
        <f t="shared" si="160"/>
        <v>0</v>
      </c>
      <c r="AC246" s="24">
        <v>15</v>
      </c>
      <c r="AD246" s="84">
        <f t="shared" si="141"/>
        <v>0</v>
      </c>
      <c r="AE246" s="84">
        <f t="shared" si="142"/>
        <v>0</v>
      </c>
      <c r="AL246" s="24">
        <f t="shared" si="161"/>
        <v>0</v>
      </c>
      <c r="AM246" s="24">
        <f t="shared" si="162"/>
        <v>0</v>
      </c>
      <c r="AN246" s="25" t="s">
        <v>322</v>
      </c>
      <c r="AO246" s="25" t="s">
        <v>336</v>
      </c>
      <c r="AP246" s="76" t="s">
        <v>339</v>
      </c>
      <c r="AR246" s="75" t="s">
        <v>726</v>
      </c>
      <c r="AS246" s="160">
        <v>4.0000000000000003E-5</v>
      </c>
      <c r="AU246" s="229"/>
    </row>
    <row r="247" spans="1:47" s="75" customFormat="1" hidden="1">
      <c r="A247" s="4" t="s">
        <v>772</v>
      </c>
      <c r="B247" s="4"/>
      <c r="C247" s="4" t="s">
        <v>175</v>
      </c>
      <c r="D247" s="4" t="s">
        <v>254</v>
      </c>
      <c r="E247" s="4" t="s">
        <v>286</v>
      </c>
      <c r="F247" s="14">
        <v>0</v>
      </c>
      <c r="G247" s="14"/>
      <c r="H247" s="14">
        <f t="shared" si="153"/>
        <v>0</v>
      </c>
      <c r="I247" s="14">
        <f t="shared" si="154"/>
        <v>0</v>
      </c>
      <c r="J247" s="14">
        <f t="shared" si="155"/>
        <v>0</v>
      </c>
      <c r="K247" s="136">
        <v>1.7000000000000001E-4</v>
      </c>
      <c r="L247" s="14">
        <f t="shared" si="156"/>
        <v>0</v>
      </c>
      <c r="M247" s="20" t="s">
        <v>6</v>
      </c>
      <c r="N247" s="14">
        <f t="shared" si="157"/>
        <v>0</v>
      </c>
      <c r="Y247" s="81">
        <f t="shared" si="158"/>
        <v>0</v>
      </c>
      <c r="Z247" s="81">
        <f t="shared" si="159"/>
        <v>0</v>
      </c>
      <c r="AA247" s="81">
        <f t="shared" si="160"/>
        <v>0</v>
      </c>
      <c r="AC247" s="24">
        <v>15</v>
      </c>
      <c r="AD247" s="84">
        <f t="shared" si="141"/>
        <v>0</v>
      </c>
      <c r="AE247" s="84">
        <f t="shared" si="142"/>
        <v>0</v>
      </c>
      <c r="AL247" s="24">
        <f t="shared" si="161"/>
        <v>0</v>
      </c>
      <c r="AM247" s="24">
        <f t="shared" si="162"/>
        <v>0</v>
      </c>
      <c r="AN247" s="25" t="s">
        <v>327</v>
      </c>
      <c r="AO247" s="25" t="s">
        <v>337</v>
      </c>
      <c r="AP247" s="76" t="s">
        <v>339</v>
      </c>
      <c r="AR247" s="75" t="s">
        <v>726</v>
      </c>
      <c r="AS247" s="160">
        <v>1.7000000000000001E-4</v>
      </c>
      <c r="AU247" s="229"/>
    </row>
    <row r="248" spans="1:47">
      <c r="A248" s="6"/>
      <c r="B248" s="12"/>
      <c r="C248" s="12" t="s">
        <v>89</v>
      </c>
      <c r="D248" s="71" t="s">
        <v>255</v>
      </c>
      <c r="E248" s="72"/>
      <c r="F248" s="72"/>
      <c r="G248" s="72"/>
      <c r="H248" s="27">
        <f>SUM(H249:H259)</f>
        <v>0</v>
      </c>
      <c r="I248" s="27">
        <f>SUM(I249:I259)</f>
        <v>0</v>
      </c>
      <c r="J248" s="27">
        <f>H248+I248</f>
        <v>0</v>
      </c>
      <c r="K248" s="139"/>
      <c r="L248" s="27">
        <f>SUM(L249:L259)</f>
        <v>10.23992456</v>
      </c>
      <c r="O248" s="27">
        <f>IF(P248="PR",J248,SUM(N249:N251))</f>
        <v>0</v>
      </c>
      <c r="P248" s="19" t="s">
        <v>305</v>
      </c>
      <c r="Q248" s="27">
        <f>IF(P248="HS",H248,0)</f>
        <v>0</v>
      </c>
      <c r="R248" s="27">
        <f>IF(P248="HS",I248-O248,0)</f>
        <v>0</v>
      </c>
      <c r="S248" s="27">
        <f>IF(P248="PS",H248,0)</f>
        <v>0</v>
      </c>
      <c r="T248" s="27">
        <f>IF(P248="PS",I248-O248,0)</f>
        <v>0</v>
      </c>
      <c r="U248" s="27">
        <f>IF(P248="MP",H248,0)</f>
        <v>0</v>
      </c>
      <c r="V248" s="27">
        <f>IF(P248="MP",I248-O248,0)</f>
        <v>0</v>
      </c>
      <c r="W248" s="27">
        <f>IF(P248="OM",H248,0)</f>
        <v>0</v>
      </c>
      <c r="X248" s="19"/>
      <c r="Y248" s="81"/>
      <c r="Z248" s="81"/>
      <c r="AA248" s="81"/>
      <c r="AD248" s="84"/>
      <c r="AE248" s="84"/>
      <c r="AH248" s="27">
        <f>SUM(Y249:Y251)</f>
        <v>0</v>
      </c>
      <c r="AI248" s="27">
        <f>SUM(Z249:Z251)</f>
        <v>0</v>
      </c>
      <c r="AJ248" s="27">
        <f>SUM(AA249:AA251)</f>
        <v>0</v>
      </c>
      <c r="AS248" s="162"/>
    </row>
    <row r="249" spans="1:47" s="75" customFormat="1">
      <c r="A249" s="4" t="s">
        <v>773</v>
      </c>
      <c r="B249" s="4"/>
      <c r="C249" s="4" t="s">
        <v>176</v>
      </c>
      <c r="D249" s="4" t="s">
        <v>256</v>
      </c>
      <c r="E249" s="4" t="s">
        <v>284</v>
      </c>
      <c r="F249" s="14">
        <f>F250*8</f>
        <v>384.91200000000003</v>
      </c>
      <c r="G249" s="173"/>
      <c r="H249" s="14">
        <f t="shared" ref="H249:H256" si="163">F249*AD249</f>
        <v>0</v>
      </c>
      <c r="I249" s="14">
        <f t="shared" ref="I249:I256" si="164">J249-H249</f>
        <v>0</v>
      </c>
      <c r="J249" s="14">
        <f t="shared" ref="J249:J256" si="165">F249*G249</f>
        <v>0</v>
      </c>
      <c r="K249" s="136">
        <v>0</v>
      </c>
      <c r="L249" s="14">
        <f t="shared" ref="L249:L256" si="166">F249*K249</f>
        <v>0</v>
      </c>
      <c r="M249" s="20" t="s">
        <v>6</v>
      </c>
      <c r="N249" s="14">
        <f t="shared" ref="N249:N256" si="167">IF(M249="5",I249,0)</f>
        <v>0</v>
      </c>
      <c r="Y249" s="81">
        <f t="shared" ref="Y249:Y256" si="168">IF(AC249=0,J249,0)</f>
        <v>0</v>
      </c>
      <c r="Z249" s="81">
        <f t="shared" ref="Z249:Z256" si="169">IF(AC249=15,J249,0)</f>
        <v>0</v>
      </c>
      <c r="AA249" s="81">
        <f t="shared" ref="AA249:AA256" si="170">IF(AC249=21,J249,0)</f>
        <v>0</v>
      </c>
      <c r="AC249" s="24">
        <v>15</v>
      </c>
      <c r="AD249" s="84">
        <f t="shared" si="141"/>
        <v>0</v>
      </c>
      <c r="AE249" s="84">
        <f t="shared" si="142"/>
        <v>0</v>
      </c>
      <c r="AL249" s="24">
        <f t="shared" ref="AL249:AL256" si="171">F249*AD249</f>
        <v>0</v>
      </c>
      <c r="AM249" s="24">
        <f t="shared" ref="AM249:AM256" si="172">F249*AE249</f>
        <v>0</v>
      </c>
      <c r="AN249" s="25" t="s">
        <v>328</v>
      </c>
      <c r="AO249" s="25" t="s">
        <v>338</v>
      </c>
      <c r="AP249" s="76" t="s">
        <v>339</v>
      </c>
      <c r="AR249" s="75" t="s">
        <v>726</v>
      </c>
      <c r="AS249" s="160">
        <v>0</v>
      </c>
      <c r="AU249" s="229"/>
    </row>
    <row r="250" spans="1:47" s="75" customFormat="1">
      <c r="A250" s="4" t="s">
        <v>774</v>
      </c>
      <c r="B250" s="4"/>
      <c r="C250" s="4" t="s">
        <v>177</v>
      </c>
      <c r="D250" s="4" t="s">
        <v>257</v>
      </c>
      <c r="E250" s="4" t="s">
        <v>284</v>
      </c>
      <c r="F250" s="14">
        <f>(Výměry!U60)*('BD-PODLAŽÍ'!F263+'BD-PODLAŽÍ'!G263+'BD-PODLAŽÍ'!H263+'BD-PODLAŽÍ'!I263+'BD-PODLAŽÍ'!B263+'BD-PODLAŽÍ'!C263+'BD-PODLAŽÍ'!D263+'BD-PODLAŽÍ'!E263)</f>
        <v>48.114000000000004</v>
      </c>
      <c r="G250" s="173"/>
      <c r="H250" s="14">
        <f t="shared" si="163"/>
        <v>0</v>
      </c>
      <c r="I250" s="14">
        <f t="shared" si="164"/>
        <v>0</v>
      </c>
      <c r="J250" s="14">
        <f t="shared" si="165"/>
        <v>0</v>
      </c>
      <c r="K250" s="136">
        <v>4.0000000000000003E-5</v>
      </c>
      <c r="L250" s="14">
        <f t="shared" si="166"/>
        <v>1.9245600000000003E-3</v>
      </c>
      <c r="M250" s="20" t="s">
        <v>6</v>
      </c>
      <c r="N250" s="14">
        <f t="shared" si="167"/>
        <v>0</v>
      </c>
      <c r="Y250" s="81">
        <f t="shared" si="168"/>
        <v>0</v>
      </c>
      <c r="Z250" s="81">
        <f t="shared" si="169"/>
        <v>0</v>
      </c>
      <c r="AA250" s="81">
        <f t="shared" si="170"/>
        <v>0</v>
      </c>
      <c r="AC250" s="24">
        <v>15</v>
      </c>
      <c r="AD250" s="84">
        <f t="shared" si="141"/>
        <v>0</v>
      </c>
      <c r="AE250" s="84">
        <f t="shared" si="142"/>
        <v>0</v>
      </c>
      <c r="AL250" s="24">
        <f t="shared" si="171"/>
        <v>0</v>
      </c>
      <c r="AM250" s="24">
        <f t="shared" si="172"/>
        <v>0</v>
      </c>
      <c r="AN250" s="25" t="s">
        <v>328</v>
      </c>
      <c r="AO250" s="25" t="s">
        <v>338</v>
      </c>
      <c r="AP250" s="76" t="s">
        <v>339</v>
      </c>
      <c r="AR250" s="75" t="s">
        <v>726</v>
      </c>
      <c r="AS250" s="160">
        <v>4.0000000000000003E-5</v>
      </c>
      <c r="AU250" s="229"/>
    </row>
    <row r="251" spans="1:47" s="75" customFormat="1" hidden="1">
      <c r="A251" s="4" t="s">
        <v>775</v>
      </c>
      <c r="B251" s="4"/>
      <c r="C251" s="4" t="s">
        <v>477</v>
      </c>
      <c r="D251" s="4" t="s">
        <v>478</v>
      </c>
      <c r="E251" s="4" t="s">
        <v>284</v>
      </c>
      <c r="F251" s="14">
        <v>0</v>
      </c>
      <c r="G251" s="173"/>
      <c r="H251" s="14">
        <f t="shared" si="163"/>
        <v>0</v>
      </c>
      <c r="I251" s="14">
        <f t="shared" si="164"/>
        <v>0</v>
      </c>
      <c r="J251" s="14">
        <f t="shared" si="165"/>
        <v>0</v>
      </c>
      <c r="K251" s="136">
        <v>1.2099999999999999E-3</v>
      </c>
      <c r="L251" s="14">
        <f t="shared" si="166"/>
        <v>0</v>
      </c>
      <c r="M251" s="20" t="s">
        <v>6</v>
      </c>
      <c r="N251" s="14">
        <f t="shared" si="167"/>
        <v>0</v>
      </c>
      <c r="Y251" s="81">
        <f t="shared" si="168"/>
        <v>0</v>
      </c>
      <c r="Z251" s="81">
        <f t="shared" si="169"/>
        <v>0</v>
      </c>
      <c r="AA251" s="81">
        <f t="shared" si="170"/>
        <v>0</v>
      </c>
      <c r="AC251" s="24">
        <v>15</v>
      </c>
      <c r="AD251" s="84">
        <f t="shared" si="141"/>
        <v>0</v>
      </c>
      <c r="AE251" s="84">
        <f t="shared" si="142"/>
        <v>0</v>
      </c>
      <c r="AL251" s="24">
        <f t="shared" si="171"/>
        <v>0</v>
      </c>
      <c r="AM251" s="24">
        <f t="shared" si="172"/>
        <v>0</v>
      </c>
      <c r="AN251" s="25" t="s">
        <v>479</v>
      </c>
      <c r="AO251" s="25" t="s">
        <v>338</v>
      </c>
      <c r="AP251" s="76" t="s">
        <v>339</v>
      </c>
      <c r="AR251" s="75" t="s">
        <v>726</v>
      </c>
      <c r="AS251" s="160">
        <v>1.2099999999999999E-3</v>
      </c>
      <c r="AU251" s="229"/>
    </row>
    <row r="252" spans="1:47" s="75" customFormat="1" ht="102">
      <c r="A252" s="307" t="s">
        <v>970</v>
      </c>
      <c r="B252" s="307"/>
      <c r="C252" s="307" t="s">
        <v>1130</v>
      </c>
      <c r="D252" s="308" t="s">
        <v>1137</v>
      </c>
      <c r="E252" s="307" t="s">
        <v>857</v>
      </c>
      <c r="F252" s="309">
        <f>'BD-PODLAŽÍ'!F263+'BD-PODLAŽÍ'!G263+'BD-PODLAŽÍ'!H263+'BD-PODLAŽÍ'!I263</f>
        <v>81</v>
      </c>
      <c r="G252" s="309"/>
      <c r="H252" s="309">
        <f t="shared" ref="H252" si="173">F252*AD252</f>
        <v>0</v>
      </c>
      <c r="I252" s="309">
        <f t="shared" ref="I252" si="174">J252-H252</f>
        <v>0</v>
      </c>
      <c r="J252" s="309">
        <f t="shared" ref="J252" si="175">F252*G252</f>
        <v>0</v>
      </c>
      <c r="K252" s="310">
        <v>0.108</v>
      </c>
      <c r="L252" s="309">
        <f t="shared" ref="L252" si="176">F252*K252</f>
        <v>8.7479999999999993</v>
      </c>
      <c r="M252" s="20" t="s">
        <v>6</v>
      </c>
      <c r="N252" s="14">
        <f t="shared" ref="N252" si="177">IF(M252="5",I252,0)</f>
        <v>0</v>
      </c>
      <c r="Y252" s="81">
        <f t="shared" ref="Y252" si="178">IF(AC252=0,J252,0)</f>
        <v>0</v>
      </c>
      <c r="Z252" s="81">
        <f t="shared" ref="Z252" si="179">IF(AC252=15,J252,0)</f>
        <v>0</v>
      </c>
      <c r="AA252" s="81">
        <f t="shared" ref="AA252" si="180">IF(AC252=21,J252,0)</f>
        <v>0</v>
      </c>
      <c r="AC252" s="24">
        <v>15</v>
      </c>
      <c r="AD252" s="84">
        <f t="shared" si="141"/>
        <v>0</v>
      </c>
      <c r="AE252" s="84">
        <f t="shared" si="142"/>
        <v>0</v>
      </c>
      <c r="AL252" s="24">
        <f t="shared" ref="AL252" si="181">F252*AD252</f>
        <v>0</v>
      </c>
      <c r="AM252" s="24">
        <f t="shared" ref="AM252" si="182">F252*AE252</f>
        <v>0</v>
      </c>
      <c r="AN252" s="25" t="s">
        <v>479</v>
      </c>
      <c r="AO252" s="25" t="s">
        <v>338</v>
      </c>
      <c r="AP252" s="76" t="s">
        <v>339</v>
      </c>
      <c r="AR252" s="75" t="s">
        <v>726</v>
      </c>
      <c r="AS252" s="160">
        <v>1.2099999999999999E-3</v>
      </c>
      <c r="AU252" s="229" t="s">
        <v>971</v>
      </c>
    </row>
    <row r="253" spans="1:47" s="75" customFormat="1" ht="25.5" hidden="1">
      <c r="A253" s="169" t="s">
        <v>972</v>
      </c>
      <c r="B253" s="169"/>
      <c r="C253" s="169" t="s">
        <v>973</v>
      </c>
      <c r="D253" s="172" t="s">
        <v>974</v>
      </c>
      <c r="E253" s="169" t="s">
        <v>284</v>
      </c>
      <c r="F253" s="170">
        <v>0</v>
      </c>
      <c r="G253" s="170"/>
      <c r="H253" s="170">
        <f t="shared" ref="H253" si="183">F253*AD253</f>
        <v>0</v>
      </c>
      <c r="I253" s="170">
        <f t="shared" ref="I253" si="184">J253-H253</f>
        <v>0</v>
      </c>
      <c r="J253" s="170">
        <f t="shared" ref="J253" si="185">F253*G253</f>
        <v>0</v>
      </c>
      <c r="K253" s="171">
        <v>1.2099999999999999E-3</v>
      </c>
      <c r="L253" s="170">
        <f t="shared" ref="L253" si="186">F253*K253</f>
        <v>0</v>
      </c>
      <c r="M253" s="20" t="s">
        <v>6</v>
      </c>
      <c r="N253" s="14">
        <f t="shared" ref="N253" si="187">IF(M253="5",I253,0)</f>
        <v>0</v>
      </c>
      <c r="Y253" s="81">
        <f t="shared" ref="Y253" si="188">IF(AC253=0,J253,0)</f>
        <v>0</v>
      </c>
      <c r="Z253" s="81">
        <f t="shared" ref="Z253" si="189">IF(AC253=15,J253,0)</f>
        <v>0</v>
      </c>
      <c r="AA253" s="81">
        <f t="shared" ref="AA253" si="190">IF(AC253=21,J253,0)</f>
        <v>0</v>
      </c>
      <c r="AC253" s="24">
        <v>15</v>
      </c>
      <c r="AD253" s="84">
        <f t="shared" ref="AD253" si="191">G253*0.81143570536829</f>
        <v>0</v>
      </c>
      <c r="AE253" s="84">
        <f t="shared" ref="AE253" si="192">G253*(1-0.81143570536829)</f>
        <v>0</v>
      </c>
      <c r="AL253" s="24">
        <f t="shared" ref="AL253" si="193">F253*AD253</f>
        <v>0</v>
      </c>
      <c r="AM253" s="24">
        <f t="shared" ref="AM253" si="194">F253*AE253</f>
        <v>0</v>
      </c>
      <c r="AN253" s="25" t="s">
        <v>479</v>
      </c>
      <c r="AO253" s="25" t="s">
        <v>338</v>
      </c>
      <c r="AP253" s="76" t="s">
        <v>339</v>
      </c>
      <c r="AR253" s="75" t="s">
        <v>726</v>
      </c>
      <c r="AS253" s="160">
        <v>1.2099999999999999E-3</v>
      </c>
      <c r="AU253" s="229"/>
    </row>
    <row r="254" spans="1:47" s="196" customFormat="1" ht="76.5">
      <c r="A254" s="307" t="s">
        <v>884</v>
      </c>
      <c r="B254" s="307"/>
      <c r="C254" s="307" t="s">
        <v>1138</v>
      </c>
      <c r="D254" s="308" t="s">
        <v>1139</v>
      </c>
      <c r="E254" s="307" t="s">
        <v>743</v>
      </c>
      <c r="F254" s="309">
        <v>5</v>
      </c>
      <c r="G254" s="309"/>
      <c r="H254" s="309">
        <f t="shared" si="163"/>
        <v>0</v>
      </c>
      <c r="I254" s="309">
        <f t="shared" si="164"/>
        <v>0</v>
      </c>
      <c r="J254" s="309">
        <f t="shared" si="165"/>
        <v>0</v>
      </c>
      <c r="K254" s="310">
        <v>0.29799999999999999</v>
      </c>
      <c r="L254" s="309">
        <f t="shared" si="166"/>
        <v>1.49</v>
      </c>
      <c r="M254" s="329" t="s">
        <v>6</v>
      </c>
      <c r="N254" s="151">
        <f t="shared" si="167"/>
        <v>0</v>
      </c>
      <c r="Y254" s="151">
        <f t="shared" si="168"/>
        <v>0</v>
      </c>
      <c r="Z254" s="151">
        <f t="shared" si="169"/>
        <v>0</v>
      </c>
      <c r="AA254" s="151">
        <f t="shared" si="170"/>
        <v>0</v>
      </c>
      <c r="AC254" s="151">
        <v>15</v>
      </c>
      <c r="AD254" s="151">
        <f t="shared" ref="AD254:AD255" si="195">G254*0.81143570536829</f>
        <v>0</v>
      </c>
      <c r="AE254" s="151">
        <f t="shared" ref="AE254:AE255" si="196">G254*(1-0.81143570536829)</f>
        <v>0</v>
      </c>
      <c r="AL254" s="151">
        <f t="shared" si="171"/>
        <v>0</v>
      </c>
      <c r="AM254" s="151">
        <f t="shared" si="172"/>
        <v>0</v>
      </c>
      <c r="AN254" s="329" t="s">
        <v>479</v>
      </c>
      <c r="AO254" s="329" t="s">
        <v>338</v>
      </c>
      <c r="AP254" s="330" t="s">
        <v>339</v>
      </c>
      <c r="AR254" s="196" t="s">
        <v>726</v>
      </c>
      <c r="AS254" s="163">
        <v>1.2099999999999999E-3</v>
      </c>
      <c r="AU254" s="331"/>
    </row>
    <row r="255" spans="1:47" s="75" customFormat="1" hidden="1">
      <c r="A255" s="169" t="s">
        <v>885</v>
      </c>
      <c r="B255" s="169"/>
      <c r="C255" s="169" t="s">
        <v>887</v>
      </c>
      <c r="D255" s="172" t="s">
        <v>975</v>
      </c>
      <c r="E255" s="169" t="s">
        <v>743</v>
      </c>
      <c r="F255" s="170">
        <v>0</v>
      </c>
      <c r="G255" s="170"/>
      <c r="H255" s="170">
        <f t="shared" si="163"/>
        <v>0</v>
      </c>
      <c r="I255" s="170">
        <f t="shared" si="164"/>
        <v>0</v>
      </c>
      <c r="J255" s="170">
        <f t="shared" si="165"/>
        <v>0</v>
      </c>
      <c r="K255" s="171">
        <v>1.2099999999999999E-3</v>
      </c>
      <c r="L255" s="170">
        <f t="shared" si="166"/>
        <v>0</v>
      </c>
      <c r="M255" s="20" t="s">
        <v>6</v>
      </c>
      <c r="N255" s="14">
        <f t="shared" si="167"/>
        <v>0</v>
      </c>
      <c r="Y255" s="81">
        <f t="shared" si="168"/>
        <v>0</v>
      </c>
      <c r="Z255" s="81">
        <f t="shared" si="169"/>
        <v>0</v>
      </c>
      <c r="AA255" s="81">
        <f t="shared" si="170"/>
        <v>0</v>
      </c>
      <c r="AC255" s="24">
        <v>15</v>
      </c>
      <c r="AD255" s="84">
        <f t="shared" si="195"/>
        <v>0</v>
      </c>
      <c r="AE255" s="84">
        <f t="shared" si="196"/>
        <v>0</v>
      </c>
      <c r="AL255" s="24">
        <f t="shared" si="171"/>
        <v>0</v>
      </c>
      <c r="AM255" s="24">
        <f t="shared" si="172"/>
        <v>0</v>
      </c>
      <c r="AN255" s="25" t="s">
        <v>479</v>
      </c>
      <c r="AO255" s="25" t="s">
        <v>338</v>
      </c>
      <c r="AP255" s="76" t="s">
        <v>339</v>
      </c>
      <c r="AR255" s="75" t="s">
        <v>726</v>
      </c>
      <c r="AS255" s="160">
        <v>1.2099999999999999E-3</v>
      </c>
      <c r="AU255" s="229"/>
    </row>
    <row r="256" spans="1:47" s="75" customFormat="1" ht="25.5" hidden="1">
      <c r="A256" s="169" t="s">
        <v>886</v>
      </c>
      <c r="B256" s="169"/>
      <c r="C256" s="169" t="s">
        <v>888</v>
      </c>
      <c r="D256" s="172" t="s">
        <v>915</v>
      </c>
      <c r="E256" s="169" t="s">
        <v>286</v>
      </c>
      <c r="F256" s="170">
        <v>0</v>
      </c>
      <c r="G256" s="170"/>
      <c r="H256" s="170">
        <f t="shared" si="163"/>
        <v>0</v>
      </c>
      <c r="I256" s="170">
        <f t="shared" si="164"/>
        <v>0</v>
      </c>
      <c r="J256" s="170">
        <f t="shared" si="165"/>
        <v>0</v>
      </c>
      <c r="K256" s="171">
        <v>1.2099999999999999E-3</v>
      </c>
      <c r="L256" s="170">
        <f t="shared" si="166"/>
        <v>0</v>
      </c>
      <c r="M256" s="20" t="s">
        <v>6</v>
      </c>
      <c r="N256" s="14">
        <f t="shared" si="167"/>
        <v>0</v>
      </c>
      <c r="Y256" s="81">
        <f t="shared" si="168"/>
        <v>0</v>
      </c>
      <c r="Z256" s="81">
        <f t="shared" si="169"/>
        <v>0</v>
      </c>
      <c r="AA256" s="81">
        <f t="shared" si="170"/>
        <v>0</v>
      </c>
      <c r="AC256" s="24">
        <v>15</v>
      </c>
      <c r="AD256" s="84">
        <f t="shared" ref="AD256" si="197">G256*0.81143570536829</f>
        <v>0</v>
      </c>
      <c r="AE256" s="84">
        <f t="shared" ref="AE256" si="198">G256*(1-0.81143570536829)</f>
        <v>0</v>
      </c>
      <c r="AL256" s="24">
        <f t="shared" si="171"/>
        <v>0</v>
      </c>
      <c r="AM256" s="24">
        <f t="shared" si="172"/>
        <v>0</v>
      </c>
      <c r="AN256" s="25" t="s">
        <v>479</v>
      </c>
      <c r="AO256" s="25" t="s">
        <v>338</v>
      </c>
      <c r="AP256" s="76" t="s">
        <v>339</v>
      </c>
      <c r="AR256" s="75" t="s">
        <v>726</v>
      </c>
      <c r="AS256" s="160">
        <v>1.2099999999999999E-3</v>
      </c>
      <c r="AU256" s="229"/>
    </row>
    <row r="257" spans="1:47" s="75" customFormat="1" ht="51" hidden="1">
      <c r="A257" s="169" t="s">
        <v>897</v>
      </c>
      <c r="B257" s="169"/>
      <c r="C257" s="169" t="s">
        <v>898</v>
      </c>
      <c r="D257" s="172" t="s">
        <v>920</v>
      </c>
      <c r="E257" s="169" t="s">
        <v>857</v>
      </c>
      <c r="F257" s="170">
        <v>0</v>
      </c>
      <c r="G257" s="170"/>
      <c r="H257" s="170">
        <f t="shared" ref="H257:H259" si="199">F257*AD257</f>
        <v>0</v>
      </c>
      <c r="I257" s="170">
        <f t="shared" ref="I257:I259" si="200">J257-H257</f>
        <v>0</v>
      </c>
      <c r="J257" s="170">
        <f t="shared" ref="J257:J259" si="201">F257*G257</f>
        <v>0</v>
      </c>
      <c r="K257" s="171">
        <v>1.2099999999999999E-3</v>
      </c>
      <c r="L257" s="170">
        <f t="shared" ref="L257:L259" si="202">F257*K257</f>
        <v>0</v>
      </c>
      <c r="M257" s="20" t="s">
        <v>6</v>
      </c>
      <c r="N257" s="14">
        <f t="shared" ref="N257:N259" si="203">IF(M257="5",I257,0)</f>
        <v>0</v>
      </c>
      <c r="Y257" s="14">
        <f t="shared" ref="Y257:Y259" si="204">IF(AC257=0,J257,0)</f>
        <v>0</v>
      </c>
      <c r="Z257" s="14">
        <f t="shared" ref="Z257:Z259" si="205">IF(AC257=15,J257,0)</f>
        <v>0</v>
      </c>
      <c r="AA257" s="14">
        <f t="shared" ref="AA257:AA259" si="206">IF(AC257=21,J257,0)</f>
        <v>0</v>
      </c>
      <c r="AC257" s="24">
        <v>15</v>
      </c>
      <c r="AD257" s="24">
        <f t="shared" ref="AD257:AD259" si="207">G257*0.81143570536829</f>
        <v>0</v>
      </c>
      <c r="AE257" s="24">
        <f t="shared" ref="AE257:AE259" si="208">G257*(1-0.81143570536829)</f>
        <v>0</v>
      </c>
      <c r="AL257" s="24">
        <f t="shared" ref="AL257:AL259" si="209">F257*AD257</f>
        <v>0</v>
      </c>
      <c r="AM257" s="24">
        <f t="shared" ref="AM257:AM259" si="210">F257*AE257</f>
        <v>0</v>
      </c>
      <c r="AN257" s="25" t="s">
        <v>479</v>
      </c>
      <c r="AO257" s="25" t="s">
        <v>338</v>
      </c>
      <c r="AP257" s="76" t="s">
        <v>339</v>
      </c>
      <c r="AR257" s="75" t="s">
        <v>726</v>
      </c>
      <c r="AS257" s="160">
        <v>1.2099999999999999E-3</v>
      </c>
      <c r="AU257" s="229"/>
    </row>
    <row r="258" spans="1:47" s="75" customFormat="1" hidden="1">
      <c r="A258" s="169" t="s">
        <v>899</v>
      </c>
      <c r="B258" s="169"/>
      <c r="C258" s="169" t="s">
        <v>900</v>
      </c>
      <c r="D258" s="172" t="s">
        <v>917</v>
      </c>
      <c r="E258" s="169" t="s">
        <v>383</v>
      </c>
      <c r="F258" s="170">
        <v>0</v>
      </c>
      <c r="G258" s="170"/>
      <c r="H258" s="170">
        <f t="shared" si="199"/>
        <v>0</v>
      </c>
      <c r="I258" s="170">
        <f t="shared" si="200"/>
        <v>0</v>
      </c>
      <c r="J258" s="170">
        <f t="shared" si="201"/>
        <v>0</v>
      </c>
      <c r="K258" s="171">
        <v>1.2099999999999999E-3</v>
      </c>
      <c r="L258" s="170">
        <f t="shared" si="202"/>
        <v>0</v>
      </c>
      <c r="M258" s="20" t="s">
        <v>6</v>
      </c>
      <c r="N258" s="14">
        <f t="shared" si="203"/>
        <v>0</v>
      </c>
      <c r="Y258" s="14">
        <f t="shared" si="204"/>
        <v>0</v>
      </c>
      <c r="Z258" s="14">
        <f t="shared" si="205"/>
        <v>0</v>
      </c>
      <c r="AA258" s="14">
        <f t="shared" si="206"/>
        <v>0</v>
      </c>
      <c r="AC258" s="24">
        <v>15</v>
      </c>
      <c r="AD258" s="24">
        <f t="shared" si="207"/>
        <v>0</v>
      </c>
      <c r="AE258" s="24">
        <f t="shared" si="208"/>
        <v>0</v>
      </c>
      <c r="AL258" s="24">
        <f t="shared" si="209"/>
        <v>0</v>
      </c>
      <c r="AM258" s="24">
        <f t="shared" si="210"/>
        <v>0</v>
      </c>
      <c r="AN258" s="25" t="s">
        <v>479</v>
      </c>
      <c r="AO258" s="25" t="s">
        <v>338</v>
      </c>
      <c r="AP258" s="76" t="s">
        <v>339</v>
      </c>
      <c r="AR258" s="75" t="s">
        <v>726</v>
      </c>
      <c r="AS258" s="160">
        <v>1.2099999999999999E-3</v>
      </c>
      <c r="AU258" s="229"/>
    </row>
    <row r="259" spans="1:47" s="75" customFormat="1" hidden="1">
      <c r="A259" s="169" t="s">
        <v>901</v>
      </c>
      <c r="B259" s="169"/>
      <c r="C259" s="169" t="s">
        <v>902</v>
      </c>
      <c r="D259" s="172" t="s">
        <v>918</v>
      </c>
      <c r="E259" s="169" t="s">
        <v>383</v>
      </c>
      <c r="F259" s="170">
        <v>0</v>
      </c>
      <c r="G259" s="170"/>
      <c r="H259" s="170">
        <f t="shared" si="199"/>
        <v>0</v>
      </c>
      <c r="I259" s="170">
        <f t="shared" si="200"/>
        <v>0</v>
      </c>
      <c r="J259" s="170">
        <f t="shared" si="201"/>
        <v>0</v>
      </c>
      <c r="K259" s="171">
        <v>1.2099999999999999E-3</v>
      </c>
      <c r="L259" s="170">
        <f t="shared" si="202"/>
        <v>0</v>
      </c>
      <c r="M259" s="20" t="s">
        <v>6</v>
      </c>
      <c r="N259" s="14">
        <f t="shared" si="203"/>
        <v>0</v>
      </c>
      <c r="Y259" s="14">
        <f t="shared" si="204"/>
        <v>0</v>
      </c>
      <c r="Z259" s="14">
        <f t="shared" si="205"/>
        <v>0</v>
      </c>
      <c r="AA259" s="14">
        <f t="shared" si="206"/>
        <v>0</v>
      </c>
      <c r="AC259" s="24">
        <v>15</v>
      </c>
      <c r="AD259" s="24">
        <f t="shared" si="207"/>
        <v>0</v>
      </c>
      <c r="AE259" s="24">
        <f t="shared" si="208"/>
        <v>0</v>
      </c>
      <c r="AL259" s="24">
        <f t="shared" si="209"/>
        <v>0</v>
      </c>
      <c r="AM259" s="24">
        <f t="shared" si="210"/>
        <v>0</v>
      </c>
      <c r="AN259" s="25" t="s">
        <v>479</v>
      </c>
      <c r="AO259" s="25" t="s">
        <v>338</v>
      </c>
      <c r="AP259" s="76" t="s">
        <v>339</v>
      </c>
      <c r="AR259" s="75" t="s">
        <v>726</v>
      </c>
      <c r="AS259" s="160">
        <v>1.2099999999999999E-3</v>
      </c>
      <c r="AU259" s="229"/>
    </row>
    <row r="260" spans="1:47">
      <c r="A260" s="6"/>
      <c r="B260" s="12"/>
      <c r="C260" s="12" t="s">
        <v>90</v>
      </c>
      <c r="D260" s="71" t="s">
        <v>260</v>
      </c>
      <c r="E260" s="72"/>
      <c r="F260" s="72"/>
      <c r="G260" s="72"/>
      <c r="H260" s="27">
        <f>SUM(H261:H271)</f>
        <v>0</v>
      </c>
      <c r="I260" s="27">
        <f>SUM(I261:I271)</f>
        <v>0</v>
      </c>
      <c r="J260" s="27">
        <f>H260+I260</f>
        <v>0</v>
      </c>
      <c r="K260" s="139"/>
      <c r="L260" s="27">
        <f>SUM(L262:L271)</f>
        <v>9.4770000000000007E-2</v>
      </c>
      <c r="O260" s="27">
        <f>IF(P260="PR",J260,SUM(N261:N271))</f>
        <v>0</v>
      </c>
      <c r="P260" s="19" t="s">
        <v>305</v>
      </c>
      <c r="Q260" s="27">
        <f>IF(P260="HS",H260,0)</f>
        <v>0</v>
      </c>
      <c r="R260" s="27">
        <f>IF(P260="HS",I260-O260,0)</f>
        <v>0</v>
      </c>
      <c r="S260" s="27">
        <f>IF(P260="PS",H260,0)</f>
        <v>0</v>
      </c>
      <c r="T260" s="27">
        <f>IF(P260="PS",I260-O260,0)</f>
        <v>0</v>
      </c>
      <c r="U260" s="27">
        <f>IF(P260="MP",H260,0)</f>
        <v>0</v>
      </c>
      <c r="V260" s="27">
        <f>IF(P260="MP",I260-O260,0)</f>
        <v>0</v>
      </c>
      <c r="W260" s="27">
        <f>IF(P260="OM",H260,0)</f>
        <v>0</v>
      </c>
      <c r="X260" s="19"/>
      <c r="Y260" s="81"/>
      <c r="Z260" s="81"/>
      <c r="AA260" s="81"/>
      <c r="AD260" s="84"/>
      <c r="AE260" s="84"/>
      <c r="AH260" s="27">
        <f>SUM(Y261:Y271)</f>
        <v>0</v>
      </c>
      <c r="AI260" s="27">
        <f>SUM(Z261:Z271)</f>
        <v>0</v>
      </c>
      <c r="AJ260" s="27">
        <f>SUM(AA261:AA271)</f>
        <v>0</v>
      </c>
      <c r="AS260" s="162"/>
    </row>
    <row r="261" spans="1:47">
      <c r="A261" s="4" t="s">
        <v>776</v>
      </c>
      <c r="B261" s="4"/>
      <c r="C261" s="4" t="s">
        <v>181</v>
      </c>
      <c r="D261" s="4" t="s">
        <v>262</v>
      </c>
      <c r="E261" s="4" t="s">
        <v>288</v>
      </c>
      <c r="F261" s="126">
        <f>L12+L26+L30+L61+L65+L121+L173+L224+L231+L248+L283+L299+L301+L302+L303</f>
        <v>49.37502727039999</v>
      </c>
      <c r="G261" s="151"/>
      <c r="H261" s="14">
        <f t="shared" ref="H261:H271" si="211">F261*AD261</f>
        <v>0</v>
      </c>
      <c r="I261" s="14">
        <f t="shared" ref="I261:I271" si="212">J261-H261</f>
        <v>0</v>
      </c>
      <c r="J261" s="14">
        <f t="shared" ref="J261:J271" si="213">F261*G261</f>
        <v>0</v>
      </c>
      <c r="K261" s="136"/>
      <c r="L261" s="14"/>
      <c r="M261" s="20" t="s">
        <v>10</v>
      </c>
      <c r="N261" s="14">
        <f>IF(M261="5",J261,0)</f>
        <v>0</v>
      </c>
      <c r="Y261" s="81">
        <f t="shared" ref="Y261:Y271" si="214">IF(AC261=0,J261,0)</f>
        <v>0</v>
      </c>
      <c r="Z261" s="81">
        <f t="shared" ref="Z261:Z271" si="215">IF(AC261=15,J261,0)</f>
        <v>0</v>
      </c>
      <c r="AA261" s="81">
        <f t="shared" ref="AA261:AA271" si="216">IF(AC261=21,J261,0)</f>
        <v>0</v>
      </c>
      <c r="AC261" s="24">
        <v>15</v>
      </c>
      <c r="AD261" s="84">
        <f t="shared" si="141"/>
        <v>0</v>
      </c>
      <c r="AE261" s="84">
        <f t="shared" si="142"/>
        <v>0</v>
      </c>
      <c r="AL261" s="24">
        <f t="shared" ref="AL261:AL271" si="217">F261*AD261</f>
        <v>0</v>
      </c>
      <c r="AM261" s="24">
        <f t="shared" ref="AM261:AM271" si="218">F261*AE261</f>
        <v>0</v>
      </c>
      <c r="AN261" s="25" t="s">
        <v>329</v>
      </c>
      <c r="AO261" s="25" t="s">
        <v>338</v>
      </c>
      <c r="AP261" s="19" t="s">
        <v>339</v>
      </c>
      <c r="AR261" s="75" t="s">
        <v>726</v>
      </c>
      <c r="AS261" s="160"/>
    </row>
    <row r="262" spans="1:47" s="75" customFormat="1" hidden="1">
      <c r="A262" s="4" t="s">
        <v>777</v>
      </c>
      <c r="B262" s="4"/>
      <c r="C262" s="4" t="s">
        <v>183</v>
      </c>
      <c r="D262" s="4" t="s">
        <v>264</v>
      </c>
      <c r="E262" s="4" t="s">
        <v>284</v>
      </c>
      <c r="F262" s="14">
        <v>0</v>
      </c>
      <c r="G262" s="151"/>
      <c r="H262" s="14">
        <f t="shared" si="211"/>
        <v>0</v>
      </c>
      <c r="I262" s="14">
        <f>J262-H262</f>
        <v>0</v>
      </c>
      <c r="J262" s="14">
        <f t="shared" si="213"/>
        <v>0</v>
      </c>
      <c r="K262" s="136">
        <v>0.02</v>
      </c>
      <c r="L262" s="14">
        <f>F262*K262</f>
        <v>0</v>
      </c>
      <c r="M262" s="20" t="s">
        <v>6</v>
      </c>
      <c r="N262" s="14">
        <f t="shared" ref="N262:N271" si="219">IF(M262="5",I262,0)</f>
        <v>0</v>
      </c>
      <c r="Y262" s="81">
        <f t="shared" si="214"/>
        <v>0</v>
      </c>
      <c r="Z262" s="81">
        <f t="shared" si="215"/>
        <v>0</v>
      </c>
      <c r="AA262" s="81">
        <f t="shared" si="216"/>
        <v>0</v>
      </c>
      <c r="AC262" s="24">
        <v>15</v>
      </c>
      <c r="AD262" s="84">
        <f t="shared" si="141"/>
        <v>0</v>
      </c>
      <c r="AE262" s="84">
        <f t="shared" si="142"/>
        <v>0</v>
      </c>
      <c r="AL262" s="24">
        <f t="shared" si="217"/>
        <v>0</v>
      </c>
      <c r="AM262" s="24">
        <f t="shared" si="218"/>
        <v>0</v>
      </c>
      <c r="AN262" s="25" t="s">
        <v>329</v>
      </c>
      <c r="AO262" s="25" t="s">
        <v>338</v>
      </c>
      <c r="AP262" s="76" t="s">
        <v>339</v>
      </c>
      <c r="AR262" s="75" t="s">
        <v>726</v>
      </c>
      <c r="AS262" s="160">
        <v>0.02</v>
      </c>
      <c r="AU262" s="229"/>
    </row>
    <row r="263" spans="1:47" s="75" customFormat="1" hidden="1">
      <c r="A263" s="4" t="s">
        <v>778</v>
      </c>
      <c r="B263" s="4"/>
      <c r="C263" s="4" t="s">
        <v>786</v>
      </c>
      <c r="D263" s="4" t="s">
        <v>787</v>
      </c>
      <c r="E263" s="4" t="s">
        <v>284</v>
      </c>
      <c r="F263" s="14">
        <f>Výměry!P24</f>
        <v>0</v>
      </c>
      <c r="G263" s="151"/>
      <c r="H263" s="14">
        <f t="shared" si="211"/>
        <v>0</v>
      </c>
      <c r="I263" s="14">
        <f>J263-H263</f>
        <v>0</v>
      </c>
      <c r="J263" s="14">
        <f t="shared" si="213"/>
        <v>0</v>
      </c>
      <c r="K263" s="136">
        <v>2.7199999999999998E-2</v>
      </c>
      <c r="L263" s="14">
        <f>F263*K263</f>
        <v>0</v>
      </c>
      <c r="M263" s="20" t="s">
        <v>6</v>
      </c>
      <c r="N263" s="14">
        <f t="shared" si="219"/>
        <v>0</v>
      </c>
      <c r="Y263" s="81">
        <f t="shared" si="214"/>
        <v>0</v>
      </c>
      <c r="Z263" s="81">
        <f t="shared" si="215"/>
        <v>0</v>
      </c>
      <c r="AA263" s="81">
        <f t="shared" si="216"/>
        <v>0</v>
      </c>
      <c r="AC263" s="24">
        <v>15</v>
      </c>
      <c r="AD263" s="84">
        <f t="shared" si="141"/>
        <v>0</v>
      </c>
      <c r="AE263" s="84">
        <f t="shared" si="142"/>
        <v>0</v>
      </c>
      <c r="AL263" s="24">
        <f t="shared" si="217"/>
        <v>0</v>
      </c>
      <c r="AM263" s="24">
        <f t="shared" si="218"/>
        <v>0</v>
      </c>
      <c r="AN263" s="25" t="s">
        <v>329</v>
      </c>
      <c r="AO263" s="25" t="s">
        <v>338</v>
      </c>
      <c r="AP263" s="76" t="s">
        <v>339</v>
      </c>
      <c r="AR263" s="75" t="s">
        <v>726</v>
      </c>
      <c r="AS263" s="160">
        <v>2.7199999999999998E-2</v>
      </c>
      <c r="AU263" s="229"/>
    </row>
    <row r="264" spans="1:47" s="75" customFormat="1" hidden="1">
      <c r="A264" s="4" t="s">
        <v>779</v>
      </c>
      <c r="B264" s="4"/>
      <c r="C264" s="4" t="s">
        <v>182</v>
      </c>
      <c r="D264" s="4" t="s">
        <v>263</v>
      </c>
      <c r="E264" s="4" t="s">
        <v>284</v>
      </c>
      <c r="F264" s="14">
        <f>F263</f>
        <v>0</v>
      </c>
      <c r="G264" s="151"/>
      <c r="H264" s="14">
        <f t="shared" si="211"/>
        <v>0</v>
      </c>
      <c r="I264" s="14">
        <f t="shared" si="212"/>
        <v>0</v>
      </c>
      <c r="J264" s="14">
        <f t="shared" si="213"/>
        <v>0</v>
      </c>
      <c r="K264" s="136">
        <v>1.75E-3</v>
      </c>
      <c r="L264" s="14">
        <f>F264*K264</f>
        <v>0</v>
      </c>
      <c r="M264" s="20" t="s">
        <v>6</v>
      </c>
      <c r="N264" s="14">
        <f t="shared" si="219"/>
        <v>0</v>
      </c>
      <c r="Y264" s="81">
        <f t="shared" si="214"/>
        <v>0</v>
      </c>
      <c r="Z264" s="81">
        <f t="shared" si="215"/>
        <v>0</v>
      </c>
      <c r="AA264" s="81">
        <f t="shared" si="216"/>
        <v>0</v>
      </c>
      <c r="AC264" s="24">
        <v>15</v>
      </c>
      <c r="AD264" s="84">
        <f t="shared" si="141"/>
        <v>0</v>
      </c>
      <c r="AE264" s="84">
        <f t="shared" si="142"/>
        <v>0</v>
      </c>
      <c r="AL264" s="24">
        <f t="shared" si="217"/>
        <v>0</v>
      </c>
      <c r="AM264" s="24">
        <f t="shared" si="218"/>
        <v>0</v>
      </c>
      <c r="AN264" s="25" t="s">
        <v>329</v>
      </c>
      <c r="AO264" s="25" t="s">
        <v>338</v>
      </c>
      <c r="AP264" s="76" t="s">
        <v>339</v>
      </c>
      <c r="AR264" s="75" t="s">
        <v>726</v>
      </c>
      <c r="AS264" s="160">
        <v>1.75E-3</v>
      </c>
      <c r="AU264" s="229"/>
    </row>
    <row r="265" spans="1:47" s="104" customFormat="1" hidden="1">
      <c r="A265" s="4" t="s">
        <v>780</v>
      </c>
      <c r="B265" s="80"/>
      <c r="C265" s="80" t="s">
        <v>602</v>
      </c>
      <c r="D265" s="80" t="s">
        <v>603</v>
      </c>
      <c r="E265" s="80" t="s">
        <v>284</v>
      </c>
      <c r="F265" s="81">
        <v>0</v>
      </c>
      <c r="G265" s="151"/>
      <c r="H265" s="81">
        <f t="shared" si="211"/>
        <v>0</v>
      </c>
      <c r="I265" s="81">
        <f>J265-H265</f>
        <v>0</v>
      </c>
      <c r="J265" s="14">
        <f>F265*G265</f>
        <v>0</v>
      </c>
      <c r="K265" s="135">
        <v>2.5510000000000001E-2</v>
      </c>
      <c r="L265" s="81">
        <f>F265*K265</f>
        <v>0</v>
      </c>
      <c r="M265" s="82" t="s">
        <v>6</v>
      </c>
      <c r="N265" s="81">
        <f t="shared" si="219"/>
        <v>0</v>
      </c>
      <c r="Y265" s="81">
        <f t="shared" si="214"/>
        <v>0</v>
      </c>
      <c r="Z265" s="81">
        <f t="shared" si="215"/>
        <v>0</v>
      </c>
      <c r="AA265" s="81">
        <f t="shared" si="216"/>
        <v>0</v>
      </c>
      <c r="AC265" s="84">
        <v>15</v>
      </c>
      <c r="AD265" s="84">
        <f>G265*0.81143570536829</f>
        <v>0</v>
      </c>
      <c r="AE265" s="84">
        <f>G265*(1-0.81143570536829)</f>
        <v>0</v>
      </c>
      <c r="AL265" s="84">
        <f t="shared" si="217"/>
        <v>0</v>
      </c>
      <c r="AM265" s="84">
        <f t="shared" si="218"/>
        <v>0</v>
      </c>
      <c r="AN265" s="85" t="s">
        <v>329</v>
      </c>
      <c r="AO265" s="85" t="s">
        <v>338</v>
      </c>
      <c r="AP265" s="105" t="s">
        <v>339</v>
      </c>
      <c r="AR265" s="75" t="s">
        <v>726</v>
      </c>
      <c r="AS265" s="160">
        <v>2.5510000000000001E-2</v>
      </c>
      <c r="AU265" s="227"/>
    </row>
    <row r="266" spans="1:47" s="75" customFormat="1" hidden="1">
      <c r="A266" s="4" t="s">
        <v>781</v>
      </c>
      <c r="B266" s="4"/>
      <c r="C266" s="4" t="s">
        <v>187</v>
      </c>
      <c r="D266" s="4" t="s">
        <v>847</v>
      </c>
      <c r="E266" s="4" t="s">
        <v>284</v>
      </c>
      <c r="F266" s="14">
        <v>0</v>
      </c>
      <c r="G266" s="151"/>
      <c r="H266" s="14">
        <f t="shared" si="211"/>
        <v>0</v>
      </c>
      <c r="I266" s="14">
        <f t="shared" si="212"/>
        <v>0</v>
      </c>
      <c r="J266" s="14">
        <f t="shared" si="213"/>
        <v>0</v>
      </c>
      <c r="K266" s="153">
        <v>1.4200000000000001E-2</v>
      </c>
      <c r="L266" s="14">
        <f t="shared" ref="L266:L271" si="220">F266*K266</f>
        <v>0</v>
      </c>
      <c r="M266" s="20" t="s">
        <v>6</v>
      </c>
      <c r="N266" s="14">
        <f t="shared" si="219"/>
        <v>0</v>
      </c>
      <c r="Y266" s="81">
        <f t="shared" si="214"/>
        <v>0</v>
      </c>
      <c r="Z266" s="81">
        <f t="shared" si="215"/>
        <v>0</v>
      </c>
      <c r="AA266" s="81">
        <f t="shared" si="216"/>
        <v>0</v>
      </c>
      <c r="AC266" s="24">
        <v>15</v>
      </c>
      <c r="AD266" s="84">
        <f t="shared" si="141"/>
        <v>0</v>
      </c>
      <c r="AE266" s="84">
        <f t="shared" si="142"/>
        <v>0</v>
      </c>
      <c r="AL266" s="24">
        <f t="shared" si="217"/>
        <v>0</v>
      </c>
      <c r="AM266" s="24">
        <f t="shared" si="218"/>
        <v>0</v>
      </c>
      <c r="AN266" s="25" t="s">
        <v>330</v>
      </c>
      <c r="AO266" s="25" t="s">
        <v>338</v>
      </c>
      <c r="AP266" s="76" t="s">
        <v>339</v>
      </c>
      <c r="AR266" s="75" t="s">
        <v>726</v>
      </c>
      <c r="AS266" s="166"/>
      <c r="AU266" s="229"/>
    </row>
    <row r="267" spans="1:47" s="75" customFormat="1" hidden="1">
      <c r="A267" s="4" t="s">
        <v>782</v>
      </c>
      <c r="B267" s="4"/>
      <c r="C267" s="4" t="s">
        <v>187</v>
      </c>
      <c r="D267" s="4" t="s">
        <v>848</v>
      </c>
      <c r="E267" s="4" t="s">
        <v>284</v>
      </c>
      <c r="F267" s="14">
        <f>Výměry!D74</f>
        <v>0</v>
      </c>
      <c r="G267" s="151"/>
      <c r="H267" s="14">
        <f t="shared" si="211"/>
        <v>0</v>
      </c>
      <c r="I267" s="14">
        <f>J267-H267</f>
        <v>0</v>
      </c>
      <c r="J267" s="14">
        <f>F267*G267</f>
        <v>0</v>
      </c>
      <c r="K267" s="153">
        <v>6.8000000000000005E-2</v>
      </c>
      <c r="L267" s="14">
        <f t="shared" si="220"/>
        <v>0</v>
      </c>
      <c r="M267" s="20" t="s">
        <v>6</v>
      </c>
      <c r="N267" s="14">
        <f t="shared" si="219"/>
        <v>0</v>
      </c>
      <c r="Y267" s="81">
        <f t="shared" si="214"/>
        <v>0</v>
      </c>
      <c r="Z267" s="81">
        <f t="shared" si="215"/>
        <v>0</v>
      </c>
      <c r="AA267" s="81">
        <f t="shared" si="216"/>
        <v>0</v>
      </c>
      <c r="AC267" s="24">
        <v>15</v>
      </c>
      <c r="AD267" s="84">
        <f>G267*0.81143570536829</f>
        <v>0</v>
      </c>
      <c r="AE267" s="84">
        <f>G267*(1-0.81143570536829)</f>
        <v>0</v>
      </c>
      <c r="AL267" s="24">
        <f t="shared" si="217"/>
        <v>0</v>
      </c>
      <c r="AM267" s="24">
        <f t="shared" si="218"/>
        <v>0</v>
      </c>
      <c r="AN267" s="25" t="s">
        <v>330</v>
      </c>
      <c r="AO267" s="25" t="s">
        <v>338</v>
      </c>
      <c r="AP267" s="76" t="s">
        <v>339</v>
      </c>
      <c r="AR267" s="75" t="s">
        <v>726</v>
      </c>
      <c r="AS267" s="160">
        <v>6.8000000000000005E-2</v>
      </c>
      <c r="AU267" s="229"/>
    </row>
    <row r="268" spans="1:47" hidden="1">
      <c r="A268" s="4" t="s">
        <v>788</v>
      </c>
      <c r="B268" s="4"/>
      <c r="C268" s="4" t="s">
        <v>184</v>
      </c>
      <c r="D268" s="4" t="s">
        <v>265</v>
      </c>
      <c r="E268" s="4" t="s">
        <v>285</v>
      </c>
      <c r="F268" s="14">
        <v>0</v>
      </c>
      <c r="G268" s="151"/>
      <c r="H268" s="14">
        <f t="shared" si="211"/>
        <v>0</v>
      </c>
      <c r="I268" s="14">
        <f t="shared" si="212"/>
        <v>0</v>
      </c>
      <c r="J268" s="14">
        <f t="shared" si="213"/>
        <v>0</v>
      </c>
      <c r="K268" s="153">
        <v>0</v>
      </c>
      <c r="L268" s="14">
        <f t="shared" si="220"/>
        <v>0</v>
      </c>
      <c r="M268" s="20" t="s">
        <v>6</v>
      </c>
      <c r="N268" s="14">
        <f t="shared" si="219"/>
        <v>0</v>
      </c>
      <c r="Y268" s="81">
        <f t="shared" si="214"/>
        <v>0</v>
      </c>
      <c r="Z268" s="81">
        <f t="shared" si="215"/>
        <v>0</v>
      </c>
      <c r="AA268" s="81">
        <f t="shared" si="216"/>
        <v>0</v>
      </c>
      <c r="AC268" s="24">
        <v>15</v>
      </c>
      <c r="AD268" s="84">
        <f t="shared" si="141"/>
        <v>0</v>
      </c>
      <c r="AE268" s="84">
        <f t="shared" si="142"/>
        <v>0</v>
      </c>
      <c r="AL268" s="24">
        <f t="shared" si="217"/>
        <v>0</v>
      </c>
      <c r="AM268" s="24">
        <f t="shared" si="218"/>
        <v>0</v>
      </c>
      <c r="AN268" s="25" t="s">
        <v>329</v>
      </c>
      <c r="AO268" s="25" t="s">
        <v>338</v>
      </c>
      <c r="AP268" s="19" t="s">
        <v>339</v>
      </c>
      <c r="AR268" s="75" t="s">
        <v>726</v>
      </c>
      <c r="AS268" s="160">
        <v>1.1E-4</v>
      </c>
    </row>
    <row r="269" spans="1:47" s="45" customFormat="1">
      <c r="A269" s="4" t="s">
        <v>789</v>
      </c>
      <c r="B269" s="46"/>
      <c r="C269" s="118" t="s">
        <v>1129</v>
      </c>
      <c r="D269" s="209" t="s">
        <v>1128</v>
      </c>
      <c r="E269" s="118" t="s">
        <v>285</v>
      </c>
      <c r="F269" s="48">
        <f>'BD-PODLAŽÍ'!F263+'BD-PODLAŽÍ'!G263+'BD-PODLAŽÍ'!H263+'BD-PODLAŽÍ'!I263</f>
        <v>81</v>
      </c>
      <c r="G269" s="151"/>
      <c r="H269" s="14">
        <f t="shared" si="211"/>
        <v>0</v>
      </c>
      <c r="I269" s="14">
        <f t="shared" si="212"/>
        <v>0</v>
      </c>
      <c r="J269" s="14">
        <f>F269*G269</f>
        <v>0</v>
      </c>
      <c r="K269" s="155">
        <v>1.17E-3</v>
      </c>
      <c r="L269" s="14">
        <f t="shared" si="220"/>
        <v>9.4770000000000007E-2</v>
      </c>
      <c r="M269" s="49">
        <v>1</v>
      </c>
      <c r="N269" s="14">
        <f t="shared" si="219"/>
        <v>0</v>
      </c>
      <c r="Y269" s="81">
        <f t="shared" si="214"/>
        <v>0</v>
      </c>
      <c r="Z269" s="81">
        <f t="shared" si="215"/>
        <v>0</v>
      </c>
      <c r="AA269" s="81">
        <f t="shared" si="216"/>
        <v>0</v>
      </c>
      <c r="AB269"/>
      <c r="AC269" s="24">
        <v>15</v>
      </c>
      <c r="AD269" s="84">
        <f>G269*0.81143570536829</f>
        <v>0</v>
      </c>
      <c r="AE269" s="84">
        <f>G269*(1-0.81143570536829)</f>
        <v>0</v>
      </c>
      <c r="AL269" s="24">
        <f t="shared" si="217"/>
        <v>0</v>
      </c>
      <c r="AM269" s="24">
        <f t="shared" si="218"/>
        <v>0</v>
      </c>
      <c r="AN269" s="25" t="s">
        <v>329</v>
      </c>
      <c r="AO269" s="25" t="s">
        <v>338</v>
      </c>
      <c r="AP269" s="19" t="s">
        <v>339</v>
      </c>
      <c r="AR269" s="75" t="s">
        <v>726</v>
      </c>
      <c r="AS269" s="164">
        <v>0</v>
      </c>
      <c r="AU269" s="234"/>
    </row>
    <row r="270" spans="1:47" s="75" customFormat="1" hidden="1">
      <c r="A270" s="4" t="s">
        <v>790</v>
      </c>
      <c r="B270" s="4"/>
      <c r="C270" s="4" t="s">
        <v>185</v>
      </c>
      <c r="D270" s="4" t="s">
        <v>266</v>
      </c>
      <c r="E270" s="4" t="s">
        <v>284</v>
      </c>
      <c r="F270" s="14">
        <v>0</v>
      </c>
      <c r="G270" s="151"/>
      <c r="H270" s="14">
        <f t="shared" si="211"/>
        <v>0</v>
      </c>
      <c r="I270" s="14">
        <f t="shared" si="212"/>
        <v>0</v>
      </c>
      <c r="J270" s="14">
        <f t="shared" si="213"/>
        <v>0</v>
      </c>
      <c r="K270" s="136">
        <v>0.26167000000000001</v>
      </c>
      <c r="L270" s="14">
        <f t="shared" si="220"/>
        <v>0</v>
      </c>
      <c r="M270" s="20" t="s">
        <v>6</v>
      </c>
      <c r="N270" s="14">
        <f t="shared" si="219"/>
        <v>0</v>
      </c>
      <c r="Y270" s="81">
        <f t="shared" si="214"/>
        <v>0</v>
      </c>
      <c r="Z270" s="81">
        <f t="shared" si="215"/>
        <v>0</v>
      </c>
      <c r="AA270" s="81">
        <f t="shared" si="216"/>
        <v>0</v>
      </c>
      <c r="AC270" s="24">
        <v>15</v>
      </c>
      <c r="AD270" s="84">
        <f t="shared" si="141"/>
        <v>0</v>
      </c>
      <c r="AE270" s="84">
        <f t="shared" si="142"/>
        <v>0</v>
      </c>
      <c r="AL270" s="24">
        <f t="shared" si="217"/>
        <v>0</v>
      </c>
      <c r="AM270" s="24">
        <f t="shared" si="218"/>
        <v>0</v>
      </c>
      <c r="AN270" s="25" t="s">
        <v>329</v>
      </c>
      <c r="AO270" s="25" t="s">
        <v>338</v>
      </c>
      <c r="AP270" s="76" t="s">
        <v>339</v>
      </c>
      <c r="AR270" s="75" t="s">
        <v>726</v>
      </c>
      <c r="AS270" s="160">
        <v>0.26167000000000001</v>
      </c>
      <c r="AU270" s="229"/>
    </row>
    <row r="271" spans="1:47" s="75" customFormat="1" hidden="1">
      <c r="A271" s="4" t="s">
        <v>791</v>
      </c>
      <c r="B271" s="4"/>
      <c r="C271" s="4" t="s">
        <v>186</v>
      </c>
      <c r="D271" s="4" t="s">
        <v>267</v>
      </c>
      <c r="E271" s="4" t="s">
        <v>284</v>
      </c>
      <c r="F271" s="14">
        <v>0</v>
      </c>
      <c r="G271" s="151"/>
      <c r="H271" s="14">
        <f t="shared" si="211"/>
        <v>0</v>
      </c>
      <c r="I271" s="14">
        <f t="shared" si="212"/>
        <v>0</v>
      </c>
      <c r="J271" s="14">
        <f t="shared" si="213"/>
        <v>0</v>
      </c>
      <c r="K271" s="136">
        <v>0.11366999999999999</v>
      </c>
      <c r="L271" s="14">
        <f t="shared" si="220"/>
        <v>0</v>
      </c>
      <c r="M271" s="20" t="s">
        <v>6</v>
      </c>
      <c r="N271" s="14">
        <f t="shared" si="219"/>
        <v>0</v>
      </c>
      <c r="Y271" s="81">
        <f t="shared" si="214"/>
        <v>0</v>
      </c>
      <c r="Z271" s="81">
        <f t="shared" si="215"/>
        <v>0</v>
      </c>
      <c r="AA271" s="81">
        <f t="shared" si="216"/>
        <v>0</v>
      </c>
      <c r="AC271" s="24">
        <v>15</v>
      </c>
      <c r="AD271" s="84">
        <f t="shared" si="141"/>
        <v>0</v>
      </c>
      <c r="AE271" s="84">
        <f t="shared" si="142"/>
        <v>0</v>
      </c>
      <c r="AL271" s="24">
        <f t="shared" si="217"/>
        <v>0</v>
      </c>
      <c r="AM271" s="24">
        <f t="shared" si="218"/>
        <v>0</v>
      </c>
      <c r="AN271" s="25" t="s">
        <v>329</v>
      </c>
      <c r="AO271" s="25" t="s">
        <v>338</v>
      </c>
      <c r="AP271" s="76" t="s">
        <v>339</v>
      </c>
      <c r="AR271" s="75" t="s">
        <v>726</v>
      </c>
      <c r="AS271" s="160">
        <v>0.11366999999999999</v>
      </c>
      <c r="AU271" s="229"/>
    </row>
    <row r="272" spans="1:47" hidden="1">
      <c r="A272" s="6"/>
      <c r="B272" s="12"/>
      <c r="C272" s="12" t="s">
        <v>91</v>
      </c>
      <c r="D272" s="71" t="s">
        <v>268</v>
      </c>
      <c r="E272" s="72"/>
      <c r="F272" s="72"/>
      <c r="G272" s="72"/>
      <c r="H272" s="27">
        <f>SUM(H273:H282)</f>
        <v>0</v>
      </c>
      <c r="I272" s="27">
        <f>SUM(I273:I282)</f>
        <v>0</v>
      </c>
      <c r="J272" s="27">
        <f>H272+I272</f>
        <v>0</v>
      </c>
      <c r="K272" s="139"/>
      <c r="L272" s="27">
        <f>SUM(L273:L282)</f>
        <v>0</v>
      </c>
      <c r="O272" s="27">
        <f>IF(P272="PR",J272,SUM(N277:N282))</f>
        <v>0</v>
      </c>
      <c r="P272" s="19" t="s">
        <v>305</v>
      </c>
      <c r="Q272" s="27">
        <f>IF(P272="HS",H272,0)</f>
        <v>0</v>
      </c>
      <c r="R272" s="27">
        <f>IF(P272="HS",I272-O272,0)</f>
        <v>0</v>
      </c>
      <c r="S272" s="27">
        <f>IF(P272="PS",H272,0)</f>
        <v>0</v>
      </c>
      <c r="T272" s="27">
        <f>IF(P272="PS",I272-O272,0)</f>
        <v>0</v>
      </c>
      <c r="U272" s="27">
        <f>IF(P272="MP",H272,0)</f>
        <v>0</v>
      </c>
      <c r="V272" s="27">
        <f>IF(P272="MP",I272-O272,0)</f>
        <v>0</v>
      </c>
      <c r="W272" s="27">
        <f>IF(P272="OM",H272,0)</f>
        <v>0</v>
      </c>
      <c r="X272" s="19"/>
      <c r="Y272" s="81"/>
      <c r="Z272" s="81"/>
      <c r="AA272" s="81"/>
      <c r="AD272" s="84"/>
      <c r="AE272" s="84"/>
      <c r="AH272" s="27">
        <f>SUM(Y277:Y282)</f>
        <v>0</v>
      </c>
      <c r="AI272" s="27">
        <f>SUM(Z277:Z282)</f>
        <v>0</v>
      </c>
      <c r="AJ272" s="27">
        <f>SUM(AA277:AA282)</f>
        <v>0</v>
      </c>
      <c r="AS272" s="162"/>
    </row>
    <row r="273" spans="1:47" ht="25.5" hidden="1">
      <c r="A273" s="4" t="s">
        <v>826</v>
      </c>
      <c r="B273" s="4"/>
      <c r="C273" s="4" t="s">
        <v>851</v>
      </c>
      <c r="D273" s="214" t="s">
        <v>938</v>
      </c>
      <c r="E273" s="4" t="s">
        <v>284</v>
      </c>
      <c r="F273" s="14">
        <v>0</v>
      </c>
      <c r="G273" s="14"/>
      <c r="H273" s="14">
        <f t="shared" ref="H273:H282" si="221">F273*AD273</f>
        <v>0</v>
      </c>
      <c r="I273" s="14">
        <f>J273-H273</f>
        <v>0</v>
      </c>
      <c r="J273" s="14">
        <f>F273*G273</f>
        <v>0</v>
      </c>
      <c r="K273" s="136">
        <v>1.256E-2</v>
      </c>
      <c r="L273" s="61">
        <f t="shared" ref="L273:L282" si="222">F273*K273</f>
        <v>0</v>
      </c>
      <c r="M273" s="20" t="s">
        <v>10</v>
      </c>
      <c r="N273" s="14">
        <f>IF(M273="5",J273,0)</f>
        <v>0</v>
      </c>
      <c r="Y273" s="81">
        <f t="shared" ref="Y273:Y282" si="223">IF(AC273=0,J273,0)</f>
        <v>0</v>
      </c>
      <c r="Z273" s="81">
        <f t="shared" ref="Z273:Z282" si="224">IF(AC273=15,J273,0)</f>
        <v>0</v>
      </c>
      <c r="AA273" s="81">
        <f t="shared" ref="AA273:AA282" si="225">IF(AC273=21,J273,0)</f>
        <v>0</v>
      </c>
      <c r="AC273" s="24">
        <v>15</v>
      </c>
      <c r="AD273" s="84">
        <f>G273*0.81143570536829</f>
        <v>0</v>
      </c>
      <c r="AE273" s="84">
        <f>G273*(1-0.81143570536829)</f>
        <v>0</v>
      </c>
      <c r="AL273" s="24">
        <f t="shared" ref="AL273:AL282" si="226">F273*AD273</f>
        <v>0</v>
      </c>
      <c r="AM273" s="24">
        <f t="shared" ref="AM273:AM282" si="227">F273*AE273</f>
        <v>0</v>
      </c>
      <c r="AN273" s="25" t="s">
        <v>331</v>
      </c>
      <c r="AO273" s="25" t="s">
        <v>338</v>
      </c>
      <c r="AP273" s="19" t="s">
        <v>339</v>
      </c>
      <c r="AR273" s="45" t="s">
        <v>726</v>
      </c>
      <c r="AS273" s="160"/>
    </row>
    <row r="274" spans="1:47" hidden="1">
      <c r="A274" s="4" t="s">
        <v>827</v>
      </c>
      <c r="B274" s="4"/>
      <c r="C274" s="4" t="s">
        <v>853</v>
      </c>
      <c r="D274" s="154" t="s">
        <v>854</v>
      </c>
      <c r="E274" s="4" t="s">
        <v>284</v>
      </c>
      <c r="F274" s="14">
        <v>0</v>
      </c>
      <c r="G274" s="14"/>
      <c r="H274" s="14">
        <f t="shared" si="221"/>
        <v>0</v>
      </c>
      <c r="I274" s="14">
        <f>J274-H274</f>
        <v>0</v>
      </c>
      <c r="J274" s="14">
        <f>F274*G274</f>
        <v>0</v>
      </c>
      <c r="K274" s="136">
        <v>1.2E-2</v>
      </c>
      <c r="L274" s="61">
        <f>F274*K274</f>
        <v>0</v>
      </c>
      <c r="M274" s="20" t="s">
        <v>10</v>
      </c>
      <c r="N274" s="14">
        <f>IF(M274="5",J274,0)</f>
        <v>0</v>
      </c>
      <c r="Y274" s="81">
        <f t="shared" si="223"/>
        <v>0</v>
      </c>
      <c r="Z274" s="81">
        <f t="shared" si="224"/>
        <v>0</v>
      </c>
      <c r="AA274" s="81">
        <f t="shared" si="225"/>
        <v>0</v>
      </c>
      <c r="AC274" s="24">
        <v>15</v>
      </c>
      <c r="AD274" s="84">
        <f>G274*0.81143570536829</f>
        <v>0</v>
      </c>
      <c r="AE274" s="84">
        <f>G274*(1-0.81143570536829)</f>
        <v>0</v>
      </c>
      <c r="AL274" s="24">
        <f t="shared" si="226"/>
        <v>0</v>
      </c>
      <c r="AM274" s="24">
        <f t="shared" si="227"/>
        <v>0</v>
      </c>
      <c r="AN274" s="25" t="s">
        <v>331</v>
      </c>
      <c r="AO274" s="25" t="s">
        <v>338</v>
      </c>
      <c r="AP274" s="19" t="s">
        <v>339</v>
      </c>
      <c r="AR274" s="45" t="s">
        <v>726</v>
      </c>
      <c r="AS274" s="160"/>
    </row>
    <row r="275" spans="1:47" s="109" customFormat="1" hidden="1">
      <c r="A275" s="4" t="s">
        <v>828</v>
      </c>
      <c r="B275" s="60"/>
      <c r="C275" s="60" t="s">
        <v>869</v>
      </c>
      <c r="D275" s="154" t="s">
        <v>870</v>
      </c>
      <c r="E275" s="4" t="s">
        <v>284</v>
      </c>
      <c r="F275" s="61">
        <v>0</v>
      </c>
      <c r="G275" s="61"/>
      <c r="H275" s="61">
        <f t="shared" si="221"/>
        <v>0</v>
      </c>
      <c r="I275" s="61">
        <f>J275-H275</f>
        <v>0</v>
      </c>
      <c r="J275" s="61">
        <f>F275*G275</f>
        <v>0</v>
      </c>
      <c r="K275" s="140">
        <v>2.231E-2</v>
      </c>
      <c r="L275" s="61">
        <f>F275*K275</f>
        <v>0</v>
      </c>
      <c r="M275" s="62" t="s">
        <v>6</v>
      </c>
      <c r="N275" s="61">
        <f t="shared" ref="N275:N282" si="228">IF(M275="5",I275,0)</f>
        <v>0</v>
      </c>
      <c r="Y275" s="81">
        <f t="shared" si="223"/>
        <v>0</v>
      </c>
      <c r="Z275" s="81">
        <f t="shared" si="224"/>
        <v>0</v>
      </c>
      <c r="AA275" s="81">
        <f t="shared" si="225"/>
        <v>0</v>
      </c>
      <c r="AC275" s="64">
        <v>15</v>
      </c>
      <c r="AD275" s="84">
        <f>G275*0.81143570536829</f>
        <v>0</v>
      </c>
      <c r="AE275" s="84">
        <f>G275*(1-0.81143570536829)</f>
        <v>0</v>
      </c>
      <c r="AL275" s="64">
        <f t="shared" si="226"/>
        <v>0</v>
      </c>
      <c r="AM275" s="64">
        <f t="shared" si="227"/>
        <v>0</v>
      </c>
      <c r="AN275" s="65" t="s">
        <v>330</v>
      </c>
      <c r="AO275" s="65" t="s">
        <v>338</v>
      </c>
      <c r="AP275" s="110" t="s">
        <v>339</v>
      </c>
      <c r="AR275" s="45" t="s">
        <v>726</v>
      </c>
      <c r="AS275" s="160">
        <v>2.49E-3</v>
      </c>
      <c r="AU275" s="230"/>
    </row>
    <row r="276" spans="1:47" s="109" customFormat="1" hidden="1">
      <c r="A276" s="4" t="s">
        <v>829</v>
      </c>
      <c r="B276" s="60"/>
      <c r="C276" s="60" t="s">
        <v>867</v>
      </c>
      <c r="D276" s="154" t="s">
        <v>868</v>
      </c>
      <c r="E276" s="4" t="s">
        <v>284</v>
      </c>
      <c r="F276" s="61">
        <v>0</v>
      </c>
      <c r="G276" s="61"/>
      <c r="H276" s="61">
        <f t="shared" si="221"/>
        <v>0</v>
      </c>
      <c r="I276" s="61">
        <f>J276-H276</f>
        <v>0</v>
      </c>
      <c r="J276" s="61">
        <f>F276*G276</f>
        <v>0</v>
      </c>
      <c r="K276" s="140">
        <v>1.2160000000000001E-2</v>
      </c>
      <c r="L276" s="61">
        <f>F276*K276</f>
        <v>0</v>
      </c>
      <c r="M276" s="62" t="s">
        <v>6</v>
      </c>
      <c r="N276" s="61">
        <f t="shared" si="228"/>
        <v>0</v>
      </c>
      <c r="Y276" s="81">
        <f t="shared" si="223"/>
        <v>0</v>
      </c>
      <c r="Z276" s="81">
        <f t="shared" si="224"/>
        <v>0</v>
      </c>
      <c r="AA276" s="81">
        <f t="shared" si="225"/>
        <v>0</v>
      </c>
      <c r="AC276" s="64">
        <v>15</v>
      </c>
      <c r="AD276" s="84">
        <f>G276*0.81143570536829</f>
        <v>0</v>
      </c>
      <c r="AE276" s="84">
        <f>G276*(1-0.81143570536829)</f>
        <v>0</v>
      </c>
      <c r="AL276" s="64">
        <f t="shared" si="226"/>
        <v>0</v>
      </c>
      <c r="AM276" s="64">
        <f t="shared" si="227"/>
        <v>0</v>
      </c>
      <c r="AN276" s="65" t="s">
        <v>330</v>
      </c>
      <c r="AO276" s="65" t="s">
        <v>338</v>
      </c>
      <c r="AP276" s="110" t="s">
        <v>339</v>
      </c>
      <c r="AR276" s="45" t="s">
        <v>726</v>
      </c>
      <c r="AS276" s="160">
        <v>2.49E-3</v>
      </c>
      <c r="AU276" s="230"/>
    </row>
    <row r="277" spans="1:47" s="109" customFormat="1" hidden="1">
      <c r="A277" s="4" t="s">
        <v>830</v>
      </c>
      <c r="B277" s="60"/>
      <c r="C277" s="60" t="s">
        <v>444</v>
      </c>
      <c r="D277" s="60" t="s">
        <v>445</v>
      </c>
      <c r="E277" s="60" t="s">
        <v>286</v>
      </c>
      <c r="F277" s="61">
        <v>0</v>
      </c>
      <c r="G277" s="61"/>
      <c r="H277" s="61">
        <f t="shared" si="221"/>
        <v>0</v>
      </c>
      <c r="I277" s="61">
        <f t="shared" ref="I277:I282" si="229">J277-H277</f>
        <v>0</v>
      </c>
      <c r="J277" s="61">
        <f t="shared" ref="J277:J282" si="230">F277*G277</f>
        <v>0</v>
      </c>
      <c r="K277" s="140">
        <v>2.49E-3</v>
      </c>
      <c r="L277" s="61">
        <f t="shared" si="222"/>
        <v>0</v>
      </c>
      <c r="M277" s="62" t="s">
        <v>6</v>
      </c>
      <c r="N277" s="61">
        <f t="shared" si="228"/>
        <v>0</v>
      </c>
      <c r="Y277" s="81">
        <f t="shared" si="223"/>
        <v>0</v>
      </c>
      <c r="Z277" s="81">
        <f t="shared" si="224"/>
        <v>0</v>
      </c>
      <c r="AA277" s="81">
        <f t="shared" si="225"/>
        <v>0</v>
      </c>
      <c r="AC277" s="64">
        <v>15</v>
      </c>
      <c r="AD277" s="84">
        <f t="shared" si="141"/>
        <v>0</v>
      </c>
      <c r="AE277" s="84">
        <f t="shared" si="142"/>
        <v>0</v>
      </c>
      <c r="AL277" s="64">
        <f t="shared" si="226"/>
        <v>0</v>
      </c>
      <c r="AM277" s="64">
        <f t="shared" si="227"/>
        <v>0</v>
      </c>
      <c r="AN277" s="65" t="s">
        <v>330</v>
      </c>
      <c r="AO277" s="65" t="s">
        <v>338</v>
      </c>
      <c r="AP277" s="110" t="s">
        <v>339</v>
      </c>
      <c r="AR277" s="45" t="s">
        <v>726</v>
      </c>
      <c r="AS277" s="160">
        <v>2.49E-3</v>
      </c>
      <c r="AU277" s="230"/>
    </row>
    <row r="278" spans="1:47" s="109" customFormat="1" hidden="1">
      <c r="A278" s="4" t="s">
        <v>831</v>
      </c>
      <c r="B278" s="60"/>
      <c r="C278" s="60" t="s">
        <v>446</v>
      </c>
      <c r="D278" s="60" t="s">
        <v>447</v>
      </c>
      <c r="E278" s="60" t="s">
        <v>286</v>
      </c>
      <c r="F278" s="61">
        <v>0</v>
      </c>
      <c r="G278" s="61"/>
      <c r="H278" s="61">
        <f t="shared" si="221"/>
        <v>0</v>
      </c>
      <c r="I278" s="61">
        <f t="shared" si="229"/>
        <v>0</v>
      </c>
      <c r="J278" s="61">
        <f t="shared" si="230"/>
        <v>0</v>
      </c>
      <c r="K278" s="140">
        <v>5.4900000000000001E-3</v>
      </c>
      <c r="L278" s="61">
        <f t="shared" si="222"/>
        <v>0</v>
      </c>
      <c r="M278" s="62" t="s">
        <v>6</v>
      </c>
      <c r="N278" s="61">
        <f t="shared" si="228"/>
        <v>0</v>
      </c>
      <c r="Y278" s="81">
        <f t="shared" si="223"/>
        <v>0</v>
      </c>
      <c r="Z278" s="81">
        <f t="shared" si="224"/>
        <v>0</v>
      </c>
      <c r="AA278" s="81">
        <f t="shared" si="225"/>
        <v>0</v>
      </c>
      <c r="AC278" s="64">
        <v>15</v>
      </c>
      <c r="AD278" s="84">
        <f t="shared" si="141"/>
        <v>0</v>
      </c>
      <c r="AE278" s="84">
        <f t="shared" si="142"/>
        <v>0</v>
      </c>
      <c r="AL278" s="64">
        <f t="shared" si="226"/>
        <v>0</v>
      </c>
      <c r="AM278" s="64">
        <f t="shared" si="227"/>
        <v>0</v>
      </c>
      <c r="AN278" s="65" t="s">
        <v>330</v>
      </c>
      <c r="AO278" s="65" t="s">
        <v>338</v>
      </c>
      <c r="AP278" s="110" t="s">
        <v>339</v>
      </c>
      <c r="AR278" s="45" t="s">
        <v>726</v>
      </c>
      <c r="AS278" s="160">
        <v>5.4900000000000001E-3</v>
      </c>
      <c r="AU278" s="230"/>
    </row>
    <row r="279" spans="1:47" s="109" customFormat="1" hidden="1">
      <c r="A279" s="4" t="s">
        <v>832</v>
      </c>
      <c r="B279" s="60"/>
      <c r="C279" s="60" t="s">
        <v>448</v>
      </c>
      <c r="D279" s="4" t="s">
        <v>452</v>
      </c>
      <c r="E279" s="60" t="s">
        <v>286</v>
      </c>
      <c r="F279" s="61">
        <v>0</v>
      </c>
      <c r="G279" s="61"/>
      <c r="H279" s="61">
        <f t="shared" si="221"/>
        <v>0</v>
      </c>
      <c r="I279" s="61">
        <f t="shared" si="229"/>
        <v>0</v>
      </c>
      <c r="J279" s="61">
        <f t="shared" si="230"/>
        <v>0</v>
      </c>
      <c r="K279" s="140">
        <v>7.4900000000000001E-3</v>
      </c>
      <c r="L279" s="61">
        <f t="shared" si="222"/>
        <v>0</v>
      </c>
      <c r="M279" s="62" t="s">
        <v>6</v>
      </c>
      <c r="N279" s="61">
        <f t="shared" si="228"/>
        <v>0</v>
      </c>
      <c r="Y279" s="81">
        <f t="shared" si="223"/>
        <v>0</v>
      </c>
      <c r="Z279" s="81">
        <f t="shared" si="224"/>
        <v>0</v>
      </c>
      <c r="AA279" s="81">
        <f t="shared" si="225"/>
        <v>0</v>
      </c>
      <c r="AC279" s="64">
        <v>15</v>
      </c>
      <c r="AD279" s="84">
        <f t="shared" si="141"/>
        <v>0</v>
      </c>
      <c r="AE279" s="84">
        <f t="shared" si="142"/>
        <v>0</v>
      </c>
      <c r="AL279" s="64">
        <f t="shared" si="226"/>
        <v>0</v>
      </c>
      <c r="AM279" s="64">
        <f t="shared" si="227"/>
        <v>0</v>
      </c>
      <c r="AN279" s="65" t="s">
        <v>330</v>
      </c>
      <c r="AO279" s="65" t="s">
        <v>338</v>
      </c>
      <c r="AP279" s="110" t="s">
        <v>339</v>
      </c>
      <c r="AR279" s="45" t="s">
        <v>726</v>
      </c>
      <c r="AS279" s="160">
        <v>7.4900000000000001E-3</v>
      </c>
      <c r="AU279" s="230"/>
    </row>
    <row r="280" spans="1:47" s="109" customFormat="1" hidden="1">
      <c r="A280" s="4" t="s">
        <v>833</v>
      </c>
      <c r="B280" s="60"/>
      <c r="C280" s="60" t="s">
        <v>449</v>
      </c>
      <c r="D280" s="60" t="s">
        <v>450</v>
      </c>
      <c r="E280" s="60" t="s">
        <v>286</v>
      </c>
      <c r="F280" s="61">
        <v>0</v>
      </c>
      <c r="G280" s="61"/>
      <c r="H280" s="61">
        <f t="shared" si="221"/>
        <v>0</v>
      </c>
      <c r="I280" s="61">
        <f t="shared" si="229"/>
        <v>0</v>
      </c>
      <c r="J280" s="61">
        <f t="shared" si="230"/>
        <v>0</v>
      </c>
      <c r="K280" s="140">
        <v>3.0000000000000001E-3</v>
      </c>
      <c r="L280" s="61">
        <f t="shared" si="222"/>
        <v>0</v>
      </c>
      <c r="M280" s="62" t="s">
        <v>6</v>
      </c>
      <c r="N280" s="61">
        <f t="shared" si="228"/>
        <v>0</v>
      </c>
      <c r="Y280" s="81">
        <f t="shared" si="223"/>
        <v>0</v>
      </c>
      <c r="Z280" s="81">
        <f t="shared" si="224"/>
        <v>0</v>
      </c>
      <c r="AA280" s="81">
        <f t="shared" si="225"/>
        <v>0</v>
      </c>
      <c r="AC280" s="64">
        <v>15</v>
      </c>
      <c r="AD280" s="84">
        <f t="shared" si="141"/>
        <v>0</v>
      </c>
      <c r="AE280" s="84">
        <f t="shared" si="142"/>
        <v>0</v>
      </c>
      <c r="AL280" s="64">
        <f t="shared" si="226"/>
        <v>0</v>
      </c>
      <c r="AM280" s="64">
        <f t="shared" si="227"/>
        <v>0</v>
      </c>
      <c r="AN280" s="65" t="s">
        <v>330</v>
      </c>
      <c r="AO280" s="65" t="s">
        <v>338</v>
      </c>
      <c r="AP280" s="110" t="s">
        <v>339</v>
      </c>
      <c r="AR280" s="45" t="s">
        <v>726</v>
      </c>
      <c r="AS280" s="160">
        <v>3.0000000000000001E-3</v>
      </c>
      <c r="AU280" s="230"/>
    </row>
    <row r="281" spans="1:47" s="96" customFormat="1" hidden="1">
      <c r="A281" s="4" t="s">
        <v>834</v>
      </c>
      <c r="B281" s="93"/>
      <c r="C281" s="93" t="s">
        <v>696</v>
      </c>
      <c r="D281" s="93" t="s">
        <v>697</v>
      </c>
      <c r="E281" s="93" t="s">
        <v>285</v>
      </c>
      <c r="F281" s="94">
        <v>0</v>
      </c>
      <c r="G281" s="94"/>
      <c r="H281" s="94">
        <f t="shared" si="221"/>
        <v>0</v>
      </c>
      <c r="I281" s="94">
        <f>J281-H281</f>
        <v>0</v>
      </c>
      <c r="J281" s="94">
        <f t="shared" si="230"/>
        <v>0</v>
      </c>
      <c r="K281" s="142">
        <v>1.09E-3</v>
      </c>
      <c r="L281" s="94">
        <f t="shared" si="222"/>
        <v>0</v>
      </c>
      <c r="M281" s="95" t="s">
        <v>6</v>
      </c>
      <c r="N281" s="94">
        <f t="shared" si="228"/>
        <v>0</v>
      </c>
      <c r="Y281" s="81">
        <f t="shared" si="223"/>
        <v>0</v>
      </c>
      <c r="Z281" s="81">
        <f t="shared" si="224"/>
        <v>0</v>
      </c>
      <c r="AA281" s="81">
        <f t="shared" si="225"/>
        <v>0</v>
      </c>
      <c r="AC281" s="97">
        <v>15</v>
      </c>
      <c r="AD281" s="84">
        <f t="shared" si="141"/>
        <v>0</v>
      </c>
      <c r="AE281" s="84">
        <f t="shared" si="142"/>
        <v>0</v>
      </c>
      <c r="AL281" s="97">
        <f t="shared" si="226"/>
        <v>0</v>
      </c>
      <c r="AM281" s="97">
        <f t="shared" si="227"/>
        <v>0</v>
      </c>
      <c r="AN281" s="98" t="s">
        <v>330</v>
      </c>
      <c r="AO281" s="98" t="s">
        <v>338</v>
      </c>
      <c r="AP281" s="99" t="s">
        <v>339</v>
      </c>
      <c r="AS281" s="160">
        <v>1.09E-3</v>
      </c>
      <c r="AU281" s="232"/>
    </row>
    <row r="282" spans="1:47" s="109" customFormat="1" hidden="1">
      <c r="A282" s="4" t="s">
        <v>835</v>
      </c>
      <c r="B282" s="60"/>
      <c r="C282" s="60" t="s">
        <v>451</v>
      </c>
      <c r="D282" s="4" t="s">
        <v>481</v>
      </c>
      <c r="E282" s="60" t="s">
        <v>286</v>
      </c>
      <c r="F282" s="61">
        <f>(F280+F279++F278+F277)*1</f>
        <v>0</v>
      </c>
      <c r="G282" s="61"/>
      <c r="H282" s="61">
        <f t="shared" si="221"/>
        <v>0</v>
      </c>
      <c r="I282" s="61">
        <f t="shared" si="229"/>
        <v>0</v>
      </c>
      <c r="J282" s="61">
        <f t="shared" si="230"/>
        <v>0</v>
      </c>
      <c r="K282" s="140">
        <v>4.6000000000000001E-4</v>
      </c>
      <c r="L282" s="61">
        <f t="shared" si="222"/>
        <v>0</v>
      </c>
      <c r="M282" s="62" t="s">
        <v>6</v>
      </c>
      <c r="N282" s="61">
        <f t="shared" si="228"/>
        <v>0</v>
      </c>
      <c r="Y282" s="81">
        <f t="shared" si="223"/>
        <v>0</v>
      </c>
      <c r="Z282" s="81">
        <f t="shared" si="224"/>
        <v>0</v>
      </c>
      <c r="AA282" s="81">
        <f t="shared" si="225"/>
        <v>0</v>
      </c>
      <c r="AC282" s="64">
        <v>15</v>
      </c>
      <c r="AD282" s="84">
        <f t="shared" si="141"/>
        <v>0</v>
      </c>
      <c r="AE282" s="84">
        <f t="shared" si="142"/>
        <v>0</v>
      </c>
      <c r="AL282" s="64">
        <f t="shared" si="226"/>
        <v>0</v>
      </c>
      <c r="AM282" s="64">
        <f t="shared" si="227"/>
        <v>0</v>
      </c>
      <c r="AN282" s="65" t="s">
        <v>330</v>
      </c>
      <c r="AO282" s="65" t="s">
        <v>338</v>
      </c>
      <c r="AP282" s="110" t="s">
        <v>339</v>
      </c>
      <c r="AR282" s="45" t="s">
        <v>726</v>
      </c>
      <c r="AS282" s="160">
        <v>4.6000000000000001E-4</v>
      </c>
      <c r="AU282" s="230"/>
    </row>
    <row r="283" spans="1:47" hidden="1">
      <c r="A283" s="6"/>
      <c r="B283" s="12"/>
      <c r="C283" s="12" t="s">
        <v>188</v>
      </c>
      <c r="D283" s="71" t="s">
        <v>269</v>
      </c>
      <c r="E283" s="72"/>
      <c r="F283" s="72"/>
      <c r="G283" s="72"/>
      <c r="H283" s="27">
        <f>SUM(H284:H286)</f>
        <v>0</v>
      </c>
      <c r="I283" s="27">
        <f>SUM(I284:I286)</f>
        <v>0</v>
      </c>
      <c r="J283" s="27">
        <f>H283+I283</f>
        <v>0</v>
      </c>
      <c r="K283" s="139"/>
      <c r="L283" s="27">
        <f>SUM(L284:L286)</f>
        <v>0</v>
      </c>
      <c r="O283" s="27">
        <f>IF(P283="PR",J283,SUM(N284:N286))</f>
        <v>0</v>
      </c>
      <c r="P283" s="19" t="s">
        <v>307</v>
      </c>
      <c r="Q283" s="27">
        <f>IF(P283="HS",H283,0)</f>
        <v>0</v>
      </c>
      <c r="R283" s="27">
        <f>IF(P283="HS",I283-O283,0)</f>
        <v>0</v>
      </c>
      <c r="S283" s="27">
        <f>IF(P283="PS",H283,0)</f>
        <v>0</v>
      </c>
      <c r="T283" s="27">
        <f>IF(P283="PS",I283-O283,0)</f>
        <v>0</v>
      </c>
      <c r="U283" s="27">
        <f>IF(P283="MP",H283,0)</f>
        <v>0</v>
      </c>
      <c r="V283" s="27">
        <f>IF(P283="MP",I283-O283,0)</f>
        <v>0</v>
      </c>
      <c r="W283" s="27">
        <f>IF(P283="OM",H283,0)</f>
        <v>0</v>
      </c>
      <c r="X283" s="19"/>
      <c r="Y283" s="81"/>
      <c r="Z283" s="81"/>
      <c r="AA283" s="81"/>
      <c r="AD283" s="84"/>
      <c r="AE283" s="84"/>
      <c r="AH283" s="27">
        <f>SUM(Y284:Y286)</f>
        <v>0</v>
      </c>
      <c r="AI283" s="27">
        <f>SUM(Z284:Z286)</f>
        <v>0</v>
      </c>
      <c r="AJ283" s="27">
        <f>SUM(AA284:AA286)</f>
        <v>0</v>
      </c>
      <c r="AS283" s="162"/>
    </row>
    <row r="284" spans="1:47" s="96" customFormat="1" hidden="1">
      <c r="A284" s="4" t="s">
        <v>836</v>
      </c>
      <c r="B284" s="93"/>
      <c r="C284" s="93" t="s">
        <v>713</v>
      </c>
      <c r="D284" s="4" t="s">
        <v>852</v>
      </c>
      <c r="E284" s="93" t="s">
        <v>285</v>
      </c>
      <c r="F284" s="102">
        <v>0</v>
      </c>
      <c r="G284" s="152"/>
      <c r="H284" s="102">
        <f>F284*AD284</f>
        <v>0</v>
      </c>
      <c r="I284" s="102">
        <f>J284-H284</f>
        <v>0</v>
      </c>
      <c r="J284" s="14">
        <f>F284*G284</f>
        <v>0</v>
      </c>
      <c r="K284" s="147">
        <v>6.4999999999999997E-4</v>
      </c>
      <c r="L284" s="102">
        <f>F284*K284</f>
        <v>0</v>
      </c>
      <c r="M284" s="103" t="s">
        <v>302</v>
      </c>
      <c r="N284" s="102">
        <f>IF(M284="5",I284,0)</f>
        <v>0</v>
      </c>
      <c r="Y284" s="81">
        <f>IF(AC284=0,J284,0)</f>
        <v>0</v>
      </c>
      <c r="Z284" s="81">
        <f>IF(AC284=15,J284,0)</f>
        <v>0</v>
      </c>
      <c r="AA284" s="81">
        <f>IF(AC284=21,J284,0)</f>
        <v>0</v>
      </c>
      <c r="AC284" s="97">
        <v>15</v>
      </c>
      <c r="AD284" s="84">
        <f t="shared" si="141"/>
        <v>0</v>
      </c>
      <c r="AE284" s="84">
        <f t="shared" si="142"/>
        <v>0</v>
      </c>
      <c r="AL284" s="97">
        <f>F284*AD284</f>
        <v>0</v>
      </c>
      <c r="AM284" s="97">
        <f>F284*AE284</f>
        <v>0</v>
      </c>
      <c r="AN284" s="98" t="s">
        <v>622</v>
      </c>
      <c r="AO284" s="98" t="s">
        <v>707</v>
      </c>
      <c r="AP284" s="99" t="s">
        <v>339</v>
      </c>
      <c r="AS284" s="161">
        <v>6.4999999999999997E-4</v>
      </c>
      <c r="AU284" s="232"/>
    </row>
    <row r="285" spans="1:47" s="115" customFormat="1" hidden="1">
      <c r="A285" s="4" t="s">
        <v>837</v>
      </c>
      <c r="B285" s="101"/>
      <c r="C285" s="101" t="s">
        <v>711</v>
      </c>
      <c r="D285" s="101" t="s">
        <v>712</v>
      </c>
      <c r="E285" s="101" t="s">
        <v>285</v>
      </c>
      <c r="F285" s="102">
        <v>0</v>
      </c>
      <c r="G285" s="102"/>
      <c r="H285" s="102">
        <f>F285*AD285</f>
        <v>0</v>
      </c>
      <c r="I285" s="102">
        <f>J285-H285</f>
        <v>0</v>
      </c>
      <c r="J285" s="14">
        <f>F285*G285</f>
        <v>0</v>
      </c>
      <c r="K285" s="147">
        <v>6.4999999999999997E-4</v>
      </c>
      <c r="L285" s="102">
        <f>F285*K285</f>
        <v>0</v>
      </c>
      <c r="M285" s="103" t="s">
        <v>302</v>
      </c>
      <c r="N285" s="102">
        <f>IF(M285="5",I285,0)</f>
        <v>0</v>
      </c>
      <c r="Y285" s="81">
        <f>IF(AC285=0,J285,0)</f>
        <v>0</v>
      </c>
      <c r="Z285" s="81">
        <f>IF(AC285=15,J285,0)</f>
        <v>0</v>
      </c>
      <c r="AA285" s="81">
        <f>IF(AC285=21,J285,0)</f>
        <v>0</v>
      </c>
      <c r="AC285" s="97">
        <v>15</v>
      </c>
      <c r="AD285" s="84">
        <f t="shared" si="141"/>
        <v>0</v>
      </c>
      <c r="AE285" s="84">
        <f t="shared" si="142"/>
        <v>0</v>
      </c>
      <c r="AL285" s="97">
        <f>F285*AD285</f>
        <v>0</v>
      </c>
      <c r="AM285" s="97">
        <f>F285*AE285</f>
        <v>0</v>
      </c>
      <c r="AN285" s="98" t="s">
        <v>622</v>
      </c>
      <c r="AO285" s="98" t="s">
        <v>707</v>
      </c>
      <c r="AP285" s="116" t="s">
        <v>339</v>
      </c>
      <c r="AR285" s="45" t="s">
        <v>726</v>
      </c>
      <c r="AS285" s="161">
        <v>6.4999999999999997E-4</v>
      </c>
      <c r="AU285" s="231"/>
    </row>
    <row r="286" spans="1:47" s="83" customFormat="1" hidden="1">
      <c r="A286" s="4" t="s">
        <v>838</v>
      </c>
      <c r="B286" s="90"/>
      <c r="C286" s="90" t="s">
        <v>629</v>
      </c>
      <c r="D286" s="90" t="s">
        <v>630</v>
      </c>
      <c r="E286" s="90" t="s">
        <v>285</v>
      </c>
      <c r="F286" s="91">
        <v>0</v>
      </c>
      <c r="G286" s="91"/>
      <c r="H286" s="91">
        <f>F286*AD286</f>
        <v>0</v>
      </c>
      <c r="I286" s="91">
        <f>J286-H286</f>
        <v>0</v>
      </c>
      <c r="J286" s="14">
        <f>F286*G286</f>
        <v>0</v>
      </c>
      <c r="K286" s="144">
        <v>5.9000000000000003E-4</v>
      </c>
      <c r="L286" s="91">
        <f>F286*K286</f>
        <v>0</v>
      </c>
      <c r="M286" s="92" t="s">
        <v>302</v>
      </c>
      <c r="N286" s="91">
        <f>IF(M286="5",I286,0)</f>
        <v>0</v>
      </c>
      <c r="Y286" s="81">
        <f>IF(AC286=0,J286,0)</f>
        <v>0</v>
      </c>
      <c r="Z286" s="81">
        <f>IF(AC286=15,J286,0)</f>
        <v>0</v>
      </c>
      <c r="AA286" s="81">
        <f>IF(AC286=21,J286,0)</f>
        <v>0</v>
      </c>
      <c r="AC286" s="84">
        <v>15</v>
      </c>
      <c r="AD286" s="84">
        <f t="shared" si="141"/>
        <v>0</v>
      </c>
      <c r="AE286" s="84">
        <f t="shared" si="142"/>
        <v>0</v>
      </c>
      <c r="AL286" s="84">
        <f>F286*AD286</f>
        <v>0</v>
      </c>
      <c r="AM286" s="84">
        <f>F286*AE286</f>
        <v>0</v>
      </c>
      <c r="AN286" s="85" t="s">
        <v>622</v>
      </c>
      <c r="AO286" s="85" t="s">
        <v>339</v>
      </c>
      <c r="AP286" s="86" t="s">
        <v>339</v>
      </c>
      <c r="AR286" s="45" t="s">
        <v>726</v>
      </c>
      <c r="AS286" s="161">
        <v>5.9000000000000003E-4</v>
      </c>
      <c r="AU286" s="228"/>
    </row>
    <row r="287" spans="1:47">
      <c r="A287" s="6"/>
      <c r="B287" s="12"/>
      <c r="C287" s="12" t="s">
        <v>189</v>
      </c>
      <c r="D287" s="71" t="s">
        <v>270</v>
      </c>
      <c r="E287" s="72"/>
      <c r="F287" s="72"/>
      <c r="G287" s="72"/>
      <c r="H287" s="27">
        <f>SUM(H288:H297)</f>
        <v>0</v>
      </c>
      <c r="I287" s="27">
        <f>SUM(I288:I297)</f>
        <v>0</v>
      </c>
      <c r="J287" s="27">
        <f>H287+I287</f>
        <v>0</v>
      </c>
      <c r="K287" s="139"/>
      <c r="L287" s="27"/>
      <c r="O287" s="27">
        <f>IF(P287="PR",J287,SUM(N288:N297))</f>
        <v>0</v>
      </c>
      <c r="P287" s="19" t="s">
        <v>305</v>
      </c>
      <c r="Q287" s="27">
        <f>IF(P287="HS",H287,0)</f>
        <v>0</v>
      </c>
      <c r="R287" s="27">
        <f>IF(P287="HS",I287-O287,0)</f>
        <v>0</v>
      </c>
      <c r="S287" s="27">
        <f>IF(P287="PS",H287,0)</f>
        <v>0</v>
      </c>
      <c r="T287" s="27">
        <f>IF(P287="PS",I287-O287,0)</f>
        <v>0</v>
      </c>
      <c r="U287" s="27">
        <f>IF(P287="MP",H287,0)</f>
        <v>0</v>
      </c>
      <c r="V287" s="27">
        <f>IF(P287="MP",I287-O287,0)</f>
        <v>0</v>
      </c>
      <c r="W287" s="27">
        <f>IF(P287="OM",H287,0)</f>
        <v>0</v>
      </c>
      <c r="X287" s="19"/>
      <c r="Y287" s="81"/>
      <c r="Z287" s="81"/>
      <c r="AA287" s="81"/>
      <c r="AD287" s="84"/>
      <c r="AE287" s="84"/>
      <c r="AH287" s="27">
        <f>SUM(Y288:Y297)</f>
        <v>0</v>
      </c>
      <c r="AI287" s="27">
        <f>SUM(Z288:Z297)</f>
        <v>0</v>
      </c>
      <c r="AJ287" s="27">
        <f>SUM(AA288:AA297)</f>
        <v>0</v>
      </c>
      <c r="AS287" s="162"/>
    </row>
    <row r="288" spans="1:47">
      <c r="A288" s="4" t="s">
        <v>839</v>
      </c>
      <c r="B288" s="4"/>
      <c r="C288" s="4" t="s">
        <v>190</v>
      </c>
      <c r="D288" s="4" t="s">
        <v>271</v>
      </c>
      <c r="E288" s="4" t="s">
        <v>288</v>
      </c>
      <c r="F288" s="14">
        <f>F289*4</f>
        <v>0.96997823999999988</v>
      </c>
      <c r="G288" s="14"/>
      <c r="H288" s="14">
        <f t="shared" ref="H288:H297" si="231">F288*AD288</f>
        <v>0</v>
      </c>
      <c r="I288" s="14">
        <f t="shared" ref="I288:I295" si="232">J288-H288</f>
        <v>0</v>
      </c>
      <c r="J288" s="14">
        <f t="shared" ref="J288:J297" si="233">F288*G288</f>
        <v>0</v>
      </c>
      <c r="K288" s="136"/>
      <c r="L288" s="14"/>
      <c r="M288" s="20" t="s">
        <v>10</v>
      </c>
      <c r="N288" s="14">
        <f t="shared" ref="N288:N297" si="234">IF(M288="5",J288,0)</f>
        <v>0</v>
      </c>
      <c r="Y288" s="81">
        <f t="shared" ref="Y288:Y297" si="235">IF(AC288=0,J288,0)</f>
        <v>0</v>
      </c>
      <c r="Z288" s="81">
        <f t="shared" ref="Z288:Z297" si="236">IF(AC288=15,J288,0)</f>
        <v>0</v>
      </c>
      <c r="AA288" s="81">
        <f t="shared" ref="AA288:AA297" si="237">IF(AC288=21,J288,0)</f>
        <v>0</v>
      </c>
      <c r="AC288" s="24">
        <v>15</v>
      </c>
      <c r="AD288" s="84">
        <f t="shared" si="141"/>
        <v>0</v>
      </c>
      <c r="AE288" s="84">
        <f t="shared" si="142"/>
        <v>0</v>
      </c>
      <c r="AL288" s="24">
        <f t="shared" ref="AL288:AL297" si="238">F288*AD288</f>
        <v>0</v>
      </c>
      <c r="AM288" s="24">
        <f t="shared" ref="AM288:AM297" si="239">F288*AE288</f>
        <v>0</v>
      </c>
      <c r="AN288" s="25" t="s">
        <v>331</v>
      </c>
      <c r="AO288" s="25" t="s">
        <v>338</v>
      </c>
      <c r="AP288" s="19" t="s">
        <v>339</v>
      </c>
      <c r="AR288" s="45" t="s">
        <v>726</v>
      </c>
      <c r="AS288" s="160"/>
    </row>
    <row r="289" spans="1:47">
      <c r="A289" s="4" t="s">
        <v>840</v>
      </c>
      <c r="B289" s="4"/>
      <c r="C289" s="4" t="s">
        <v>191</v>
      </c>
      <c r="D289" s="4" t="s">
        <v>272</v>
      </c>
      <c r="E289" s="4" t="s">
        <v>288</v>
      </c>
      <c r="F289" s="14">
        <f>L68+L72+L79+L82+L88+L103+L137+L126+L150+L151+L159+L164+L165+L166+L171+L194+L195+L199+L200+L204+L205+L228+L239+L240+L241+L242+L243+L244+L249+L250+L260+L272+L300</f>
        <v>0.24249455999999997</v>
      </c>
      <c r="G289" s="14"/>
      <c r="H289" s="14">
        <f t="shared" si="231"/>
        <v>0</v>
      </c>
      <c r="I289" s="14">
        <f t="shared" si="232"/>
        <v>0</v>
      </c>
      <c r="J289" s="14">
        <f t="shared" si="233"/>
        <v>0</v>
      </c>
      <c r="K289" s="136"/>
      <c r="L289" s="14"/>
      <c r="M289" s="20" t="s">
        <v>10</v>
      </c>
      <c r="N289" s="14">
        <f t="shared" si="234"/>
        <v>0</v>
      </c>
      <c r="Y289" s="81">
        <f t="shared" si="235"/>
        <v>0</v>
      </c>
      <c r="Z289" s="81">
        <f t="shared" si="236"/>
        <v>0</v>
      </c>
      <c r="AA289" s="81">
        <f t="shared" si="237"/>
        <v>0</v>
      </c>
      <c r="AC289" s="24">
        <v>15</v>
      </c>
      <c r="AD289" s="84">
        <f t="shared" si="141"/>
        <v>0</v>
      </c>
      <c r="AE289" s="84">
        <f t="shared" si="142"/>
        <v>0</v>
      </c>
      <c r="AL289" s="24">
        <f t="shared" si="238"/>
        <v>0</v>
      </c>
      <c r="AM289" s="24">
        <f t="shared" si="239"/>
        <v>0</v>
      </c>
      <c r="AN289" s="25" t="s">
        <v>331</v>
      </c>
      <c r="AO289" s="25" t="s">
        <v>338</v>
      </c>
      <c r="AP289" s="19" t="s">
        <v>339</v>
      </c>
      <c r="AR289" s="45" t="s">
        <v>726</v>
      </c>
      <c r="AS289" s="160"/>
    </row>
    <row r="290" spans="1:47">
      <c r="A290" s="4" t="s">
        <v>841</v>
      </c>
      <c r="B290" s="4"/>
      <c r="C290" s="4" t="s">
        <v>192</v>
      </c>
      <c r="D290" s="4" t="s">
        <v>273</v>
      </c>
      <c r="E290" s="4" t="s">
        <v>288</v>
      </c>
      <c r="F290" s="14">
        <f>F289*29</f>
        <v>7.0323422399999993</v>
      </c>
      <c r="G290" s="14"/>
      <c r="H290" s="14">
        <f t="shared" si="231"/>
        <v>0</v>
      </c>
      <c r="I290" s="14">
        <f t="shared" si="232"/>
        <v>0</v>
      </c>
      <c r="J290" s="14">
        <f t="shared" si="233"/>
        <v>0</v>
      </c>
      <c r="K290" s="136"/>
      <c r="L290" s="14"/>
      <c r="M290" s="20" t="s">
        <v>10</v>
      </c>
      <c r="N290" s="14">
        <f t="shared" si="234"/>
        <v>0</v>
      </c>
      <c r="Y290" s="81">
        <f t="shared" si="235"/>
        <v>0</v>
      </c>
      <c r="Z290" s="81">
        <f t="shared" si="236"/>
        <v>0</v>
      </c>
      <c r="AA290" s="81">
        <f t="shared" si="237"/>
        <v>0</v>
      </c>
      <c r="AC290" s="24">
        <v>15</v>
      </c>
      <c r="AD290" s="84">
        <f t="shared" si="141"/>
        <v>0</v>
      </c>
      <c r="AE290" s="84">
        <f t="shared" si="142"/>
        <v>0</v>
      </c>
      <c r="AL290" s="24">
        <f t="shared" si="238"/>
        <v>0</v>
      </c>
      <c r="AM290" s="24">
        <f t="shared" si="239"/>
        <v>0</v>
      </c>
      <c r="AN290" s="25" t="s">
        <v>331</v>
      </c>
      <c r="AO290" s="25" t="s">
        <v>338</v>
      </c>
      <c r="AP290" s="19" t="s">
        <v>339</v>
      </c>
      <c r="AR290" s="45" t="s">
        <v>726</v>
      </c>
      <c r="AS290" s="160"/>
    </row>
    <row r="291" spans="1:47">
      <c r="A291" s="4" t="s">
        <v>842</v>
      </c>
      <c r="B291" s="4"/>
      <c r="C291" s="4" t="s">
        <v>193</v>
      </c>
      <c r="D291" s="4" t="s">
        <v>274</v>
      </c>
      <c r="E291" s="4" t="s">
        <v>288</v>
      </c>
      <c r="F291" s="14">
        <f>F289</f>
        <v>0.24249455999999997</v>
      </c>
      <c r="G291" s="14"/>
      <c r="H291" s="14">
        <f t="shared" si="231"/>
        <v>0</v>
      </c>
      <c r="I291" s="14">
        <f t="shared" si="232"/>
        <v>0</v>
      </c>
      <c r="J291" s="14">
        <f t="shared" si="233"/>
        <v>0</v>
      </c>
      <c r="K291" s="136"/>
      <c r="L291" s="14"/>
      <c r="M291" s="20" t="s">
        <v>10</v>
      </c>
      <c r="N291" s="14">
        <f t="shared" si="234"/>
        <v>0</v>
      </c>
      <c r="Y291" s="81">
        <f t="shared" si="235"/>
        <v>0</v>
      </c>
      <c r="Z291" s="81">
        <f t="shared" si="236"/>
        <v>0</v>
      </c>
      <c r="AA291" s="81">
        <f t="shared" si="237"/>
        <v>0</v>
      </c>
      <c r="AC291" s="24">
        <v>15</v>
      </c>
      <c r="AD291" s="84">
        <f t="shared" si="141"/>
        <v>0</v>
      </c>
      <c r="AE291" s="84">
        <f t="shared" si="142"/>
        <v>0</v>
      </c>
      <c r="AL291" s="24">
        <f t="shared" si="238"/>
        <v>0</v>
      </c>
      <c r="AM291" s="24">
        <f t="shared" si="239"/>
        <v>0</v>
      </c>
      <c r="AN291" s="25" t="s">
        <v>331</v>
      </c>
      <c r="AO291" s="25" t="s">
        <v>338</v>
      </c>
      <c r="AP291" s="19" t="s">
        <v>339</v>
      </c>
      <c r="AR291" s="45" t="s">
        <v>726</v>
      </c>
      <c r="AS291" s="160"/>
    </row>
    <row r="292" spans="1:47">
      <c r="A292" s="4" t="s">
        <v>849</v>
      </c>
      <c r="B292" s="4"/>
      <c r="C292" s="4" t="s">
        <v>194</v>
      </c>
      <c r="D292" s="4" t="s">
        <v>275</v>
      </c>
      <c r="E292" s="4" t="s">
        <v>288</v>
      </c>
      <c r="F292" s="14">
        <f>F289*135</f>
        <v>32.736765599999998</v>
      </c>
      <c r="G292" s="14"/>
      <c r="H292" s="14">
        <f t="shared" si="231"/>
        <v>0</v>
      </c>
      <c r="I292" s="14">
        <f t="shared" si="232"/>
        <v>0</v>
      </c>
      <c r="J292" s="14">
        <f t="shared" si="233"/>
        <v>0</v>
      </c>
      <c r="K292" s="136"/>
      <c r="L292" s="14"/>
      <c r="M292" s="20" t="s">
        <v>10</v>
      </c>
      <c r="N292" s="14">
        <f t="shared" si="234"/>
        <v>0</v>
      </c>
      <c r="Y292" s="81">
        <f t="shared" si="235"/>
        <v>0</v>
      </c>
      <c r="Z292" s="81">
        <f t="shared" si="236"/>
        <v>0</v>
      </c>
      <c r="AA292" s="81">
        <f t="shared" si="237"/>
        <v>0</v>
      </c>
      <c r="AC292" s="24">
        <v>15</v>
      </c>
      <c r="AD292" s="84">
        <f t="shared" si="141"/>
        <v>0</v>
      </c>
      <c r="AE292" s="84">
        <f t="shared" si="142"/>
        <v>0</v>
      </c>
      <c r="AL292" s="24">
        <f t="shared" si="238"/>
        <v>0</v>
      </c>
      <c r="AM292" s="24">
        <f t="shared" si="239"/>
        <v>0</v>
      </c>
      <c r="AN292" s="25" t="s">
        <v>331</v>
      </c>
      <c r="AO292" s="25" t="s">
        <v>338</v>
      </c>
      <c r="AP292" s="19" t="s">
        <v>339</v>
      </c>
      <c r="AR292" s="45" t="s">
        <v>726</v>
      </c>
      <c r="AS292" s="160"/>
    </row>
    <row r="293" spans="1:47">
      <c r="A293" s="4" t="s">
        <v>872</v>
      </c>
      <c r="B293" s="4"/>
      <c r="C293" s="4" t="s">
        <v>195</v>
      </c>
      <c r="D293" s="4" t="s">
        <v>276</v>
      </c>
      <c r="E293" s="4" t="s">
        <v>288</v>
      </c>
      <c r="F293" s="14">
        <f>F289</f>
        <v>0.24249455999999997</v>
      </c>
      <c r="G293" s="14"/>
      <c r="H293" s="14">
        <f t="shared" si="231"/>
        <v>0</v>
      </c>
      <c r="I293" s="14">
        <f t="shared" si="232"/>
        <v>0</v>
      </c>
      <c r="J293" s="14">
        <f t="shared" si="233"/>
        <v>0</v>
      </c>
      <c r="K293" s="136"/>
      <c r="L293" s="14"/>
      <c r="M293" s="20" t="s">
        <v>10</v>
      </c>
      <c r="N293" s="14">
        <f t="shared" si="234"/>
        <v>0</v>
      </c>
      <c r="Y293" s="81">
        <f t="shared" si="235"/>
        <v>0</v>
      </c>
      <c r="Z293" s="81">
        <f t="shared" si="236"/>
        <v>0</v>
      </c>
      <c r="AA293" s="81">
        <f t="shared" si="237"/>
        <v>0</v>
      </c>
      <c r="AC293" s="24">
        <v>15</v>
      </c>
      <c r="AD293" s="84">
        <f t="shared" ref="AD293:AD306" si="240">G293*0.81143570536829</f>
        <v>0</v>
      </c>
      <c r="AE293" s="84">
        <f t="shared" ref="AE293:AE306" si="241">G293*(1-0.81143570536829)</f>
        <v>0</v>
      </c>
      <c r="AL293" s="24">
        <f t="shared" si="238"/>
        <v>0</v>
      </c>
      <c r="AM293" s="24">
        <f t="shared" si="239"/>
        <v>0</v>
      </c>
      <c r="AN293" s="25" t="s">
        <v>331</v>
      </c>
      <c r="AO293" s="25" t="s">
        <v>338</v>
      </c>
      <c r="AP293" s="19" t="s">
        <v>339</v>
      </c>
      <c r="AR293" s="45" t="s">
        <v>726</v>
      </c>
      <c r="AS293" s="160"/>
    </row>
    <row r="294" spans="1:47">
      <c r="A294" s="4" t="s">
        <v>873</v>
      </c>
      <c r="B294" s="4"/>
      <c r="C294" s="4" t="s">
        <v>196</v>
      </c>
      <c r="D294" s="4" t="s">
        <v>277</v>
      </c>
      <c r="E294" s="4" t="s">
        <v>288</v>
      </c>
      <c r="F294" s="14">
        <f>F289</f>
        <v>0.24249455999999997</v>
      </c>
      <c r="G294" s="14"/>
      <c r="H294" s="14">
        <f t="shared" si="231"/>
        <v>0</v>
      </c>
      <c r="I294" s="14">
        <f t="shared" si="232"/>
        <v>0</v>
      </c>
      <c r="J294" s="14">
        <f t="shared" si="233"/>
        <v>0</v>
      </c>
      <c r="K294" s="136"/>
      <c r="L294" s="14"/>
      <c r="M294" s="20" t="s">
        <v>10</v>
      </c>
      <c r="N294" s="14">
        <f t="shared" si="234"/>
        <v>0</v>
      </c>
      <c r="Y294" s="81">
        <f t="shared" si="235"/>
        <v>0</v>
      </c>
      <c r="Z294" s="81">
        <f t="shared" si="236"/>
        <v>0</v>
      </c>
      <c r="AA294" s="81">
        <f t="shared" si="237"/>
        <v>0</v>
      </c>
      <c r="AC294" s="24">
        <v>15</v>
      </c>
      <c r="AD294" s="84">
        <f t="shared" si="240"/>
        <v>0</v>
      </c>
      <c r="AE294" s="84">
        <f t="shared" si="241"/>
        <v>0</v>
      </c>
      <c r="AL294" s="24">
        <f t="shared" si="238"/>
        <v>0</v>
      </c>
      <c r="AM294" s="24">
        <f t="shared" si="239"/>
        <v>0</v>
      </c>
      <c r="AN294" s="25" t="s">
        <v>331</v>
      </c>
      <c r="AO294" s="25" t="s">
        <v>338</v>
      </c>
      <c r="AP294" s="19" t="s">
        <v>339</v>
      </c>
      <c r="AR294" s="45" t="s">
        <v>726</v>
      </c>
      <c r="AS294" s="160"/>
    </row>
    <row r="295" spans="1:47">
      <c r="A295" s="4" t="s">
        <v>874</v>
      </c>
      <c r="B295" s="4"/>
      <c r="C295" s="4" t="s">
        <v>197</v>
      </c>
      <c r="D295" s="4" t="s">
        <v>278</v>
      </c>
      <c r="E295" s="4" t="s">
        <v>288</v>
      </c>
      <c r="F295" s="14">
        <f>F288</f>
        <v>0.96997823999999988</v>
      </c>
      <c r="G295" s="14"/>
      <c r="H295" s="14">
        <f t="shared" si="231"/>
        <v>0</v>
      </c>
      <c r="I295" s="14">
        <f t="shared" si="232"/>
        <v>0</v>
      </c>
      <c r="J295" s="14">
        <f t="shared" si="233"/>
        <v>0</v>
      </c>
      <c r="K295" s="136"/>
      <c r="L295" s="14"/>
      <c r="M295" s="20" t="s">
        <v>10</v>
      </c>
      <c r="N295" s="14">
        <f t="shared" si="234"/>
        <v>0</v>
      </c>
      <c r="Y295" s="81">
        <f t="shared" si="235"/>
        <v>0</v>
      </c>
      <c r="Z295" s="81">
        <f t="shared" si="236"/>
        <v>0</v>
      </c>
      <c r="AA295" s="81">
        <f t="shared" si="237"/>
        <v>0</v>
      </c>
      <c r="AC295" s="24">
        <v>15</v>
      </c>
      <c r="AD295" s="84">
        <f t="shared" si="240"/>
        <v>0</v>
      </c>
      <c r="AE295" s="84">
        <f t="shared" si="241"/>
        <v>0</v>
      </c>
      <c r="AL295" s="24">
        <f t="shared" si="238"/>
        <v>0</v>
      </c>
      <c r="AM295" s="24">
        <f t="shared" si="239"/>
        <v>0</v>
      </c>
      <c r="AN295" s="25" t="s">
        <v>331</v>
      </c>
      <c r="AO295" s="25" t="s">
        <v>338</v>
      </c>
      <c r="AP295" s="19" t="s">
        <v>339</v>
      </c>
      <c r="AR295" s="45" t="s">
        <v>726</v>
      </c>
      <c r="AS295" s="160"/>
    </row>
    <row r="296" spans="1:47" s="104" customFormat="1">
      <c r="A296" s="4" t="s">
        <v>875</v>
      </c>
      <c r="B296" s="80"/>
      <c r="C296" s="80" t="s">
        <v>616</v>
      </c>
      <c r="D296" s="80" t="s">
        <v>617</v>
      </c>
      <c r="E296" s="80" t="s">
        <v>288</v>
      </c>
      <c r="F296" s="173">
        <f>0.012*F145</f>
        <v>0.97199999999999998</v>
      </c>
      <c r="G296" s="14"/>
      <c r="H296" s="81">
        <f t="shared" si="231"/>
        <v>0</v>
      </c>
      <c r="I296" s="81">
        <f>J296-H296</f>
        <v>0</v>
      </c>
      <c r="J296" s="14">
        <f t="shared" si="233"/>
        <v>0</v>
      </c>
      <c r="K296" s="135"/>
      <c r="L296" s="81"/>
      <c r="M296" s="82" t="s">
        <v>10</v>
      </c>
      <c r="N296" s="14">
        <f t="shared" si="234"/>
        <v>0</v>
      </c>
      <c r="Y296" s="81">
        <f t="shared" si="235"/>
        <v>0</v>
      </c>
      <c r="Z296" s="81">
        <f t="shared" si="236"/>
        <v>0</v>
      </c>
      <c r="AA296" s="81">
        <f t="shared" si="237"/>
        <v>0</v>
      </c>
      <c r="AC296" s="84">
        <v>15</v>
      </c>
      <c r="AD296" s="84">
        <f t="shared" si="240"/>
        <v>0</v>
      </c>
      <c r="AE296" s="84">
        <f t="shared" si="241"/>
        <v>0</v>
      </c>
      <c r="AL296" s="84">
        <f t="shared" si="238"/>
        <v>0</v>
      </c>
      <c r="AM296" s="84">
        <f t="shared" si="239"/>
        <v>0</v>
      </c>
      <c r="AN296" s="85" t="s">
        <v>331</v>
      </c>
      <c r="AO296" s="85" t="s">
        <v>338</v>
      </c>
      <c r="AP296" s="105" t="s">
        <v>339</v>
      </c>
      <c r="AR296" s="45" t="s">
        <v>726</v>
      </c>
      <c r="AS296" s="160"/>
      <c r="AU296" s="227"/>
    </row>
    <row r="297" spans="1:47" s="104" customFormat="1" hidden="1">
      <c r="A297" s="4" t="s">
        <v>876</v>
      </c>
      <c r="B297" s="80"/>
      <c r="C297" s="80" t="s">
        <v>618</v>
      </c>
      <c r="D297" s="80" t="s">
        <v>619</v>
      </c>
      <c r="E297" s="80" t="s">
        <v>288</v>
      </c>
      <c r="F297" s="81">
        <f>L199+L200+L204</f>
        <v>0</v>
      </c>
      <c r="G297" s="81">
        <v>1620</v>
      </c>
      <c r="H297" s="81">
        <f t="shared" si="231"/>
        <v>0</v>
      </c>
      <c r="I297" s="81">
        <f>J297-H297</f>
        <v>0</v>
      </c>
      <c r="J297" s="14">
        <f t="shared" si="233"/>
        <v>0</v>
      </c>
      <c r="K297" s="135"/>
      <c r="L297" s="81"/>
      <c r="M297" s="82" t="s">
        <v>10</v>
      </c>
      <c r="N297" s="14">
        <f t="shared" si="234"/>
        <v>0</v>
      </c>
      <c r="Y297" s="81">
        <f t="shared" si="235"/>
        <v>0</v>
      </c>
      <c r="Z297" s="81">
        <f t="shared" si="236"/>
        <v>0</v>
      </c>
      <c r="AA297" s="81">
        <f t="shared" si="237"/>
        <v>0</v>
      </c>
      <c r="AC297" s="84">
        <v>15</v>
      </c>
      <c r="AD297" s="84">
        <f t="shared" si="240"/>
        <v>1314.5258426966298</v>
      </c>
      <c r="AE297" s="84">
        <f t="shared" si="241"/>
        <v>305.47415730337019</v>
      </c>
      <c r="AL297" s="84">
        <f t="shared" si="238"/>
        <v>0</v>
      </c>
      <c r="AM297" s="84">
        <f t="shared" si="239"/>
        <v>0</v>
      </c>
      <c r="AN297" s="85" t="s">
        <v>331</v>
      </c>
      <c r="AO297" s="85" t="s">
        <v>338</v>
      </c>
      <c r="AP297" s="105" t="s">
        <v>339</v>
      </c>
      <c r="AR297" s="45" t="s">
        <v>726</v>
      </c>
      <c r="AS297" s="160"/>
      <c r="AU297" s="227"/>
    </row>
    <row r="298" spans="1:47" s="56" customFormat="1" hidden="1">
      <c r="A298" s="50" t="s">
        <v>405</v>
      </c>
      <c r="B298" s="51" t="s">
        <v>405</v>
      </c>
      <c r="C298" s="52" t="s">
        <v>406</v>
      </c>
      <c r="D298" s="53" t="s">
        <v>407</v>
      </c>
      <c r="E298" s="52" t="s">
        <v>405</v>
      </c>
      <c r="F298" s="54" t="s">
        <v>405</v>
      </c>
      <c r="G298" s="72"/>
      <c r="H298" s="55">
        <f>SUM(H299:H302)</f>
        <v>0</v>
      </c>
      <c r="I298" s="55">
        <f>SUM(I299:I302)</f>
        <v>0</v>
      </c>
      <c r="J298" s="27">
        <f>H298+I298</f>
        <v>0</v>
      </c>
      <c r="K298" s="148">
        <v>0</v>
      </c>
      <c r="L298" s="55">
        <f>SUM(L299:L302)</f>
        <v>0</v>
      </c>
      <c r="M298" s="54">
        <f>SUM(M299:M302)</f>
        <v>1</v>
      </c>
      <c r="O298" s="27">
        <f>IF(P298="PR",J298,SUM(N299:N302))</f>
        <v>0</v>
      </c>
      <c r="P298" s="19" t="s">
        <v>305</v>
      </c>
      <c r="Q298" s="27">
        <f>IF(P298="HS",H298,0)</f>
        <v>0</v>
      </c>
      <c r="R298" s="27">
        <f>IF(P298="HS",I298-O298,0)</f>
        <v>0</v>
      </c>
      <c r="S298" s="27">
        <f>IF(P298="PS",H298,0)</f>
        <v>0</v>
      </c>
      <c r="T298" s="27">
        <f>IF(P298="PS",I298-O298,0)</f>
        <v>0</v>
      </c>
      <c r="U298" s="27">
        <f>IF(P298="MP",H298,0)</f>
        <v>0</v>
      </c>
      <c r="V298" s="27">
        <f>IF(P298="MP",I298-O298,0)</f>
        <v>0</v>
      </c>
      <c r="W298" s="27">
        <f>IF(P298="OM",H298,0)</f>
        <v>0</v>
      </c>
      <c r="X298" s="19"/>
      <c r="Y298" s="81"/>
      <c r="Z298" s="81"/>
      <c r="AA298" s="81"/>
      <c r="AD298" s="84"/>
      <c r="AE298" s="84"/>
      <c r="AH298" s="27">
        <f>SUM(Y299:Y302)</f>
        <v>0</v>
      </c>
      <c r="AI298" s="27">
        <f>SUM(Z299:Z302)</f>
        <v>0</v>
      </c>
      <c r="AJ298" s="27">
        <f>SUM(AA299:AA302)</f>
        <v>0</v>
      </c>
      <c r="AS298" s="167">
        <v>0</v>
      </c>
      <c r="AU298" s="240"/>
    </row>
    <row r="299" spans="1:47" s="75" customFormat="1" hidden="1">
      <c r="A299" s="4" t="s">
        <v>877</v>
      </c>
      <c r="B299" s="4"/>
      <c r="C299" s="4" t="s">
        <v>410</v>
      </c>
      <c r="D299" s="4" t="s">
        <v>415</v>
      </c>
      <c r="E299" s="4" t="s">
        <v>287</v>
      </c>
      <c r="F299" s="14">
        <v>0</v>
      </c>
      <c r="G299" s="14">
        <v>570</v>
      </c>
      <c r="H299" s="14">
        <f>F299*AD299</f>
        <v>0</v>
      </c>
      <c r="I299" s="14">
        <f>J299-H299</f>
        <v>0</v>
      </c>
      <c r="J299" s="14">
        <f>F299*G299</f>
        <v>0</v>
      </c>
      <c r="K299" s="136">
        <v>3.8999999999999999E-4</v>
      </c>
      <c r="L299" s="14">
        <f>F299*K299</f>
        <v>0</v>
      </c>
      <c r="M299" s="20" t="s">
        <v>6</v>
      </c>
      <c r="N299" s="14">
        <f>IF(M299="5",I299,0)</f>
        <v>0</v>
      </c>
      <c r="Y299" s="81">
        <f>IF(AC299=0,J299,0)</f>
        <v>0</v>
      </c>
      <c r="Z299" s="81">
        <f>IF(AC299=15,J299,0)</f>
        <v>0</v>
      </c>
      <c r="AA299" s="81">
        <f>IF(AC299=21,J299,0)</f>
        <v>0</v>
      </c>
      <c r="AC299" s="24">
        <v>15</v>
      </c>
      <c r="AD299" s="84">
        <f t="shared" si="240"/>
        <v>462.51835205992529</v>
      </c>
      <c r="AE299" s="84">
        <f t="shared" si="241"/>
        <v>107.48164794007469</v>
      </c>
      <c r="AL299" s="24">
        <f>F299*AD299</f>
        <v>0</v>
      </c>
      <c r="AM299" s="24">
        <f>F299*AE299</f>
        <v>0</v>
      </c>
      <c r="AN299" s="25" t="s">
        <v>411</v>
      </c>
      <c r="AO299" s="25" t="s">
        <v>412</v>
      </c>
      <c r="AP299" s="76" t="s">
        <v>339</v>
      </c>
      <c r="AR299" s="45" t="s">
        <v>726</v>
      </c>
      <c r="AS299" s="160">
        <v>3.8999999999999999E-4</v>
      </c>
      <c r="AU299" s="229"/>
    </row>
    <row r="300" spans="1:47" s="75" customFormat="1" hidden="1">
      <c r="A300" s="4" t="s">
        <v>878</v>
      </c>
      <c r="B300" s="4"/>
      <c r="C300" s="4" t="s">
        <v>413</v>
      </c>
      <c r="D300" s="4" t="s">
        <v>435</v>
      </c>
      <c r="E300" s="4" t="s">
        <v>285</v>
      </c>
      <c r="F300" s="14">
        <v>0</v>
      </c>
      <c r="G300" s="14">
        <v>395</v>
      </c>
      <c r="H300" s="14">
        <f>F300*AD300</f>
        <v>0</v>
      </c>
      <c r="I300" s="14">
        <f>J300-H300</f>
        <v>0</v>
      </c>
      <c r="J300" s="14">
        <f>F300*G300</f>
        <v>0</v>
      </c>
      <c r="K300" s="136">
        <v>4.8000000000000001E-2</v>
      </c>
      <c r="L300" s="14">
        <f>F300*K300</f>
        <v>0</v>
      </c>
      <c r="M300" s="20" t="s">
        <v>6</v>
      </c>
      <c r="N300" s="14">
        <f>IF(M300="5",I300,0)</f>
        <v>0</v>
      </c>
      <c r="Y300" s="81">
        <f>IF(AC300=0,J300,0)</f>
        <v>0</v>
      </c>
      <c r="Z300" s="81">
        <f>IF(AC300=15,J300,0)</f>
        <v>0</v>
      </c>
      <c r="AA300" s="81">
        <f>IF(AC300=21,J300,0)</f>
        <v>0</v>
      </c>
      <c r="AC300" s="24">
        <v>15</v>
      </c>
      <c r="AD300" s="84">
        <f t="shared" si="240"/>
        <v>320.51710362047453</v>
      </c>
      <c r="AE300" s="84">
        <f t="shared" si="241"/>
        <v>74.482896379525442</v>
      </c>
      <c r="AL300" s="24">
        <f>F300*AD300</f>
        <v>0</v>
      </c>
      <c r="AM300" s="24">
        <f>F300*AE300</f>
        <v>0</v>
      </c>
      <c r="AN300" s="25" t="s">
        <v>414</v>
      </c>
      <c r="AO300" s="25" t="s">
        <v>412</v>
      </c>
      <c r="AP300" s="76" t="s">
        <v>339</v>
      </c>
      <c r="AR300" s="45" t="s">
        <v>726</v>
      </c>
      <c r="AS300" s="160">
        <v>4.8000000000000001E-2</v>
      </c>
      <c r="AU300" s="229"/>
    </row>
    <row r="301" spans="1:47" s="75" customFormat="1" hidden="1">
      <c r="A301" s="4" t="s">
        <v>879</v>
      </c>
      <c r="B301" s="46" t="s">
        <v>408</v>
      </c>
      <c r="C301" s="4"/>
      <c r="D301" s="4" t="s">
        <v>517</v>
      </c>
      <c r="E301" s="4" t="s">
        <v>287</v>
      </c>
      <c r="F301" s="14">
        <v>0</v>
      </c>
      <c r="G301" s="14"/>
      <c r="H301" s="14">
        <f>F301*AD301</f>
        <v>0</v>
      </c>
      <c r="I301" s="14">
        <f>J301-H301</f>
        <v>0</v>
      </c>
      <c r="J301" s="14">
        <f>F301*G301</f>
        <v>0</v>
      </c>
      <c r="K301" s="136">
        <v>3.8999999999999998E-3</v>
      </c>
      <c r="L301" s="14">
        <f>F301*K301</f>
        <v>0</v>
      </c>
      <c r="M301" s="20" t="s">
        <v>6</v>
      </c>
      <c r="N301" s="14">
        <f>IF(M301="5",I301,0)</f>
        <v>0</v>
      </c>
      <c r="Y301" s="81">
        <f>IF(AC301=0,J301,0)</f>
        <v>0</v>
      </c>
      <c r="Z301" s="81">
        <f>IF(AC301=15,J301,0)</f>
        <v>0</v>
      </c>
      <c r="AA301" s="81">
        <f>IF(AC301=21,J301,0)</f>
        <v>0</v>
      </c>
      <c r="AC301" s="24">
        <v>15</v>
      </c>
      <c r="AD301" s="84">
        <f t="shared" si="240"/>
        <v>0</v>
      </c>
      <c r="AE301" s="84">
        <f t="shared" si="241"/>
        <v>0</v>
      </c>
      <c r="AL301" s="24">
        <f>F301*AD301</f>
        <v>0</v>
      </c>
      <c r="AM301" s="24">
        <f>F301*AE301</f>
        <v>0</v>
      </c>
      <c r="AN301" s="25" t="s">
        <v>411</v>
      </c>
      <c r="AO301" s="25" t="s">
        <v>412</v>
      </c>
      <c r="AP301" s="76" t="s">
        <v>339</v>
      </c>
      <c r="AR301" s="45" t="s">
        <v>726</v>
      </c>
      <c r="AS301" s="160">
        <v>3.8999999999999998E-3</v>
      </c>
      <c r="AU301" s="229"/>
    </row>
    <row r="302" spans="1:47" s="45" customFormat="1" hidden="1">
      <c r="A302" s="4" t="s">
        <v>880</v>
      </c>
      <c r="B302" s="46" t="s">
        <v>408</v>
      </c>
      <c r="C302" s="47"/>
      <c r="D302" s="112" t="s">
        <v>409</v>
      </c>
      <c r="E302" s="47" t="s">
        <v>285</v>
      </c>
      <c r="F302" s="49">
        <v>0</v>
      </c>
      <c r="G302" s="48">
        <v>7640</v>
      </c>
      <c r="H302" s="48">
        <f>IF(B302="MAT",0,F302*G302)</f>
        <v>0</v>
      </c>
      <c r="I302" s="48">
        <f>IF(B302="MAT",F302*G302,0)</f>
        <v>0</v>
      </c>
      <c r="J302" s="48">
        <f>F302*G302</f>
        <v>0</v>
      </c>
      <c r="K302" s="143">
        <v>4.8000000000000001E-2</v>
      </c>
      <c r="L302" s="49">
        <f>K302*F302</f>
        <v>0</v>
      </c>
      <c r="M302" s="49">
        <v>1</v>
      </c>
      <c r="N302" s="14">
        <f>IF(M302="5",I302,0)</f>
        <v>0</v>
      </c>
      <c r="Y302" s="81">
        <f>IF(AC302=0,J302,0)</f>
        <v>0</v>
      </c>
      <c r="Z302" s="81">
        <f>IF(AC302=15,J302,0)</f>
        <v>0</v>
      </c>
      <c r="AA302" s="81">
        <f>IF(AC302=21,J302,0)</f>
        <v>0</v>
      </c>
      <c r="AB302" s="75"/>
      <c r="AC302" s="24">
        <v>15</v>
      </c>
      <c r="AD302" s="84">
        <f t="shared" si="240"/>
        <v>6199.3687890137353</v>
      </c>
      <c r="AE302" s="84">
        <f t="shared" si="241"/>
        <v>1440.6312109862643</v>
      </c>
      <c r="AL302" s="24">
        <f>F302*AD302</f>
        <v>0</v>
      </c>
      <c r="AM302" s="24">
        <f>F302*AE302</f>
        <v>0</v>
      </c>
      <c r="AN302" s="25" t="s">
        <v>414</v>
      </c>
      <c r="AO302" s="25" t="s">
        <v>412</v>
      </c>
      <c r="AP302" s="76" t="s">
        <v>339</v>
      </c>
      <c r="AR302" s="45" t="s">
        <v>726</v>
      </c>
      <c r="AS302" s="164">
        <v>4.8000000000000001E-2</v>
      </c>
      <c r="AU302" s="234"/>
    </row>
    <row r="303" spans="1:47" s="56" customFormat="1" hidden="1">
      <c r="A303" s="50" t="s">
        <v>405</v>
      </c>
      <c r="B303" s="51" t="s">
        <v>405</v>
      </c>
      <c r="C303" s="52" t="s">
        <v>419</v>
      </c>
      <c r="D303" s="53" t="s">
        <v>420</v>
      </c>
      <c r="E303" s="52" t="s">
        <v>405</v>
      </c>
      <c r="F303" s="54" t="s">
        <v>405</v>
      </c>
      <c r="G303" s="72"/>
      <c r="H303" s="55">
        <f>SUM(H304:H306)</f>
        <v>0</v>
      </c>
      <c r="I303" s="55">
        <f>SUM(I304:I306)</f>
        <v>0</v>
      </c>
      <c r="J303" s="27">
        <f>H303+I303</f>
        <v>0</v>
      </c>
      <c r="K303" s="148">
        <v>0</v>
      </c>
      <c r="L303" s="54">
        <f>SUM(L304:L306)</f>
        <v>0</v>
      </c>
      <c r="M303" s="54"/>
      <c r="O303" s="27">
        <f>IF(P303="PR",J303,SUM(N304:N306))</f>
        <v>0</v>
      </c>
      <c r="P303" s="19" t="s">
        <v>307</v>
      </c>
      <c r="Q303" s="27">
        <f>IF(P303="HS",H303,0)</f>
        <v>0</v>
      </c>
      <c r="R303" s="27">
        <f>IF(P303="HS",I303-O303,0)</f>
        <v>0</v>
      </c>
      <c r="S303" s="27">
        <f>IF(P303="PS",H303,0)</f>
        <v>0</v>
      </c>
      <c r="T303" s="27">
        <f>IF(P303="PS",I303-O303,0)</f>
        <v>0</v>
      </c>
      <c r="U303" s="27">
        <f>IF(P303="MP",H303,0)</f>
        <v>0</v>
      </c>
      <c r="V303" s="27">
        <f>IF(P303="MP",I303-O303,0)</f>
        <v>0</v>
      </c>
      <c r="W303" s="27">
        <f>IF(P303="OM",H303,0)</f>
        <v>0</v>
      </c>
      <c r="X303" s="19"/>
      <c r="Y303" s="81"/>
      <c r="Z303" s="81"/>
      <c r="AA303" s="81"/>
      <c r="AD303" s="84"/>
      <c r="AE303" s="84"/>
      <c r="AH303" s="27">
        <f>SUM(Y304:Y306)</f>
        <v>0</v>
      </c>
      <c r="AI303" s="27">
        <f>SUM(Z304:Z306)</f>
        <v>0</v>
      </c>
      <c r="AJ303" s="27">
        <f>SUM(AA304:AA306)</f>
        <v>0</v>
      </c>
      <c r="AS303" s="167">
        <v>0</v>
      </c>
      <c r="AU303" s="240"/>
    </row>
    <row r="304" spans="1:47" s="45" customFormat="1" hidden="1">
      <c r="A304" s="59">
        <v>256</v>
      </c>
      <c r="B304" s="46" t="s">
        <v>421</v>
      </c>
      <c r="C304" s="47"/>
      <c r="D304" s="209" t="s">
        <v>916</v>
      </c>
      <c r="E304" s="47" t="s">
        <v>285</v>
      </c>
      <c r="F304" s="49">
        <v>0</v>
      </c>
      <c r="G304" s="48">
        <v>770</v>
      </c>
      <c r="H304" s="48">
        <f>IF(B304="MAT",0,F304*G304)</f>
        <v>0</v>
      </c>
      <c r="I304" s="48">
        <f>IF(B304="MAT",F304*G304,0)</f>
        <v>0</v>
      </c>
      <c r="J304" s="48">
        <f>F304*G304</f>
        <v>0</v>
      </c>
      <c r="K304" s="143">
        <v>1.4999999999999999E-2</v>
      </c>
      <c r="L304" s="49">
        <f>K304*F304</f>
        <v>0</v>
      </c>
      <c r="M304" s="49">
        <v>1</v>
      </c>
      <c r="N304" s="14">
        <f>IF(M304="5",I304,0)</f>
        <v>0</v>
      </c>
      <c r="Y304" s="81">
        <f>IF(AC304=0,J304,0)</f>
        <v>0</v>
      </c>
      <c r="Z304" s="81">
        <f>IF(AC304=15,J304,0)</f>
        <v>0</v>
      </c>
      <c r="AA304" s="81">
        <f>IF(AC304=21,J304,0)</f>
        <v>0</v>
      </c>
      <c r="AB304" s="75"/>
      <c r="AC304" s="24">
        <v>15</v>
      </c>
      <c r="AD304" s="84">
        <f t="shared" si="240"/>
        <v>624.80549313358335</v>
      </c>
      <c r="AE304" s="84">
        <f t="shared" si="241"/>
        <v>145.19450686641667</v>
      </c>
      <c r="AL304" s="24">
        <f>F304*AD304</f>
        <v>0</v>
      </c>
      <c r="AM304" s="24">
        <f>F304*AE304</f>
        <v>0</v>
      </c>
      <c r="AN304" s="25" t="s">
        <v>414</v>
      </c>
      <c r="AO304" s="25" t="s">
        <v>412</v>
      </c>
      <c r="AP304" s="76" t="s">
        <v>339</v>
      </c>
      <c r="AR304" s="45" t="s">
        <v>726</v>
      </c>
      <c r="AS304" s="164">
        <v>1.4999999999999999E-2</v>
      </c>
      <c r="AU304" s="234"/>
    </row>
    <row r="305" spans="1:47" s="45" customFormat="1" hidden="1">
      <c r="A305" s="59">
        <v>257</v>
      </c>
      <c r="B305" s="46" t="s">
        <v>421</v>
      </c>
      <c r="C305" s="57"/>
      <c r="D305" s="112" t="s">
        <v>422</v>
      </c>
      <c r="E305" s="47" t="s">
        <v>285</v>
      </c>
      <c r="F305" s="49">
        <v>0</v>
      </c>
      <c r="G305" s="48">
        <f>1760*2.3</f>
        <v>4047.9999999999995</v>
      </c>
      <c r="H305" s="48">
        <f>IF(B305="MAT",0,F305*G305)</f>
        <v>0</v>
      </c>
      <c r="I305" s="48">
        <f>IF(B305="MAT",F305*G305,0)</f>
        <v>0</v>
      </c>
      <c r="J305" s="48">
        <f>F305*G305</f>
        <v>0</v>
      </c>
      <c r="K305" s="143">
        <v>1E-3</v>
      </c>
      <c r="L305" s="49">
        <f>K305*F305</f>
        <v>0</v>
      </c>
      <c r="M305" s="49">
        <v>1</v>
      </c>
      <c r="N305" s="14">
        <f>IF(M305="5",I305,0)</f>
        <v>0</v>
      </c>
      <c r="Y305" s="81">
        <f>IF(AC305=0,J305,0)</f>
        <v>0</v>
      </c>
      <c r="Z305" s="81">
        <f>IF(AC305=15,J305,0)</f>
        <v>0</v>
      </c>
      <c r="AA305" s="81">
        <f>IF(AC305=21,J305,0)</f>
        <v>0</v>
      </c>
      <c r="AB305" s="75"/>
      <c r="AC305" s="24">
        <v>15</v>
      </c>
      <c r="AD305" s="84">
        <f t="shared" si="240"/>
        <v>3284.6917353308377</v>
      </c>
      <c r="AE305" s="84">
        <f t="shared" si="241"/>
        <v>763.30826466916187</v>
      </c>
      <c r="AL305" s="24">
        <f>F305*AD305</f>
        <v>0</v>
      </c>
      <c r="AM305" s="24">
        <f>F305*AE305</f>
        <v>0</v>
      </c>
      <c r="AN305" s="25" t="s">
        <v>414</v>
      </c>
      <c r="AO305" s="25" t="s">
        <v>412</v>
      </c>
      <c r="AP305" s="76" t="s">
        <v>339</v>
      </c>
      <c r="AR305" s="45" t="s">
        <v>726</v>
      </c>
      <c r="AS305" s="164">
        <v>1E-3</v>
      </c>
      <c r="AU305" s="234"/>
    </row>
    <row r="306" spans="1:47" s="45" customFormat="1" hidden="1">
      <c r="A306" s="59">
        <v>258</v>
      </c>
      <c r="B306" s="46" t="s">
        <v>408</v>
      </c>
      <c r="C306" s="47"/>
      <c r="D306" s="117" t="s">
        <v>423</v>
      </c>
      <c r="E306" s="47" t="s">
        <v>285</v>
      </c>
      <c r="F306" s="49">
        <v>0</v>
      </c>
      <c r="G306" s="48">
        <v>1820</v>
      </c>
      <c r="H306" s="48">
        <f>IF(B306="MAT",0,F306*G306)</f>
        <v>0</v>
      </c>
      <c r="I306" s="48">
        <f>IF(B306="MAT",F306*G306,0)</f>
        <v>0</v>
      </c>
      <c r="J306" s="48">
        <f>F306*G306</f>
        <v>0</v>
      </c>
      <c r="K306" s="143">
        <v>1.2E-2</v>
      </c>
      <c r="L306" s="49">
        <f>K306*F306</f>
        <v>0</v>
      </c>
      <c r="M306" s="49">
        <v>1</v>
      </c>
      <c r="N306" s="14">
        <f>IF(M306="5",I306,0)</f>
        <v>0</v>
      </c>
      <c r="Y306" s="81">
        <f>IF(AC306=0,J306,0)</f>
        <v>0</v>
      </c>
      <c r="Z306" s="81">
        <f>IF(AC306=15,J306,0)</f>
        <v>0</v>
      </c>
      <c r="AA306" s="81">
        <f>IF(AC306=21,J306,0)</f>
        <v>0</v>
      </c>
      <c r="AB306" s="75"/>
      <c r="AC306" s="24">
        <v>15</v>
      </c>
      <c r="AD306" s="84">
        <f t="shared" si="240"/>
        <v>1476.8129837702879</v>
      </c>
      <c r="AE306" s="84">
        <f t="shared" si="241"/>
        <v>343.18701622971219</v>
      </c>
      <c r="AL306" s="24">
        <f>F306*AD306</f>
        <v>0</v>
      </c>
      <c r="AM306" s="24">
        <f>F306*AE306</f>
        <v>0</v>
      </c>
      <c r="AN306" s="25" t="s">
        <v>414</v>
      </c>
      <c r="AO306" s="25" t="s">
        <v>412</v>
      </c>
      <c r="AP306" s="76" t="s">
        <v>339</v>
      </c>
      <c r="AR306" s="45" t="s">
        <v>726</v>
      </c>
      <c r="AS306" s="164">
        <v>1.2E-2</v>
      </c>
      <c r="AU306" s="234"/>
    </row>
    <row r="307" spans="1:47">
      <c r="A307" s="7"/>
      <c r="B307" s="7"/>
      <c r="C307" s="7"/>
      <c r="D307" s="7"/>
      <c r="E307" s="7"/>
      <c r="F307" s="7"/>
      <c r="G307" s="7"/>
      <c r="H307" s="388" t="s">
        <v>294</v>
      </c>
      <c r="I307" s="389"/>
      <c r="J307" s="28">
        <f>J12+J26+J30+J61+J65+J67+J121+J124+J130+J170+J175+J193+J196+J211+J224+J231+J248+J260+J272+J283+J287+J298+J303</f>
        <v>0</v>
      </c>
      <c r="K307" s="149"/>
      <c r="L307" s="7"/>
      <c r="Y307" s="29">
        <f>SUM(Y13:Y306)</f>
        <v>0</v>
      </c>
      <c r="Z307" s="29">
        <f>SUM(Z13:Z306)</f>
        <v>0</v>
      </c>
      <c r="AA307" s="29">
        <f>SUM(AA13:AA306)</f>
        <v>0</v>
      </c>
    </row>
    <row r="308" spans="1:47" ht="27.75" customHeight="1">
      <c r="A308" s="8" t="s">
        <v>99</v>
      </c>
    </row>
    <row r="309" spans="1:47">
      <c r="C309" s="75"/>
      <c r="D309" s="75"/>
      <c r="J309" s="121"/>
    </row>
    <row r="310" spans="1:47">
      <c r="C310" s="75"/>
      <c r="D310" s="75"/>
    </row>
    <row r="312" spans="1:47">
      <c r="D312" s="125"/>
      <c r="G312"/>
      <c r="H312" s="75"/>
      <c r="I312" s="75"/>
    </row>
    <row r="313" spans="1:47">
      <c r="G313"/>
      <c r="H313" s="75"/>
      <c r="I313" s="75"/>
    </row>
    <row r="314" spans="1:47">
      <c r="G314"/>
      <c r="H314" s="75"/>
      <c r="I314" s="75"/>
    </row>
    <row r="315" spans="1:47">
      <c r="G315"/>
      <c r="H315" s="75"/>
      <c r="I315" s="75"/>
    </row>
    <row r="316" spans="1:47">
      <c r="G316"/>
      <c r="H316" s="75"/>
      <c r="I316" s="75"/>
    </row>
  </sheetData>
  <sheetProtection password="9EF6" sheet="1" objects="1" scenarios="1"/>
  <protectedRanges>
    <protectedRange sqref="G34:G296" name="Oblast1"/>
  </protectedRanges>
  <customSheetViews>
    <customSheetView guid="{0A42B198-9C9E-43A6-8871-1A4824290440}" fitToPage="1" hiddenRows="1" hiddenColumns="1">
      <selection activeCell="AU2" sqref="AU2"/>
      <pageMargins left="0.39400000000000002" right="0.39400000000000002" top="0.62" bottom="0.35" header="0.17" footer="0.18"/>
      <pageSetup paperSize="9" scale="86" fitToHeight="0" orientation="landscape" r:id="rId1"/>
      <headerFooter alignWithMargins="0"/>
    </customSheetView>
  </customSheetViews>
  <mergeCells count="28">
    <mergeCell ref="A8:C9"/>
    <mergeCell ref="D8:D9"/>
    <mergeCell ref="E8:F9"/>
    <mergeCell ref="I8:I9"/>
    <mergeCell ref="H307:I307"/>
    <mergeCell ref="H10:J10"/>
    <mergeCell ref="G8:H9"/>
    <mergeCell ref="K10:L10"/>
    <mergeCell ref="I4:I5"/>
    <mergeCell ref="J4:L5"/>
    <mergeCell ref="J6:L7"/>
    <mergeCell ref="J8:L9"/>
    <mergeCell ref="A6:C7"/>
    <mergeCell ref="D6:D7"/>
    <mergeCell ref="E6:F7"/>
    <mergeCell ref="G6:H7"/>
    <mergeCell ref="I6:I7"/>
    <mergeCell ref="A4:C5"/>
    <mergeCell ref="D4:D5"/>
    <mergeCell ref="E4:F5"/>
    <mergeCell ref="G4:H5"/>
    <mergeCell ref="A1:L1"/>
    <mergeCell ref="A2:C3"/>
    <mergeCell ref="D2:D3"/>
    <mergeCell ref="E2:F3"/>
    <mergeCell ref="G2:H3"/>
    <mergeCell ref="I2:I3"/>
    <mergeCell ref="J2:L3"/>
  </mergeCells>
  <phoneticPr fontId="40" type="noConversion"/>
  <pageMargins left="0.39400000000000002" right="0.39400000000000002" top="0.62" bottom="0.35" header="0.17" footer="0.18"/>
  <pageSetup paperSize="9" scale="88" fitToHeight="0" orientation="landscape" r:id="rId2"/>
  <headerFooter alignWithMargins="0"/>
  <rowBreaks count="1" manualBreakCount="1">
    <brk id="2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10"/>
  <sheetViews>
    <sheetView zoomScaleNormal="100" workbookViewId="0">
      <selection activeCell="S4" sqref="S4"/>
    </sheetView>
  </sheetViews>
  <sheetFormatPr defaultColWidth="8.85546875" defaultRowHeight="15"/>
  <cols>
    <col min="1" max="2" width="8.85546875" style="175"/>
    <col min="3" max="3" width="8.85546875" style="179"/>
    <col min="4" max="4" width="8.85546875" style="174"/>
    <col min="5" max="5" width="0.85546875" style="216" customWidth="1"/>
    <col min="6" max="7" width="8.85546875" style="175"/>
    <col min="8" max="8" width="8.85546875" style="179"/>
    <col min="9" max="9" width="8.85546875" style="176"/>
    <col min="10" max="10" width="0.85546875" style="175" customWidth="1"/>
    <col min="11" max="11" width="8.85546875" style="177"/>
    <col min="12" max="12" width="0.85546875" style="216" customWidth="1"/>
    <col min="13" max="13" width="11.7109375" style="175" customWidth="1"/>
    <col min="14" max="14" width="8.85546875" style="175"/>
    <col min="15" max="15" width="8.85546875" style="179"/>
    <col min="16" max="16" width="11.28515625" style="178" bestFit="1" customWidth="1"/>
    <col min="17" max="17" width="0.85546875" style="216" customWidth="1"/>
    <col min="18" max="19" width="8.85546875" style="175"/>
    <col min="20" max="20" width="8.85546875" style="179"/>
    <col min="21" max="21" width="8.85546875" style="202"/>
    <col min="22" max="22" width="3.42578125" style="175" customWidth="1"/>
    <col min="23" max="23" width="2.7109375" style="175" customWidth="1"/>
    <col min="24" max="24" width="2" style="175" customWidth="1"/>
    <col min="25" max="25" width="10.5703125" style="175" hidden="1" customWidth="1"/>
    <col min="26" max="16384" width="8.85546875" style="175"/>
  </cols>
  <sheetData>
    <row r="1" spans="1:25" ht="16.899999999999999" customHeight="1">
      <c r="A1" s="408" t="s">
        <v>1005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10"/>
      <c r="V1" s="306"/>
    </row>
    <row r="2" spans="1:25" ht="16.899999999999999" customHeight="1">
      <c r="A2" s="408" t="s">
        <v>1123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10"/>
      <c r="V2" s="306"/>
    </row>
    <row r="3" spans="1:25" s="216" customFormat="1" ht="6" customHeight="1" thickBot="1">
      <c r="C3" s="217"/>
      <c r="D3" s="218"/>
      <c r="H3" s="217"/>
      <c r="I3" s="219"/>
      <c r="K3" s="220"/>
      <c r="O3" s="217"/>
      <c r="P3" s="218"/>
      <c r="T3" s="217"/>
      <c r="U3" s="218"/>
    </row>
    <row r="4" spans="1:25" s="216" customFormat="1" ht="27" thickBot="1">
      <c r="A4" s="412" t="s">
        <v>939</v>
      </c>
      <c r="B4" s="412"/>
      <c r="C4" s="413"/>
      <c r="D4" s="221">
        <v>2.71</v>
      </c>
      <c r="H4" s="217"/>
      <c r="I4" s="219"/>
      <c r="K4" s="220"/>
      <c r="O4" s="217"/>
      <c r="P4" s="218"/>
      <c r="T4" s="217"/>
      <c r="U4" s="218"/>
    </row>
    <row r="5" spans="1:25" s="216" customFormat="1" ht="6" customHeight="1">
      <c r="C5" s="217"/>
      <c r="D5" s="218"/>
      <c r="H5" s="217"/>
      <c r="I5" s="219"/>
      <c r="K5" s="220"/>
      <c r="O5" s="217"/>
      <c r="P5" s="218"/>
      <c r="T5" s="217"/>
      <c r="U5" s="218"/>
    </row>
    <row r="6" spans="1:25" ht="86.45" customHeight="1">
      <c r="A6" s="398" t="s">
        <v>911</v>
      </c>
      <c r="B6" s="398"/>
      <c r="C6" s="398"/>
      <c r="F6" s="399" t="s">
        <v>889</v>
      </c>
      <c r="G6" s="399"/>
      <c r="H6" s="399"/>
      <c r="M6" s="419" t="s">
        <v>1116</v>
      </c>
      <c r="N6" s="419"/>
      <c r="O6" s="419"/>
      <c r="R6" s="415" t="s">
        <v>905</v>
      </c>
      <c r="S6" s="415"/>
      <c r="T6" s="415"/>
    </row>
    <row r="8" spans="1:25" ht="31.15" customHeight="1">
      <c r="A8" s="203" t="s">
        <v>1113</v>
      </c>
      <c r="F8" s="400" t="s">
        <v>1115</v>
      </c>
      <c r="G8" s="401"/>
      <c r="H8" s="401"/>
      <c r="M8" s="205" t="s">
        <v>1113</v>
      </c>
      <c r="N8" s="302" t="s">
        <v>1117</v>
      </c>
      <c r="P8" s="178">
        <f>U9+U10+U11+U12+U13</f>
        <v>0.59400000000000008</v>
      </c>
      <c r="R8" s="203" t="s">
        <v>1113</v>
      </c>
    </row>
    <row r="9" spans="1:25">
      <c r="A9" s="175">
        <f>1.2*1.15</f>
        <v>1.38</v>
      </c>
      <c r="B9" s="193">
        <f>D4</f>
        <v>2.71</v>
      </c>
      <c r="C9" s="179">
        <v>2</v>
      </c>
      <c r="D9" s="174">
        <f>A9*B9*C9</f>
        <v>7.4795999999999996</v>
      </c>
      <c r="F9" s="175">
        <f>0.2*1.37</f>
        <v>0.27400000000000002</v>
      </c>
      <c r="G9" s="175">
        <f>1.97+0.9+1.97</f>
        <v>4.84</v>
      </c>
      <c r="H9" s="194">
        <v>1</v>
      </c>
      <c r="I9" s="176">
        <f>F9*G9*H9</f>
        <v>1.32616</v>
      </c>
      <c r="K9" s="180">
        <f>SUM(I9:I13)</f>
        <v>1.32616</v>
      </c>
      <c r="M9" s="205"/>
      <c r="N9" s="222"/>
      <c r="P9" s="178">
        <f>U15+U16+U17+U18+U19+U20</f>
        <v>0</v>
      </c>
      <c r="R9" s="175">
        <v>0.9</v>
      </c>
      <c r="S9" s="175">
        <v>0.55000000000000004</v>
      </c>
      <c r="T9" s="179">
        <v>1.2</v>
      </c>
      <c r="U9" s="202">
        <f>R9*S9*T9</f>
        <v>0.59400000000000008</v>
      </c>
      <c r="Y9" s="175">
        <f>A9*2</f>
        <v>2.76</v>
      </c>
    </row>
    <row r="10" spans="1:25">
      <c r="A10" s="175">
        <v>0</v>
      </c>
      <c r="B10" s="193">
        <f>D4</f>
        <v>2.71</v>
      </c>
      <c r="C10" s="179">
        <v>0</v>
      </c>
      <c r="D10" s="174">
        <f>A10*B10*C10</f>
        <v>0</v>
      </c>
      <c r="F10" s="175">
        <v>0</v>
      </c>
      <c r="G10" s="175">
        <v>0</v>
      </c>
      <c r="H10" s="194">
        <v>0</v>
      </c>
      <c r="I10" s="176">
        <f>F10*G10*H10</f>
        <v>0</v>
      </c>
      <c r="M10" s="205"/>
      <c r="N10" s="222"/>
      <c r="P10" s="178">
        <f>U22+U23+U24+U25+U26+U27+U28+U29+U30+U31</f>
        <v>0</v>
      </c>
      <c r="R10" s="175">
        <v>0</v>
      </c>
      <c r="S10" s="175">
        <v>0</v>
      </c>
      <c r="T10" s="179">
        <v>0</v>
      </c>
      <c r="U10" s="202">
        <f>R10*S10*T10</f>
        <v>0</v>
      </c>
      <c r="Y10" s="175">
        <f t="shared" ref="Y10:Y13" si="0">A10*2</f>
        <v>0</v>
      </c>
    </row>
    <row r="11" spans="1:25">
      <c r="A11" s="175">
        <v>-0.9</v>
      </c>
      <c r="B11" s="175">
        <v>1.97</v>
      </c>
      <c r="C11" s="179">
        <v>1</v>
      </c>
      <c r="D11" s="174">
        <f t="shared" ref="D11:D45" si="1">A11*B11*C11</f>
        <v>-1.7729999999999999</v>
      </c>
      <c r="F11" s="175">
        <v>0</v>
      </c>
      <c r="G11" s="175">
        <v>0</v>
      </c>
      <c r="H11" s="194">
        <v>0</v>
      </c>
      <c r="I11" s="176">
        <f t="shared" ref="I11:I13" si="2">F11*G11*H11</f>
        <v>0</v>
      </c>
      <c r="M11" s="205"/>
      <c r="N11" s="222"/>
      <c r="P11" s="178">
        <f>U33+U34+U35+U36+U37+U38+U39</f>
        <v>0</v>
      </c>
      <c r="R11" s="175">
        <v>0</v>
      </c>
      <c r="S11" s="175">
        <v>0</v>
      </c>
      <c r="T11" s="179">
        <v>0</v>
      </c>
      <c r="U11" s="202">
        <f t="shared" ref="U11:U13" si="3">R11*S11*T11</f>
        <v>0</v>
      </c>
      <c r="Y11" s="175">
        <f t="shared" si="0"/>
        <v>-1.8</v>
      </c>
    </row>
    <row r="12" spans="1:25" ht="26.25" hidden="1">
      <c r="A12" s="175">
        <v>0</v>
      </c>
      <c r="B12" s="175">
        <v>0</v>
      </c>
      <c r="C12" s="179">
        <v>0</v>
      </c>
      <c r="D12" s="174">
        <f t="shared" si="1"/>
        <v>0</v>
      </c>
      <c r="F12" s="175">
        <v>0</v>
      </c>
      <c r="G12" s="175">
        <v>0</v>
      </c>
      <c r="H12" s="194">
        <v>0</v>
      </c>
      <c r="I12" s="176">
        <f>F12*G12*H12</f>
        <v>0</v>
      </c>
      <c r="M12" s="205" t="s">
        <v>979</v>
      </c>
      <c r="N12" s="222"/>
      <c r="P12" s="178">
        <f>U41+U42+U43+U44+U45</f>
        <v>0</v>
      </c>
      <c r="R12" s="175">
        <v>0</v>
      </c>
      <c r="S12" s="175">
        <v>0</v>
      </c>
      <c r="T12" s="179">
        <v>0</v>
      </c>
      <c r="U12" s="202">
        <f t="shared" si="3"/>
        <v>0</v>
      </c>
      <c r="Y12" s="175">
        <f t="shared" si="0"/>
        <v>0</v>
      </c>
    </row>
    <row r="13" spans="1:25" ht="26.25" hidden="1">
      <c r="A13" s="175">
        <v>0</v>
      </c>
      <c r="B13" s="175">
        <v>0</v>
      </c>
      <c r="C13" s="179">
        <v>0</v>
      </c>
      <c r="D13" s="174">
        <f t="shared" si="1"/>
        <v>0</v>
      </c>
      <c r="I13" s="176">
        <f t="shared" si="2"/>
        <v>0</v>
      </c>
      <c r="M13" s="205" t="s">
        <v>979</v>
      </c>
      <c r="N13" s="222"/>
      <c r="P13" s="178">
        <f>U47+U48+U49+U50+U51+U52+U53</f>
        <v>0</v>
      </c>
      <c r="R13" s="175">
        <v>0</v>
      </c>
      <c r="S13" s="175">
        <v>0</v>
      </c>
      <c r="T13" s="179">
        <v>0</v>
      </c>
      <c r="U13" s="202">
        <f t="shared" si="3"/>
        <v>0</v>
      </c>
      <c r="Y13" s="175">
        <f t="shared" si="0"/>
        <v>0</v>
      </c>
    </row>
    <row r="14" spans="1:25" ht="44.45" hidden="1" customHeight="1">
      <c r="A14" s="203" t="s">
        <v>977</v>
      </c>
      <c r="F14" s="400" t="s">
        <v>908</v>
      </c>
      <c r="G14" s="401"/>
      <c r="H14" s="401"/>
      <c r="I14" s="181"/>
      <c r="M14" s="205" t="s">
        <v>979</v>
      </c>
      <c r="N14" s="223"/>
      <c r="P14" s="178">
        <f>U55+U56+U57+U58</f>
        <v>0</v>
      </c>
      <c r="R14" s="203" t="s">
        <v>977</v>
      </c>
    </row>
    <row r="15" spans="1:25" hidden="1">
      <c r="A15" s="175">
        <v>0</v>
      </c>
      <c r="B15" s="193">
        <f>D4</f>
        <v>2.71</v>
      </c>
      <c r="C15" s="179">
        <v>2</v>
      </c>
      <c r="D15" s="174">
        <f t="shared" si="1"/>
        <v>0</v>
      </c>
      <c r="F15" s="175">
        <v>1.4</v>
      </c>
      <c r="G15" s="175">
        <v>0.65</v>
      </c>
      <c r="H15" s="194">
        <v>0</v>
      </c>
      <c r="I15" s="176">
        <f>(F15*G15*H15)*2.4</f>
        <v>0</v>
      </c>
      <c r="K15" s="180">
        <f>SUM(I15:I20)</f>
        <v>0</v>
      </c>
      <c r="M15" s="205"/>
      <c r="R15" s="175">
        <v>3.27</v>
      </c>
      <c r="S15" s="175">
        <f>7.97-3.01</f>
        <v>4.96</v>
      </c>
      <c r="T15" s="179">
        <v>0</v>
      </c>
      <c r="U15" s="202">
        <f t="shared" ref="U15:U20" si="4">R15*S15*T15</f>
        <v>0</v>
      </c>
      <c r="Y15" s="175">
        <f t="shared" ref="Y15:Y20" si="5">A15*2</f>
        <v>0</v>
      </c>
    </row>
    <row r="16" spans="1:25" hidden="1">
      <c r="A16" s="175">
        <v>0</v>
      </c>
      <c r="B16" s="193">
        <v>0</v>
      </c>
      <c r="C16" s="179">
        <v>0</v>
      </c>
      <c r="D16" s="174">
        <f t="shared" si="1"/>
        <v>0</v>
      </c>
      <c r="I16" s="176">
        <f t="shared" ref="I16:I20" si="6">(F16*G16*H16)*2.4</f>
        <v>0</v>
      </c>
      <c r="M16" s="182" t="s">
        <v>890</v>
      </c>
      <c r="N16" s="183"/>
      <c r="O16" s="184"/>
      <c r="P16" s="178">
        <f>SUM(P8:P15)</f>
        <v>0.59400000000000008</v>
      </c>
      <c r="R16" s="175">
        <v>1.69</v>
      </c>
      <c r="S16" s="175">
        <v>3.01</v>
      </c>
      <c r="T16" s="179">
        <v>0</v>
      </c>
      <c r="U16" s="202">
        <f t="shared" si="4"/>
        <v>0</v>
      </c>
      <c r="Y16" s="175">
        <f t="shared" si="5"/>
        <v>0</v>
      </c>
    </row>
    <row r="17" spans="1:25" hidden="1">
      <c r="A17" s="175">
        <f>0.3+0.3</f>
        <v>0.6</v>
      </c>
      <c r="B17" s="175">
        <v>2.58</v>
      </c>
      <c r="C17" s="179">
        <v>0</v>
      </c>
      <c r="D17" s="174">
        <f t="shared" si="1"/>
        <v>0</v>
      </c>
      <c r="I17" s="176">
        <f t="shared" si="6"/>
        <v>0</v>
      </c>
      <c r="R17" s="175">
        <v>0.3</v>
      </c>
      <c r="S17" s="175">
        <v>0.99</v>
      </c>
      <c r="T17" s="179">
        <v>0</v>
      </c>
      <c r="U17" s="202">
        <f t="shared" si="4"/>
        <v>0</v>
      </c>
      <c r="Y17" s="175">
        <f t="shared" si="5"/>
        <v>1.2</v>
      </c>
    </row>
    <row r="18" spans="1:25" hidden="1">
      <c r="A18" s="175">
        <v>0</v>
      </c>
      <c r="B18" s="175">
        <v>2.58</v>
      </c>
      <c r="C18" s="179">
        <v>2</v>
      </c>
      <c r="D18" s="174">
        <f t="shared" si="1"/>
        <v>0</v>
      </c>
      <c r="I18" s="176">
        <f t="shared" si="6"/>
        <v>0</v>
      </c>
      <c r="M18" s="204" t="s">
        <v>906</v>
      </c>
      <c r="N18" s="203"/>
      <c r="P18" s="178">
        <v>0</v>
      </c>
      <c r="R18" s="175">
        <v>0</v>
      </c>
      <c r="S18" s="175">
        <v>0</v>
      </c>
      <c r="T18" s="179">
        <v>0</v>
      </c>
      <c r="U18" s="202">
        <f t="shared" si="4"/>
        <v>0</v>
      </c>
      <c r="Y18" s="175">
        <f t="shared" si="5"/>
        <v>0</v>
      </c>
    </row>
    <row r="19" spans="1:25" hidden="1">
      <c r="A19" s="175">
        <v>-0.8</v>
      </c>
      <c r="B19" s="175">
        <v>1.97</v>
      </c>
      <c r="C19" s="179">
        <v>0</v>
      </c>
      <c r="D19" s="174">
        <f t="shared" si="1"/>
        <v>0</v>
      </c>
      <c r="I19" s="176">
        <f t="shared" si="6"/>
        <v>0</v>
      </c>
      <c r="M19" s="182" t="s">
        <v>907</v>
      </c>
      <c r="N19" s="183"/>
      <c r="O19" s="184"/>
      <c r="P19" s="178">
        <f>P16+P18</f>
        <v>0.59400000000000008</v>
      </c>
      <c r="R19" s="175">
        <v>0</v>
      </c>
      <c r="S19" s="175">
        <v>0</v>
      </c>
      <c r="T19" s="179">
        <v>0</v>
      </c>
      <c r="U19" s="202">
        <f t="shared" si="4"/>
        <v>0</v>
      </c>
      <c r="Y19" s="175">
        <f t="shared" si="5"/>
        <v>-1.6</v>
      </c>
    </row>
    <row r="20" spans="1:25" hidden="1">
      <c r="A20" s="175">
        <f>-1.8+0.65</f>
        <v>-1.1499999999999999</v>
      </c>
      <c r="B20" s="175">
        <v>0.6</v>
      </c>
      <c r="C20" s="179">
        <v>0</v>
      </c>
      <c r="D20" s="174">
        <f t="shared" si="1"/>
        <v>0</v>
      </c>
      <c r="I20" s="176">
        <f t="shared" si="6"/>
        <v>0</v>
      </c>
      <c r="R20" s="175">
        <v>0</v>
      </c>
      <c r="S20" s="175">
        <v>0</v>
      </c>
      <c r="T20" s="179">
        <v>0</v>
      </c>
      <c r="U20" s="202">
        <f t="shared" si="4"/>
        <v>0</v>
      </c>
      <c r="Y20" s="175">
        <f t="shared" si="5"/>
        <v>-2.2999999999999998</v>
      </c>
    </row>
    <row r="21" spans="1:25" hidden="1">
      <c r="A21" s="203" t="s">
        <v>978</v>
      </c>
      <c r="M21" s="182" t="s">
        <v>891</v>
      </c>
      <c r="N21" s="183"/>
      <c r="O21" s="184"/>
      <c r="R21" s="203" t="s">
        <v>978</v>
      </c>
    </row>
    <row r="22" spans="1:25">
      <c r="A22" s="175">
        <v>0</v>
      </c>
      <c r="B22" s="193">
        <v>0</v>
      </c>
      <c r="C22" s="179">
        <v>0</v>
      </c>
      <c r="D22" s="174">
        <f t="shared" ref="D22:D25" si="7">A22*B22*C22</f>
        <v>0</v>
      </c>
      <c r="F22" s="185" t="s">
        <v>892</v>
      </c>
      <c r="G22" s="186"/>
      <c r="H22" s="187"/>
      <c r="I22" s="185">
        <f>I9+I10+I11+I12+I13+I15+I16+I17+I18+I19+I20</f>
        <v>1.32616</v>
      </c>
      <c r="K22" s="180">
        <f>SUM(K9+K15)</f>
        <v>1.32616</v>
      </c>
      <c r="M22" s="183"/>
      <c r="N22" s="183"/>
      <c r="O22" s="184"/>
      <c r="R22" s="175">
        <v>2.11</v>
      </c>
      <c r="S22" s="175">
        <v>4.0999999999999996</v>
      </c>
      <c r="T22" s="179">
        <v>0</v>
      </c>
      <c r="U22" s="202">
        <f t="shared" ref="U22:U25" si="8">R22*S22*T22</f>
        <v>0</v>
      </c>
      <c r="Y22" s="175">
        <f t="shared" ref="Y22:Y31" si="9">A22*2</f>
        <v>0</v>
      </c>
    </row>
    <row r="23" spans="1:25" ht="15.75" hidden="1" thickBot="1">
      <c r="A23" s="175">
        <v>0</v>
      </c>
      <c r="B23" s="193">
        <f>D4</f>
        <v>2.71</v>
      </c>
      <c r="C23" s="179">
        <v>2</v>
      </c>
      <c r="D23" s="174">
        <f t="shared" si="7"/>
        <v>0</v>
      </c>
      <c r="F23" s="188"/>
      <c r="G23" s="188"/>
      <c r="H23" s="189"/>
      <c r="I23" s="190"/>
      <c r="K23" s="191"/>
      <c r="M23" s="303" t="s">
        <v>1114</v>
      </c>
      <c r="N23" s="183"/>
      <c r="O23" s="184"/>
      <c r="P23" s="178">
        <f>P8+P9+P10+P13+P14</f>
        <v>0.59400000000000008</v>
      </c>
      <c r="R23" s="175">
        <v>0</v>
      </c>
      <c r="S23" s="175">
        <v>0</v>
      </c>
      <c r="T23" s="179">
        <v>0</v>
      </c>
      <c r="U23" s="202">
        <f t="shared" si="8"/>
        <v>0</v>
      </c>
      <c r="Y23" s="175">
        <f t="shared" si="9"/>
        <v>0</v>
      </c>
    </row>
    <row r="24" spans="1:25" hidden="1">
      <c r="A24" s="175">
        <v>0</v>
      </c>
      <c r="B24" s="193">
        <v>0</v>
      </c>
      <c r="C24" s="179">
        <v>0</v>
      </c>
      <c r="D24" s="174">
        <f t="shared" si="7"/>
        <v>0</v>
      </c>
      <c r="M24" s="183" t="s">
        <v>893</v>
      </c>
      <c r="N24" s="183"/>
      <c r="O24" s="184"/>
      <c r="P24" s="178">
        <f>P11+P12</f>
        <v>0</v>
      </c>
      <c r="R24" s="175">
        <v>0</v>
      </c>
      <c r="S24" s="175">
        <v>0</v>
      </c>
      <c r="T24" s="179">
        <v>0</v>
      </c>
      <c r="U24" s="202">
        <f t="shared" si="8"/>
        <v>0</v>
      </c>
      <c r="Y24" s="175">
        <f t="shared" si="9"/>
        <v>0</v>
      </c>
    </row>
    <row r="25" spans="1:25" hidden="1">
      <c r="A25" s="175">
        <v>-0.8</v>
      </c>
      <c r="B25" s="175">
        <v>1.97</v>
      </c>
      <c r="C25" s="179">
        <v>0</v>
      </c>
      <c r="D25" s="174">
        <f t="shared" si="7"/>
        <v>0</v>
      </c>
      <c r="F25" s="396" t="s">
        <v>909</v>
      </c>
      <c r="G25" s="397"/>
      <c r="H25" s="397"/>
      <c r="M25" s="183" t="s">
        <v>894</v>
      </c>
      <c r="N25" s="183"/>
      <c r="O25" s="184"/>
      <c r="P25" s="178">
        <v>0</v>
      </c>
      <c r="R25" s="175">
        <v>0</v>
      </c>
      <c r="S25" s="175">
        <v>0</v>
      </c>
      <c r="T25" s="179">
        <v>0</v>
      </c>
      <c r="U25" s="202">
        <f t="shared" si="8"/>
        <v>0</v>
      </c>
      <c r="Y25" s="175">
        <f t="shared" si="9"/>
        <v>-1.6</v>
      </c>
    </row>
    <row r="26" spans="1:25" hidden="1">
      <c r="A26" s="175">
        <v>-0.6</v>
      </c>
      <c r="B26" s="175">
        <v>1.97</v>
      </c>
      <c r="C26" s="179">
        <v>0</v>
      </c>
      <c r="D26" s="174">
        <f t="shared" si="1"/>
        <v>0</v>
      </c>
      <c r="F26" s="175">
        <f>(0.12*2)+0.08</f>
        <v>0.32</v>
      </c>
      <c r="G26" s="175">
        <v>5.8</v>
      </c>
      <c r="H26" s="194">
        <v>0</v>
      </c>
      <c r="I26" s="176">
        <f>F26*G26*H26</f>
        <v>0</v>
      </c>
      <c r="K26" s="180">
        <f>SUM(I26:I30)</f>
        <v>0</v>
      </c>
      <c r="R26" s="175">
        <v>0</v>
      </c>
      <c r="S26" s="175">
        <v>0</v>
      </c>
      <c r="T26" s="179">
        <v>0</v>
      </c>
      <c r="U26" s="202">
        <f t="shared" ref="U26:U31" si="10">R26*S26*T26</f>
        <v>0</v>
      </c>
      <c r="Y26" s="175">
        <f t="shared" si="9"/>
        <v>-1.2</v>
      </c>
    </row>
    <row r="27" spans="1:25" hidden="1">
      <c r="A27" s="175">
        <v>0</v>
      </c>
      <c r="B27" s="175">
        <v>0</v>
      </c>
      <c r="C27" s="179">
        <v>0</v>
      </c>
      <c r="D27" s="174">
        <f t="shared" si="1"/>
        <v>0</v>
      </c>
      <c r="F27" s="175">
        <f>(0.12*2)+0.08</f>
        <v>0.32</v>
      </c>
      <c r="G27" s="175">
        <v>1.2</v>
      </c>
      <c r="H27" s="194">
        <v>0</v>
      </c>
      <c r="I27" s="176">
        <f>F27*G27*H27</f>
        <v>0</v>
      </c>
      <c r="M27" s="175" t="s">
        <v>895</v>
      </c>
      <c r="R27" s="175">
        <v>0</v>
      </c>
      <c r="S27" s="175">
        <v>0</v>
      </c>
      <c r="T27" s="179">
        <v>0</v>
      </c>
      <c r="U27" s="202">
        <f t="shared" si="10"/>
        <v>0</v>
      </c>
      <c r="Y27" s="175">
        <f t="shared" si="9"/>
        <v>0</v>
      </c>
    </row>
    <row r="28" spans="1:25" hidden="1">
      <c r="A28" s="175">
        <v>0</v>
      </c>
      <c r="B28" s="175">
        <v>0</v>
      </c>
      <c r="C28" s="179">
        <v>0</v>
      </c>
      <c r="D28" s="174">
        <f t="shared" si="1"/>
        <v>0</v>
      </c>
      <c r="F28" s="175">
        <v>0</v>
      </c>
      <c r="G28" s="175">
        <v>0</v>
      </c>
      <c r="H28" s="194">
        <v>0</v>
      </c>
      <c r="I28" s="176">
        <f t="shared" ref="I28:I30" si="11">F28*G28*H28</f>
        <v>0</v>
      </c>
      <c r="R28" s="175">
        <v>0</v>
      </c>
      <c r="S28" s="175">
        <v>0</v>
      </c>
      <c r="T28" s="179">
        <v>0</v>
      </c>
      <c r="U28" s="202">
        <f t="shared" si="10"/>
        <v>0</v>
      </c>
      <c r="Y28" s="175">
        <f t="shared" si="9"/>
        <v>0</v>
      </c>
    </row>
    <row r="29" spans="1:25" hidden="1">
      <c r="A29" s="175">
        <v>0</v>
      </c>
      <c r="B29" s="175">
        <v>0</v>
      </c>
      <c r="C29" s="179">
        <v>0</v>
      </c>
      <c r="D29" s="174">
        <f t="shared" si="1"/>
        <v>0</v>
      </c>
      <c r="I29" s="176">
        <f t="shared" si="11"/>
        <v>0</v>
      </c>
      <c r="M29" s="193">
        <f>SUM(Y9:Y58)</f>
        <v>-4.54</v>
      </c>
      <c r="N29" s="175">
        <v>0</v>
      </c>
      <c r="O29" s="179">
        <v>0</v>
      </c>
      <c r="P29" s="178">
        <f>SUM(M29:O29)</f>
        <v>-4.54</v>
      </c>
      <c r="R29" s="175">
        <v>0</v>
      </c>
      <c r="S29" s="175">
        <v>0</v>
      </c>
      <c r="T29" s="179">
        <v>0</v>
      </c>
      <c r="U29" s="202">
        <f t="shared" si="10"/>
        <v>0</v>
      </c>
      <c r="Y29" s="175">
        <f t="shared" si="9"/>
        <v>0</v>
      </c>
    </row>
    <row r="30" spans="1:25" hidden="1">
      <c r="A30" s="175">
        <v>0</v>
      </c>
      <c r="B30" s="175">
        <v>0</v>
      </c>
      <c r="C30" s="179">
        <v>0</v>
      </c>
      <c r="D30" s="174">
        <f t="shared" si="1"/>
        <v>0</v>
      </c>
      <c r="I30" s="176">
        <f t="shared" si="11"/>
        <v>0</v>
      </c>
      <c r="R30" s="175">
        <v>0</v>
      </c>
      <c r="S30" s="175">
        <v>0</v>
      </c>
      <c r="T30" s="179">
        <v>0</v>
      </c>
      <c r="U30" s="202">
        <f t="shared" si="10"/>
        <v>0</v>
      </c>
      <c r="Y30" s="175">
        <f t="shared" si="9"/>
        <v>0</v>
      </c>
    </row>
    <row r="31" spans="1:25" ht="28.9" hidden="1" customHeight="1">
      <c r="A31" s="175">
        <v>0</v>
      </c>
      <c r="B31" s="175">
        <v>0</v>
      </c>
      <c r="C31" s="179">
        <v>0</v>
      </c>
      <c r="D31" s="174">
        <f t="shared" si="1"/>
        <v>0</v>
      </c>
      <c r="F31" s="396" t="s">
        <v>969</v>
      </c>
      <c r="G31" s="397"/>
      <c r="H31" s="397"/>
      <c r="I31" s="181"/>
      <c r="M31" s="414" t="s">
        <v>896</v>
      </c>
      <c r="N31" s="414"/>
      <c r="R31" s="175">
        <v>0</v>
      </c>
      <c r="S31" s="175">
        <v>0</v>
      </c>
      <c r="T31" s="179">
        <v>0</v>
      </c>
      <c r="U31" s="202">
        <f t="shared" si="10"/>
        <v>0</v>
      </c>
      <c r="Y31" s="175">
        <f t="shared" si="9"/>
        <v>0</v>
      </c>
    </row>
    <row r="32" spans="1:25" hidden="1">
      <c r="A32" s="203" t="s">
        <v>929</v>
      </c>
      <c r="F32" s="175">
        <f>5.8*1.1</f>
        <v>6.38</v>
      </c>
      <c r="G32" s="175">
        <v>0.21</v>
      </c>
      <c r="H32" s="179">
        <v>0</v>
      </c>
      <c r="I32" s="176">
        <f>(F32*G32*H32)*2.4</f>
        <v>0</v>
      </c>
      <c r="K32" s="180">
        <f>SUM(I32:I37)</f>
        <v>0</v>
      </c>
      <c r="R32" s="203" t="s">
        <v>929</v>
      </c>
    </row>
    <row r="33" spans="1:25" hidden="1">
      <c r="A33" s="175">
        <v>0</v>
      </c>
      <c r="B33" s="193">
        <f>D4-2</f>
        <v>0.71</v>
      </c>
      <c r="C33" s="179">
        <v>2</v>
      </c>
      <c r="D33" s="174">
        <f t="shared" si="1"/>
        <v>0</v>
      </c>
      <c r="I33" s="176">
        <f t="shared" ref="I33:I37" si="12">(F33*G33*H33)*2.4</f>
        <v>0</v>
      </c>
      <c r="M33" s="193">
        <v>7.97</v>
      </c>
      <c r="N33" s="193">
        <f>2.4+0.1+3.27</f>
        <v>5.77</v>
      </c>
      <c r="O33" s="179">
        <v>0</v>
      </c>
      <c r="P33" s="178">
        <f>(((M33*(N33/1.5))*O33))</f>
        <v>0</v>
      </c>
      <c r="R33" s="175">
        <v>0</v>
      </c>
      <c r="S33" s="175">
        <v>1.78</v>
      </c>
      <c r="T33" s="179">
        <v>1</v>
      </c>
      <c r="U33" s="202">
        <f t="shared" ref="U33:U39" si="13">R33*S33*T33</f>
        <v>0</v>
      </c>
      <c r="Y33" s="175">
        <f t="shared" ref="Y33:Y39" si="14">A33*2</f>
        <v>0</v>
      </c>
    </row>
    <row r="34" spans="1:25" hidden="1">
      <c r="A34" s="175">
        <v>0</v>
      </c>
      <c r="B34" s="193">
        <f>D4-2</f>
        <v>0.71</v>
      </c>
      <c r="C34" s="179">
        <v>2</v>
      </c>
      <c r="D34" s="174">
        <f t="shared" si="1"/>
        <v>0</v>
      </c>
      <c r="I34" s="176">
        <f t="shared" si="12"/>
        <v>0</v>
      </c>
      <c r="R34" s="175">
        <v>0</v>
      </c>
      <c r="S34" s="175">
        <v>0</v>
      </c>
      <c r="T34" s="179">
        <v>0</v>
      </c>
      <c r="U34" s="202">
        <f t="shared" si="13"/>
        <v>0</v>
      </c>
      <c r="Y34" s="175">
        <f t="shared" si="14"/>
        <v>0</v>
      </c>
    </row>
    <row r="35" spans="1:25" hidden="1">
      <c r="A35" s="175">
        <v>0</v>
      </c>
      <c r="B35" s="175">
        <v>0</v>
      </c>
      <c r="C35" s="179">
        <v>0</v>
      </c>
      <c r="D35" s="174">
        <f t="shared" si="1"/>
        <v>0</v>
      </c>
      <c r="I35" s="176">
        <f t="shared" si="12"/>
        <v>0</v>
      </c>
      <c r="R35" s="175">
        <v>0</v>
      </c>
      <c r="S35" s="175">
        <v>0</v>
      </c>
      <c r="T35" s="179">
        <v>0</v>
      </c>
      <c r="U35" s="202">
        <f t="shared" si="13"/>
        <v>0</v>
      </c>
      <c r="Y35" s="175">
        <f t="shared" si="14"/>
        <v>0</v>
      </c>
    </row>
    <row r="36" spans="1:25" hidden="1">
      <c r="A36" s="175">
        <v>0</v>
      </c>
      <c r="B36" s="175">
        <v>0</v>
      </c>
      <c r="C36" s="179">
        <v>0</v>
      </c>
      <c r="D36" s="174">
        <f t="shared" si="1"/>
        <v>0</v>
      </c>
      <c r="I36" s="176">
        <f t="shared" si="12"/>
        <v>0</v>
      </c>
      <c r="R36" s="175">
        <v>0</v>
      </c>
      <c r="S36" s="175">
        <v>0</v>
      </c>
      <c r="T36" s="179">
        <v>0</v>
      </c>
      <c r="U36" s="202">
        <f t="shared" si="13"/>
        <v>0</v>
      </c>
      <c r="Y36" s="175">
        <f t="shared" si="14"/>
        <v>0</v>
      </c>
    </row>
    <row r="37" spans="1:25" hidden="1">
      <c r="A37" s="175">
        <v>0</v>
      </c>
      <c r="B37" s="175">
        <v>0</v>
      </c>
      <c r="C37" s="179">
        <v>0</v>
      </c>
      <c r="D37" s="174">
        <f t="shared" si="1"/>
        <v>0</v>
      </c>
      <c r="I37" s="176">
        <f t="shared" si="12"/>
        <v>0</v>
      </c>
      <c r="R37" s="175">
        <v>0</v>
      </c>
      <c r="S37" s="175">
        <v>0</v>
      </c>
      <c r="T37" s="179">
        <v>0</v>
      </c>
      <c r="U37" s="202">
        <f t="shared" si="13"/>
        <v>0</v>
      </c>
      <c r="Y37" s="175">
        <f t="shared" si="14"/>
        <v>0</v>
      </c>
    </row>
    <row r="38" spans="1:25" hidden="1">
      <c r="A38" s="175">
        <v>0</v>
      </c>
      <c r="B38" s="175">
        <v>0</v>
      </c>
      <c r="C38" s="179">
        <v>0</v>
      </c>
      <c r="D38" s="174">
        <f t="shared" si="1"/>
        <v>0</v>
      </c>
      <c r="O38" s="175"/>
      <c r="R38" s="175">
        <v>0</v>
      </c>
      <c r="S38" s="175">
        <v>0</v>
      </c>
      <c r="T38" s="179">
        <v>0</v>
      </c>
      <c r="U38" s="202">
        <f t="shared" si="13"/>
        <v>0</v>
      </c>
      <c r="Y38" s="175">
        <f t="shared" si="14"/>
        <v>0</v>
      </c>
    </row>
    <row r="39" spans="1:25" hidden="1">
      <c r="A39" s="175">
        <v>0</v>
      </c>
      <c r="B39" s="175">
        <v>0</v>
      </c>
      <c r="C39" s="179">
        <v>0</v>
      </c>
      <c r="D39" s="174">
        <f t="shared" si="1"/>
        <v>0</v>
      </c>
      <c r="F39" s="192" t="s">
        <v>892</v>
      </c>
      <c r="G39" s="193"/>
      <c r="H39" s="194"/>
      <c r="I39" s="192">
        <f>I26+I27+I28+I29+I30+I32+I33+I34+I35+I36+I37</f>
        <v>0</v>
      </c>
      <c r="K39" s="180">
        <f>K26+K32</f>
        <v>0</v>
      </c>
      <c r="M39" s="404" t="s">
        <v>928</v>
      </c>
      <c r="N39" s="404"/>
      <c r="O39" s="404"/>
      <c r="P39" s="211"/>
      <c r="R39" s="175">
        <v>0</v>
      </c>
      <c r="S39" s="175">
        <v>0</v>
      </c>
      <c r="T39" s="179">
        <v>0</v>
      </c>
      <c r="U39" s="202">
        <f t="shared" si="13"/>
        <v>0</v>
      </c>
      <c r="Y39" s="175">
        <f t="shared" si="14"/>
        <v>0</v>
      </c>
    </row>
    <row r="40" spans="1:25" hidden="1">
      <c r="A40" s="203" t="s">
        <v>930</v>
      </c>
      <c r="I40" s="219"/>
      <c r="J40" s="216"/>
      <c r="K40" s="220"/>
      <c r="M40" s="404"/>
      <c r="N40" s="404"/>
      <c r="O40" s="404"/>
      <c r="P40" s="211"/>
      <c r="R40" s="203" t="s">
        <v>930</v>
      </c>
    </row>
    <row r="41" spans="1:25" hidden="1">
      <c r="A41" s="175">
        <v>0</v>
      </c>
      <c r="B41" s="193">
        <f>D4-2</f>
        <v>0.71</v>
      </c>
      <c r="C41" s="179">
        <v>2</v>
      </c>
      <c r="D41" s="174">
        <f t="shared" si="1"/>
        <v>0</v>
      </c>
      <c r="I41" s="219"/>
      <c r="J41" s="216"/>
      <c r="K41" s="220"/>
      <c r="P41" s="211"/>
      <c r="R41" s="175">
        <v>0.9</v>
      </c>
      <c r="S41" s="175">
        <v>1.22</v>
      </c>
      <c r="T41" s="179">
        <v>0</v>
      </c>
      <c r="U41" s="202">
        <f t="shared" ref="U41:U45" si="15">R41*S41*T41</f>
        <v>0</v>
      </c>
      <c r="Y41" s="175">
        <f t="shared" ref="Y41:Y45" si="16">A41*2</f>
        <v>0</v>
      </c>
    </row>
    <row r="42" spans="1:25" hidden="1">
      <c r="A42" s="175">
        <v>0</v>
      </c>
      <c r="B42" s="193">
        <f>D4-2</f>
        <v>0.71</v>
      </c>
      <c r="C42" s="179">
        <v>2</v>
      </c>
      <c r="D42" s="174">
        <f t="shared" si="1"/>
        <v>0</v>
      </c>
      <c r="I42" s="219"/>
      <c r="J42" s="216"/>
      <c r="K42" s="220"/>
      <c r="M42" s="203" t="s">
        <v>914</v>
      </c>
      <c r="P42" s="211"/>
      <c r="R42" s="175">
        <v>0</v>
      </c>
      <c r="S42" s="175">
        <v>0</v>
      </c>
      <c r="T42" s="179">
        <v>0</v>
      </c>
      <c r="U42" s="202">
        <f t="shared" si="15"/>
        <v>0</v>
      </c>
      <c r="Y42" s="175">
        <f t="shared" si="16"/>
        <v>0</v>
      </c>
    </row>
    <row r="43" spans="1:25" hidden="1">
      <c r="A43" s="175">
        <v>0</v>
      </c>
      <c r="B43" s="175">
        <v>0</v>
      </c>
      <c r="C43" s="179">
        <v>0</v>
      </c>
      <c r="D43" s="174">
        <f t="shared" si="1"/>
        <v>0</v>
      </c>
      <c r="I43" s="219"/>
      <c r="J43" s="216"/>
      <c r="K43" s="220"/>
      <c r="M43" s="193">
        <v>0</v>
      </c>
      <c r="N43" s="193">
        <v>2</v>
      </c>
      <c r="O43" s="179">
        <v>2</v>
      </c>
      <c r="P43" s="211">
        <f t="shared" ref="P43:P49" si="17">M43*N43*O43</f>
        <v>0</v>
      </c>
      <c r="R43" s="175">
        <v>0</v>
      </c>
      <c r="S43" s="175">
        <v>0</v>
      </c>
      <c r="T43" s="179">
        <v>0</v>
      </c>
      <c r="U43" s="202">
        <f t="shared" si="15"/>
        <v>0</v>
      </c>
      <c r="Y43" s="175">
        <f t="shared" si="16"/>
        <v>0</v>
      </c>
    </row>
    <row r="44" spans="1:25" hidden="1">
      <c r="A44" s="175">
        <v>0</v>
      </c>
      <c r="B44" s="175">
        <v>0</v>
      </c>
      <c r="C44" s="179">
        <v>0</v>
      </c>
      <c r="D44" s="174">
        <f t="shared" si="1"/>
        <v>0</v>
      </c>
      <c r="I44" s="219"/>
      <c r="J44" s="216"/>
      <c r="K44" s="220"/>
      <c r="M44" s="193">
        <v>0</v>
      </c>
      <c r="N44" s="193">
        <v>2</v>
      </c>
      <c r="O44" s="179">
        <v>2</v>
      </c>
      <c r="P44" s="211">
        <f t="shared" si="17"/>
        <v>0</v>
      </c>
      <c r="R44" s="175">
        <v>0</v>
      </c>
      <c r="S44" s="175">
        <v>0</v>
      </c>
      <c r="T44" s="179">
        <v>0</v>
      </c>
      <c r="U44" s="202">
        <f t="shared" si="15"/>
        <v>0</v>
      </c>
      <c r="Y44" s="175">
        <f t="shared" si="16"/>
        <v>0</v>
      </c>
    </row>
    <row r="45" spans="1:25" hidden="1">
      <c r="A45" s="175">
        <v>0</v>
      </c>
      <c r="B45" s="175">
        <v>0</v>
      </c>
      <c r="C45" s="179">
        <v>0</v>
      </c>
      <c r="D45" s="174">
        <f t="shared" si="1"/>
        <v>0</v>
      </c>
      <c r="I45" s="219"/>
      <c r="J45" s="216"/>
      <c r="K45" s="220"/>
      <c r="M45" s="193">
        <v>-0.6</v>
      </c>
      <c r="N45" s="193">
        <v>1.97</v>
      </c>
      <c r="O45" s="179">
        <v>0</v>
      </c>
      <c r="P45" s="211">
        <f t="shared" si="17"/>
        <v>0</v>
      </c>
      <c r="R45" s="175">
        <v>0</v>
      </c>
      <c r="S45" s="175">
        <v>0</v>
      </c>
      <c r="T45" s="179">
        <v>0</v>
      </c>
      <c r="U45" s="202">
        <f t="shared" si="15"/>
        <v>0</v>
      </c>
      <c r="Y45" s="175">
        <f t="shared" si="16"/>
        <v>0</v>
      </c>
    </row>
    <row r="46" spans="1:25" hidden="1">
      <c r="A46" s="203" t="s">
        <v>979</v>
      </c>
      <c r="I46" s="219"/>
      <c r="J46" s="216"/>
      <c r="K46" s="220"/>
      <c r="M46" s="193">
        <v>0</v>
      </c>
      <c r="N46" s="193">
        <v>0.65</v>
      </c>
      <c r="O46" s="179">
        <v>1</v>
      </c>
      <c r="P46" s="211">
        <f t="shared" si="17"/>
        <v>0</v>
      </c>
      <c r="R46" s="203" t="s">
        <v>979</v>
      </c>
    </row>
    <row r="47" spans="1:25" hidden="1">
      <c r="A47" s="175">
        <v>0</v>
      </c>
      <c r="B47" s="193">
        <f>D4</f>
        <v>2.71</v>
      </c>
      <c r="C47" s="179">
        <v>0</v>
      </c>
      <c r="D47" s="174">
        <f t="shared" ref="D47:D50" si="18">A47*B47*C47</f>
        <v>0</v>
      </c>
      <c r="I47" s="219"/>
      <c r="J47" s="216"/>
      <c r="K47" s="220"/>
      <c r="M47" s="193">
        <v>0</v>
      </c>
      <c r="N47" s="193">
        <v>0</v>
      </c>
      <c r="O47" s="179">
        <v>0</v>
      </c>
      <c r="P47" s="211">
        <f t="shared" si="17"/>
        <v>0</v>
      </c>
      <c r="R47" s="175">
        <v>0</v>
      </c>
      <c r="S47" s="175">
        <v>0</v>
      </c>
      <c r="T47" s="179">
        <v>0</v>
      </c>
      <c r="U47" s="202">
        <f t="shared" ref="U47:U50" si="19">R47*S47*T47</f>
        <v>0</v>
      </c>
      <c r="Y47" s="175">
        <f t="shared" ref="Y47:Y53" si="20">A47*2</f>
        <v>0</v>
      </c>
    </row>
    <row r="48" spans="1:25" hidden="1">
      <c r="A48" s="175">
        <v>0</v>
      </c>
      <c r="B48" s="193">
        <f>D4</f>
        <v>2.71</v>
      </c>
      <c r="C48" s="179">
        <v>0</v>
      </c>
      <c r="D48" s="174">
        <f t="shared" si="18"/>
        <v>0</v>
      </c>
      <c r="I48" s="219"/>
      <c r="J48" s="216"/>
      <c r="K48" s="220"/>
      <c r="M48" s="193">
        <v>0</v>
      </c>
      <c r="N48" s="193">
        <v>0</v>
      </c>
      <c r="O48" s="179">
        <v>0</v>
      </c>
      <c r="P48" s="211">
        <f t="shared" si="17"/>
        <v>0</v>
      </c>
      <c r="R48" s="175">
        <v>0</v>
      </c>
      <c r="S48" s="175">
        <v>0</v>
      </c>
      <c r="T48" s="179">
        <v>0</v>
      </c>
      <c r="U48" s="202">
        <f t="shared" si="19"/>
        <v>0</v>
      </c>
      <c r="Y48" s="175">
        <f t="shared" si="20"/>
        <v>0</v>
      </c>
    </row>
    <row r="49" spans="1:25" hidden="1">
      <c r="A49" s="175">
        <v>0</v>
      </c>
      <c r="B49" s="175">
        <v>0</v>
      </c>
      <c r="C49" s="179">
        <v>0</v>
      </c>
      <c r="D49" s="174">
        <f t="shared" si="18"/>
        <v>0</v>
      </c>
      <c r="I49" s="219"/>
      <c r="J49" s="216"/>
      <c r="K49" s="220"/>
      <c r="M49" s="193">
        <v>0</v>
      </c>
      <c r="N49" s="193">
        <v>0</v>
      </c>
      <c r="O49" s="179">
        <v>0</v>
      </c>
      <c r="P49" s="211">
        <f t="shared" si="17"/>
        <v>0</v>
      </c>
      <c r="R49" s="175">
        <v>0</v>
      </c>
      <c r="S49" s="175">
        <v>0</v>
      </c>
      <c r="T49" s="179">
        <v>0</v>
      </c>
      <c r="U49" s="202">
        <f t="shared" si="19"/>
        <v>0</v>
      </c>
      <c r="Y49" s="175">
        <f t="shared" si="20"/>
        <v>0</v>
      </c>
    </row>
    <row r="50" spans="1:25" ht="15.75" hidden="1" thickBot="1">
      <c r="A50" s="175">
        <v>0</v>
      </c>
      <c r="B50" s="175">
        <v>0</v>
      </c>
      <c r="C50" s="179">
        <v>0</v>
      </c>
      <c r="D50" s="174">
        <f t="shared" si="18"/>
        <v>0</v>
      </c>
      <c r="I50" s="219"/>
      <c r="J50" s="216"/>
      <c r="K50" s="220"/>
      <c r="P50" s="224"/>
      <c r="R50" s="175">
        <v>0</v>
      </c>
      <c r="S50" s="175">
        <v>0</v>
      </c>
      <c r="T50" s="179">
        <v>0</v>
      </c>
      <c r="U50" s="202">
        <f t="shared" si="19"/>
        <v>0</v>
      </c>
      <c r="Y50" s="175">
        <f t="shared" si="20"/>
        <v>0</v>
      </c>
    </row>
    <row r="51" spans="1:25" ht="39.6" hidden="1" customHeight="1" thickBot="1">
      <c r="A51" s="175">
        <v>0</v>
      </c>
      <c r="B51" s="175">
        <v>0</v>
      </c>
      <c r="C51" s="179">
        <v>0</v>
      </c>
      <c r="D51" s="174">
        <f t="shared" ref="D51:D53" si="21">A51*B51*C51</f>
        <v>0</v>
      </c>
      <c r="I51" s="219"/>
      <c r="J51" s="216"/>
      <c r="K51" s="220"/>
      <c r="M51" s="405" t="s">
        <v>931</v>
      </c>
      <c r="N51" s="406"/>
      <c r="O51" s="407"/>
      <c r="P51" s="212">
        <f>SUM(P43:P49)</f>
        <v>0</v>
      </c>
      <c r="R51" s="175">
        <v>0</v>
      </c>
      <c r="S51" s="175">
        <v>0</v>
      </c>
      <c r="T51" s="179">
        <v>0</v>
      </c>
      <c r="U51" s="202">
        <f t="shared" ref="U51:U53" si="22">R51*S51*T51</f>
        <v>0</v>
      </c>
      <c r="Y51" s="175">
        <f t="shared" si="20"/>
        <v>0</v>
      </c>
    </row>
    <row r="52" spans="1:25" hidden="1">
      <c r="A52" s="175">
        <v>0</v>
      </c>
      <c r="B52" s="175">
        <v>0</v>
      </c>
      <c r="C52" s="179">
        <v>0</v>
      </c>
      <c r="D52" s="174">
        <f t="shared" si="21"/>
        <v>0</v>
      </c>
      <c r="I52" s="219"/>
      <c r="J52" s="216"/>
      <c r="K52" s="220"/>
      <c r="O52" s="175"/>
      <c r="P52" s="225"/>
      <c r="R52" s="175">
        <v>0</v>
      </c>
      <c r="S52" s="175">
        <v>0</v>
      </c>
      <c r="T52" s="179">
        <v>0</v>
      </c>
      <c r="U52" s="202">
        <f t="shared" si="22"/>
        <v>0</v>
      </c>
      <c r="Y52" s="175">
        <f t="shared" si="20"/>
        <v>0</v>
      </c>
    </row>
    <row r="53" spans="1:25" hidden="1">
      <c r="A53" s="175">
        <v>0</v>
      </c>
      <c r="B53" s="175">
        <v>0</v>
      </c>
      <c r="C53" s="179">
        <v>0</v>
      </c>
      <c r="D53" s="174">
        <f t="shared" si="21"/>
        <v>0</v>
      </c>
      <c r="I53" s="219"/>
      <c r="J53" s="216"/>
      <c r="K53" s="220"/>
      <c r="O53" s="175"/>
      <c r="P53" s="220"/>
      <c r="R53" s="175">
        <v>0</v>
      </c>
      <c r="S53" s="175">
        <v>0</v>
      </c>
      <c r="T53" s="179">
        <v>0</v>
      </c>
      <c r="U53" s="202">
        <f t="shared" si="22"/>
        <v>0</v>
      </c>
      <c r="Y53" s="175">
        <f t="shared" si="20"/>
        <v>0</v>
      </c>
    </row>
    <row r="54" spans="1:25" hidden="1">
      <c r="A54" s="203" t="s">
        <v>979</v>
      </c>
      <c r="I54" s="219"/>
      <c r="J54" s="216"/>
      <c r="K54" s="220"/>
      <c r="O54" s="175"/>
      <c r="P54" s="220"/>
      <c r="R54" s="203" t="s">
        <v>979</v>
      </c>
    </row>
    <row r="55" spans="1:25" hidden="1">
      <c r="A55" s="175">
        <v>0</v>
      </c>
      <c r="B55" s="193">
        <f>D4</f>
        <v>2.71</v>
      </c>
      <c r="C55" s="179">
        <v>0</v>
      </c>
      <c r="D55" s="174">
        <f>A55*B55*C55</f>
        <v>0</v>
      </c>
      <c r="I55" s="219"/>
      <c r="J55" s="216"/>
      <c r="K55" s="220"/>
      <c r="O55" s="175"/>
      <c r="P55" s="220"/>
      <c r="R55" s="175">
        <v>0</v>
      </c>
      <c r="S55" s="175">
        <v>0</v>
      </c>
      <c r="T55" s="179">
        <v>0</v>
      </c>
      <c r="U55" s="202">
        <f>R55*S55*T55</f>
        <v>0</v>
      </c>
      <c r="Y55" s="175">
        <f t="shared" ref="Y55:Y58" si="23">A55*2</f>
        <v>0</v>
      </c>
    </row>
    <row r="56" spans="1:25" hidden="1">
      <c r="A56" s="175">
        <v>0</v>
      </c>
      <c r="B56" s="193">
        <f>D4</f>
        <v>2.71</v>
      </c>
      <c r="C56" s="179">
        <v>0</v>
      </c>
      <c r="D56" s="174">
        <f>A56*B56*C56</f>
        <v>0</v>
      </c>
      <c r="I56" s="219"/>
      <c r="J56" s="216"/>
      <c r="K56" s="220"/>
      <c r="O56" s="175"/>
      <c r="P56" s="220"/>
      <c r="R56" s="175">
        <v>0</v>
      </c>
      <c r="S56" s="175">
        <v>0</v>
      </c>
      <c r="T56" s="179">
        <v>0</v>
      </c>
      <c r="U56" s="202">
        <f>R56*S56*T56</f>
        <v>0</v>
      </c>
      <c r="Y56" s="175">
        <f t="shared" si="23"/>
        <v>0</v>
      </c>
    </row>
    <row r="57" spans="1:25" hidden="1">
      <c r="A57" s="175">
        <v>0</v>
      </c>
      <c r="B57" s="193">
        <f>D4</f>
        <v>2.71</v>
      </c>
      <c r="C57" s="179">
        <v>0</v>
      </c>
      <c r="D57" s="174">
        <f>A57*B57*C57</f>
        <v>0</v>
      </c>
      <c r="I57" s="219"/>
      <c r="J57" s="216"/>
      <c r="K57" s="220"/>
      <c r="O57" s="175"/>
      <c r="P57" s="220"/>
      <c r="R57" s="175">
        <v>0</v>
      </c>
      <c r="S57" s="175">
        <v>0</v>
      </c>
      <c r="T57" s="179">
        <v>0</v>
      </c>
      <c r="U57" s="202">
        <f>R57*S57*T57</f>
        <v>0</v>
      </c>
      <c r="Y57" s="175">
        <f t="shared" si="23"/>
        <v>0</v>
      </c>
    </row>
    <row r="58" spans="1:25" hidden="1">
      <c r="A58" s="175">
        <v>0</v>
      </c>
      <c r="B58" s="175">
        <v>0</v>
      </c>
      <c r="C58" s="179">
        <v>0</v>
      </c>
      <c r="D58" s="174">
        <f>A58*B58*C58</f>
        <v>0</v>
      </c>
      <c r="I58" s="219"/>
      <c r="J58" s="216"/>
      <c r="K58" s="220"/>
      <c r="O58" s="175"/>
      <c r="P58" s="220"/>
      <c r="R58" s="175">
        <v>0</v>
      </c>
      <c r="S58" s="175">
        <v>0</v>
      </c>
      <c r="T58" s="179">
        <v>0</v>
      </c>
      <c r="U58" s="202">
        <f>R58*S58*T58</f>
        <v>0</v>
      </c>
      <c r="Y58" s="175">
        <f t="shared" si="23"/>
        <v>0</v>
      </c>
    </row>
    <row r="59" spans="1:25" ht="15.75" thickBot="1">
      <c r="I59" s="219"/>
      <c r="J59" s="216"/>
      <c r="K59" s="220"/>
      <c r="P59" s="218"/>
    </row>
    <row r="60" spans="1:25" ht="35.450000000000003" customHeight="1" thickBot="1">
      <c r="A60" s="402" t="s">
        <v>910</v>
      </c>
      <c r="B60" s="403"/>
      <c r="C60" s="403"/>
      <c r="D60" s="304">
        <f>SUM(D9:D58)</f>
        <v>5.7065999999999999</v>
      </c>
      <c r="I60" s="219"/>
      <c r="J60" s="216"/>
      <c r="K60" s="220"/>
      <c r="M60" s="195"/>
      <c r="O60" s="175"/>
      <c r="P60" s="220"/>
      <c r="R60" s="416" t="s">
        <v>912</v>
      </c>
      <c r="S60" s="417"/>
      <c r="T60" s="418"/>
      <c r="U60" s="305">
        <f>SUM(U9:U58)</f>
        <v>0.59400000000000008</v>
      </c>
    </row>
    <row r="61" spans="1:25" hidden="1">
      <c r="I61" s="219"/>
      <c r="J61" s="216"/>
      <c r="K61" s="220"/>
      <c r="P61" s="218"/>
      <c r="U61" s="218"/>
    </row>
    <row r="62" spans="1:25" hidden="1">
      <c r="A62" s="411" t="s">
        <v>927</v>
      </c>
      <c r="B62" s="411"/>
      <c r="C62" s="411"/>
      <c r="D62" s="206"/>
      <c r="I62" s="219"/>
      <c r="J62" s="216"/>
      <c r="K62" s="220"/>
      <c r="P62" s="218"/>
      <c r="U62" s="218"/>
    </row>
    <row r="63" spans="1:25" hidden="1">
      <c r="A63" s="411"/>
      <c r="B63" s="411"/>
      <c r="C63" s="411"/>
      <c r="D63" s="206"/>
      <c r="I63" s="219"/>
      <c r="J63" s="216"/>
      <c r="K63" s="220"/>
      <c r="P63" s="218"/>
      <c r="U63" s="218"/>
    </row>
    <row r="64" spans="1:25" hidden="1">
      <c r="D64" s="206"/>
      <c r="I64" s="219"/>
      <c r="J64" s="216"/>
      <c r="K64" s="220"/>
      <c r="P64" s="218"/>
      <c r="U64" s="218"/>
    </row>
    <row r="65" spans="1:21" hidden="1">
      <c r="A65" s="203" t="s">
        <v>914</v>
      </c>
      <c r="D65" s="206"/>
      <c r="I65" s="219"/>
      <c r="J65" s="216"/>
      <c r="K65" s="220"/>
      <c r="P65" s="218"/>
      <c r="U65" s="218"/>
    </row>
    <row r="66" spans="1:21" hidden="1">
      <c r="A66" s="193">
        <v>0</v>
      </c>
      <c r="B66" s="193">
        <v>2</v>
      </c>
      <c r="C66" s="179">
        <v>2</v>
      </c>
      <c r="D66" s="206">
        <f t="shared" ref="D66:D72" si="24">A66*B66*C66</f>
        <v>0</v>
      </c>
      <c r="I66" s="219"/>
      <c r="J66" s="216"/>
      <c r="K66" s="220"/>
      <c r="P66" s="218"/>
      <c r="R66" s="203"/>
      <c r="U66" s="218"/>
    </row>
    <row r="67" spans="1:21" hidden="1">
      <c r="A67" s="193">
        <v>0</v>
      </c>
      <c r="B67" s="193">
        <v>2</v>
      </c>
      <c r="C67" s="179">
        <v>2</v>
      </c>
      <c r="D67" s="206">
        <f t="shared" si="24"/>
        <v>0</v>
      </c>
      <c r="I67" s="219"/>
      <c r="J67" s="216"/>
      <c r="K67" s="220"/>
      <c r="P67" s="218"/>
      <c r="U67" s="218"/>
    </row>
    <row r="68" spans="1:21" hidden="1">
      <c r="A68" s="193">
        <v>-0.6</v>
      </c>
      <c r="B68" s="193">
        <v>1.97</v>
      </c>
      <c r="C68" s="179">
        <v>0</v>
      </c>
      <c r="D68" s="206">
        <f t="shared" si="24"/>
        <v>0</v>
      </c>
      <c r="I68" s="219"/>
      <c r="J68" s="216"/>
      <c r="K68" s="220"/>
      <c r="P68" s="218"/>
      <c r="U68" s="218"/>
    </row>
    <row r="69" spans="1:21" hidden="1">
      <c r="A69" s="193">
        <v>0</v>
      </c>
      <c r="B69" s="193">
        <v>0.65</v>
      </c>
      <c r="C69" s="179">
        <v>1</v>
      </c>
      <c r="D69" s="206">
        <f t="shared" si="24"/>
        <v>0</v>
      </c>
      <c r="I69" s="219"/>
      <c r="J69" s="216"/>
      <c r="K69" s="220"/>
      <c r="P69" s="218"/>
      <c r="U69" s="218"/>
    </row>
    <row r="70" spans="1:21" hidden="1">
      <c r="A70" s="193">
        <v>0</v>
      </c>
      <c r="B70" s="193">
        <v>0</v>
      </c>
      <c r="C70" s="179">
        <v>0</v>
      </c>
      <c r="D70" s="206">
        <f t="shared" si="24"/>
        <v>0</v>
      </c>
      <c r="I70" s="219"/>
      <c r="J70" s="216"/>
      <c r="K70" s="220"/>
      <c r="P70" s="218"/>
      <c r="U70" s="218"/>
    </row>
    <row r="71" spans="1:21" hidden="1">
      <c r="A71" s="193">
        <v>0</v>
      </c>
      <c r="B71" s="193">
        <v>0</v>
      </c>
      <c r="C71" s="179">
        <v>0</v>
      </c>
      <c r="D71" s="206">
        <f t="shared" si="24"/>
        <v>0</v>
      </c>
      <c r="I71" s="219"/>
      <c r="J71" s="216"/>
      <c r="K71" s="220"/>
      <c r="P71" s="218"/>
      <c r="U71" s="218"/>
    </row>
    <row r="72" spans="1:21" hidden="1">
      <c r="A72" s="193">
        <v>0</v>
      </c>
      <c r="B72" s="193">
        <v>0</v>
      </c>
      <c r="C72" s="179">
        <v>0</v>
      </c>
      <c r="D72" s="206">
        <f t="shared" si="24"/>
        <v>0</v>
      </c>
      <c r="I72" s="219"/>
      <c r="J72" s="216"/>
      <c r="K72" s="220"/>
      <c r="P72" s="218"/>
      <c r="U72" s="218"/>
    </row>
    <row r="73" spans="1:21" ht="15.75" hidden="1" thickBot="1">
      <c r="D73" s="206"/>
      <c r="I73" s="219"/>
      <c r="J73" s="216"/>
      <c r="K73" s="220"/>
      <c r="P73" s="218"/>
      <c r="U73" s="218"/>
    </row>
    <row r="74" spans="1:21" ht="37.9" hidden="1" customHeight="1" thickBot="1">
      <c r="A74" s="393" t="s">
        <v>913</v>
      </c>
      <c r="B74" s="394"/>
      <c r="C74" s="395"/>
      <c r="D74" s="207">
        <f>SUM(D66:D72)</f>
        <v>0</v>
      </c>
      <c r="I74" s="219"/>
      <c r="J74" s="216"/>
      <c r="K74" s="220"/>
      <c r="P74" s="218"/>
      <c r="U74" s="218"/>
    </row>
    <row r="75" spans="1:21" hidden="1">
      <c r="D75" s="218"/>
      <c r="I75" s="219"/>
      <c r="J75" s="216"/>
      <c r="K75" s="220"/>
      <c r="P75" s="218"/>
      <c r="U75" s="218"/>
    </row>
    <row r="76" spans="1:21">
      <c r="D76" s="218"/>
      <c r="I76" s="219"/>
      <c r="J76" s="216"/>
      <c r="K76" s="220"/>
      <c r="P76" s="218"/>
      <c r="U76" s="218"/>
    </row>
    <row r="77" spans="1:21">
      <c r="D77" s="218"/>
      <c r="I77" s="219"/>
      <c r="J77" s="216"/>
      <c r="K77" s="220"/>
      <c r="P77" s="218"/>
      <c r="U77" s="218"/>
    </row>
    <row r="78" spans="1:21">
      <c r="D78" s="218"/>
      <c r="I78" s="219"/>
      <c r="J78" s="216"/>
      <c r="K78" s="220"/>
      <c r="P78" s="218"/>
      <c r="U78" s="218"/>
    </row>
    <row r="79" spans="1:21">
      <c r="A79" s="203"/>
      <c r="D79" s="218"/>
      <c r="I79" s="219"/>
      <c r="J79" s="216"/>
      <c r="K79" s="220"/>
      <c r="P79" s="218"/>
      <c r="U79" s="218"/>
    </row>
    <row r="80" spans="1:21">
      <c r="D80" s="218"/>
      <c r="I80" s="219"/>
      <c r="J80" s="216"/>
      <c r="K80" s="220"/>
      <c r="P80" s="218"/>
      <c r="U80" s="218"/>
    </row>
    <row r="81" spans="4:21">
      <c r="D81" s="218"/>
      <c r="I81" s="219"/>
      <c r="J81" s="216"/>
      <c r="K81" s="220"/>
      <c r="P81" s="218"/>
      <c r="U81" s="218"/>
    </row>
    <row r="82" spans="4:21">
      <c r="D82" s="218"/>
      <c r="I82" s="219"/>
      <c r="J82" s="216"/>
      <c r="K82" s="220"/>
      <c r="P82" s="218"/>
      <c r="U82" s="218"/>
    </row>
    <row r="83" spans="4:21">
      <c r="D83" s="218"/>
      <c r="I83" s="219"/>
      <c r="J83" s="216"/>
      <c r="K83" s="220"/>
      <c r="P83" s="218"/>
      <c r="U83" s="218"/>
    </row>
    <row r="84" spans="4:21">
      <c r="D84" s="218"/>
      <c r="I84" s="219"/>
      <c r="J84" s="216"/>
      <c r="K84" s="220"/>
      <c r="P84" s="218"/>
      <c r="U84" s="218"/>
    </row>
    <row r="85" spans="4:21">
      <c r="D85" s="218"/>
      <c r="I85" s="219"/>
      <c r="J85" s="216"/>
      <c r="K85" s="220"/>
      <c r="P85" s="218"/>
      <c r="U85" s="218"/>
    </row>
    <row r="86" spans="4:21">
      <c r="D86" s="218"/>
      <c r="I86" s="219"/>
      <c r="J86" s="216"/>
      <c r="K86" s="220"/>
      <c r="P86" s="218"/>
      <c r="U86" s="218"/>
    </row>
    <row r="87" spans="4:21">
      <c r="D87" s="218"/>
      <c r="I87" s="219"/>
      <c r="J87" s="216"/>
      <c r="K87" s="220"/>
      <c r="P87" s="218"/>
      <c r="U87" s="218"/>
    </row>
    <row r="88" spans="4:21">
      <c r="D88" s="218"/>
      <c r="I88" s="219"/>
      <c r="J88" s="216"/>
      <c r="K88" s="220"/>
      <c r="P88" s="218"/>
      <c r="U88" s="218"/>
    </row>
    <row r="89" spans="4:21">
      <c r="D89" s="218"/>
      <c r="I89" s="219"/>
      <c r="J89" s="216"/>
      <c r="K89" s="220"/>
      <c r="P89" s="218"/>
      <c r="U89" s="218"/>
    </row>
    <row r="90" spans="4:21">
      <c r="D90" s="218"/>
      <c r="I90" s="219"/>
      <c r="J90" s="216"/>
      <c r="K90" s="220"/>
      <c r="P90" s="218"/>
      <c r="U90" s="218"/>
    </row>
    <row r="91" spans="4:21">
      <c r="D91" s="218"/>
      <c r="I91" s="219"/>
      <c r="J91" s="216"/>
      <c r="K91" s="220"/>
      <c r="P91" s="218"/>
      <c r="U91" s="218"/>
    </row>
    <row r="92" spans="4:21">
      <c r="D92" s="218"/>
      <c r="I92" s="219"/>
      <c r="J92" s="216"/>
      <c r="K92" s="220"/>
      <c r="P92" s="218"/>
      <c r="U92" s="218"/>
    </row>
    <row r="93" spans="4:21">
      <c r="D93" s="218"/>
      <c r="I93" s="219"/>
      <c r="J93" s="216"/>
      <c r="K93" s="220"/>
      <c r="P93" s="218"/>
      <c r="U93" s="218"/>
    </row>
    <row r="94" spans="4:21">
      <c r="D94" s="218"/>
      <c r="I94" s="219"/>
      <c r="J94" s="216"/>
      <c r="K94" s="220"/>
      <c r="P94" s="218"/>
      <c r="U94" s="218"/>
    </row>
    <row r="95" spans="4:21">
      <c r="D95" s="218"/>
      <c r="I95" s="219"/>
      <c r="J95" s="216"/>
      <c r="K95" s="220"/>
      <c r="P95" s="218"/>
      <c r="U95" s="218"/>
    </row>
    <row r="96" spans="4:21">
      <c r="D96" s="218"/>
      <c r="I96" s="219"/>
      <c r="J96" s="216"/>
      <c r="K96" s="220"/>
      <c r="P96" s="218"/>
      <c r="U96" s="218"/>
    </row>
    <row r="97" spans="4:21">
      <c r="D97" s="218"/>
      <c r="I97" s="219"/>
      <c r="J97" s="216"/>
      <c r="K97" s="220"/>
      <c r="P97" s="218"/>
      <c r="U97" s="218"/>
    </row>
    <row r="98" spans="4:21">
      <c r="D98" s="218"/>
      <c r="I98" s="219"/>
      <c r="J98" s="216"/>
      <c r="K98" s="220"/>
      <c r="P98" s="218"/>
      <c r="U98" s="218"/>
    </row>
    <row r="99" spans="4:21">
      <c r="D99" s="218"/>
      <c r="I99" s="219"/>
      <c r="J99" s="216"/>
      <c r="K99" s="220"/>
      <c r="P99" s="218"/>
      <c r="U99" s="218"/>
    </row>
    <row r="100" spans="4:21">
      <c r="D100" s="218"/>
      <c r="I100" s="219"/>
      <c r="J100" s="216"/>
      <c r="K100" s="220"/>
      <c r="P100" s="218"/>
      <c r="U100" s="218"/>
    </row>
    <row r="101" spans="4:21">
      <c r="D101" s="218"/>
      <c r="I101" s="219"/>
      <c r="J101" s="216"/>
      <c r="K101" s="220"/>
      <c r="P101" s="218"/>
      <c r="U101" s="218"/>
    </row>
    <row r="102" spans="4:21">
      <c r="D102" s="218"/>
      <c r="I102" s="219"/>
      <c r="J102" s="216"/>
      <c r="K102" s="220"/>
      <c r="P102" s="218"/>
      <c r="U102" s="218"/>
    </row>
    <row r="103" spans="4:21">
      <c r="D103" s="218"/>
      <c r="I103" s="219"/>
      <c r="J103" s="216"/>
      <c r="K103" s="220"/>
      <c r="P103" s="218"/>
      <c r="U103" s="218"/>
    </row>
    <row r="104" spans="4:21">
      <c r="D104" s="218"/>
      <c r="I104" s="219"/>
      <c r="J104" s="216"/>
      <c r="K104" s="220"/>
      <c r="P104" s="218"/>
      <c r="U104" s="218"/>
    </row>
    <row r="105" spans="4:21">
      <c r="D105" s="218"/>
      <c r="I105" s="219"/>
      <c r="J105" s="216"/>
      <c r="K105" s="220"/>
      <c r="P105" s="218"/>
      <c r="U105" s="218"/>
    </row>
    <row r="106" spans="4:21">
      <c r="D106" s="218"/>
      <c r="I106" s="219"/>
      <c r="J106" s="216"/>
      <c r="K106" s="220"/>
      <c r="P106" s="218"/>
      <c r="U106" s="218"/>
    </row>
    <row r="107" spans="4:21">
      <c r="D107" s="218"/>
      <c r="I107" s="219"/>
      <c r="J107" s="216"/>
      <c r="K107" s="220"/>
      <c r="P107" s="218"/>
      <c r="U107" s="218"/>
    </row>
    <row r="108" spans="4:21">
      <c r="D108" s="218"/>
      <c r="I108" s="219"/>
      <c r="J108" s="216"/>
      <c r="K108" s="220"/>
      <c r="P108" s="218"/>
      <c r="U108" s="218"/>
    </row>
    <row r="109" spans="4:21">
      <c r="D109" s="218"/>
      <c r="I109" s="219"/>
      <c r="J109" s="216"/>
      <c r="K109" s="220"/>
      <c r="P109" s="218"/>
      <c r="U109" s="218"/>
    </row>
    <row r="110" spans="4:21">
      <c r="D110" s="218"/>
      <c r="I110" s="219"/>
      <c r="J110" s="216"/>
      <c r="K110" s="220"/>
      <c r="P110" s="218"/>
      <c r="U110" s="218"/>
    </row>
    <row r="111" spans="4:21">
      <c r="D111" s="218"/>
      <c r="I111" s="219"/>
      <c r="J111" s="216"/>
      <c r="K111" s="220"/>
      <c r="P111" s="218"/>
      <c r="U111" s="218"/>
    </row>
    <row r="112" spans="4:21">
      <c r="D112" s="218"/>
      <c r="I112" s="219"/>
      <c r="J112" s="216"/>
      <c r="K112" s="220"/>
      <c r="P112" s="218"/>
      <c r="U112" s="218"/>
    </row>
    <row r="113" spans="4:21">
      <c r="D113" s="218"/>
      <c r="I113" s="219"/>
      <c r="J113" s="216"/>
      <c r="K113" s="220"/>
      <c r="P113" s="218"/>
      <c r="U113" s="218"/>
    </row>
    <row r="114" spans="4:21">
      <c r="D114" s="218"/>
      <c r="I114" s="219"/>
      <c r="J114" s="216"/>
      <c r="K114" s="220"/>
      <c r="P114" s="218"/>
      <c r="U114" s="218"/>
    </row>
    <row r="115" spans="4:21">
      <c r="D115" s="218"/>
      <c r="I115" s="219"/>
      <c r="J115" s="216"/>
      <c r="K115" s="220"/>
      <c r="P115" s="218"/>
      <c r="U115" s="218"/>
    </row>
    <row r="116" spans="4:21">
      <c r="D116" s="218"/>
      <c r="I116" s="219"/>
      <c r="J116" s="216"/>
      <c r="K116" s="220"/>
      <c r="P116" s="218"/>
      <c r="U116" s="218"/>
    </row>
    <row r="117" spans="4:21">
      <c r="D117" s="218"/>
      <c r="I117" s="219"/>
      <c r="J117" s="216"/>
      <c r="K117" s="220"/>
      <c r="P117" s="218"/>
      <c r="U117" s="218"/>
    </row>
    <row r="118" spans="4:21">
      <c r="D118" s="218"/>
      <c r="I118" s="219"/>
      <c r="J118" s="216"/>
      <c r="K118" s="220"/>
      <c r="P118" s="218"/>
      <c r="U118" s="218"/>
    </row>
    <row r="119" spans="4:21">
      <c r="D119" s="218"/>
      <c r="I119" s="219"/>
      <c r="J119" s="216"/>
      <c r="K119" s="220"/>
      <c r="P119" s="218"/>
      <c r="U119" s="218"/>
    </row>
    <row r="120" spans="4:21">
      <c r="D120" s="218"/>
      <c r="I120" s="219"/>
      <c r="J120" s="216"/>
      <c r="K120" s="220"/>
      <c r="P120" s="218"/>
      <c r="U120" s="218"/>
    </row>
    <row r="121" spans="4:21">
      <c r="D121" s="218"/>
      <c r="I121" s="219"/>
      <c r="J121" s="216"/>
      <c r="K121" s="220"/>
      <c r="P121" s="218"/>
      <c r="U121" s="218"/>
    </row>
    <row r="122" spans="4:21">
      <c r="D122" s="218"/>
      <c r="I122" s="219"/>
      <c r="J122" s="216"/>
      <c r="K122" s="220"/>
      <c r="P122" s="218"/>
      <c r="U122" s="218"/>
    </row>
    <row r="123" spans="4:21">
      <c r="D123" s="218"/>
      <c r="I123" s="219"/>
      <c r="J123" s="216"/>
      <c r="K123" s="220"/>
      <c r="P123" s="218"/>
      <c r="U123" s="218"/>
    </row>
    <row r="124" spans="4:21">
      <c r="D124" s="218"/>
      <c r="I124" s="219"/>
      <c r="J124" s="216"/>
      <c r="K124" s="220"/>
      <c r="P124" s="218"/>
      <c r="U124" s="218"/>
    </row>
    <row r="125" spans="4:21">
      <c r="D125" s="218"/>
      <c r="I125" s="219"/>
      <c r="J125" s="216"/>
      <c r="K125" s="220"/>
      <c r="P125" s="218"/>
      <c r="U125" s="218"/>
    </row>
    <row r="126" spans="4:21">
      <c r="D126" s="218"/>
      <c r="I126" s="219"/>
      <c r="J126" s="216"/>
      <c r="K126" s="220"/>
      <c r="P126" s="218"/>
      <c r="U126" s="218"/>
    </row>
    <row r="127" spans="4:21">
      <c r="D127" s="218"/>
      <c r="I127" s="219"/>
      <c r="J127" s="216"/>
      <c r="K127" s="220"/>
      <c r="P127" s="218"/>
      <c r="U127" s="218"/>
    </row>
    <row r="128" spans="4:21">
      <c r="D128" s="218"/>
      <c r="I128" s="219"/>
      <c r="J128" s="216"/>
      <c r="K128" s="220"/>
      <c r="P128" s="218"/>
      <c r="U128" s="218"/>
    </row>
    <row r="129" spans="4:21">
      <c r="D129" s="218"/>
      <c r="I129" s="219"/>
      <c r="J129" s="216"/>
      <c r="K129" s="220"/>
      <c r="P129" s="218"/>
      <c r="U129" s="218"/>
    </row>
    <row r="130" spans="4:21">
      <c r="D130" s="218"/>
      <c r="I130" s="219"/>
      <c r="J130" s="216"/>
      <c r="K130" s="220"/>
      <c r="P130" s="218"/>
      <c r="U130" s="218"/>
    </row>
    <row r="131" spans="4:21">
      <c r="D131" s="218"/>
      <c r="I131" s="219"/>
      <c r="J131" s="216"/>
      <c r="K131" s="220"/>
      <c r="P131" s="218"/>
      <c r="U131" s="218"/>
    </row>
    <row r="132" spans="4:21">
      <c r="D132" s="218"/>
      <c r="I132" s="219"/>
      <c r="J132" s="216"/>
      <c r="K132" s="220"/>
      <c r="P132" s="218"/>
      <c r="U132" s="218"/>
    </row>
    <row r="133" spans="4:21">
      <c r="D133" s="218"/>
      <c r="I133" s="219"/>
      <c r="J133" s="216"/>
      <c r="K133" s="220"/>
      <c r="P133" s="218"/>
      <c r="U133" s="218"/>
    </row>
    <row r="134" spans="4:21">
      <c r="D134" s="218"/>
      <c r="I134" s="219"/>
      <c r="J134" s="216"/>
      <c r="K134" s="220"/>
      <c r="P134" s="218"/>
      <c r="U134" s="218"/>
    </row>
    <row r="135" spans="4:21">
      <c r="D135" s="218"/>
      <c r="I135" s="219"/>
      <c r="J135" s="216"/>
      <c r="K135" s="220"/>
      <c r="P135" s="218"/>
      <c r="U135" s="218"/>
    </row>
    <row r="136" spans="4:21">
      <c r="D136" s="218"/>
      <c r="I136" s="219"/>
      <c r="J136" s="216"/>
      <c r="K136" s="220"/>
      <c r="P136" s="218"/>
      <c r="U136" s="218"/>
    </row>
    <row r="137" spans="4:21">
      <c r="D137" s="218"/>
      <c r="I137" s="219"/>
      <c r="J137" s="216"/>
      <c r="K137" s="220"/>
      <c r="P137" s="218"/>
      <c r="U137" s="218"/>
    </row>
    <row r="138" spans="4:21">
      <c r="D138" s="218"/>
      <c r="I138" s="219"/>
      <c r="J138" s="216"/>
      <c r="K138" s="220"/>
      <c r="P138" s="218"/>
      <c r="U138" s="218"/>
    </row>
    <row r="139" spans="4:21">
      <c r="D139" s="218"/>
      <c r="I139" s="219"/>
      <c r="J139" s="216"/>
      <c r="K139" s="220"/>
      <c r="P139" s="218"/>
      <c r="U139" s="218"/>
    </row>
    <row r="140" spans="4:21">
      <c r="D140" s="218"/>
      <c r="I140" s="219"/>
      <c r="J140" s="216"/>
      <c r="K140" s="220"/>
      <c r="P140" s="218"/>
      <c r="U140" s="218"/>
    </row>
    <row r="141" spans="4:21">
      <c r="D141" s="218"/>
      <c r="I141" s="219"/>
      <c r="J141" s="216"/>
      <c r="K141" s="220"/>
      <c r="P141" s="218"/>
      <c r="U141" s="218"/>
    </row>
    <row r="142" spans="4:21">
      <c r="D142" s="218"/>
      <c r="I142" s="219"/>
      <c r="J142" s="216"/>
      <c r="K142" s="220"/>
      <c r="P142" s="218"/>
      <c r="U142" s="218"/>
    </row>
    <row r="143" spans="4:21">
      <c r="D143" s="218"/>
      <c r="I143" s="219"/>
      <c r="J143" s="216"/>
      <c r="K143" s="220"/>
      <c r="P143" s="218"/>
      <c r="U143" s="218"/>
    </row>
    <row r="144" spans="4:21">
      <c r="D144" s="218"/>
      <c r="I144" s="219"/>
      <c r="J144" s="216"/>
      <c r="K144" s="220"/>
      <c r="P144" s="218"/>
      <c r="U144" s="218"/>
    </row>
    <row r="145" spans="4:21">
      <c r="D145" s="218"/>
      <c r="I145" s="219"/>
      <c r="J145" s="216"/>
      <c r="K145" s="220"/>
      <c r="P145" s="218"/>
      <c r="U145" s="218"/>
    </row>
    <row r="146" spans="4:21">
      <c r="D146" s="218"/>
      <c r="I146" s="219"/>
      <c r="J146" s="216"/>
      <c r="K146" s="220"/>
      <c r="P146" s="218"/>
      <c r="U146" s="218"/>
    </row>
    <row r="147" spans="4:21">
      <c r="D147" s="218"/>
      <c r="I147" s="219"/>
      <c r="J147" s="216"/>
      <c r="K147" s="220"/>
      <c r="P147" s="218"/>
      <c r="U147" s="218"/>
    </row>
    <row r="148" spans="4:21">
      <c r="D148" s="218"/>
      <c r="I148" s="219"/>
      <c r="J148" s="216"/>
      <c r="K148" s="220"/>
      <c r="P148" s="218"/>
      <c r="U148" s="218"/>
    </row>
    <row r="149" spans="4:21">
      <c r="D149" s="218"/>
      <c r="I149" s="219"/>
      <c r="J149" s="216"/>
      <c r="K149" s="220"/>
      <c r="P149" s="218"/>
      <c r="U149" s="218"/>
    </row>
    <row r="150" spans="4:21">
      <c r="D150" s="218"/>
      <c r="I150" s="219"/>
      <c r="J150" s="216"/>
      <c r="K150" s="220"/>
      <c r="P150" s="218"/>
      <c r="U150" s="218"/>
    </row>
    <row r="151" spans="4:21">
      <c r="D151" s="218"/>
      <c r="I151" s="219"/>
      <c r="J151" s="216"/>
      <c r="K151" s="220"/>
      <c r="P151" s="218"/>
      <c r="U151" s="218"/>
    </row>
    <row r="152" spans="4:21">
      <c r="D152" s="218"/>
      <c r="I152" s="219"/>
      <c r="J152" s="216"/>
      <c r="K152" s="220"/>
      <c r="P152" s="218"/>
      <c r="U152" s="218"/>
    </row>
    <row r="153" spans="4:21">
      <c r="D153" s="218"/>
      <c r="I153" s="219"/>
      <c r="J153" s="216"/>
      <c r="K153" s="220"/>
      <c r="P153" s="218"/>
      <c r="U153" s="218"/>
    </row>
    <row r="154" spans="4:21">
      <c r="D154" s="218"/>
      <c r="I154" s="219"/>
      <c r="J154" s="216"/>
      <c r="K154" s="220"/>
      <c r="P154" s="218"/>
      <c r="U154" s="218"/>
    </row>
    <row r="155" spans="4:21">
      <c r="D155" s="218"/>
      <c r="I155" s="219"/>
      <c r="J155" s="216"/>
      <c r="K155" s="220"/>
      <c r="P155" s="218"/>
      <c r="U155" s="218"/>
    </row>
    <row r="156" spans="4:21">
      <c r="D156" s="218"/>
      <c r="I156" s="219"/>
      <c r="J156" s="216"/>
      <c r="K156" s="220"/>
      <c r="P156" s="218"/>
      <c r="U156" s="218"/>
    </row>
    <row r="157" spans="4:21">
      <c r="D157" s="218"/>
      <c r="I157" s="219"/>
      <c r="J157" s="216"/>
      <c r="K157" s="220"/>
      <c r="P157" s="218"/>
      <c r="U157" s="218"/>
    </row>
    <row r="158" spans="4:21">
      <c r="D158" s="218"/>
      <c r="I158" s="219"/>
      <c r="J158" s="216"/>
      <c r="K158" s="220"/>
      <c r="P158" s="218"/>
      <c r="U158" s="218"/>
    </row>
    <row r="159" spans="4:21">
      <c r="D159" s="218"/>
      <c r="I159" s="219"/>
      <c r="J159" s="216"/>
      <c r="K159" s="220"/>
      <c r="P159" s="218"/>
      <c r="U159" s="218"/>
    </row>
    <row r="160" spans="4:21">
      <c r="D160" s="218"/>
      <c r="I160" s="219"/>
      <c r="J160" s="216"/>
      <c r="K160" s="220"/>
      <c r="P160" s="218"/>
      <c r="U160" s="218"/>
    </row>
    <row r="161" spans="4:21">
      <c r="D161" s="218"/>
      <c r="I161" s="219"/>
      <c r="J161" s="216"/>
      <c r="K161" s="220"/>
      <c r="P161" s="218"/>
      <c r="U161" s="218"/>
    </row>
    <row r="162" spans="4:21">
      <c r="D162" s="218"/>
      <c r="I162" s="219"/>
      <c r="J162" s="216"/>
      <c r="K162" s="220"/>
      <c r="P162" s="218"/>
      <c r="U162" s="218"/>
    </row>
    <row r="163" spans="4:21">
      <c r="D163" s="218"/>
      <c r="I163" s="219"/>
      <c r="J163" s="216"/>
      <c r="K163" s="220"/>
      <c r="P163" s="218"/>
      <c r="U163" s="218"/>
    </row>
    <row r="164" spans="4:21">
      <c r="D164" s="218"/>
      <c r="I164" s="219"/>
      <c r="J164" s="216"/>
      <c r="K164" s="220"/>
      <c r="P164" s="218"/>
      <c r="U164" s="218"/>
    </row>
    <row r="165" spans="4:21">
      <c r="D165" s="218"/>
      <c r="I165" s="219"/>
      <c r="J165" s="216"/>
      <c r="K165" s="220"/>
      <c r="P165" s="218"/>
      <c r="U165" s="218"/>
    </row>
    <row r="166" spans="4:21">
      <c r="D166" s="218"/>
      <c r="I166" s="219"/>
      <c r="J166" s="216"/>
      <c r="K166" s="220"/>
      <c r="P166" s="218"/>
      <c r="U166" s="218"/>
    </row>
    <row r="167" spans="4:21">
      <c r="D167" s="218"/>
      <c r="I167" s="219"/>
      <c r="J167" s="216"/>
      <c r="K167" s="220"/>
      <c r="P167" s="218"/>
      <c r="U167" s="218"/>
    </row>
    <row r="168" spans="4:21">
      <c r="D168" s="218"/>
      <c r="I168" s="219"/>
      <c r="J168" s="216"/>
      <c r="K168" s="220"/>
      <c r="P168" s="218"/>
      <c r="U168" s="218"/>
    </row>
    <row r="169" spans="4:21">
      <c r="D169" s="218"/>
      <c r="I169" s="219"/>
      <c r="J169" s="216"/>
      <c r="K169" s="220"/>
      <c r="P169" s="218"/>
      <c r="U169" s="218"/>
    </row>
    <row r="170" spans="4:21">
      <c r="D170" s="218"/>
      <c r="I170" s="219"/>
      <c r="J170" s="216"/>
      <c r="K170" s="220"/>
      <c r="P170" s="218"/>
      <c r="U170" s="218"/>
    </row>
    <row r="171" spans="4:21">
      <c r="D171" s="218"/>
      <c r="I171" s="219"/>
      <c r="J171" s="216"/>
      <c r="K171" s="220"/>
      <c r="P171" s="218"/>
      <c r="U171" s="218"/>
    </row>
    <row r="172" spans="4:21">
      <c r="D172" s="218"/>
      <c r="I172" s="219"/>
      <c r="J172" s="216"/>
      <c r="K172" s="220"/>
      <c r="P172" s="218"/>
      <c r="U172" s="218"/>
    </row>
    <row r="173" spans="4:21">
      <c r="D173" s="218"/>
      <c r="I173" s="219"/>
      <c r="J173" s="216"/>
      <c r="K173" s="220"/>
      <c r="P173" s="218"/>
      <c r="U173" s="218"/>
    </row>
    <row r="174" spans="4:21">
      <c r="D174" s="218"/>
      <c r="I174" s="219"/>
      <c r="J174" s="216"/>
      <c r="K174" s="220"/>
      <c r="P174" s="218"/>
      <c r="U174" s="218"/>
    </row>
    <row r="175" spans="4:21">
      <c r="D175" s="218"/>
      <c r="I175" s="219"/>
      <c r="J175" s="216"/>
      <c r="K175" s="220"/>
      <c r="P175" s="218"/>
      <c r="U175" s="218"/>
    </row>
    <row r="176" spans="4:21">
      <c r="D176" s="218"/>
      <c r="I176" s="219"/>
      <c r="J176" s="216"/>
      <c r="K176" s="220"/>
      <c r="P176" s="218"/>
      <c r="U176" s="218"/>
    </row>
    <row r="177" spans="4:21">
      <c r="D177" s="218"/>
      <c r="I177" s="219"/>
      <c r="J177" s="216"/>
      <c r="K177" s="220"/>
      <c r="P177" s="218"/>
      <c r="U177" s="218"/>
    </row>
    <row r="178" spans="4:21">
      <c r="D178" s="218"/>
      <c r="I178" s="219"/>
      <c r="J178" s="216"/>
      <c r="K178" s="220"/>
      <c r="P178" s="218"/>
      <c r="U178" s="218"/>
    </row>
    <row r="179" spans="4:21">
      <c r="D179" s="218"/>
      <c r="I179" s="219"/>
      <c r="J179" s="216"/>
      <c r="K179" s="220"/>
      <c r="P179" s="218"/>
      <c r="U179" s="218"/>
    </row>
    <row r="180" spans="4:21">
      <c r="D180" s="218"/>
      <c r="I180" s="219"/>
      <c r="J180" s="216"/>
      <c r="K180" s="220"/>
      <c r="P180" s="218"/>
      <c r="U180" s="218"/>
    </row>
    <row r="181" spans="4:21">
      <c r="D181" s="218"/>
      <c r="I181" s="219"/>
      <c r="J181" s="216"/>
      <c r="K181" s="220"/>
      <c r="P181" s="218"/>
      <c r="U181" s="218"/>
    </row>
    <row r="182" spans="4:21">
      <c r="D182" s="218"/>
      <c r="I182" s="219"/>
      <c r="J182" s="216"/>
      <c r="K182" s="220"/>
      <c r="P182" s="218"/>
      <c r="U182" s="218"/>
    </row>
    <row r="183" spans="4:21">
      <c r="D183" s="218"/>
      <c r="I183" s="219"/>
      <c r="J183" s="216"/>
      <c r="K183" s="220"/>
      <c r="P183" s="218"/>
      <c r="U183" s="218"/>
    </row>
    <row r="184" spans="4:21">
      <c r="D184" s="218"/>
      <c r="I184" s="219"/>
      <c r="J184" s="216"/>
      <c r="K184" s="220"/>
      <c r="P184" s="218"/>
      <c r="U184" s="218"/>
    </row>
    <row r="185" spans="4:21">
      <c r="D185" s="218"/>
      <c r="I185" s="219"/>
      <c r="J185" s="216"/>
      <c r="K185" s="220"/>
      <c r="P185" s="218"/>
      <c r="U185" s="218"/>
    </row>
    <row r="186" spans="4:21">
      <c r="D186" s="218"/>
      <c r="I186" s="219"/>
      <c r="J186" s="216"/>
      <c r="K186" s="220"/>
      <c r="P186" s="218"/>
      <c r="U186" s="218"/>
    </row>
    <row r="187" spans="4:21">
      <c r="D187" s="218"/>
      <c r="I187" s="219"/>
      <c r="J187" s="216"/>
      <c r="K187" s="220"/>
      <c r="P187" s="218"/>
      <c r="U187" s="218"/>
    </row>
    <row r="188" spans="4:21">
      <c r="D188" s="218"/>
      <c r="I188" s="219"/>
      <c r="J188" s="216"/>
      <c r="K188" s="220"/>
      <c r="P188" s="218"/>
      <c r="U188" s="218"/>
    </row>
    <row r="189" spans="4:21">
      <c r="D189" s="218"/>
      <c r="I189" s="219"/>
      <c r="J189" s="216"/>
      <c r="K189" s="220"/>
      <c r="P189" s="218"/>
      <c r="U189" s="218"/>
    </row>
    <row r="190" spans="4:21">
      <c r="D190" s="218"/>
      <c r="I190" s="219"/>
      <c r="J190" s="216"/>
      <c r="K190" s="220"/>
      <c r="P190" s="218"/>
      <c r="U190" s="218"/>
    </row>
    <row r="191" spans="4:21">
      <c r="D191" s="218"/>
      <c r="I191" s="219"/>
      <c r="J191" s="216"/>
      <c r="K191" s="220"/>
      <c r="P191" s="218"/>
      <c r="U191" s="218"/>
    </row>
    <row r="192" spans="4:21">
      <c r="D192" s="218"/>
      <c r="I192" s="219"/>
      <c r="J192" s="216"/>
      <c r="K192" s="220"/>
      <c r="P192" s="218"/>
      <c r="U192" s="218"/>
    </row>
    <row r="193" spans="4:21">
      <c r="D193" s="218"/>
      <c r="I193" s="219"/>
      <c r="J193" s="216"/>
      <c r="K193" s="220"/>
      <c r="P193" s="218"/>
      <c r="U193" s="218"/>
    </row>
    <row r="194" spans="4:21">
      <c r="D194" s="218"/>
      <c r="I194" s="219"/>
      <c r="J194" s="216"/>
      <c r="K194" s="220"/>
      <c r="P194" s="218"/>
      <c r="U194" s="218"/>
    </row>
    <row r="195" spans="4:21">
      <c r="D195" s="218"/>
      <c r="I195" s="219"/>
      <c r="J195" s="216"/>
      <c r="K195" s="220"/>
      <c r="P195" s="218"/>
      <c r="U195" s="218"/>
    </row>
    <row r="196" spans="4:21">
      <c r="D196" s="218"/>
      <c r="I196" s="219"/>
      <c r="J196" s="216"/>
      <c r="K196" s="220"/>
      <c r="P196" s="218"/>
      <c r="U196" s="218"/>
    </row>
    <row r="197" spans="4:21">
      <c r="D197" s="218"/>
      <c r="I197" s="219"/>
      <c r="J197" s="216"/>
      <c r="K197" s="220"/>
      <c r="P197" s="218"/>
      <c r="U197" s="218"/>
    </row>
    <row r="198" spans="4:21">
      <c r="D198" s="218"/>
      <c r="I198" s="219"/>
      <c r="J198" s="216"/>
      <c r="K198" s="220"/>
      <c r="P198" s="218"/>
      <c r="U198" s="218"/>
    </row>
    <row r="199" spans="4:21">
      <c r="D199" s="218"/>
      <c r="I199" s="219"/>
      <c r="J199" s="216"/>
      <c r="K199" s="220"/>
      <c r="P199" s="218"/>
      <c r="U199" s="218"/>
    </row>
    <row r="200" spans="4:21">
      <c r="D200" s="218"/>
      <c r="I200" s="219"/>
      <c r="J200" s="216"/>
      <c r="K200" s="220"/>
      <c r="P200" s="218"/>
      <c r="U200" s="218"/>
    </row>
    <row r="201" spans="4:21">
      <c r="D201" s="218"/>
      <c r="I201" s="219"/>
      <c r="J201" s="216"/>
      <c r="K201" s="220"/>
      <c r="P201" s="218"/>
      <c r="U201" s="218"/>
    </row>
    <row r="202" spans="4:21">
      <c r="D202" s="218"/>
      <c r="I202" s="219"/>
      <c r="J202" s="216"/>
      <c r="K202" s="220"/>
      <c r="P202" s="218"/>
      <c r="U202" s="218"/>
    </row>
    <row r="203" spans="4:21">
      <c r="D203" s="218"/>
      <c r="I203" s="219"/>
      <c r="J203" s="216"/>
      <c r="K203" s="220"/>
      <c r="P203" s="218"/>
      <c r="U203" s="218"/>
    </row>
    <row r="204" spans="4:21">
      <c r="D204" s="218"/>
      <c r="I204" s="219"/>
      <c r="J204" s="216"/>
      <c r="K204" s="220"/>
      <c r="P204" s="218"/>
      <c r="U204" s="218"/>
    </row>
    <row r="205" spans="4:21">
      <c r="D205" s="218"/>
      <c r="I205" s="219"/>
      <c r="J205" s="216"/>
      <c r="K205" s="220"/>
      <c r="P205" s="218"/>
      <c r="U205" s="218"/>
    </row>
    <row r="206" spans="4:21">
      <c r="D206" s="218"/>
      <c r="I206" s="219"/>
      <c r="J206" s="216"/>
      <c r="K206" s="220"/>
      <c r="P206" s="218"/>
      <c r="U206" s="218"/>
    </row>
    <row r="207" spans="4:21">
      <c r="D207" s="218"/>
      <c r="I207" s="219"/>
      <c r="J207" s="216"/>
      <c r="K207" s="220"/>
      <c r="P207" s="218"/>
      <c r="U207" s="218"/>
    </row>
    <row r="208" spans="4:21">
      <c r="D208" s="218"/>
      <c r="I208" s="219"/>
      <c r="J208" s="216"/>
      <c r="K208" s="220"/>
      <c r="P208" s="218"/>
      <c r="U208" s="218"/>
    </row>
    <row r="209" spans="4:21">
      <c r="D209" s="218"/>
      <c r="I209" s="219"/>
      <c r="J209" s="216"/>
      <c r="K209" s="220"/>
      <c r="P209" s="218"/>
      <c r="U209" s="218"/>
    </row>
    <row r="210" spans="4:21">
      <c r="D210" s="218"/>
      <c r="I210" s="219"/>
      <c r="J210" s="216"/>
      <c r="K210" s="220"/>
      <c r="P210" s="218"/>
      <c r="U210" s="218"/>
    </row>
  </sheetData>
  <sheetProtection password="9EF6" sheet="1" objects="1" scenarios="1"/>
  <customSheetViews>
    <customSheetView guid="{0A42B198-9C9E-43A6-8871-1A4824290440}">
      <selection activeCell="W2" sqref="W2"/>
      <rowBreaks count="1" manualBreakCount="1">
        <brk id="34" max="16383" man="1"/>
      </rowBreaks>
      <pageMargins left="0.70866141732283472" right="0.70866141732283472" top="0.78740157480314965" bottom="0.78740157480314965" header="0.31496062992125984" footer="0.31496062992125984"/>
      <pageSetup paperSize="9" scale="80" fitToHeight="3" orientation="landscape" r:id="rId1"/>
    </customSheetView>
  </customSheetViews>
  <mergeCells count="18">
    <mergeCell ref="M39:O40"/>
    <mergeCell ref="M51:O51"/>
    <mergeCell ref="A2:U2"/>
    <mergeCell ref="A1:U1"/>
    <mergeCell ref="A62:C63"/>
    <mergeCell ref="A4:C4"/>
    <mergeCell ref="M31:N31"/>
    <mergeCell ref="R6:T6"/>
    <mergeCell ref="R60:T60"/>
    <mergeCell ref="M6:O6"/>
    <mergeCell ref="A74:C74"/>
    <mergeCell ref="F31:H31"/>
    <mergeCell ref="A6:C6"/>
    <mergeCell ref="F6:H6"/>
    <mergeCell ref="F8:H8"/>
    <mergeCell ref="F14:H14"/>
    <mergeCell ref="F25:H25"/>
    <mergeCell ref="A60:C60"/>
  </mergeCells>
  <pageMargins left="0.70866141732283472" right="0.70866141732283472" top="0.78740157480314965" bottom="0.78740157480314965" header="0.31496062992125984" footer="0.31496062992125984"/>
  <pageSetup paperSize="9" scale="83" fitToHeight="2" orientation="landscape" r:id="rId2"/>
  <rowBreaks count="3" manualBreakCount="3">
    <brk id="31" max="16383" man="1"/>
    <brk id="60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65"/>
  <sheetViews>
    <sheetView tabSelected="1" zoomScaleNormal="100" workbookViewId="0">
      <pane ySplit="14" topLeftCell="A15" activePane="bottomLeft" state="frozen"/>
      <selection pane="bottomLeft" activeCell="Q2" sqref="Q2"/>
    </sheetView>
  </sheetViews>
  <sheetFormatPr defaultRowHeight="12.75"/>
  <cols>
    <col min="1" max="1" width="13.7109375" customWidth="1"/>
    <col min="2" max="13" width="5.7109375" customWidth="1"/>
    <col min="14" max="14" width="1.28515625" customWidth="1"/>
    <col min="15" max="15" width="47.28515625" style="284" customWidth="1"/>
    <col min="16" max="16" width="2.28515625" customWidth="1"/>
  </cols>
  <sheetData>
    <row r="2" spans="1:15" ht="25.15" customHeight="1">
      <c r="A2" s="463" t="s">
        <v>1005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5"/>
    </row>
    <row r="3" spans="1:15" ht="6" customHeight="1">
      <c r="A3" s="24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83"/>
    </row>
    <row r="4" spans="1:15" ht="25.15" customHeight="1">
      <c r="A4" s="466" t="s">
        <v>1124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8"/>
    </row>
    <row r="5" spans="1:15" ht="6" customHeight="1" thickBot="1"/>
    <row r="6" spans="1:15" s="244" customFormat="1">
      <c r="A6" s="264"/>
      <c r="B6" s="444" t="s">
        <v>979</v>
      </c>
      <c r="C6" s="445"/>
      <c r="D6" s="445"/>
      <c r="E6" s="446"/>
      <c r="F6" s="444" t="s">
        <v>990</v>
      </c>
      <c r="G6" s="445"/>
      <c r="H6" s="445"/>
      <c r="I6" s="446"/>
      <c r="J6" s="447" t="s">
        <v>995</v>
      </c>
      <c r="K6" s="448"/>
      <c r="L6" s="448"/>
      <c r="M6" s="449"/>
      <c r="O6" s="285"/>
    </row>
    <row r="7" spans="1:15" s="244" customFormat="1" ht="6" customHeight="1">
      <c r="A7" s="265"/>
      <c r="B7" s="250"/>
      <c r="C7" s="251"/>
      <c r="D7" s="251"/>
      <c r="E7" s="252"/>
      <c r="F7" s="250"/>
      <c r="G7" s="251"/>
      <c r="H7" s="251"/>
      <c r="I7" s="252"/>
      <c r="J7" s="250"/>
      <c r="K7" s="251"/>
      <c r="L7" s="251"/>
      <c r="M7" s="252"/>
      <c r="O7" s="286"/>
    </row>
    <row r="8" spans="1:15" s="244" customFormat="1">
      <c r="A8" s="450"/>
      <c r="B8" s="453"/>
      <c r="C8" s="454"/>
      <c r="D8" s="454"/>
      <c r="E8" s="455"/>
      <c r="F8" s="456" t="s">
        <v>1096</v>
      </c>
      <c r="G8" s="457"/>
      <c r="H8" s="457"/>
      <c r="I8" s="458"/>
      <c r="J8" s="456" t="s">
        <v>1096</v>
      </c>
      <c r="K8" s="457"/>
      <c r="L8" s="457"/>
      <c r="M8" s="458"/>
      <c r="O8" s="287"/>
    </row>
    <row r="9" spans="1:15" s="244" customFormat="1">
      <c r="A9" s="451"/>
      <c r="B9" s="453"/>
      <c r="C9" s="454"/>
      <c r="D9" s="454"/>
      <c r="E9" s="455"/>
      <c r="F9" s="456"/>
      <c r="G9" s="457"/>
      <c r="H9" s="457"/>
      <c r="I9" s="458"/>
      <c r="J9" s="456"/>
      <c r="K9" s="457"/>
      <c r="L9" s="457"/>
      <c r="M9" s="458"/>
      <c r="O9" s="286"/>
    </row>
    <row r="10" spans="1:15" ht="34.15" customHeight="1">
      <c r="A10" s="452"/>
      <c r="B10" s="453"/>
      <c r="C10" s="454"/>
      <c r="D10" s="454"/>
      <c r="E10" s="455"/>
      <c r="F10" s="456"/>
      <c r="G10" s="457"/>
      <c r="H10" s="457"/>
      <c r="I10" s="458"/>
      <c r="J10" s="456"/>
      <c r="K10" s="457"/>
      <c r="L10" s="457"/>
      <c r="M10" s="458"/>
      <c r="O10" s="288"/>
    </row>
    <row r="11" spans="1:15" ht="6" customHeight="1">
      <c r="A11" s="256"/>
      <c r="B11" s="253"/>
      <c r="C11" s="254"/>
      <c r="D11" s="254"/>
      <c r="E11" s="255"/>
      <c r="F11" s="256"/>
      <c r="G11" s="58"/>
      <c r="H11" s="58"/>
      <c r="I11" s="257"/>
      <c r="J11" s="256"/>
      <c r="K11" s="58"/>
      <c r="L11" s="58"/>
      <c r="M11" s="257"/>
      <c r="O11" s="289"/>
    </row>
    <row r="12" spans="1:15">
      <c r="A12" s="266"/>
      <c r="B12" s="423"/>
      <c r="C12" s="424"/>
      <c r="D12" s="424"/>
      <c r="E12" s="425"/>
      <c r="F12" s="426" t="s">
        <v>998</v>
      </c>
      <c r="G12" s="427"/>
      <c r="H12" s="427"/>
      <c r="I12" s="428"/>
      <c r="J12" s="429" t="s">
        <v>1000</v>
      </c>
      <c r="K12" s="430"/>
      <c r="L12" s="430"/>
      <c r="M12" s="431"/>
      <c r="O12" s="290"/>
    </row>
    <row r="13" spans="1:15">
      <c r="A13" s="256"/>
      <c r="B13" s="423"/>
      <c r="C13" s="424"/>
      <c r="D13" s="424"/>
      <c r="E13" s="425"/>
      <c r="F13" s="426" t="s">
        <v>999</v>
      </c>
      <c r="G13" s="427"/>
      <c r="H13" s="427"/>
      <c r="I13" s="428"/>
      <c r="J13" s="429" t="s">
        <v>1001</v>
      </c>
      <c r="K13" s="430"/>
      <c r="L13" s="430"/>
      <c r="M13" s="431"/>
      <c r="O13" s="289"/>
    </row>
    <row r="14" spans="1:15">
      <c r="A14" s="267"/>
      <c r="B14" s="423"/>
      <c r="C14" s="424"/>
      <c r="D14" s="424"/>
      <c r="E14" s="425"/>
      <c r="F14" s="426" t="s">
        <v>1006</v>
      </c>
      <c r="G14" s="427"/>
      <c r="H14" s="427"/>
      <c r="I14" s="428"/>
      <c r="J14" s="429" t="s">
        <v>1002</v>
      </c>
      <c r="K14" s="430"/>
      <c r="L14" s="430"/>
      <c r="M14" s="431"/>
      <c r="O14" s="288"/>
    </row>
    <row r="15" spans="1:15" ht="6" customHeight="1" thickBot="1">
      <c r="A15" s="256"/>
      <c r="B15" s="250"/>
      <c r="C15" s="251"/>
      <c r="D15" s="251"/>
      <c r="E15" s="252"/>
      <c r="F15" s="250"/>
      <c r="G15" s="251"/>
      <c r="H15" s="251"/>
      <c r="I15" s="252"/>
      <c r="J15" s="250"/>
      <c r="K15" s="251"/>
      <c r="L15" s="251"/>
      <c r="M15" s="252"/>
      <c r="O15" s="289"/>
    </row>
    <row r="16" spans="1:15">
      <c r="A16" s="459" t="s">
        <v>996</v>
      </c>
      <c r="B16" s="460"/>
      <c r="C16" s="460"/>
      <c r="D16" s="460"/>
      <c r="E16" s="460"/>
      <c r="F16" s="277"/>
      <c r="G16" s="278"/>
      <c r="H16" s="278"/>
      <c r="I16" s="279"/>
      <c r="J16" s="277"/>
      <c r="K16" s="278"/>
      <c r="L16" s="278"/>
      <c r="M16" s="279"/>
      <c r="O16" s="291"/>
    </row>
    <row r="17" spans="1:15" ht="13.5" thickBot="1">
      <c r="A17" s="461" t="s">
        <v>997</v>
      </c>
      <c r="B17" s="462"/>
      <c r="C17" s="462"/>
      <c r="D17" s="462"/>
      <c r="E17" s="462"/>
      <c r="F17" s="256"/>
      <c r="G17" s="58"/>
      <c r="H17" s="58"/>
      <c r="I17" s="257"/>
      <c r="J17" s="256"/>
      <c r="K17" s="58"/>
      <c r="L17" s="58"/>
      <c r="M17" s="257"/>
      <c r="O17" s="289"/>
    </row>
    <row r="18" spans="1:15" ht="6" customHeight="1" thickBot="1">
      <c r="A18" s="256"/>
      <c r="B18" s="253"/>
      <c r="C18" s="254"/>
      <c r="D18" s="254"/>
      <c r="E18" s="254"/>
      <c r="F18" s="256"/>
      <c r="G18" s="58"/>
      <c r="H18" s="58"/>
      <c r="I18" s="257"/>
      <c r="J18" s="256"/>
      <c r="K18" s="58"/>
      <c r="L18" s="58"/>
      <c r="M18" s="257"/>
      <c r="O18" s="289"/>
    </row>
    <row r="19" spans="1:15">
      <c r="A19" s="438" t="s">
        <v>989</v>
      </c>
      <c r="B19" s="440">
        <v>1</v>
      </c>
      <c r="C19" s="441"/>
      <c r="D19" s="58"/>
      <c r="E19" s="257"/>
      <c r="F19" s="256"/>
      <c r="G19" s="58"/>
      <c r="H19" s="58"/>
      <c r="I19" s="257"/>
      <c r="J19" s="256"/>
      <c r="K19" s="58"/>
      <c r="L19" s="58"/>
      <c r="M19" s="257"/>
      <c r="O19" s="289"/>
    </row>
    <row r="20" spans="1:15" ht="13.5" thickBot="1">
      <c r="A20" s="439"/>
      <c r="B20" s="442"/>
      <c r="C20" s="443"/>
      <c r="D20" s="58"/>
      <c r="E20" s="257"/>
      <c r="F20" s="256"/>
      <c r="G20" s="58"/>
      <c r="H20" s="58"/>
      <c r="I20" s="257"/>
      <c r="J20" s="256"/>
      <c r="K20" s="58"/>
      <c r="L20" s="58"/>
      <c r="M20" s="257"/>
      <c r="O20" s="289"/>
    </row>
    <row r="21" spans="1:15" ht="6" customHeight="1" thickBot="1">
      <c r="B21" s="256"/>
      <c r="C21" s="58"/>
      <c r="D21" s="58"/>
      <c r="E21" s="257"/>
      <c r="F21" s="256"/>
      <c r="G21" s="58"/>
      <c r="H21" s="58"/>
      <c r="I21" s="257"/>
      <c r="J21" s="256"/>
      <c r="K21" s="58"/>
      <c r="L21" s="58"/>
      <c r="M21" s="257"/>
      <c r="O21" s="289"/>
    </row>
    <row r="22" spans="1:15" s="244" customFormat="1" ht="13.5" thickBot="1">
      <c r="A22" s="249" t="s">
        <v>1004</v>
      </c>
      <c r="B22" s="325" t="s">
        <v>991</v>
      </c>
      <c r="C22" s="326" t="s">
        <v>992</v>
      </c>
      <c r="D22" s="326" t="s">
        <v>993</v>
      </c>
      <c r="E22" s="327" t="s">
        <v>994</v>
      </c>
      <c r="F22" s="268" t="s">
        <v>991</v>
      </c>
      <c r="G22" s="269" t="s">
        <v>992</v>
      </c>
      <c r="H22" s="270" t="s">
        <v>993</v>
      </c>
      <c r="I22" s="271" t="s">
        <v>994</v>
      </c>
      <c r="J22" s="268" t="s">
        <v>991</v>
      </c>
      <c r="K22" s="269" t="s">
        <v>992</v>
      </c>
      <c r="L22" s="270" t="s">
        <v>993</v>
      </c>
      <c r="M22" s="271" t="s">
        <v>994</v>
      </c>
      <c r="N22" s="245"/>
      <c r="O22" s="292" t="s">
        <v>1003</v>
      </c>
    </row>
    <row r="23" spans="1:15" ht="6" customHeight="1"/>
    <row r="24" spans="1:15">
      <c r="A24" s="259" t="s">
        <v>1007</v>
      </c>
      <c r="B24" s="328"/>
      <c r="C24" s="328"/>
      <c r="D24" s="328"/>
      <c r="E24" s="328"/>
      <c r="F24" s="274"/>
      <c r="G24" s="274"/>
      <c r="H24" s="272"/>
      <c r="I24" s="272">
        <v>1</v>
      </c>
      <c r="J24" s="274"/>
      <c r="K24" s="274"/>
      <c r="L24" s="272"/>
      <c r="M24" s="272"/>
      <c r="O24" s="293"/>
    </row>
    <row r="25" spans="1:15">
      <c r="A25" s="259" t="s">
        <v>1008</v>
      </c>
      <c r="B25" s="328"/>
      <c r="C25" s="328"/>
      <c r="D25" s="328"/>
      <c r="E25" s="328"/>
      <c r="F25" s="274">
        <v>1</v>
      </c>
      <c r="G25" s="274"/>
      <c r="H25" s="272"/>
      <c r="I25" s="272"/>
      <c r="J25" s="274"/>
      <c r="K25" s="274"/>
      <c r="L25" s="272"/>
      <c r="M25" s="272"/>
      <c r="O25" s="293"/>
    </row>
    <row r="26" spans="1:15">
      <c r="A26" s="259" t="s">
        <v>1009</v>
      </c>
      <c r="B26" s="328"/>
      <c r="C26" s="328"/>
      <c r="D26" s="328"/>
      <c r="E26" s="328"/>
      <c r="F26" s="274"/>
      <c r="G26" s="274"/>
      <c r="H26" s="272">
        <v>1</v>
      </c>
      <c r="I26" s="272"/>
      <c r="J26" s="274"/>
      <c r="K26" s="274"/>
      <c r="L26" s="272"/>
      <c r="M26" s="272"/>
      <c r="O26" s="293"/>
    </row>
    <row r="27" spans="1:15">
      <c r="A27" s="259" t="s">
        <v>1010</v>
      </c>
      <c r="B27" s="328"/>
      <c r="C27" s="328"/>
      <c r="D27" s="328"/>
      <c r="E27" s="328"/>
      <c r="F27" s="274"/>
      <c r="G27" s="274"/>
      <c r="H27" s="272"/>
      <c r="I27" s="272">
        <v>1</v>
      </c>
      <c r="J27" s="274"/>
      <c r="K27" s="274"/>
      <c r="L27" s="272"/>
      <c r="M27" s="272"/>
      <c r="O27" s="293"/>
    </row>
    <row r="28" spans="1:15">
      <c r="A28" s="259" t="s">
        <v>1011</v>
      </c>
      <c r="B28" s="328"/>
      <c r="C28" s="328"/>
      <c r="D28" s="328"/>
      <c r="E28" s="328"/>
      <c r="F28" s="274"/>
      <c r="G28" s="274"/>
      <c r="H28" s="272">
        <v>1</v>
      </c>
      <c r="I28" s="272"/>
      <c r="J28" s="274"/>
      <c r="K28" s="274"/>
      <c r="L28" s="272"/>
      <c r="M28" s="272"/>
      <c r="O28" s="293"/>
    </row>
    <row r="29" spans="1:15" ht="6" customHeight="1"/>
    <row r="30" spans="1:15" s="243" customFormat="1" ht="13.5" thickBot="1">
      <c r="A30" s="261" t="s">
        <v>1012</v>
      </c>
      <c r="B30" s="324">
        <f>SUM(B24:B28)</f>
        <v>0</v>
      </c>
      <c r="C30" s="324">
        <f t="shared" ref="C30:M30" si="0">SUM(C24:C28)</f>
        <v>0</v>
      </c>
      <c r="D30" s="324">
        <f t="shared" si="0"/>
        <v>0</v>
      </c>
      <c r="E30" s="324">
        <f t="shared" si="0"/>
        <v>0</v>
      </c>
      <c r="F30" s="275">
        <f t="shared" si="0"/>
        <v>1</v>
      </c>
      <c r="G30" s="275">
        <f t="shared" si="0"/>
        <v>0</v>
      </c>
      <c r="H30" s="273">
        <f t="shared" si="0"/>
        <v>2</v>
      </c>
      <c r="I30" s="273">
        <f t="shared" si="0"/>
        <v>2</v>
      </c>
      <c r="J30" s="275">
        <f t="shared" si="0"/>
        <v>0</v>
      </c>
      <c r="K30" s="275">
        <f t="shared" si="0"/>
        <v>0</v>
      </c>
      <c r="L30" s="273">
        <f t="shared" si="0"/>
        <v>0</v>
      </c>
      <c r="M30" s="273">
        <f t="shared" si="0"/>
        <v>0</v>
      </c>
      <c r="N30" s="262"/>
      <c r="O30" s="294">
        <f>SUM(B30:M30)</f>
        <v>5</v>
      </c>
    </row>
    <row r="31" spans="1:15" ht="6" customHeight="1" thickBot="1"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95"/>
    </row>
    <row r="32" spans="1:15">
      <c r="A32" s="438" t="s">
        <v>989</v>
      </c>
      <c r="B32" s="440">
        <v>2</v>
      </c>
      <c r="C32" s="441"/>
      <c r="D32" s="58"/>
      <c r="E32" s="257"/>
      <c r="F32" s="256"/>
      <c r="G32" s="58"/>
      <c r="H32" s="58"/>
      <c r="I32" s="257"/>
      <c r="J32" s="256"/>
      <c r="K32" s="58"/>
      <c r="L32" s="58"/>
      <c r="M32" s="257"/>
      <c r="O32" s="289"/>
    </row>
    <row r="33" spans="1:15" ht="13.5" thickBot="1">
      <c r="A33" s="439"/>
      <c r="B33" s="442"/>
      <c r="C33" s="443"/>
      <c r="D33" s="58"/>
      <c r="E33" s="257"/>
      <c r="F33" s="256"/>
      <c r="G33" s="58"/>
      <c r="H33" s="58"/>
      <c r="I33" s="257"/>
      <c r="J33" s="256"/>
      <c r="K33" s="58"/>
      <c r="L33" s="58"/>
      <c r="M33" s="257"/>
      <c r="O33" s="289"/>
    </row>
    <row r="34" spans="1:15" ht="6" customHeight="1" thickBot="1">
      <c r="B34" s="256"/>
      <c r="C34" s="58"/>
      <c r="D34" s="58"/>
      <c r="E34" s="257"/>
      <c r="F34" s="256"/>
      <c r="G34" s="58"/>
      <c r="H34" s="58"/>
      <c r="I34" s="257"/>
      <c r="J34" s="256"/>
      <c r="K34" s="58"/>
      <c r="L34" s="58"/>
      <c r="M34" s="257"/>
      <c r="O34" s="289"/>
    </row>
    <row r="35" spans="1:15" s="244" customFormat="1" ht="13.5" thickBot="1">
      <c r="A35" s="249" t="s">
        <v>1004</v>
      </c>
      <c r="B35" s="325" t="s">
        <v>991</v>
      </c>
      <c r="C35" s="326" t="s">
        <v>992</v>
      </c>
      <c r="D35" s="326" t="s">
        <v>993</v>
      </c>
      <c r="E35" s="327" t="s">
        <v>994</v>
      </c>
      <c r="F35" s="268" t="s">
        <v>991</v>
      </c>
      <c r="G35" s="269" t="s">
        <v>992</v>
      </c>
      <c r="H35" s="270" t="s">
        <v>993</v>
      </c>
      <c r="I35" s="271" t="s">
        <v>994</v>
      </c>
      <c r="J35" s="268" t="s">
        <v>991</v>
      </c>
      <c r="K35" s="269" t="s">
        <v>992</v>
      </c>
      <c r="L35" s="270" t="s">
        <v>993</v>
      </c>
      <c r="M35" s="271" t="s">
        <v>994</v>
      </c>
      <c r="N35" s="245"/>
      <c r="O35" s="292" t="s">
        <v>1003</v>
      </c>
    </row>
    <row r="36" spans="1:15" ht="6" customHeight="1"/>
    <row r="37" spans="1:15">
      <c r="A37" s="259" t="s">
        <v>1013</v>
      </c>
      <c r="B37" s="328"/>
      <c r="C37" s="328"/>
      <c r="D37" s="328"/>
      <c r="E37" s="328"/>
      <c r="F37" s="274"/>
      <c r="G37" s="274"/>
      <c r="H37" s="272"/>
      <c r="I37" s="272">
        <v>1</v>
      </c>
      <c r="J37" s="274"/>
      <c r="K37" s="274"/>
      <c r="L37" s="272"/>
      <c r="M37" s="272"/>
      <c r="O37" s="293"/>
    </row>
    <row r="38" spans="1:15">
      <c r="A38" s="259" t="s">
        <v>1014</v>
      </c>
      <c r="B38" s="328"/>
      <c r="C38" s="328"/>
      <c r="D38" s="328"/>
      <c r="E38" s="328"/>
      <c r="F38" s="274"/>
      <c r="G38" s="274"/>
      <c r="H38" s="272">
        <v>1</v>
      </c>
      <c r="I38" s="272"/>
      <c r="J38" s="274"/>
      <c r="K38" s="274"/>
      <c r="L38" s="272"/>
      <c r="M38" s="272"/>
      <c r="O38" s="293"/>
    </row>
    <row r="39" spans="1:15">
      <c r="A39" s="259" t="s">
        <v>1015</v>
      </c>
      <c r="B39" s="328"/>
      <c r="C39" s="328"/>
      <c r="D39" s="328"/>
      <c r="E39" s="328"/>
      <c r="F39" s="274"/>
      <c r="G39" s="274"/>
      <c r="H39" s="272"/>
      <c r="I39" s="272">
        <v>1</v>
      </c>
      <c r="J39" s="274"/>
      <c r="K39" s="274"/>
      <c r="L39" s="272"/>
      <c r="M39" s="272"/>
      <c r="O39" s="293"/>
    </row>
    <row r="40" spans="1:15">
      <c r="A40" s="259" t="s">
        <v>1016</v>
      </c>
      <c r="B40" s="328"/>
      <c r="C40" s="328"/>
      <c r="D40" s="328"/>
      <c r="E40" s="328"/>
      <c r="F40" s="274"/>
      <c r="G40" s="274"/>
      <c r="H40" s="272">
        <v>1</v>
      </c>
      <c r="I40" s="272"/>
      <c r="J40" s="274"/>
      <c r="K40" s="274"/>
      <c r="L40" s="272"/>
      <c r="M40" s="272"/>
      <c r="O40" s="293"/>
    </row>
    <row r="41" spans="1:15">
      <c r="A41" s="259" t="s">
        <v>1017</v>
      </c>
      <c r="B41" s="328"/>
      <c r="C41" s="328"/>
      <c r="D41" s="328"/>
      <c r="E41" s="328"/>
      <c r="F41" s="274"/>
      <c r="G41" s="274"/>
      <c r="H41" s="272"/>
      <c r="I41" s="272"/>
      <c r="J41" s="274"/>
      <c r="K41" s="274"/>
      <c r="L41" s="272">
        <v>1</v>
      </c>
      <c r="M41" s="272"/>
      <c r="O41" s="293"/>
    </row>
    <row r="42" spans="1:15">
      <c r="A42" s="259" t="s">
        <v>1018</v>
      </c>
      <c r="B42" s="328"/>
      <c r="C42" s="328"/>
      <c r="D42" s="328"/>
      <c r="E42" s="328"/>
      <c r="F42" s="274"/>
      <c r="G42" s="274"/>
      <c r="H42" s="272">
        <v>1</v>
      </c>
      <c r="I42" s="272"/>
      <c r="J42" s="274"/>
      <c r="K42" s="274"/>
      <c r="L42" s="272"/>
      <c r="M42" s="272"/>
      <c r="O42" s="293"/>
    </row>
    <row r="43" spans="1:15">
      <c r="A43" s="259" t="s">
        <v>1019</v>
      </c>
      <c r="B43" s="328"/>
      <c r="C43" s="328"/>
      <c r="D43" s="328"/>
      <c r="E43" s="328"/>
      <c r="F43" s="274"/>
      <c r="G43" s="274"/>
      <c r="H43" s="272">
        <v>1</v>
      </c>
      <c r="I43" s="272"/>
      <c r="J43" s="274"/>
      <c r="K43" s="274"/>
      <c r="L43" s="272"/>
      <c r="M43" s="272"/>
      <c r="O43" s="293"/>
    </row>
    <row r="44" spans="1:15" hidden="1">
      <c r="A44" s="259"/>
      <c r="B44" s="274"/>
      <c r="C44" s="274"/>
      <c r="D44" s="272"/>
      <c r="E44" s="272"/>
      <c r="F44" s="274"/>
      <c r="G44" s="274"/>
      <c r="H44" s="272"/>
      <c r="I44" s="272"/>
      <c r="J44" s="274"/>
      <c r="K44" s="274"/>
      <c r="L44" s="272"/>
      <c r="M44" s="272"/>
      <c r="O44" s="293"/>
    </row>
    <row r="45" spans="1:15" hidden="1">
      <c r="A45" s="259"/>
      <c r="B45" s="274"/>
      <c r="C45" s="274"/>
      <c r="D45" s="272"/>
      <c r="E45" s="272"/>
      <c r="F45" s="274"/>
      <c r="G45" s="274"/>
      <c r="H45" s="272"/>
      <c r="I45" s="272"/>
      <c r="J45" s="274"/>
      <c r="K45" s="274"/>
      <c r="L45" s="272"/>
      <c r="M45" s="272"/>
      <c r="O45" s="293"/>
    </row>
    <row r="46" spans="1:15" ht="6" customHeight="1"/>
    <row r="47" spans="1:15" s="243" customFormat="1" ht="13.5" thickBot="1">
      <c r="A47" s="261" t="s">
        <v>1012</v>
      </c>
      <c r="B47" s="324">
        <f>SUM(B37:B45)</f>
        <v>0</v>
      </c>
      <c r="C47" s="324">
        <f t="shared" ref="C47:M47" si="1">SUM(C37:C45)</f>
        <v>0</v>
      </c>
      <c r="D47" s="324">
        <f t="shared" si="1"/>
        <v>0</v>
      </c>
      <c r="E47" s="324">
        <f t="shared" si="1"/>
        <v>0</v>
      </c>
      <c r="F47" s="275">
        <f t="shared" si="1"/>
        <v>0</v>
      </c>
      <c r="G47" s="275">
        <f t="shared" si="1"/>
        <v>0</v>
      </c>
      <c r="H47" s="273">
        <f t="shared" si="1"/>
        <v>4</v>
      </c>
      <c r="I47" s="273">
        <f t="shared" si="1"/>
        <v>2</v>
      </c>
      <c r="J47" s="275">
        <f t="shared" si="1"/>
        <v>0</v>
      </c>
      <c r="K47" s="275">
        <f t="shared" si="1"/>
        <v>0</v>
      </c>
      <c r="L47" s="273">
        <f t="shared" si="1"/>
        <v>1</v>
      </c>
      <c r="M47" s="273">
        <f t="shared" si="1"/>
        <v>0</v>
      </c>
      <c r="N47" s="262"/>
      <c r="O47" s="294">
        <f>SUM(B47:M47)</f>
        <v>7</v>
      </c>
    </row>
    <row r="48" spans="1:15" ht="6" customHeight="1" thickBot="1"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95"/>
    </row>
    <row r="49" spans="1:15">
      <c r="A49" s="438" t="s">
        <v>989</v>
      </c>
      <c r="B49" s="440">
        <v>3</v>
      </c>
      <c r="C49" s="441"/>
      <c r="D49" s="58"/>
      <c r="E49" s="257"/>
      <c r="F49" s="256"/>
      <c r="G49" s="58"/>
      <c r="H49" s="58"/>
      <c r="I49" s="257"/>
      <c r="J49" s="256"/>
      <c r="K49" s="58"/>
      <c r="L49" s="58"/>
      <c r="M49" s="257"/>
      <c r="O49" s="289"/>
    </row>
    <row r="50" spans="1:15" ht="13.5" thickBot="1">
      <c r="A50" s="439"/>
      <c r="B50" s="442"/>
      <c r="C50" s="443"/>
      <c r="D50" s="58"/>
      <c r="E50" s="257"/>
      <c r="F50" s="256"/>
      <c r="G50" s="58"/>
      <c r="H50" s="58"/>
      <c r="I50" s="257"/>
      <c r="J50" s="256"/>
      <c r="K50" s="58"/>
      <c r="L50" s="58"/>
      <c r="M50" s="257"/>
      <c r="O50" s="289"/>
    </row>
    <row r="51" spans="1:15" ht="6" customHeight="1" thickBot="1">
      <c r="B51" s="256"/>
      <c r="C51" s="58"/>
      <c r="D51" s="58"/>
      <c r="E51" s="257"/>
      <c r="F51" s="256"/>
      <c r="G51" s="58"/>
      <c r="H51" s="58"/>
      <c r="I51" s="257"/>
      <c r="J51" s="256"/>
      <c r="K51" s="58"/>
      <c r="L51" s="58"/>
      <c r="M51" s="257"/>
      <c r="O51" s="289"/>
    </row>
    <row r="52" spans="1:15" s="244" customFormat="1" ht="13.5" thickBot="1">
      <c r="A52" s="249" t="s">
        <v>1004</v>
      </c>
      <c r="B52" s="325" t="s">
        <v>991</v>
      </c>
      <c r="C52" s="326" t="s">
        <v>992</v>
      </c>
      <c r="D52" s="326" t="s">
        <v>993</v>
      </c>
      <c r="E52" s="327" t="s">
        <v>994</v>
      </c>
      <c r="F52" s="268" t="s">
        <v>991</v>
      </c>
      <c r="G52" s="269" t="s">
        <v>992</v>
      </c>
      <c r="H52" s="270" t="s">
        <v>993</v>
      </c>
      <c r="I52" s="271" t="s">
        <v>994</v>
      </c>
      <c r="J52" s="268" t="s">
        <v>991</v>
      </c>
      <c r="K52" s="269" t="s">
        <v>992</v>
      </c>
      <c r="L52" s="270" t="s">
        <v>993</v>
      </c>
      <c r="M52" s="271" t="s">
        <v>994</v>
      </c>
      <c r="N52" s="245"/>
      <c r="O52" s="292" t="s">
        <v>1003</v>
      </c>
    </row>
    <row r="53" spans="1:15" ht="6" customHeight="1"/>
    <row r="54" spans="1:15">
      <c r="A54" s="259" t="s">
        <v>1020</v>
      </c>
      <c r="B54" s="328"/>
      <c r="C54" s="328"/>
      <c r="D54" s="328"/>
      <c r="E54" s="328"/>
      <c r="F54" s="274"/>
      <c r="G54" s="274"/>
      <c r="H54" s="272">
        <v>1</v>
      </c>
      <c r="I54" s="272"/>
      <c r="J54" s="274"/>
      <c r="K54" s="274"/>
      <c r="L54" s="272"/>
      <c r="M54" s="272"/>
      <c r="O54" s="293" t="s">
        <v>1098</v>
      </c>
    </row>
    <row r="55" spans="1:15">
      <c r="A55" s="259" t="s">
        <v>1021</v>
      </c>
      <c r="B55" s="328"/>
      <c r="C55" s="328"/>
      <c r="D55" s="328"/>
      <c r="E55" s="328"/>
      <c r="F55" s="274"/>
      <c r="G55" s="274"/>
      <c r="H55" s="272"/>
      <c r="I55" s="272">
        <v>1</v>
      </c>
      <c r="J55" s="274"/>
      <c r="K55" s="274"/>
      <c r="L55" s="272"/>
      <c r="M55" s="272"/>
      <c r="O55" s="293"/>
    </row>
    <row r="56" spans="1:15">
      <c r="A56" s="259" t="s">
        <v>1022</v>
      </c>
      <c r="B56" s="328"/>
      <c r="C56" s="328"/>
      <c r="D56" s="328"/>
      <c r="E56" s="328"/>
      <c r="F56" s="274"/>
      <c r="G56" s="274"/>
      <c r="H56" s="272"/>
      <c r="I56" s="272">
        <v>1</v>
      </c>
      <c r="J56" s="274"/>
      <c r="K56" s="274"/>
      <c r="L56" s="272"/>
      <c r="M56" s="272"/>
      <c r="O56" s="293"/>
    </row>
    <row r="57" spans="1:15">
      <c r="A57" s="259" t="s">
        <v>1023</v>
      </c>
      <c r="B57" s="328"/>
      <c r="C57" s="328"/>
      <c r="D57" s="328"/>
      <c r="E57" s="328"/>
      <c r="F57" s="274">
        <v>1</v>
      </c>
      <c r="G57" s="274"/>
      <c r="H57" s="272"/>
      <c r="I57" s="272"/>
      <c r="J57" s="274"/>
      <c r="K57" s="274"/>
      <c r="L57" s="272"/>
      <c r="M57" s="272"/>
      <c r="O57" s="293" t="s">
        <v>1098</v>
      </c>
    </row>
    <row r="58" spans="1:15">
      <c r="A58" s="259" t="s">
        <v>1024</v>
      </c>
      <c r="B58" s="328"/>
      <c r="C58" s="328"/>
      <c r="D58" s="328"/>
      <c r="E58" s="328"/>
      <c r="F58" s="274"/>
      <c r="G58" s="274"/>
      <c r="H58" s="272">
        <v>1</v>
      </c>
      <c r="I58" s="272"/>
      <c r="J58" s="274"/>
      <c r="K58" s="274"/>
      <c r="L58" s="272"/>
      <c r="M58" s="272"/>
      <c r="O58" s="293"/>
    </row>
    <row r="59" spans="1:15">
      <c r="A59" s="259" t="s">
        <v>1025</v>
      </c>
      <c r="B59" s="328"/>
      <c r="C59" s="328"/>
      <c r="D59" s="328"/>
      <c r="E59" s="328"/>
      <c r="F59" s="274"/>
      <c r="G59" s="274"/>
      <c r="H59" s="272">
        <v>1</v>
      </c>
      <c r="I59" s="272"/>
      <c r="J59" s="274"/>
      <c r="K59" s="274"/>
      <c r="L59" s="272"/>
      <c r="M59" s="272"/>
      <c r="O59" s="293"/>
    </row>
    <row r="60" spans="1:15">
      <c r="A60" s="259" t="s">
        <v>1026</v>
      </c>
      <c r="B60" s="328"/>
      <c r="C60" s="328"/>
      <c r="D60" s="328"/>
      <c r="E60" s="328"/>
      <c r="F60" s="274"/>
      <c r="G60" s="274"/>
      <c r="H60" s="272">
        <v>1</v>
      </c>
      <c r="I60" s="272"/>
      <c r="J60" s="274"/>
      <c r="K60" s="274"/>
      <c r="L60" s="272"/>
      <c r="M60" s="272"/>
      <c r="O60" s="293"/>
    </row>
    <row r="61" spans="1:15" hidden="1">
      <c r="A61" s="259"/>
      <c r="B61" s="274"/>
      <c r="C61" s="274"/>
      <c r="D61" s="272"/>
      <c r="E61" s="272"/>
      <c r="F61" s="274"/>
      <c r="G61" s="274"/>
      <c r="H61" s="272"/>
      <c r="I61" s="272"/>
      <c r="J61" s="274"/>
      <c r="K61" s="274"/>
      <c r="L61" s="272"/>
      <c r="M61" s="272"/>
      <c r="O61" s="293"/>
    </row>
    <row r="62" spans="1:15" hidden="1">
      <c r="A62" s="259"/>
      <c r="B62" s="274"/>
      <c r="C62" s="274"/>
      <c r="D62" s="272"/>
      <c r="E62" s="272"/>
      <c r="F62" s="274"/>
      <c r="G62" s="274"/>
      <c r="H62" s="272"/>
      <c r="I62" s="272"/>
      <c r="J62" s="274"/>
      <c r="K62" s="274"/>
      <c r="L62" s="272"/>
      <c r="M62" s="272"/>
      <c r="O62" s="293"/>
    </row>
    <row r="63" spans="1:15" ht="6" customHeight="1"/>
    <row r="64" spans="1:15" s="243" customFormat="1" ht="13.5" thickBot="1">
      <c r="A64" s="261" t="s">
        <v>1012</v>
      </c>
      <c r="B64" s="324">
        <f>SUM(B54:B62)</f>
        <v>0</v>
      </c>
      <c r="C64" s="324">
        <f t="shared" ref="C64:M64" si="2">SUM(C54:C62)</f>
        <v>0</v>
      </c>
      <c r="D64" s="324">
        <f t="shared" si="2"/>
        <v>0</v>
      </c>
      <c r="E64" s="324">
        <f t="shared" si="2"/>
        <v>0</v>
      </c>
      <c r="F64" s="275">
        <f t="shared" si="2"/>
        <v>1</v>
      </c>
      <c r="G64" s="275">
        <f t="shared" si="2"/>
        <v>0</v>
      </c>
      <c r="H64" s="273">
        <f t="shared" si="2"/>
        <v>4</v>
      </c>
      <c r="I64" s="273">
        <f t="shared" si="2"/>
        <v>2</v>
      </c>
      <c r="J64" s="275">
        <f t="shared" si="2"/>
        <v>0</v>
      </c>
      <c r="K64" s="275">
        <f t="shared" si="2"/>
        <v>0</v>
      </c>
      <c r="L64" s="273">
        <f t="shared" si="2"/>
        <v>0</v>
      </c>
      <c r="M64" s="273">
        <f t="shared" si="2"/>
        <v>0</v>
      </c>
      <c r="N64" s="262"/>
      <c r="O64" s="294">
        <f>SUM(B64:M64)</f>
        <v>7</v>
      </c>
    </row>
    <row r="65" spans="1:15" ht="6" customHeight="1" thickBot="1"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95"/>
    </row>
    <row r="66" spans="1:15">
      <c r="A66" s="438" t="s">
        <v>989</v>
      </c>
      <c r="B66" s="440">
        <v>4</v>
      </c>
      <c r="C66" s="441"/>
      <c r="D66" s="58"/>
      <c r="E66" s="257"/>
      <c r="F66" s="256"/>
      <c r="G66" s="58"/>
      <c r="H66" s="58"/>
      <c r="I66" s="257"/>
      <c r="J66" s="256"/>
      <c r="K66" s="58"/>
      <c r="L66" s="58"/>
      <c r="M66" s="257"/>
      <c r="O66" s="289"/>
    </row>
    <row r="67" spans="1:15" ht="13.5" thickBot="1">
      <c r="A67" s="439"/>
      <c r="B67" s="442"/>
      <c r="C67" s="443"/>
      <c r="D67" s="58"/>
      <c r="E67" s="257"/>
      <c r="F67" s="256"/>
      <c r="G67" s="58"/>
      <c r="H67" s="58"/>
      <c r="I67" s="257"/>
      <c r="J67" s="256"/>
      <c r="K67" s="58"/>
      <c r="L67" s="58"/>
      <c r="M67" s="257"/>
      <c r="O67" s="289"/>
    </row>
    <row r="68" spans="1:15" ht="6" customHeight="1" thickBot="1">
      <c r="B68" s="256"/>
      <c r="C68" s="58"/>
      <c r="D68" s="58"/>
      <c r="E68" s="257"/>
      <c r="F68" s="256"/>
      <c r="G68" s="58"/>
      <c r="H68" s="58"/>
      <c r="I68" s="257"/>
      <c r="J68" s="256"/>
      <c r="K68" s="58"/>
      <c r="L68" s="58"/>
      <c r="M68" s="257"/>
      <c r="O68" s="289"/>
    </row>
    <row r="69" spans="1:15" s="244" customFormat="1" ht="13.5" thickBot="1">
      <c r="A69" s="249" t="s">
        <v>1004</v>
      </c>
      <c r="B69" s="325" t="s">
        <v>991</v>
      </c>
      <c r="C69" s="326" t="s">
        <v>992</v>
      </c>
      <c r="D69" s="326" t="s">
        <v>993</v>
      </c>
      <c r="E69" s="327" t="s">
        <v>994</v>
      </c>
      <c r="F69" s="268" t="s">
        <v>991</v>
      </c>
      <c r="G69" s="269" t="s">
        <v>992</v>
      </c>
      <c r="H69" s="270" t="s">
        <v>993</v>
      </c>
      <c r="I69" s="271" t="s">
        <v>994</v>
      </c>
      <c r="J69" s="268" t="s">
        <v>991</v>
      </c>
      <c r="K69" s="269" t="s">
        <v>992</v>
      </c>
      <c r="L69" s="270" t="s">
        <v>993</v>
      </c>
      <c r="M69" s="271" t="s">
        <v>994</v>
      </c>
      <c r="N69" s="245"/>
      <c r="O69" s="292" t="s">
        <v>1003</v>
      </c>
    </row>
    <row r="70" spans="1:15" ht="6" customHeight="1"/>
    <row r="71" spans="1:15">
      <c r="A71" s="259" t="s">
        <v>1027</v>
      </c>
      <c r="B71" s="328"/>
      <c r="C71" s="328"/>
      <c r="D71" s="328"/>
      <c r="E71" s="328"/>
      <c r="F71" s="274"/>
      <c r="G71" s="274"/>
      <c r="H71" s="272"/>
      <c r="I71" s="272"/>
      <c r="J71" s="274"/>
      <c r="K71" s="274"/>
      <c r="L71" s="272">
        <v>1</v>
      </c>
      <c r="M71" s="272"/>
      <c r="O71" s="293" t="s">
        <v>1097</v>
      </c>
    </row>
    <row r="72" spans="1:15">
      <c r="A72" s="259" t="s">
        <v>27</v>
      </c>
      <c r="B72" s="328"/>
      <c r="C72" s="328"/>
      <c r="D72" s="328"/>
      <c r="E72" s="328"/>
      <c r="F72" s="274"/>
      <c r="G72" s="274"/>
      <c r="H72" s="272">
        <v>1</v>
      </c>
      <c r="I72" s="272"/>
      <c r="J72" s="274"/>
      <c r="K72" s="274"/>
      <c r="L72" s="272"/>
      <c r="M72" s="272"/>
      <c r="O72" s="293" t="s">
        <v>1098</v>
      </c>
    </row>
    <row r="73" spans="1:15">
      <c r="A73" s="259" t="s">
        <v>1028</v>
      </c>
      <c r="B73" s="328"/>
      <c r="C73" s="328"/>
      <c r="D73" s="328"/>
      <c r="E73" s="328"/>
      <c r="F73" s="274"/>
      <c r="G73" s="274"/>
      <c r="H73" s="272"/>
      <c r="I73" s="272">
        <v>1</v>
      </c>
      <c r="J73" s="274"/>
      <c r="K73" s="274"/>
      <c r="L73" s="272"/>
      <c r="M73" s="272"/>
      <c r="O73" s="293" t="s">
        <v>1098</v>
      </c>
    </row>
    <row r="74" spans="1:15" hidden="1">
      <c r="A74" s="259"/>
      <c r="B74" s="274"/>
      <c r="C74" s="274"/>
      <c r="D74" s="272"/>
      <c r="E74" s="272"/>
      <c r="F74" s="274"/>
      <c r="G74" s="274"/>
      <c r="H74" s="272"/>
      <c r="I74" s="272"/>
      <c r="J74" s="274"/>
      <c r="K74" s="274"/>
      <c r="L74" s="272"/>
      <c r="M74" s="272"/>
      <c r="O74" s="293"/>
    </row>
    <row r="75" spans="1:15" hidden="1">
      <c r="A75" s="259"/>
      <c r="B75" s="274"/>
      <c r="C75" s="274"/>
      <c r="D75" s="272"/>
      <c r="E75" s="272"/>
      <c r="F75" s="274"/>
      <c r="G75" s="274"/>
      <c r="H75" s="272"/>
      <c r="I75" s="272"/>
      <c r="J75" s="274"/>
      <c r="K75" s="274"/>
      <c r="L75" s="272"/>
      <c r="M75" s="272"/>
      <c r="O75" s="293"/>
    </row>
    <row r="76" spans="1:15" hidden="1">
      <c r="A76" s="259"/>
      <c r="B76" s="274"/>
      <c r="C76" s="274"/>
      <c r="D76" s="272"/>
      <c r="E76" s="272"/>
      <c r="F76" s="274"/>
      <c r="G76" s="274"/>
      <c r="H76" s="272"/>
      <c r="I76" s="272"/>
      <c r="J76" s="274"/>
      <c r="K76" s="274"/>
      <c r="L76" s="272"/>
      <c r="M76" s="272"/>
      <c r="O76" s="293"/>
    </row>
    <row r="77" spans="1:15" hidden="1">
      <c r="A77" s="259"/>
      <c r="B77" s="274"/>
      <c r="C77" s="274"/>
      <c r="D77" s="272"/>
      <c r="E77" s="272"/>
      <c r="F77" s="274"/>
      <c r="G77" s="274"/>
      <c r="H77" s="272"/>
      <c r="I77" s="272"/>
      <c r="J77" s="274"/>
      <c r="K77" s="274"/>
      <c r="L77" s="272"/>
      <c r="M77" s="272"/>
      <c r="O77" s="293"/>
    </row>
    <row r="78" spans="1:15" hidden="1">
      <c r="A78" s="259"/>
      <c r="B78" s="274"/>
      <c r="C78" s="274"/>
      <c r="D78" s="272"/>
      <c r="E78" s="272"/>
      <c r="F78" s="274"/>
      <c r="G78" s="274"/>
      <c r="H78" s="272"/>
      <c r="I78" s="272"/>
      <c r="J78" s="274"/>
      <c r="K78" s="274"/>
      <c r="L78" s="272"/>
      <c r="M78" s="272"/>
      <c r="O78" s="293"/>
    </row>
    <row r="79" spans="1:15" hidden="1">
      <c r="A79" s="259"/>
      <c r="B79" s="274"/>
      <c r="C79" s="274"/>
      <c r="D79" s="272"/>
      <c r="E79" s="272"/>
      <c r="F79" s="274"/>
      <c r="G79" s="274"/>
      <c r="H79" s="272"/>
      <c r="I79" s="272"/>
      <c r="J79" s="274"/>
      <c r="K79" s="274"/>
      <c r="L79" s="272"/>
      <c r="M79" s="272"/>
      <c r="O79" s="293"/>
    </row>
    <row r="80" spans="1:15" ht="6" customHeight="1"/>
    <row r="81" spans="1:15" s="243" customFormat="1" ht="13.5" thickBot="1">
      <c r="A81" s="261" t="s">
        <v>1012</v>
      </c>
      <c r="B81" s="324">
        <f>SUM(B71:B79)</f>
        <v>0</v>
      </c>
      <c r="C81" s="324">
        <f t="shared" ref="C81:M81" si="3">SUM(C71:C79)</f>
        <v>0</v>
      </c>
      <c r="D81" s="324">
        <f t="shared" si="3"/>
        <v>0</v>
      </c>
      <c r="E81" s="324">
        <f t="shared" si="3"/>
        <v>0</v>
      </c>
      <c r="F81" s="275">
        <f t="shared" si="3"/>
        <v>0</v>
      </c>
      <c r="G81" s="275">
        <f t="shared" si="3"/>
        <v>0</v>
      </c>
      <c r="H81" s="273">
        <f t="shared" si="3"/>
        <v>1</v>
      </c>
      <c r="I81" s="273">
        <f t="shared" si="3"/>
        <v>1</v>
      </c>
      <c r="J81" s="275">
        <f t="shared" si="3"/>
        <v>0</v>
      </c>
      <c r="K81" s="275">
        <f t="shared" si="3"/>
        <v>0</v>
      </c>
      <c r="L81" s="273">
        <f t="shared" si="3"/>
        <v>1</v>
      </c>
      <c r="M81" s="273">
        <f t="shared" si="3"/>
        <v>0</v>
      </c>
      <c r="N81" s="262"/>
      <c r="O81" s="294">
        <f>SUM(B81:M81)</f>
        <v>3</v>
      </c>
    </row>
    <row r="82" spans="1:15" ht="6" customHeight="1" thickBot="1"/>
    <row r="83" spans="1:15">
      <c r="A83" s="459" t="s">
        <v>996</v>
      </c>
      <c r="B83" s="460"/>
      <c r="C83" s="460"/>
      <c r="D83" s="460"/>
      <c r="E83" s="460"/>
      <c r="F83" s="277"/>
      <c r="G83" s="278"/>
      <c r="H83" s="278"/>
      <c r="I83" s="279"/>
      <c r="J83" s="277"/>
      <c r="K83" s="278"/>
      <c r="L83" s="278"/>
      <c r="M83" s="279"/>
      <c r="O83" s="291"/>
    </row>
    <row r="84" spans="1:15" ht="13.5" thickBot="1">
      <c r="A84" s="461" t="s">
        <v>1029</v>
      </c>
      <c r="B84" s="462"/>
      <c r="C84" s="462"/>
      <c r="D84" s="462"/>
      <c r="E84" s="462"/>
      <c r="F84" s="256"/>
      <c r="G84" s="58"/>
      <c r="H84" s="58"/>
      <c r="I84" s="257"/>
      <c r="J84" s="256"/>
      <c r="K84" s="58"/>
      <c r="L84" s="58"/>
      <c r="M84" s="257"/>
      <c r="O84" s="289"/>
    </row>
    <row r="85" spans="1:15" ht="6" customHeight="1" thickBot="1">
      <c r="A85" s="256"/>
      <c r="B85" s="253"/>
      <c r="C85" s="254"/>
      <c r="D85" s="254"/>
      <c r="E85" s="254"/>
      <c r="F85" s="256"/>
      <c r="G85" s="58"/>
      <c r="H85" s="58"/>
      <c r="I85" s="257"/>
      <c r="J85" s="256"/>
      <c r="K85" s="58"/>
      <c r="L85" s="58"/>
      <c r="M85" s="257"/>
      <c r="O85" s="289"/>
    </row>
    <row r="86" spans="1:15">
      <c r="A86" s="438" t="s">
        <v>989</v>
      </c>
      <c r="B86" s="440">
        <v>1</v>
      </c>
      <c r="C86" s="441"/>
      <c r="D86" s="58"/>
      <c r="E86" s="58"/>
      <c r="F86" s="256"/>
      <c r="G86" s="58"/>
      <c r="H86" s="58"/>
      <c r="I86" s="257"/>
      <c r="J86" s="256"/>
      <c r="K86" s="58"/>
      <c r="L86" s="58"/>
      <c r="M86" s="257"/>
      <c r="O86" s="289"/>
    </row>
    <row r="87" spans="1:15" ht="13.5" thickBot="1">
      <c r="A87" s="439"/>
      <c r="B87" s="442"/>
      <c r="C87" s="443"/>
      <c r="D87" s="58"/>
      <c r="E87" s="58"/>
      <c r="F87" s="256"/>
      <c r="G87" s="58"/>
      <c r="H87" s="58"/>
      <c r="I87" s="257"/>
      <c r="J87" s="256"/>
      <c r="K87" s="58"/>
      <c r="L87" s="58"/>
      <c r="M87" s="257"/>
      <c r="O87" s="289"/>
    </row>
    <row r="88" spans="1:15" ht="6" customHeight="1" thickBot="1">
      <c r="B88" s="256"/>
      <c r="C88" s="58"/>
      <c r="D88" s="58"/>
      <c r="E88" s="58"/>
      <c r="F88" s="280"/>
      <c r="G88" s="281"/>
      <c r="H88" s="281"/>
      <c r="I88" s="282"/>
      <c r="J88" s="280"/>
      <c r="K88" s="281"/>
      <c r="L88" s="281"/>
      <c r="M88" s="282"/>
      <c r="O88" s="296"/>
    </row>
    <row r="89" spans="1:15" s="244" customFormat="1" ht="13.5" thickBot="1">
      <c r="A89" s="249" t="s">
        <v>1004</v>
      </c>
      <c r="B89" s="325" t="s">
        <v>991</v>
      </c>
      <c r="C89" s="326" t="s">
        <v>992</v>
      </c>
      <c r="D89" s="326" t="s">
        <v>993</v>
      </c>
      <c r="E89" s="327" t="s">
        <v>994</v>
      </c>
      <c r="F89" s="268" t="s">
        <v>991</v>
      </c>
      <c r="G89" s="269" t="s">
        <v>992</v>
      </c>
      <c r="H89" s="270" t="s">
        <v>993</v>
      </c>
      <c r="I89" s="271" t="s">
        <v>994</v>
      </c>
      <c r="J89" s="268" t="s">
        <v>991</v>
      </c>
      <c r="K89" s="269" t="s">
        <v>992</v>
      </c>
      <c r="L89" s="270" t="s">
        <v>993</v>
      </c>
      <c r="M89" s="271" t="s">
        <v>994</v>
      </c>
      <c r="N89" s="245"/>
      <c r="O89" s="292" t="s">
        <v>1003</v>
      </c>
    </row>
    <row r="90" spans="1:15" ht="6" customHeight="1"/>
    <row r="91" spans="1:15">
      <c r="A91" s="259" t="s">
        <v>1030</v>
      </c>
      <c r="B91" s="328"/>
      <c r="C91" s="328"/>
      <c r="D91" s="328"/>
      <c r="E91" s="328"/>
      <c r="F91" s="274"/>
      <c r="G91" s="274"/>
      <c r="H91" s="272">
        <v>1</v>
      </c>
      <c r="I91" s="272"/>
      <c r="J91" s="274"/>
      <c r="K91" s="274"/>
      <c r="L91" s="272"/>
      <c r="M91" s="272"/>
      <c r="O91" s="293"/>
    </row>
    <row r="92" spans="1:15">
      <c r="A92" s="259" t="s">
        <v>1031</v>
      </c>
      <c r="B92" s="328"/>
      <c r="C92" s="328"/>
      <c r="D92" s="328"/>
      <c r="E92" s="328"/>
      <c r="F92" s="274"/>
      <c r="G92" s="274"/>
      <c r="H92" s="272">
        <v>1</v>
      </c>
      <c r="I92" s="272"/>
      <c r="J92" s="274"/>
      <c r="K92" s="274"/>
      <c r="L92" s="272"/>
      <c r="M92" s="272"/>
      <c r="O92" s="293"/>
    </row>
    <row r="93" spans="1:15">
      <c r="A93" s="259" t="s">
        <v>1032</v>
      </c>
      <c r="B93" s="328"/>
      <c r="C93" s="328"/>
      <c r="D93" s="328"/>
      <c r="E93" s="328"/>
      <c r="F93" s="274"/>
      <c r="G93" s="274"/>
      <c r="H93" s="272"/>
      <c r="I93" s="272"/>
      <c r="J93" s="274"/>
      <c r="K93" s="274"/>
      <c r="L93" s="272">
        <v>1</v>
      </c>
      <c r="M93" s="272"/>
      <c r="O93" s="293" t="s">
        <v>1100</v>
      </c>
    </row>
    <row r="94" spans="1:15" ht="25.5">
      <c r="A94" s="259" t="s">
        <v>1033</v>
      </c>
      <c r="B94" s="328"/>
      <c r="C94" s="328"/>
      <c r="D94" s="328"/>
      <c r="E94" s="328"/>
      <c r="F94" s="274"/>
      <c r="G94" s="274"/>
      <c r="H94" s="272"/>
      <c r="I94" s="272"/>
      <c r="J94" s="274"/>
      <c r="K94" s="274"/>
      <c r="L94" s="272">
        <v>1</v>
      </c>
      <c r="M94" s="272"/>
      <c r="O94" s="293" t="s">
        <v>1104</v>
      </c>
    </row>
    <row r="95" spans="1:15">
      <c r="A95" s="259" t="s">
        <v>1034</v>
      </c>
      <c r="B95" s="328"/>
      <c r="C95" s="328"/>
      <c r="D95" s="328"/>
      <c r="E95" s="328"/>
      <c r="F95" s="274">
        <v>1</v>
      </c>
      <c r="G95" s="274"/>
      <c r="H95" s="272"/>
      <c r="I95" s="272"/>
      <c r="J95" s="274"/>
      <c r="K95" s="274"/>
      <c r="L95" s="272"/>
      <c r="M95" s="272"/>
      <c r="O95" s="293" t="s">
        <v>1098</v>
      </c>
    </row>
    <row r="96" spans="1:15">
      <c r="A96" s="259" t="s">
        <v>1035</v>
      </c>
      <c r="B96" s="328"/>
      <c r="C96" s="328"/>
      <c r="D96" s="328"/>
      <c r="E96" s="328"/>
      <c r="F96" s="274"/>
      <c r="G96" s="274"/>
      <c r="H96" s="272">
        <v>1</v>
      </c>
      <c r="I96" s="272"/>
      <c r="J96" s="274"/>
      <c r="K96" s="274"/>
      <c r="L96" s="272"/>
      <c r="M96" s="272"/>
      <c r="O96" s="293"/>
    </row>
    <row r="97" spans="1:15">
      <c r="A97" s="259" t="s">
        <v>1036</v>
      </c>
      <c r="B97" s="328"/>
      <c r="C97" s="328"/>
      <c r="D97" s="328"/>
      <c r="E97" s="328"/>
      <c r="F97" s="274"/>
      <c r="G97" s="274"/>
      <c r="H97" s="272">
        <v>1</v>
      </c>
      <c r="I97" s="272"/>
      <c r="J97" s="274"/>
      <c r="K97" s="274"/>
      <c r="L97" s="272"/>
      <c r="M97" s="272"/>
      <c r="O97" s="293"/>
    </row>
    <row r="98" spans="1:15">
      <c r="A98" s="259" t="s">
        <v>1037</v>
      </c>
      <c r="B98" s="328"/>
      <c r="C98" s="328"/>
      <c r="D98" s="328"/>
      <c r="E98" s="328"/>
      <c r="F98" s="274"/>
      <c r="G98" s="274"/>
      <c r="H98" s="272">
        <v>1</v>
      </c>
      <c r="I98" s="272"/>
      <c r="J98" s="274"/>
      <c r="K98" s="274"/>
      <c r="L98" s="272"/>
      <c r="M98" s="272"/>
      <c r="O98" s="293"/>
    </row>
    <row r="99" spans="1:15">
      <c r="A99" s="259" t="s">
        <v>1038</v>
      </c>
      <c r="B99" s="328"/>
      <c r="C99" s="328"/>
      <c r="D99" s="328"/>
      <c r="E99" s="328"/>
      <c r="F99" s="274"/>
      <c r="G99" s="274"/>
      <c r="H99" s="272">
        <v>1</v>
      </c>
      <c r="I99" s="272"/>
      <c r="J99" s="274"/>
      <c r="K99" s="274"/>
      <c r="L99" s="272"/>
      <c r="M99" s="272"/>
      <c r="O99" s="293" t="s">
        <v>1098</v>
      </c>
    </row>
    <row r="100" spans="1:15">
      <c r="A100" s="259" t="s">
        <v>1039</v>
      </c>
      <c r="B100" s="328"/>
      <c r="C100" s="328"/>
      <c r="D100" s="328"/>
      <c r="E100" s="328"/>
      <c r="F100" s="274"/>
      <c r="G100" s="274"/>
      <c r="H100" s="272">
        <v>1</v>
      </c>
      <c r="I100" s="272"/>
      <c r="J100" s="274"/>
      <c r="K100" s="274"/>
      <c r="L100" s="272"/>
      <c r="M100" s="272"/>
      <c r="O100" s="293"/>
    </row>
    <row r="101" spans="1:15">
      <c r="A101" s="259" t="s">
        <v>1040</v>
      </c>
      <c r="B101" s="328"/>
      <c r="C101" s="328"/>
      <c r="D101" s="328"/>
      <c r="E101" s="328"/>
      <c r="F101" s="274"/>
      <c r="G101" s="274"/>
      <c r="H101" s="272"/>
      <c r="I101" s="272"/>
      <c r="J101" s="274"/>
      <c r="K101" s="274"/>
      <c r="L101" s="272">
        <v>1</v>
      </c>
      <c r="M101" s="272"/>
      <c r="O101" s="293" t="s">
        <v>1099</v>
      </c>
    </row>
    <row r="102" spans="1:15">
      <c r="A102" s="259" t="s">
        <v>1041</v>
      </c>
      <c r="B102" s="328"/>
      <c r="C102" s="328"/>
      <c r="D102" s="328"/>
      <c r="E102" s="328"/>
      <c r="F102" s="274"/>
      <c r="G102" s="274"/>
      <c r="H102" s="272"/>
      <c r="I102" s="272"/>
      <c r="J102" s="274"/>
      <c r="K102" s="274">
        <v>1</v>
      </c>
      <c r="L102" s="272"/>
      <c r="M102" s="272"/>
      <c r="O102" s="293" t="s">
        <v>1098</v>
      </c>
    </row>
    <row r="103" spans="1:15" ht="6" customHeight="1"/>
    <row r="104" spans="1:15" s="243" customFormat="1" ht="13.5" thickBot="1">
      <c r="A104" s="261" t="s">
        <v>1012</v>
      </c>
      <c r="B104" s="324">
        <f>SUM(B91:B102)</f>
        <v>0</v>
      </c>
      <c r="C104" s="324">
        <f t="shared" ref="C104:M104" si="4">SUM(C91:C102)</f>
        <v>0</v>
      </c>
      <c r="D104" s="324">
        <f t="shared" si="4"/>
        <v>0</v>
      </c>
      <c r="E104" s="324">
        <f t="shared" si="4"/>
        <v>0</v>
      </c>
      <c r="F104" s="275">
        <f t="shared" si="4"/>
        <v>1</v>
      </c>
      <c r="G104" s="275">
        <f t="shared" si="4"/>
        <v>0</v>
      </c>
      <c r="H104" s="273">
        <f t="shared" si="4"/>
        <v>7</v>
      </c>
      <c r="I104" s="273">
        <f t="shared" si="4"/>
        <v>0</v>
      </c>
      <c r="J104" s="275">
        <f t="shared" si="4"/>
        <v>0</v>
      </c>
      <c r="K104" s="275">
        <f t="shared" si="4"/>
        <v>1</v>
      </c>
      <c r="L104" s="273">
        <f t="shared" si="4"/>
        <v>3</v>
      </c>
      <c r="M104" s="273">
        <f t="shared" si="4"/>
        <v>0</v>
      </c>
      <c r="N104" s="262"/>
      <c r="O104" s="294">
        <f>SUM(B104:M104)</f>
        <v>12</v>
      </c>
    </row>
    <row r="105" spans="1:15" ht="6" customHeight="1" thickBot="1"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95"/>
    </row>
    <row r="106" spans="1:15">
      <c r="A106" s="438" t="s">
        <v>989</v>
      </c>
      <c r="B106" s="440">
        <v>2</v>
      </c>
      <c r="C106" s="441"/>
      <c r="D106" s="58"/>
      <c r="E106" s="257"/>
      <c r="F106" s="256"/>
      <c r="G106" s="58"/>
      <c r="H106" s="58"/>
      <c r="I106" s="257"/>
      <c r="J106" s="256"/>
      <c r="K106" s="58"/>
      <c r="L106" s="58"/>
      <c r="M106" s="257"/>
      <c r="O106" s="289"/>
    </row>
    <row r="107" spans="1:15" ht="13.5" thickBot="1">
      <c r="A107" s="439"/>
      <c r="B107" s="442"/>
      <c r="C107" s="443"/>
      <c r="D107" s="58"/>
      <c r="E107" s="257"/>
      <c r="F107" s="256"/>
      <c r="G107" s="58"/>
      <c r="H107" s="58"/>
      <c r="I107" s="257"/>
      <c r="J107" s="256"/>
      <c r="K107" s="58"/>
      <c r="L107" s="58"/>
      <c r="M107" s="257"/>
      <c r="O107" s="289"/>
    </row>
    <row r="108" spans="1:15" ht="6" customHeight="1" thickBot="1">
      <c r="B108" s="256"/>
      <c r="C108" s="58"/>
      <c r="D108" s="58"/>
      <c r="E108" s="257"/>
      <c r="F108" s="256"/>
      <c r="G108" s="58"/>
      <c r="H108" s="58"/>
      <c r="I108" s="257"/>
      <c r="J108" s="256"/>
      <c r="K108" s="58"/>
      <c r="L108" s="58"/>
      <c r="M108" s="257"/>
      <c r="O108" s="289"/>
    </row>
    <row r="109" spans="1:15" s="244" customFormat="1" ht="13.5" thickBot="1">
      <c r="A109" s="249" t="s">
        <v>1004</v>
      </c>
      <c r="B109" s="325" t="s">
        <v>991</v>
      </c>
      <c r="C109" s="326" t="s">
        <v>992</v>
      </c>
      <c r="D109" s="326" t="s">
        <v>993</v>
      </c>
      <c r="E109" s="327" t="s">
        <v>994</v>
      </c>
      <c r="F109" s="268" t="s">
        <v>991</v>
      </c>
      <c r="G109" s="269" t="s">
        <v>992</v>
      </c>
      <c r="H109" s="270" t="s">
        <v>993</v>
      </c>
      <c r="I109" s="271" t="s">
        <v>994</v>
      </c>
      <c r="J109" s="268" t="s">
        <v>991</v>
      </c>
      <c r="K109" s="269" t="s">
        <v>992</v>
      </c>
      <c r="L109" s="270" t="s">
        <v>993</v>
      </c>
      <c r="M109" s="271" t="s">
        <v>994</v>
      </c>
      <c r="N109" s="245"/>
      <c r="O109" s="292" t="s">
        <v>1003</v>
      </c>
    </row>
    <row r="110" spans="1:15" ht="6" customHeight="1"/>
    <row r="111" spans="1:15">
      <c r="A111" s="259" t="s">
        <v>1042</v>
      </c>
      <c r="B111" s="328"/>
      <c r="C111" s="328"/>
      <c r="D111" s="328"/>
      <c r="E111" s="328"/>
      <c r="F111" s="274">
        <v>1</v>
      </c>
      <c r="G111" s="274"/>
      <c r="H111" s="272"/>
      <c r="I111" s="272"/>
      <c r="J111" s="274"/>
      <c r="K111" s="274"/>
      <c r="L111" s="272"/>
      <c r="M111" s="272"/>
      <c r="O111" s="293" t="s">
        <v>1098</v>
      </c>
    </row>
    <row r="112" spans="1:15" ht="51">
      <c r="A112" s="259" t="s">
        <v>1043</v>
      </c>
      <c r="B112" s="328"/>
      <c r="C112" s="328"/>
      <c r="D112" s="328"/>
      <c r="E112" s="328"/>
      <c r="F112" s="274"/>
      <c r="G112" s="274"/>
      <c r="H112" s="272">
        <v>1</v>
      </c>
      <c r="I112" s="272"/>
      <c r="J112" s="274"/>
      <c r="K112" s="274"/>
      <c r="L112" s="272"/>
      <c r="M112" s="272"/>
      <c r="O112" s="293" t="s">
        <v>1105</v>
      </c>
    </row>
    <row r="113" spans="1:15" ht="25.5">
      <c r="A113" s="259" t="s">
        <v>1044</v>
      </c>
      <c r="B113" s="328"/>
      <c r="C113" s="328"/>
      <c r="D113" s="328"/>
      <c r="E113" s="328"/>
      <c r="F113" s="274"/>
      <c r="G113" s="274"/>
      <c r="H113" s="272">
        <v>1</v>
      </c>
      <c r="I113" s="272"/>
      <c r="J113" s="274"/>
      <c r="K113" s="274"/>
      <c r="L113" s="272"/>
      <c r="M113" s="272"/>
      <c r="O113" s="293" t="s">
        <v>1101</v>
      </c>
    </row>
    <row r="114" spans="1:15">
      <c r="A114" s="259" t="s">
        <v>1045</v>
      </c>
      <c r="B114" s="328"/>
      <c r="C114" s="328"/>
      <c r="D114" s="328"/>
      <c r="E114" s="328"/>
      <c r="F114" s="274"/>
      <c r="G114" s="274"/>
      <c r="H114" s="272">
        <v>1</v>
      </c>
      <c r="I114" s="272"/>
      <c r="J114" s="274"/>
      <c r="K114" s="274"/>
      <c r="L114" s="272"/>
      <c r="M114" s="272"/>
      <c r="O114" s="293"/>
    </row>
    <row r="115" spans="1:15">
      <c r="A115" s="259" t="s">
        <v>1046</v>
      </c>
      <c r="B115" s="328"/>
      <c r="C115" s="328"/>
      <c r="D115" s="328"/>
      <c r="E115" s="328"/>
      <c r="F115" s="274"/>
      <c r="G115" s="274"/>
      <c r="H115" s="272">
        <v>1</v>
      </c>
      <c r="I115" s="272"/>
      <c r="J115" s="274"/>
      <c r="K115" s="274"/>
      <c r="L115" s="272"/>
      <c r="M115" s="272"/>
      <c r="O115" s="293"/>
    </row>
    <row r="116" spans="1:15" ht="25.5">
      <c r="A116" s="259" t="s">
        <v>1047</v>
      </c>
      <c r="B116" s="328"/>
      <c r="C116" s="328"/>
      <c r="D116" s="328"/>
      <c r="E116" s="328"/>
      <c r="F116" s="274"/>
      <c r="G116" s="274"/>
      <c r="H116" s="272"/>
      <c r="I116" s="272"/>
      <c r="J116" s="274"/>
      <c r="K116" s="274"/>
      <c r="L116" s="272">
        <v>1</v>
      </c>
      <c r="M116" s="272"/>
      <c r="O116" s="293" t="s">
        <v>1102</v>
      </c>
    </row>
    <row r="117" spans="1:15">
      <c r="A117" s="259" t="s">
        <v>1048</v>
      </c>
      <c r="B117" s="328"/>
      <c r="C117" s="328"/>
      <c r="D117" s="328"/>
      <c r="E117" s="328"/>
      <c r="F117" s="274"/>
      <c r="G117" s="274"/>
      <c r="H117" s="272">
        <v>1</v>
      </c>
      <c r="I117" s="272"/>
      <c r="J117" s="274"/>
      <c r="K117" s="274"/>
      <c r="L117" s="272"/>
      <c r="M117" s="272"/>
      <c r="O117" s="293"/>
    </row>
    <row r="118" spans="1:15">
      <c r="A118" s="259" t="s">
        <v>1049</v>
      </c>
      <c r="B118" s="328"/>
      <c r="C118" s="328"/>
      <c r="D118" s="328"/>
      <c r="E118" s="328"/>
      <c r="F118" s="274"/>
      <c r="G118" s="274"/>
      <c r="H118" s="272"/>
      <c r="I118" s="272">
        <v>1</v>
      </c>
      <c r="J118" s="274"/>
      <c r="K118" s="274"/>
      <c r="L118" s="272"/>
      <c r="M118" s="272"/>
      <c r="O118" s="293"/>
    </row>
    <row r="119" spans="1:15">
      <c r="A119" s="259" t="s">
        <v>1050</v>
      </c>
      <c r="B119" s="328"/>
      <c r="C119" s="328"/>
      <c r="D119" s="328"/>
      <c r="E119" s="328"/>
      <c r="F119" s="274"/>
      <c r="G119" s="274"/>
      <c r="H119" s="272">
        <v>1</v>
      </c>
      <c r="I119" s="272"/>
      <c r="J119" s="274"/>
      <c r="K119" s="274"/>
      <c r="L119" s="272"/>
      <c r="M119" s="272"/>
      <c r="O119" s="293"/>
    </row>
    <row r="120" spans="1:15" ht="25.5">
      <c r="A120" s="259" t="s">
        <v>1051</v>
      </c>
      <c r="B120" s="328"/>
      <c r="C120" s="328"/>
      <c r="D120" s="328"/>
      <c r="E120" s="328"/>
      <c r="F120" s="274">
        <v>1</v>
      </c>
      <c r="G120" s="274"/>
      <c r="H120" s="272"/>
      <c r="I120" s="272"/>
      <c r="J120" s="274"/>
      <c r="K120" s="274"/>
      <c r="L120" s="272"/>
      <c r="M120" s="272"/>
      <c r="O120" s="293" t="s">
        <v>1103</v>
      </c>
    </row>
    <row r="121" spans="1:15">
      <c r="A121" s="259" t="s">
        <v>1052</v>
      </c>
      <c r="B121" s="328"/>
      <c r="C121" s="328"/>
      <c r="D121" s="328"/>
      <c r="E121" s="328"/>
      <c r="F121" s="274"/>
      <c r="G121" s="274"/>
      <c r="H121" s="272">
        <v>1</v>
      </c>
      <c r="I121" s="272"/>
      <c r="J121" s="274"/>
      <c r="K121" s="274"/>
      <c r="L121" s="272"/>
      <c r="M121" s="272"/>
      <c r="O121" s="293"/>
    </row>
    <row r="122" spans="1:15" hidden="1">
      <c r="A122" s="259"/>
      <c r="B122" s="274"/>
      <c r="C122" s="274"/>
      <c r="D122" s="272"/>
      <c r="E122" s="272"/>
      <c r="F122" s="274"/>
      <c r="G122" s="274"/>
      <c r="H122" s="272"/>
      <c r="I122" s="272"/>
      <c r="J122" s="274"/>
      <c r="K122" s="274"/>
      <c r="L122" s="272"/>
      <c r="M122" s="272"/>
      <c r="O122" s="293"/>
    </row>
    <row r="123" spans="1:15" hidden="1">
      <c r="A123" s="259"/>
      <c r="B123" s="274"/>
      <c r="C123" s="274"/>
      <c r="D123" s="272"/>
      <c r="E123" s="272"/>
      <c r="F123" s="274"/>
      <c r="G123" s="274"/>
      <c r="H123" s="272"/>
      <c r="I123" s="272"/>
      <c r="J123" s="274"/>
      <c r="K123" s="274"/>
      <c r="L123" s="272"/>
      <c r="M123" s="272"/>
      <c r="O123" s="293"/>
    </row>
    <row r="124" spans="1:15" hidden="1">
      <c r="A124" s="259"/>
      <c r="B124" s="274"/>
      <c r="C124" s="274"/>
      <c r="D124" s="272"/>
      <c r="E124" s="272"/>
      <c r="F124" s="274"/>
      <c r="G124" s="274"/>
      <c r="H124" s="272"/>
      <c r="I124" s="272"/>
      <c r="J124" s="274"/>
      <c r="K124" s="274"/>
      <c r="L124" s="272"/>
      <c r="M124" s="272"/>
      <c r="O124" s="293"/>
    </row>
    <row r="125" spans="1:15" ht="6" customHeight="1"/>
    <row r="126" spans="1:15" s="243" customFormat="1" ht="13.5" thickBot="1">
      <c r="A126" s="261" t="s">
        <v>1012</v>
      </c>
      <c r="B126" s="324">
        <f>SUM(B111:B124)</f>
        <v>0</v>
      </c>
      <c r="C126" s="324">
        <f t="shared" ref="C126:M126" si="5">SUM(C111:C124)</f>
        <v>0</v>
      </c>
      <c r="D126" s="324">
        <f t="shared" si="5"/>
        <v>0</v>
      </c>
      <c r="E126" s="324">
        <f t="shared" si="5"/>
        <v>0</v>
      </c>
      <c r="F126" s="275">
        <f t="shared" si="5"/>
        <v>2</v>
      </c>
      <c r="G126" s="275">
        <f t="shared" si="5"/>
        <v>0</v>
      </c>
      <c r="H126" s="273">
        <f t="shared" si="5"/>
        <v>7</v>
      </c>
      <c r="I126" s="273">
        <f t="shared" si="5"/>
        <v>1</v>
      </c>
      <c r="J126" s="275">
        <f t="shared" si="5"/>
        <v>0</v>
      </c>
      <c r="K126" s="275">
        <f t="shared" si="5"/>
        <v>0</v>
      </c>
      <c r="L126" s="273">
        <f t="shared" si="5"/>
        <v>1</v>
      </c>
      <c r="M126" s="273">
        <f t="shared" si="5"/>
        <v>0</v>
      </c>
      <c r="N126" s="262"/>
      <c r="O126" s="294">
        <f>SUM(B126:M126)</f>
        <v>11</v>
      </c>
    </row>
    <row r="127" spans="1:15" ht="6" customHeight="1" thickBot="1"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95"/>
    </row>
    <row r="128" spans="1:15">
      <c r="A128" s="438" t="s">
        <v>989</v>
      </c>
      <c r="B128" s="440">
        <v>3</v>
      </c>
      <c r="C128" s="441"/>
      <c r="D128" s="58"/>
      <c r="E128" s="257"/>
      <c r="F128" s="256"/>
      <c r="G128" s="58"/>
      <c r="H128" s="58"/>
      <c r="I128" s="257"/>
      <c r="J128" s="256"/>
      <c r="K128" s="58"/>
      <c r="L128" s="58"/>
      <c r="M128" s="257"/>
      <c r="O128" s="289"/>
    </row>
    <row r="129" spans="1:15" ht="13.5" thickBot="1">
      <c r="A129" s="439"/>
      <c r="B129" s="442"/>
      <c r="C129" s="443"/>
      <c r="D129" s="58"/>
      <c r="E129" s="257"/>
      <c r="F129" s="256"/>
      <c r="G129" s="58"/>
      <c r="H129" s="58"/>
      <c r="I129" s="257"/>
      <c r="J129" s="256"/>
      <c r="K129" s="58"/>
      <c r="L129" s="58"/>
      <c r="M129" s="257"/>
      <c r="O129" s="289"/>
    </row>
    <row r="130" spans="1:15" ht="6" customHeight="1" thickBot="1">
      <c r="B130" s="256"/>
      <c r="C130" s="58"/>
      <c r="D130" s="58"/>
      <c r="E130" s="257"/>
      <c r="F130" s="256"/>
      <c r="G130" s="58"/>
      <c r="H130" s="58"/>
      <c r="I130" s="257"/>
      <c r="J130" s="256"/>
      <c r="K130" s="58"/>
      <c r="L130" s="58"/>
      <c r="M130" s="257"/>
      <c r="O130" s="289"/>
    </row>
    <row r="131" spans="1:15" s="244" customFormat="1" ht="13.5" thickBot="1">
      <c r="A131" s="249" t="s">
        <v>1004</v>
      </c>
      <c r="B131" s="325" t="s">
        <v>991</v>
      </c>
      <c r="C131" s="326" t="s">
        <v>992</v>
      </c>
      <c r="D131" s="326" t="s">
        <v>993</v>
      </c>
      <c r="E131" s="327" t="s">
        <v>994</v>
      </c>
      <c r="F131" s="268" t="s">
        <v>991</v>
      </c>
      <c r="G131" s="269" t="s">
        <v>992</v>
      </c>
      <c r="H131" s="270" t="s">
        <v>993</v>
      </c>
      <c r="I131" s="271" t="s">
        <v>994</v>
      </c>
      <c r="J131" s="268" t="s">
        <v>991</v>
      </c>
      <c r="K131" s="269" t="s">
        <v>992</v>
      </c>
      <c r="L131" s="270" t="s">
        <v>993</v>
      </c>
      <c r="M131" s="271" t="s">
        <v>994</v>
      </c>
      <c r="N131" s="245"/>
      <c r="O131" s="292" t="s">
        <v>1003</v>
      </c>
    </row>
    <row r="132" spans="1:15" ht="6" customHeight="1"/>
    <row r="133" spans="1:15" ht="25.5">
      <c r="A133" s="259" t="s">
        <v>1053</v>
      </c>
      <c r="B133" s="328"/>
      <c r="C133" s="328"/>
      <c r="D133" s="328"/>
      <c r="E133" s="328"/>
      <c r="F133" s="274"/>
      <c r="G133" s="274"/>
      <c r="H133" s="272"/>
      <c r="I133" s="272"/>
      <c r="J133" s="274">
        <v>1</v>
      </c>
      <c r="K133" s="274"/>
      <c r="L133" s="272"/>
      <c r="M133" s="272"/>
      <c r="O133" s="293" t="s">
        <v>1106</v>
      </c>
    </row>
    <row r="134" spans="1:15">
      <c r="A134" s="259" t="s">
        <v>1054</v>
      </c>
      <c r="B134" s="328"/>
      <c r="C134" s="328"/>
      <c r="D134" s="328"/>
      <c r="E134" s="328"/>
      <c r="F134" s="274"/>
      <c r="G134" s="274"/>
      <c r="H134" s="272">
        <v>1</v>
      </c>
      <c r="I134" s="272"/>
      <c r="J134" s="274"/>
      <c r="K134" s="274"/>
      <c r="L134" s="272"/>
      <c r="M134" s="272"/>
      <c r="O134" s="293"/>
    </row>
    <row r="135" spans="1:15">
      <c r="A135" s="259" t="s">
        <v>1055</v>
      </c>
      <c r="B135" s="328"/>
      <c r="C135" s="328"/>
      <c r="D135" s="328"/>
      <c r="E135" s="328"/>
      <c r="F135" s="274"/>
      <c r="G135" s="274"/>
      <c r="H135" s="272">
        <v>1</v>
      </c>
      <c r="I135" s="272"/>
      <c r="J135" s="274"/>
      <c r="K135" s="274"/>
      <c r="L135" s="272"/>
      <c r="M135" s="272"/>
      <c r="O135" s="293" t="s">
        <v>1098</v>
      </c>
    </row>
    <row r="136" spans="1:15" ht="25.5">
      <c r="A136" s="259" t="s">
        <v>1056</v>
      </c>
      <c r="B136" s="328"/>
      <c r="C136" s="328"/>
      <c r="D136" s="328"/>
      <c r="E136" s="328"/>
      <c r="F136" s="274">
        <v>1</v>
      </c>
      <c r="G136" s="274"/>
      <c r="H136" s="272"/>
      <c r="I136" s="272"/>
      <c r="J136" s="274"/>
      <c r="K136" s="274"/>
      <c r="L136" s="272"/>
      <c r="M136" s="272"/>
      <c r="O136" s="293" t="s">
        <v>1101</v>
      </c>
    </row>
    <row r="137" spans="1:15">
      <c r="A137" s="259" t="s">
        <v>1057</v>
      </c>
      <c r="B137" s="328"/>
      <c r="C137" s="328"/>
      <c r="D137" s="328"/>
      <c r="E137" s="328"/>
      <c r="F137" s="274">
        <v>1</v>
      </c>
      <c r="G137" s="274"/>
      <c r="H137" s="272"/>
      <c r="I137" s="272"/>
      <c r="J137" s="274"/>
      <c r="K137" s="274"/>
      <c r="L137" s="272"/>
      <c r="M137" s="272"/>
      <c r="O137" s="293" t="s">
        <v>1098</v>
      </c>
    </row>
    <row r="138" spans="1:15">
      <c r="A138" s="259" t="s">
        <v>1058</v>
      </c>
      <c r="B138" s="328"/>
      <c r="C138" s="328"/>
      <c r="D138" s="328"/>
      <c r="E138" s="328"/>
      <c r="F138" s="274"/>
      <c r="G138" s="274"/>
      <c r="H138" s="272"/>
      <c r="I138" s="272"/>
      <c r="J138" s="274"/>
      <c r="K138" s="274"/>
      <c r="L138" s="272">
        <v>1</v>
      </c>
      <c r="M138" s="272"/>
      <c r="O138" s="293" t="s">
        <v>1100</v>
      </c>
    </row>
    <row r="139" spans="1:15">
      <c r="A139" s="259" t="s">
        <v>1059</v>
      </c>
      <c r="B139" s="328"/>
      <c r="C139" s="328"/>
      <c r="D139" s="328"/>
      <c r="E139" s="328"/>
      <c r="F139" s="274">
        <v>1</v>
      </c>
      <c r="G139" s="274"/>
      <c r="H139" s="272"/>
      <c r="I139" s="272"/>
      <c r="J139" s="274"/>
      <c r="K139" s="274"/>
      <c r="L139" s="272"/>
      <c r="M139" s="272"/>
      <c r="O139" s="293"/>
    </row>
    <row r="140" spans="1:15">
      <c r="A140" s="259" t="s">
        <v>1060</v>
      </c>
      <c r="B140" s="328"/>
      <c r="C140" s="328"/>
      <c r="D140" s="328"/>
      <c r="E140" s="328"/>
      <c r="F140" s="274"/>
      <c r="G140" s="274"/>
      <c r="H140" s="272">
        <v>1</v>
      </c>
      <c r="I140" s="272"/>
      <c r="J140" s="274"/>
      <c r="K140" s="274"/>
      <c r="L140" s="272"/>
      <c r="M140" s="272"/>
      <c r="O140" s="293"/>
    </row>
    <row r="141" spans="1:15">
      <c r="A141" s="259" t="s">
        <v>1061</v>
      </c>
      <c r="B141" s="328"/>
      <c r="C141" s="328"/>
      <c r="D141" s="328"/>
      <c r="E141" s="328"/>
      <c r="F141" s="274"/>
      <c r="G141" s="274"/>
      <c r="H141" s="272">
        <v>1</v>
      </c>
      <c r="I141" s="272"/>
      <c r="J141" s="274"/>
      <c r="K141" s="274"/>
      <c r="L141" s="272"/>
      <c r="M141" s="272"/>
      <c r="O141" s="293" t="s">
        <v>1098</v>
      </c>
    </row>
    <row r="142" spans="1:15">
      <c r="A142" s="259" t="s">
        <v>1062</v>
      </c>
      <c r="B142" s="328"/>
      <c r="C142" s="328"/>
      <c r="D142" s="328"/>
      <c r="E142" s="328"/>
      <c r="F142" s="274"/>
      <c r="G142" s="274"/>
      <c r="H142" s="272">
        <v>1</v>
      </c>
      <c r="I142" s="272"/>
      <c r="J142" s="274"/>
      <c r="K142" s="274"/>
      <c r="L142" s="272"/>
      <c r="M142" s="272"/>
      <c r="O142" s="293" t="s">
        <v>1098</v>
      </c>
    </row>
    <row r="143" spans="1:15" ht="25.5">
      <c r="A143" s="259" t="s">
        <v>1063</v>
      </c>
      <c r="B143" s="328"/>
      <c r="C143" s="328"/>
      <c r="D143" s="328"/>
      <c r="E143" s="328"/>
      <c r="F143" s="274">
        <v>1</v>
      </c>
      <c r="G143" s="274"/>
      <c r="H143" s="272"/>
      <c r="I143" s="272"/>
      <c r="J143" s="274"/>
      <c r="K143" s="274"/>
      <c r="L143" s="272"/>
      <c r="M143" s="272"/>
      <c r="O143" s="293" t="s">
        <v>1101</v>
      </c>
    </row>
    <row r="144" spans="1:15" hidden="1">
      <c r="A144" s="259"/>
      <c r="B144" s="274"/>
      <c r="C144" s="274"/>
      <c r="D144" s="272"/>
      <c r="E144" s="272"/>
      <c r="F144" s="274"/>
      <c r="G144" s="274"/>
      <c r="H144" s="272"/>
      <c r="I144" s="272"/>
      <c r="J144" s="274"/>
      <c r="K144" s="274"/>
      <c r="L144" s="272"/>
      <c r="M144" s="272"/>
      <c r="O144" s="293"/>
    </row>
    <row r="145" spans="1:15" hidden="1">
      <c r="A145" s="259"/>
      <c r="B145" s="274"/>
      <c r="C145" s="274"/>
      <c r="D145" s="272"/>
      <c r="E145" s="272"/>
      <c r="F145" s="274"/>
      <c r="G145" s="274"/>
      <c r="H145" s="272"/>
      <c r="I145" s="272"/>
      <c r="J145" s="274"/>
      <c r="K145" s="274"/>
      <c r="L145" s="272"/>
      <c r="M145" s="272"/>
      <c r="O145" s="293"/>
    </row>
    <row r="146" spans="1:15" hidden="1">
      <c r="A146" s="259"/>
      <c r="B146" s="274"/>
      <c r="C146" s="274"/>
      <c r="D146" s="272"/>
      <c r="E146" s="272"/>
      <c r="F146" s="274"/>
      <c r="G146" s="274"/>
      <c r="H146" s="272"/>
      <c r="I146" s="272"/>
      <c r="J146" s="274"/>
      <c r="K146" s="274"/>
      <c r="L146" s="272"/>
      <c r="M146" s="272"/>
      <c r="O146" s="293"/>
    </row>
    <row r="147" spans="1:15" ht="6" customHeight="1"/>
    <row r="148" spans="1:15" s="243" customFormat="1" ht="13.5" thickBot="1">
      <c r="A148" s="261" t="s">
        <v>1012</v>
      </c>
      <c r="B148" s="324">
        <f>SUM(B133:B146)</f>
        <v>0</v>
      </c>
      <c r="C148" s="324">
        <f t="shared" ref="C148:M148" si="6">SUM(C133:C146)</f>
        <v>0</v>
      </c>
      <c r="D148" s="324">
        <f t="shared" si="6"/>
        <v>0</v>
      </c>
      <c r="E148" s="324">
        <f t="shared" si="6"/>
        <v>0</v>
      </c>
      <c r="F148" s="275">
        <f t="shared" si="6"/>
        <v>4</v>
      </c>
      <c r="G148" s="275">
        <f t="shared" si="6"/>
        <v>0</v>
      </c>
      <c r="H148" s="273">
        <f t="shared" si="6"/>
        <v>5</v>
      </c>
      <c r="I148" s="273">
        <f t="shared" si="6"/>
        <v>0</v>
      </c>
      <c r="J148" s="275">
        <f t="shared" si="6"/>
        <v>1</v>
      </c>
      <c r="K148" s="275">
        <f t="shared" si="6"/>
        <v>0</v>
      </c>
      <c r="L148" s="273">
        <f t="shared" si="6"/>
        <v>1</v>
      </c>
      <c r="M148" s="273">
        <f t="shared" si="6"/>
        <v>0</v>
      </c>
      <c r="N148" s="262"/>
      <c r="O148" s="294">
        <f>SUM(B148:M148)</f>
        <v>11</v>
      </c>
    </row>
    <row r="149" spans="1:15" ht="6" customHeight="1" thickBot="1"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95"/>
    </row>
    <row r="150" spans="1:15">
      <c r="A150" s="438" t="s">
        <v>989</v>
      </c>
      <c r="B150" s="440">
        <v>4</v>
      </c>
      <c r="C150" s="441"/>
      <c r="D150" s="58"/>
      <c r="E150" s="257"/>
      <c r="F150" s="256"/>
      <c r="G150" s="58"/>
      <c r="H150" s="58"/>
      <c r="I150" s="257"/>
      <c r="J150" s="256"/>
      <c r="K150" s="58"/>
      <c r="L150" s="58"/>
      <c r="M150" s="257"/>
      <c r="O150" s="289"/>
    </row>
    <row r="151" spans="1:15" ht="13.5" thickBot="1">
      <c r="A151" s="439"/>
      <c r="B151" s="442"/>
      <c r="C151" s="443"/>
      <c r="D151" s="58"/>
      <c r="E151" s="257"/>
      <c r="F151" s="256"/>
      <c r="G151" s="58"/>
      <c r="H151" s="58"/>
      <c r="I151" s="257"/>
      <c r="J151" s="256"/>
      <c r="K151" s="58"/>
      <c r="L151" s="58"/>
      <c r="M151" s="257"/>
      <c r="O151" s="289"/>
    </row>
    <row r="152" spans="1:15" ht="6" customHeight="1" thickBot="1">
      <c r="B152" s="256"/>
      <c r="C152" s="58"/>
      <c r="D152" s="58"/>
      <c r="E152" s="257"/>
      <c r="F152" s="256"/>
      <c r="G152" s="58"/>
      <c r="H152" s="58"/>
      <c r="I152" s="257"/>
      <c r="J152" s="256"/>
      <c r="K152" s="58"/>
      <c r="L152" s="58"/>
      <c r="M152" s="257"/>
      <c r="O152" s="289"/>
    </row>
    <row r="153" spans="1:15" s="244" customFormat="1" ht="13.5" thickBot="1">
      <c r="A153" s="249" t="s">
        <v>1004</v>
      </c>
      <c r="B153" s="325" t="s">
        <v>991</v>
      </c>
      <c r="C153" s="326" t="s">
        <v>992</v>
      </c>
      <c r="D153" s="326" t="s">
        <v>993</v>
      </c>
      <c r="E153" s="327" t="s">
        <v>994</v>
      </c>
      <c r="F153" s="268" t="s">
        <v>991</v>
      </c>
      <c r="G153" s="269" t="s">
        <v>992</v>
      </c>
      <c r="H153" s="270" t="s">
        <v>993</v>
      </c>
      <c r="I153" s="271" t="s">
        <v>994</v>
      </c>
      <c r="J153" s="268" t="s">
        <v>991</v>
      </c>
      <c r="K153" s="269" t="s">
        <v>992</v>
      </c>
      <c r="L153" s="270" t="s">
        <v>993</v>
      </c>
      <c r="M153" s="271" t="s">
        <v>994</v>
      </c>
      <c r="N153" s="245"/>
      <c r="O153" s="292" t="s">
        <v>1003</v>
      </c>
    </row>
    <row r="154" spans="1:15" ht="6" customHeight="1"/>
    <row r="155" spans="1:15">
      <c r="A155" s="259" t="s">
        <v>1064</v>
      </c>
      <c r="B155" s="328"/>
      <c r="C155" s="328"/>
      <c r="D155" s="328"/>
      <c r="E155" s="328"/>
      <c r="F155" s="274"/>
      <c r="G155" s="274"/>
      <c r="H155" s="272">
        <v>1</v>
      </c>
      <c r="I155" s="272"/>
      <c r="J155" s="274"/>
      <c r="K155" s="274"/>
      <c r="L155" s="272"/>
      <c r="M155" s="272"/>
      <c r="O155" s="293" t="s">
        <v>1098</v>
      </c>
    </row>
    <row r="156" spans="1:15">
      <c r="A156" s="259" t="s">
        <v>1065</v>
      </c>
      <c r="B156" s="328"/>
      <c r="C156" s="328"/>
      <c r="D156" s="328"/>
      <c r="E156" s="328"/>
      <c r="F156" s="274"/>
      <c r="G156" s="274"/>
      <c r="H156" s="272">
        <v>1</v>
      </c>
      <c r="I156" s="272"/>
      <c r="J156" s="274"/>
      <c r="K156" s="274"/>
      <c r="L156" s="272"/>
      <c r="M156" s="272"/>
      <c r="O156" s="293" t="s">
        <v>1098</v>
      </c>
    </row>
    <row r="157" spans="1:15">
      <c r="A157" s="259" t="s">
        <v>1066</v>
      </c>
      <c r="B157" s="328"/>
      <c r="C157" s="328"/>
      <c r="D157" s="328"/>
      <c r="E157" s="328"/>
      <c r="F157" s="274"/>
      <c r="G157" s="274"/>
      <c r="H157" s="272">
        <v>1</v>
      </c>
      <c r="I157" s="272"/>
      <c r="J157" s="274"/>
      <c r="K157" s="274"/>
      <c r="L157" s="272"/>
      <c r="M157" s="272"/>
      <c r="O157" s="293" t="s">
        <v>1098</v>
      </c>
    </row>
    <row r="158" spans="1:15">
      <c r="A158" s="259" t="s">
        <v>1067</v>
      </c>
      <c r="B158" s="328"/>
      <c r="C158" s="328"/>
      <c r="D158" s="328"/>
      <c r="E158" s="328"/>
      <c r="F158" s="274"/>
      <c r="G158" s="274">
        <v>1</v>
      </c>
      <c r="H158" s="272"/>
      <c r="I158" s="272"/>
      <c r="J158" s="274"/>
      <c r="K158" s="274"/>
      <c r="L158" s="272"/>
      <c r="M158" s="272"/>
      <c r="O158" s="293" t="s">
        <v>1098</v>
      </c>
    </row>
    <row r="159" spans="1:15" hidden="1">
      <c r="A159" s="259"/>
      <c r="B159" s="274"/>
      <c r="C159" s="274"/>
      <c r="D159" s="272"/>
      <c r="E159" s="272"/>
      <c r="F159" s="274"/>
      <c r="G159" s="274"/>
      <c r="H159" s="272"/>
      <c r="I159" s="272"/>
      <c r="J159" s="274"/>
      <c r="K159" s="274"/>
      <c r="L159" s="272"/>
      <c r="M159" s="272"/>
      <c r="O159" s="293"/>
    </row>
    <row r="160" spans="1:15" hidden="1">
      <c r="A160" s="259"/>
      <c r="B160" s="274"/>
      <c r="C160" s="274"/>
      <c r="D160" s="272"/>
      <c r="E160" s="272"/>
      <c r="F160" s="274"/>
      <c r="G160" s="274"/>
      <c r="H160" s="272"/>
      <c r="I160" s="272"/>
      <c r="J160" s="274"/>
      <c r="K160" s="274"/>
      <c r="L160" s="272"/>
      <c r="M160" s="272"/>
      <c r="O160" s="293"/>
    </row>
    <row r="161" spans="1:15" hidden="1">
      <c r="A161" s="259"/>
      <c r="B161" s="274"/>
      <c r="C161" s="274"/>
      <c r="D161" s="272"/>
      <c r="E161" s="272"/>
      <c r="F161" s="274"/>
      <c r="G161" s="274"/>
      <c r="H161" s="272"/>
      <c r="I161" s="272"/>
      <c r="J161" s="274"/>
      <c r="K161" s="274"/>
      <c r="L161" s="272"/>
      <c r="M161" s="272"/>
      <c r="O161" s="293"/>
    </row>
    <row r="162" spans="1:15" hidden="1">
      <c r="A162" s="259"/>
      <c r="B162" s="274"/>
      <c r="C162" s="274"/>
      <c r="D162" s="272"/>
      <c r="E162" s="272"/>
      <c r="F162" s="274"/>
      <c r="G162" s="274"/>
      <c r="H162" s="272"/>
      <c r="I162" s="272"/>
      <c r="J162" s="274"/>
      <c r="K162" s="274"/>
      <c r="L162" s="272"/>
      <c r="M162" s="272"/>
      <c r="O162" s="293"/>
    </row>
    <row r="163" spans="1:15" hidden="1">
      <c r="A163" s="259"/>
      <c r="B163" s="274"/>
      <c r="C163" s="274"/>
      <c r="D163" s="272"/>
      <c r="E163" s="272"/>
      <c r="F163" s="274"/>
      <c r="G163" s="274"/>
      <c r="H163" s="272"/>
      <c r="I163" s="272"/>
      <c r="J163" s="274"/>
      <c r="K163" s="274"/>
      <c r="L163" s="272"/>
      <c r="M163" s="272"/>
      <c r="O163" s="293"/>
    </row>
    <row r="164" spans="1:15" ht="6" customHeight="1"/>
    <row r="165" spans="1:15" s="243" customFormat="1" ht="13.5" thickBot="1">
      <c r="A165" s="261" t="s">
        <v>1012</v>
      </c>
      <c r="B165" s="324">
        <f>SUM(B155:B163)</f>
        <v>0</v>
      </c>
      <c r="C165" s="324">
        <f t="shared" ref="C165:M165" si="7">SUM(C155:C163)</f>
        <v>0</v>
      </c>
      <c r="D165" s="324">
        <f t="shared" si="7"/>
        <v>0</v>
      </c>
      <c r="E165" s="324">
        <f t="shared" si="7"/>
        <v>0</v>
      </c>
      <c r="F165" s="275">
        <f t="shared" si="7"/>
        <v>0</v>
      </c>
      <c r="G165" s="275">
        <f t="shared" si="7"/>
        <v>1</v>
      </c>
      <c r="H165" s="273">
        <f t="shared" si="7"/>
        <v>3</v>
      </c>
      <c r="I165" s="273">
        <f t="shared" si="7"/>
        <v>0</v>
      </c>
      <c r="J165" s="275">
        <f t="shared" si="7"/>
        <v>0</v>
      </c>
      <c r="K165" s="275">
        <f t="shared" si="7"/>
        <v>0</v>
      </c>
      <c r="L165" s="273">
        <f t="shared" si="7"/>
        <v>0</v>
      </c>
      <c r="M165" s="273">
        <f t="shared" si="7"/>
        <v>0</v>
      </c>
      <c r="N165" s="262"/>
      <c r="O165" s="294">
        <f>SUM(B165:M165)</f>
        <v>4</v>
      </c>
    </row>
    <row r="166" spans="1:15" ht="6" customHeight="1" thickBot="1"/>
    <row r="167" spans="1:15">
      <c r="A167" s="459" t="s">
        <v>996</v>
      </c>
      <c r="B167" s="460"/>
      <c r="C167" s="460"/>
      <c r="D167" s="460"/>
      <c r="E167" s="460"/>
      <c r="F167" s="277"/>
      <c r="G167" s="278"/>
      <c r="H167" s="278"/>
      <c r="I167" s="279"/>
      <c r="J167" s="277"/>
      <c r="K167" s="278"/>
      <c r="L167" s="278"/>
      <c r="M167" s="279"/>
      <c r="O167" s="291"/>
    </row>
    <row r="168" spans="1:15" ht="13.5" thickBot="1">
      <c r="A168" s="461" t="s">
        <v>1068</v>
      </c>
      <c r="B168" s="462"/>
      <c r="C168" s="462"/>
      <c r="D168" s="462"/>
      <c r="E168" s="462"/>
      <c r="F168" s="256"/>
      <c r="G168" s="58"/>
      <c r="H168" s="58"/>
      <c r="I168" s="257"/>
      <c r="J168" s="256"/>
      <c r="K168" s="58"/>
      <c r="L168" s="58"/>
      <c r="M168" s="257"/>
      <c r="O168" s="289"/>
    </row>
    <row r="169" spans="1:15" ht="6" customHeight="1" thickBot="1">
      <c r="A169" s="256"/>
      <c r="B169" s="253"/>
      <c r="C169" s="254"/>
      <c r="D169" s="254"/>
      <c r="E169" s="254"/>
      <c r="F169" s="256"/>
      <c r="G169" s="58"/>
      <c r="H169" s="58"/>
      <c r="I169" s="257"/>
      <c r="J169" s="256"/>
      <c r="K169" s="58"/>
      <c r="L169" s="58"/>
      <c r="M169" s="257"/>
      <c r="O169" s="289"/>
    </row>
    <row r="170" spans="1:15">
      <c r="A170" s="438" t="s">
        <v>989</v>
      </c>
      <c r="B170" s="440">
        <v>1</v>
      </c>
      <c r="C170" s="441"/>
      <c r="D170" s="58"/>
      <c r="E170" s="58"/>
      <c r="F170" s="256"/>
      <c r="G170" s="58"/>
      <c r="H170" s="58"/>
      <c r="I170" s="257"/>
      <c r="J170" s="256"/>
      <c r="K170" s="58"/>
      <c r="L170" s="58"/>
      <c r="M170" s="257"/>
      <c r="O170" s="289"/>
    </row>
    <row r="171" spans="1:15" ht="13.5" thickBot="1">
      <c r="A171" s="439"/>
      <c r="B171" s="442"/>
      <c r="C171" s="443"/>
      <c r="D171" s="58"/>
      <c r="E171" s="58"/>
      <c r="F171" s="256"/>
      <c r="G171" s="58"/>
      <c r="H171" s="58"/>
      <c r="I171" s="257"/>
      <c r="J171" s="256"/>
      <c r="K171" s="58"/>
      <c r="L171" s="58"/>
      <c r="M171" s="257"/>
      <c r="O171" s="289"/>
    </row>
    <row r="172" spans="1:15" ht="6" customHeight="1" thickBot="1">
      <c r="B172" s="256"/>
      <c r="C172" s="58"/>
      <c r="D172" s="58"/>
      <c r="E172" s="58"/>
      <c r="F172" s="280"/>
      <c r="G172" s="281"/>
      <c r="H172" s="281"/>
      <c r="I172" s="282"/>
      <c r="J172" s="280"/>
      <c r="K172" s="281"/>
      <c r="L172" s="281"/>
      <c r="M172" s="282"/>
      <c r="O172" s="296"/>
    </row>
    <row r="173" spans="1:15" s="244" customFormat="1" ht="13.5" thickBot="1">
      <c r="A173" s="249" t="s">
        <v>1004</v>
      </c>
      <c r="B173" s="325" t="s">
        <v>991</v>
      </c>
      <c r="C173" s="326" t="s">
        <v>992</v>
      </c>
      <c r="D173" s="326" t="s">
        <v>993</v>
      </c>
      <c r="E173" s="327" t="s">
        <v>994</v>
      </c>
      <c r="F173" s="268" t="s">
        <v>991</v>
      </c>
      <c r="G173" s="269" t="s">
        <v>992</v>
      </c>
      <c r="H173" s="270" t="s">
        <v>993</v>
      </c>
      <c r="I173" s="271" t="s">
        <v>994</v>
      </c>
      <c r="J173" s="268" t="s">
        <v>991</v>
      </c>
      <c r="K173" s="269" t="s">
        <v>992</v>
      </c>
      <c r="L173" s="270" t="s">
        <v>993</v>
      </c>
      <c r="M173" s="271" t="s">
        <v>994</v>
      </c>
      <c r="N173" s="245"/>
      <c r="O173" s="292" t="s">
        <v>1003</v>
      </c>
    </row>
    <row r="174" spans="1:15" ht="6" customHeight="1"/>
    <row r="175" spans="1:15">
      <c r="A175" s="259" t="s">
        <v>1069</v>
      </c>
      <c r="B175" s="328"/>
      <c r="C175" s="328"/>
      <c r="D175" s="328"/>
      <c r="E175" s="328"/>
      <c r="F175" s="274"/>
      <c r="G175" s="274">
        <v>1</v>
      </c>
      <c r="H175" s="272"/>
      <c r="I175" s="272"/>
      <c r="J175" s="274"/>
      <c r="K175" s="274"/>
      <c r="L175" s="272"/>
      <c r="M175" s="272"/>
      <c r="O175" s="293"/>
    </row>
    <row r="176" spans="1:15" ht="25.5">
      <c r="A176" s="259" t="s">
        <v>1070</v>
      </c>
      <c r="B176" s="328"/>
      <c r="C176" s="328"/>
      <c r="D176" s="328"/>
      <c r="E176" s="328"/>
      <c r="F176" s="274"/>
      <c r="G176" s="274"/>
      <c r="H176" s="272"/>
      <c r="I176" s="272"/>
      <c r="J176" s="274"/>
      <c r="K176" s="274">
        <v>1</v>
      </c>
      <c r="L176" s="272"/>
      <c r="M176" s="272"/>
      <c r="O176" s="293" t="s">
        <v>1108</v>
      </c>
    </row>
    <row r="177" spans="1:15">
      <c r="A177" s="259" t="s">
        <v>1071</v>
      </c>
      <c r="B177" s="328"/>
      <c r="C177" s="328"/>
      <c r="D177" s="328"/>
      <c r="E177" s="328"/>
      <c r="F177" s="274"/>
      <c r="G177" s="274"/>
      <c r="H177" s="272"/>
      <c r="I177" s="272">
        <v>1</v>
      </c>
      <c r="J177" s="274"/>
      <c r="K177" s="274"/>
      <c r="L177" s="272"/>
      <c r="M177" s="272"/>
      <c r="O177" s="293"/>
    </row>
    <row r="178" spans="1:15">
      <c r="A178" s="259" t="s">
        <v>1072</v>
      </c>
      <c r="B178" s="328"/>
      <c r="C178" s="328"/>
      <c r="D178" s="328"/>
      <c r="E178" s="328"/>
      <c r="F178" s="274"/>
      <c r="G178" s="274"/>
      <c r="H178" s="272"/>
      <c r="I178" s="272"/>
      <c r="J178" s="274"/>
      <c r="K178" s="274"/>
      <c r="L178" s="272">
        <v>1</v>
      </c>
      <c r="M178" s="272"/>
      <c r="O178" s="293"/>
    </row>
    <row r="179" spans="1:15">
      <c r="A179" s="259" t="s">
        <v>1073</v>
      </c>
      <c r="B179" s="328"/>
      <c r="C179" s="328"/>
      <c r="D179" s="328"/>
      <c r="E179" s="328"/>
      <c r="F179" s="274"/>
      <c r="G179" s="274"/>
      <c r="H179" s="272"/>
      <c r="I179" s="272">
        <v>1</v>
      </c>
      <c r="J179" s="274"/>
      <c r="K179" s="274"/>
      <c r="L179" s="272"/>
      <c r="M179" s="272"/>
      <c r="O179" s="293" t="s">
        <v>1098</v>
      </c>
    </row>
    <row r="180" spans="1:15">
      <c r="A180" s="259" t="s">
        <v>1074</v>
      </c>
      <c r="B180" s="328"/>
      <c r="C180" s="328"/>
      <c r="D180" s="328"/>
      <c r="E180" s="328"/>
      <c r="F180" s="274"/>
      <c r="G180" s="274"/>
      <c r="H180" s="272"/>
      <c r="I180" s="272">
        <v>1</v>
      </c>
      <c r="J180" s="274"/>
      <c r="K180" s="274"/>
      <c r="L180" s="272"/>
      <c r="M180" s="272"/>
      <c r="O180" s="293" t="s">
        <v>1098</v>
      </c>
    </row>
    <row r="181" spans="1:15">
      <c r="A181" s="259" t="s">
        <v>1075</v>
      </c>
      <c r="B181" s="328"/>
      <c r="C181" s="328"/>
      <c r="D181" s="328"/>
      <c r="E181" s="328"/>
      <c r="F181" s="274"/>
      <c r="G181" s="274">
        <v>1</v>
      </c>
      <c r="H181" s="272"/>
      <c r="I181" s="272"/>
      <c r="J181" s="274"/>
      <c r="K181" s="274"/>
      <c r="L181" s="272"/>
      <c r="M181" s="272"/>
      <c r="O181" s="293"/>
    </row>
    <row r="182" spans="1:15">
      <c r="A182" s="259" t="s">
        <v>1076</v>
      </c>
      <c r="B182" s="328"/>
      <c r="C182" s="328"/>
      <c r="D182" s="328"/>
      <c r="E182" s="328"/>
      <c r="F182" s="274"/>
      <c r="G182" s="274"/>
      <c r="H182" s="272"/>
      <c r="I182" s="272">
        <v>1</v>
      </c>
      <c r="J182" s="274"/>
      <c r="K182" s="274"/>
      <c r="L182" s="272"/>
      <c r="M182" s="272"/>
      <c r="O182" s="293"/>
    </row>
    <row r="183" spans="1:15">
      <c r="A183" s="259" t="s">
        <v>1077</v>
      </c>
      <c r="B183" s="328"/>
      <c r="C183" s="328"/>
      <c r="D183" s="328"/>
      <c r="E183" s="328"/>
      <c r="F183" s="274"/>
      <c r="G183" s="274"/>
      <c r="H183" s="272">
        <v>1</v>
      </c>
      <c r="I183" s="272"/>
      <c r="J183" s="274"/>
      <c r="K183" s="274"/>
      <c r="L183" s="272"/>
      <c r="M183" s="272"/>
      <c r="O183" s="293"/>
    </row>
    <row r="184" spans="1:15">
      <c r="A184" s="259" t="s">
        <v>1041</v>
      </c>
      <c r="B184" s="328"/>
      <c r="C184" s="328"/>
      <c r="D184" s="328"/>
      <c r="E184" s="328"/>
      <c r="F184" s="274"/>
      <c r="G184" s="274"/>
      <c r="H184" s="272"/>
      <c r="I184" s="272">
        <v>1</v>
      </c>
      <c r="J184" s="274"/>
      <c r="K184" s="274"/>
      <c r="L184" s="272"/>
      <c r="M184" s="272"/>
      <c r="O184" s="293"/>
    </row>
    <row r="185" spans="1:15" hidden="1">
      <c r="A185" s="259"/>
      <c r="B185" s="274"/>
      <c r="C185" s="274"/>
      <c r="D185" s="272"/>
      <c r="E185" s="272"/>
      <c r="F185" s="274"/>
      <c r="G185" s="274"/>
      <c r="H185" s="272"/>
      <c r="I185" s="272"/>
      <c r="J185" s="274"/>
      <c r="K185" s="274"/>
      <c r="L185" s="272"/>
      <c r="M185" s="272"/>
      <c r="O185" s="293"/>
    </row>
    <row r="186" spans="1:15" hidden="1">
      <c r="A186" s="259"/>
      <c r="B186" s="274"/>
      <c r="C186" s="274"/>
      <c r="D186" s="272"/>
      <c r="E186" s="272"/>
      <c r="F186" s="274"/>
      <c r="G186" s="274"/>
      <c r="H186" s="272"/>
      <c r="I186" s="272"/>
      <c r="J186" s="274"/>
      <c r="K186" s="274"/>
      <c r="L186" s="272"/>
      <c r="M186" s="272"/>
      <c r="O186" s="293"/>
    </row>
    <row r="187" spans="1:15" ht="6" customHeight="1"/>
    <row r="188" spans="1:15" s="243" customFormat="1" ht="13.5" thickBot="1">
      <c r="A188" s="261" t="s">
        <v>1012</v>
      </c>
      <c r="B188" s="324">
        <f>SUM(B175:B186)</f>
        <v>0</v>
      </c>
      <c r="C188" s="324">
        <f t="shared" ref="C188:M188" si="8">SUM(C175:C186)</f>
        <v>0</v>
      </c>
      <c r="D188" s="324">
        <f t="shared" si="8"/>
        <v>0</v>
      </c>
      <c r="E188" s="324">
        <f t="shared" si="8"/>
        <v>0</v>
      </c>
      <c r="F188" s="275">
        <f t="shared" si="8"/>
        <v>0</v>
      </c>
      <c r="G188" s="275">
        <f t="shared" si="8"/>
        <v>2</v>
      </c>
      <c r="H188" s="273">
        <f t="shared" si="8"/>
        <v>1</v>
      </c>
      <c r="I188" s="273">
        <f t="shared" si="8"/>
        <v>5</v>
      </c>
      <c r="J188" s="275">
        <f t="shared" si="8"/>
        <v>0</v>
      </c>
      <c r="K188" s="275">
        <f t="shared" si="8"/>
        <v>1</v>
      </c>
      <c r="L188" s="273">
        <f t="shared" si="8"/>
        <v>1</v>
      </c>
      <c r="M188" s="273">
        <f t="shared" si="8"/>
        <v>0</v>
      </c>
      <c r="N188" s="262"/>
      <c r="O188" s="294">
        <f>SUM(B188:M188)</f>
        <v>10</v>
      </c>
    </row>
    <row r="189" spans="1:15" ht="6" customHeight="1" thickBot="1"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95"/>
    </row>
    <row r="190" spans="1:15">
      <c r="A190" s="438" t="s">
        <v>989</v>
      </c>
      <c r="B190" s="440">
        <v>2</v>
      </c>
      <c r="C190" s="441"/>
      <c r="D190" s="58"/>
      <c r="E190" s="257"/>
      <c r="F190" s="256"/>
      <c r="G190" s="58"/>
      <c r="H190" s="58"/>
      <c r="I190" s="257"/>
      <c r="J190" s="256"/>
      <c r="K190" s="58"/>
      <c r="L190" s="58"/>
      <c r="M190" s="257"/>
      <c r="O190" s="289"/>
    </row>
    <row r="191" spans="1:15" ht="13.5" thickBot="1">
      <c r="A191" s="439"/>
      <c r="B191" s="442"/>
      <c r="C191" s="443"/>
      <c r="D191" s="58"/>
      <c r="E191" s="257"/>
      <c r="F191" s="256"/>
      <c r="G191" s="58"/>
      <c r="H191" s="58"/>
      <c r="I191" s="257"/>
      <c r="J191" s="256"/>
      <c r="K191" s="58"/>
      <c r="L191" s="58"/>
      <c r="M191" s="257"/>
      <c r="O191" s="289"/>
    </row>
    <row r="192" spans="1:15" ht="6" customHeight="1" thickBot="1">
      <c r="B192" s="256"/>
      <c r="C192" s="58"/>
      <c r="D192" s="58"/>
      <c r="E192" s="257"/>
      <c r="F192" s="256"/>
      <c r="G192" s="58"/>
      <c r="H192" s="58"/>
      <c r="I192" s="257"/>
      <c r="J192" s="256"/>
      <c r="K192" s="58"/>
      <c r="L192" s="58"/>
      <c r="M192" s="257"/>
      <c r="O192" s="289"/>
    </row>
    <row r="193" spans="1:15" s="244" customFormat="1" ht="13.5" thickBot="1">
      <c r="A193" s="249" t="s">
        <v>1004</v>
      </c>
      <c r="B193" s="325" t="s">
        <v>991</v>
      </c>
      <c r="C193" s="326" t="s">
        <v>992</v>
      </c>
      <c r="D193" s="326" t="s">
        <v>993</v>
      </c>
      <c r="E193" s="327" t="s">
        <v>994</v>
      </c>
      <c r="F193" s="268" t="s">
        <v>991</v>
      </c>
      <c r="G193" s="269" t="s">
        <v>992</v>
      </c>
      <c r="H193" s="270" t="s">
        <v>993</v>
      </c>
      <c r="I193" s="271" t="s">
        <v>994</v>
      </c>
      <c r="J193" s="268" t="s">
        <v>991</v>
      </c>
      <c r="K193" s="269" t="s">
        <v>992</v>
      </c>
      <c r="L193" s="270" t="s">
        <v>993</v>
      </c>
      <c r="M193" s="271" t="s">
        <v>994</v>
      </c>
      <c r="N193" s="245"/>
      <c r="O193" s="292" t="s">
        <v>1003</v>
      </c>
    </row>
    <row r="194" spans="1:15" ht="6" customHeight="1"/>
    <row r="195" spans="1:15">
      <c r="A195" s="259" t="s">
        <v>1078</v>
      </c>
      <c r="B195" s="328"/>
      <c r="C195" s="328"/>
      <c r="D195" s="328"/>
      <c r="E195" s="328"/>
      <c r="F195" s="274"/>
      <c r="G195" s="274"/>
      <c r="H195" s="272">
        <v>1</v>
      </c>
      <c r="I195" s="272"/>
      <c r="J195" s="274"/>
      <c r="K195" s="274"/>
      <c r="L195" s="272"/>
      <c r="M195" s="272"/>
      <c r="O195" s="293"/>
    </row>
    <row r="196" spans="1:15">
      <c r="A196" s="259" t="s">
        <v>1079</v>
      </c>
      <c r="B196" s="328"/>
      <c r="C196" s="328"/>
      <c r="D196" s="328"/>
      <c r="E196" s="328"/>
      <c r="F196" s="274"/>
      <c r="G196" s="274"/>
      <c r="H196" s="272"/>
      <c r="I196" s="272">
        <v>1</v>
      </c>
      <c r="J196" s="274"/>
      <c r="K196" s="274"/>
      <c r="L196" s="272"/>
      <c r="M196" s="272"/>
      <c r="O196" s="293"/>
    </row>
    <row r="197" spans="1:15">
      <c r="A197" s="259" t="s">
        <v>1080</v>
      </c>
      <c r="B197" s="328"/>
      <c r="C197" s="328"/>
      <c r="D197" s="328"/>
      <c r="E197" s="328"/>
      <c r="F197" s="274"/>
      <c r="G197" s="274"/>
      <c r="H197" s="272">
        <v>1</v>
      </c>
      <c r="I197" s="272"/>
      <c r="J197" s="274"/>
      <c r="K197" s="274"/>
      <c r="L197" s="272"/>
      <c r="M197" s="272"/>
      <c r="O197" s="293" t="s">
        <v>1098</v>
      </c>
    </row>
    <row r="198" spans="1:15">
      <c r="A198" s="259" t="s">
        <v>1081</v>
      </c>
      <c r="B198" s="328"/>
      <c r="C198" s="328"/>
      <c r="D198" s="328"/>
      <c r="E198" s="328"/>
      <c r="F198" s="274"/>
      <c r="G198" s="274"/>
      <c r="H198" s="272"/>
      <c r="I198" s="272">
        <v>1</v>
      </c>
      <c r="J198" s="274"/>
      <c r="K198" s="274"/>
      <c r="L198" s="272"/>
      <c r="M198" s="272"/>
      <c r="O198" s="293" t="s">
        <v>1098</v>
      </c>
    </row>
    <row r="199" spans="1:15" ht="76.5">
      <c r="A199" s="259" t="s">
        <v>1022</v>
      </c>
      <c r="B199" s="328"/>
      <c r="C199" s="328"/>
      <c r="D199" s="328"/>
      <c r="E199" s="328"/>
      <c r="F199" s="274"/>
      <c r="G199" s="274"/>
      <c r="H199" s="272"/>
      <c r="I199" s="272"/>
      <c r="J199" s="274">
        <v>1</v>
      </c>
      <c r="K199" s="274"/>
      <c r="L199" s="272"/>
      <c r="M199" s="272"/>
      <c r="O199" s="293" t="s">
        <v>1111</v>
      </c>
    </row>
    <row r="200" spans="1:15">
      <c r="A200" s="259" t="s">
        <v>1010</v>
      </c>
      <c r="B200" s="328"/>
      <c r="C200" s="328"/>
      <c r="D200" s="328"/>
      <c r="E200" s="328"/>
      <c r="F200" s="274"/>
      <c r="G200" s="274">
        <v>1</v>
      </c>
      <c r="H200" s="272"/>
      <c r="I200" s="272"/>
      <c r="J200" s="274"/>
      <c r="K200" s="274"/>
      <c r="L200" s="272"/>
      <c r="M200" s="272"/>
      <c r="O200" s="293"/>
    </row>
    <row r="201" spans="1:15" ht="25.5">
      <c r="A201" s="259" t="s">
        <v>1082</v>
      </c>
      <c r="B201" s="328"/>
      <c r="C201" s="328"/>
      <c r="D201" s="328"/>
      <c r="E201" s="328"/>
      <c r="F201" s="274"/>
      <c r="G201" s="274"/>
      <c r="H201" s="272"/>
      <c r="I201" s="272"/>
      <c r="J201" s="274"/>
      <c r="K201" s="274"/>
      <c r="L201" s="272"/>
      <c r="M201" s="272">
        <v>1</v>
      </c>
      <c r="O201" s="293" t="s">
        <v>1109</v>
      </c>
    </row>
    <row r="202" spans="1:15">
      <c r="A202" s="259" t="s">
        <v>1083</v>
      </c>
      <c r="B202" s="328"/>
      <c r="C202" s="328"/>
      <c r="D202" s="328"/>
      <c r="E202" s="328"/>
      <c r="F202" s="274"/>
      <c r="G202" s="274">
        <v>1</v>
      </c>
      <c r="H202" s="272"/>
      <c r="I202" s="272"/>
      <c r="J202" s="274"/>
      <c r="K202" s="274"/>
      <c r="L202" s="272"/>
      <c r="M202" s="272"/>
      <c r="O202" s="293"/>
    </row>
    <row r="203" spans="1:15">
      <c r="A203" s="259" t="s">
        <v>1084</v>
      </c>
      <c r="B203" s="328"/>
      <c r="C203" s="328"/>
      <c r="D203" s="328"/>
      <c r="E203" s="328"/>
      <c r="F203" s="274">
        <v>1</v>
      </c>
      <c r="G203" s="274"/>
      <c r="H203" s="272"/>
      <c r="I203" s="272"/>
      <c r="J203" s="274"/>
      <c r="K203" s="274"/>
      <c r="L203" s="272"/>
      <c r="M203" s="272"/>
      <c r="O203" s="293" t="s">
        <v>1098</v>
      </c>
    </row>
    <row r="204" spans="1:15">
      <c r="A204" s="259" t="s">
        <v>1085</v>
      </c>
      <c r="B204" s="328"/>
      <c r="C204" s="328"/>
      <c r="D204" s="328"/>
      <c r="E204" s="328"/>
      <c r="F204" s="274"/>
      <c r="G204" s="274"/>
      <c r="H204" s="272"/>
      <c r="I204" s="272">
        <v>1</v>
      </c>
      <c r="J204" s="274"/>
      <c r="K204" s="274"/>
      <c r="L204" s="272"/>
      <c r="M204" s="272"/>
      <c r="O204" s="293"/>
    </row>
    <row r="205" spans="1:15">
      <c r="A205" s="259" t="s">
        <v>1031</v>
      </c>
      <c r="B205" s="328"/>
      <c r="C205" s="328"/>
      <c r="D205" s="328"/>
      <c r="E205" s="328"/>
      <c r="F205" s="274"/>
      <c r="G205" s="274"/>
      <c r="H205" s="272">
        <v>1</v>
      </c>
      <c r="I205" s="272"/>
      <c r="J205" s="274"/>
      <c r="K205" s="274"/>
      <c r="L205" s="272"/>
      <c r="M205" s="272"/>
      <c r="O205" s="293"/>
    </row>
    <row r="206" spans="1:15">
      <c r="A206" s="259" t="s">
        <v>1086</v>
      </c>
      <c r="B206" s="328"/>
      <c r="C206" s="328"/>
      <c r="D206" s="328"/>
      <c r="E206" s="328"/>
      <c r="F206" s="274"/>
      <c r="G206" s="274"/>
      <c r="H206" s="272"/>
      <c r="I206" s="272">
        <v>1</v>
      </c>
      <c r="J206" s="274"/>
      <c r="K206" s="274"/>
      <c r="L206" s="272"/>
      <c r="M206" s="272"/>
      <c r="O206" s="293"/>
    </row>
    <row r="207" spans="1:15" hidden="1">
      <c r="A207" s="259"/>
      <c r="B207" s="274"/>
      <c r="C207" s="274"/>
      <c r="D207" s="272"/>
      <c r="E207" s="272"/>
      <c r="F207" s="274"/>
      <c r="G207" s="274"/>
      <c r="H207" s="272"/>
      <c r="I207" s="272"/>
      <c r="J207" s="274"/>
      <c r="K207" s="274"/>
      <c r="L207" s="272"/>
      <c r="M207" s="272"/>
      <c r="O207" s="293"/>
    </row>
    <row r="208" spans="1:15" hidden="1">
      <c r="A208" s="259"/>
      <c r="B208" s="274"/>
      <c r="C208" s="274"/>
      <c r="D208" s="272"/>
      <c r="E208" s="272"/>
      <c r="F208" s="274"/>
      <c r="G208" s="274"/>
      <c r="H208" s="272"/>
      <c r="I208" s="272"/>
      <c r="J208" s="274"/>
      <c r="K208" s="274"/>
      <c r="L208" s="272"/>
      <c r="M208" s="272"/>
      <c r="O208" s="293"/>
    </row>
    <row r="209" spans="1:15" ht="6" customHeight="1"/>
    <row r="210" spans="1:15" s="243" customFormat="1" ht="13.5" thickBot="1">
      <c r="A210" s="261" t="s">
        <v>1012</v>
      </c>
      <c r="B210" s="324">
        <f>SUM(B195:B208)</f>
        <v>0</v>
      </c>
      <c r="C210" s="324">
        <f t="shared" ref="C210:M210" si="9">SUM(C195:C208)</f>
        <v>0</v>
      </c>
      <c r="D210" s="324">
        <f t="shared" si="9"/>
        <v>0</v>
      </c>
      <c r="E210" s="324">
        <f t="shared" si="9"/>
        <v>0</v>
      </c>
      <c r="F210" s="275">
        <f t="shared" si="9"/>
        <v>1</v>
      </c>
      <c r="G210" s="275">
        <f t="shared" si="9"/>
        <v>2</v>
      </c>
      <c r="H210" s="273">
        <f t="shared" si="9"/>
        <v>3</v>
      </c>
      <c r="I210" s="273">
        <f t="shared" si="9"/>
        <v>4</v>
      </c>
      <c r="J210" s="275">
        <f t="shared" si="9"/>
        <v>1</v>
      </c>
      <c r="K210" s="275">
        <f t="shared" si="9"/>
        <v>0</v>
      </c>
      <c r="L210" s="273">
        <f t="shared" si="9"/>
        <v>0</v>
      </c>
      <c r="M210" s="273">
        <f t="shared" si="9"/>
        <v>1</v>
      </c>
      <c r="N210" s="262"/>
      <c r="O210" s="294">
        <f>SUM(B210:M210)</f>
        <v>12</v>
      </c>
    </row>
    <row r="211" spans="1:15" ht="6" customHeight="1" thickBot="1"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95"/>
    </row>
    <row r="212" spans="1:15">
      <c r="A212" s="438" t="s">
        <v>989</v>
      </c>
      <c r="B212" s="440">
        <v>3</v>
      </c>
      <c r="C212" s="441"/>
      <c r="D212" s="58"/>
      <c r="E212" s="257"/>
      <c r="F212" s="256"/>
      <c r="G212" s="58"/>
      <c r="H212" s="58"/>
      <c r="I212" s="257"/>
      <c r="J212" s="256"/>
      <c r="K212" s="58"/>
      <c r="L212" s="58"/>
      <c r="M212" s="257"/>
      <c r="O212" s="289"/>
    </row>
    <row r="213" spans="1:15" ht="13.5" thickBot="1">
      <c r="A213" s="439"/>
      <c r="B213" s="442"/>
      <c r="C213" s="443"/>
      <c r="D213" s="58"/>
      <c r="E213" s="257"/>
      <c r="F213" s="256"/>
      <c r="G213" s="58"/>
      <c r="H213" s="58"/>
      <c r="I213" s="257"/>
      <c r="J213" s="256"/>
      <c r="K213" s="58"/>
      <c r="L213" s="58"/>
      <c r="M213" s="257"/>
      <c r="O213" s="289"/>
    </row>
    <row r="214" spans="1:15" ht="6" customHeight="1" thickBot="1">
      <c r="B214" s="256"/>
      <c r="C214" s="58"/>
      <c r="D214" s="58"/>
      <c r="E214" s="257"/>
      <c r="F214" s="256"/>
      <c r="G214" s="58"/>
      <c r="H214" s="58"/>
      <c r="I214" s="257"/>
      <c r="J214" s="256"/>
      <c r="K214" s="58"/>
      <c r="L214" s="58"/>
      <c r="M214" s="257"/>
      <c r="O214" s="289"/>
    </row>
    <row r="215" spans="1:15" s="244" customFormat="1" ht="13.5" thickBot="1">
      <c r="A215" s="249" t="s">
        <v>1004</v>
      </c>
      <c r="B215" s="325" t="s">
        <v>991</v>
      </c>
      <c r="C215" s="326" t="s">
        <v>992</v>
      </c>
      <c r="D215" s="326" t="s">
        <v>993</v>
      </c>
      <c r="E215" s="327" t="s">
        <v>994</v>
      </c>
      <c r="F215" s="268" t="s">
        <v>991</v>
      </c>
      <c r="G215" s="269" t="s">
        <v>992</v>
      </c>
      <c r="H215" s="270" t="s">
        <v>993</v>
      </c>
      <c r="I215" s="271" t="s">
        <v>994</v>
      </c>
      <c r="J215" s="268" t="s">
        <v>991</v>
      </c>
      <c r="K215" s="269" t="s">
        <v>992</v>
      </c>
      <c r="L215" s="270" t="s">
        <v>993</v>
      </c>
      <c r="M215" s="271" t="s">
        <v>994</v>
      </c>
      <c r="N215" s="245"/>
      <c r="O215" s="292" t="s">
        <v>1003</v>
      </c>
    </row>
    <row r="216" spans="1:15" ht="6" customHeight="1"/>
    <row r="217" spans="1:15">
      <c r="A217" s="259" t="s">
        <v>1087</v>
      </c>
      <c r="B217" s="328"/>
      <c r="C217" s="328"/>
      <c r="D217" s="328"/>
      <c r="E217" s="328"/>
      <c r="F217" s="274"/>
      <c r="G217" s="274"/>
      <c r="H217" s="272">
        <v>1</v>
      </c>
      <c r="I217" s="272"/>
      <c r="J217" s="274"/>
      <c r="K217" s="274"/>
      <c r="L217" s="272"/>
      <c r="M217" s="272"/>
      <c r="O217" s="293"/>
    </row>
    <row r="218" spans="1:15">
      <c r="A218" s="259" t="s">
        <v>1088</v>
      </c>
      <c r="B218" s="328"/>
      <c r="C218" s="328"/>
      <c r="D218" s="328"/>
      <c r="E218" s="328"/>
      <c r="F218" s="274"/>
      <c r="G218" s="274">
        <v>1</v>
      </c>
      <c r="H218" s="272"/>
      <c r="I218" s="272"/>
      <c r="J218" s="274"/>
      <c r="K218" s="274"/>
      <c r="L218" s="272"/>
      <c r="M218" s="272"/>
      <c r="O218" s="293"/>
    </row>
    <row r="219" spans="1:15">
      <c r="A219" s="259" t="s">
        <v>1089</v>
      </c>
      <c r="B219" s="328"/>
      <c r="C219" s="328"/>
      <c r="D219" s="328"/>
      <c r="E219" s="328"/>
      <c r="F219" s="274"/>
      <c r="G219" s="274"/>
      <c r="H219" s="272">
        <v>1</v>
      </c>
      <c r="I219" s="272"/>
      <c r="J219" s="274"/>
      <c r="K219" s="274"/>
      <c r="L219" s="272"/>
      <c r="M219" s="272"/>
      <c r="O219" s="293"/>
    </row>
    <row r="220" spans="1:15">
      <c r="A220" s="259" t="s">
        <v>1090</v>
      </c>
      <c r="B220" s="328"/>
      <c r="C220" s="328"/>
      <c r="D220" s="328"/>
      <c r="E220" s="328"/>
      <c r="F220" s="274"/>
      <c r="G220" s="274"/>
      <c r="H220" s="272">
        <v>1</v>
      </c>
      <c r="I220" s="272"/>
      <c r="J220" s="274"/>
      <c r="K220" s="274"/>
      <c r="L220" s="272"/>
      <c r="M220" s="272"/>
      <c r="O220" s="293"/>
    </row>
    <row r="221" spans="1:15" ht="25.5">
      <c r="A221" s="259" t="s">
        <v>1091</v>
      </c>
      <c r="B221" s="328"/>
      <c r="C221" s="328"/>
      <c r="D221" s="328"/>
      <c r="E221" s="328"/>
      <c r="F221" s="274"/>
      <c r="G221" s="274"/>
      <c r="H221" s="272"/>
      <c r="I221" s="272"/>
      <c r="J221" s="274"/>
      <c r="K221" s="274"/>
      <c r="L221" s="272">
        <v>1</v>
      </c>
      <c r="M221" s="272"/>
      <c r="O221" s="293" t="s">
        <v>1104</v>
      </c>
    </row>
    <row r="222" spans="1:15">
      <c r="A222" s="259" t="s">
        <v>1092</v>
      </c>
      <c r="B222" s="328"/>
      <c r="C222" s="328"/>
      <c r="D222" s="328"/>
      <c r="E222" s="328"/>
      <c r="F222" s="274"/>
      <c r="G222" s="274"/>
      <c r="H222" s="272"/>
      <c r="I222" s="272">
        <v>1</v>
      </c>
      <c r="J222" s="274"/>
      <c r="K222" s="274"/>
      <c r="L222" s="272"/>
      <c r="M222" s="272"/>
      <c r="O222" s="293"/>
    </row>
    <row r="223" spans="1:15">
      <c r="A223" s="259" t="s">
        <v>1093</v>
      </c>
      <c r="B223" s="328"/>
      <c r="C223" s="328"/>
      <c r="D223" s="328"/>
      <c r="E223" s="328"/>
      <c r="F223" s="274"/>
      <c r="G223" s="274"/>
      <c r="H223" s="272"/>
      <c r="I223" s="272">
        <v>1</v>
      </c>
      <c r="J223" s="274"/>
      <c r="K223" s="274"/>
      <c r="L223" s="272"/>
      <c r="M223" s="272"/>
      <c r="O223" s="293" t="s">
        <v>1098</v>
      </c>
    </row>
    <row r="224" spans="1:15" ht="25.5">
      <c r="A224" s="259" t="s">
        <v>1094</v>
      </c>
      <c r="B224" s="328"/>
      <c r="C224" s="328"/>
      <c r="D224" s="328"/>
      <c r="E224" s="328"/>
      <c r="F224" s="274"/>
      <c r="G224" s="274"/>
      <c r="H224" s="272"/>
      <c r="I224" s="272"/>
      <c r="J224" s="274"/>
      <c r="K224" s="274">
        <v>1</v>
      </c>
      <c r="L224" s="272"/>
      <c r="M224" s="272"/>
      <c r="O224" s="301" t="s">
        <v>1112</v>
      </c>
    </row>
    <row r="225" spans="1:15">
      <c r="A225" s="259" t="s">
        <v>1062</v>
      </c>
      <c r="B225" s="328"/>
      <c r="C225" s="328"/>
      <c r="D225" s="328"/>
      <c r="E225" s="328"/>
      <c r="F225" s="274"/>
      <c r="G225" s="274"/>
      <c r="H225" s="272">
        <v>1</v>
      </c>
      <c r="I225" s="272"/>
      <c r="J225" s="274"/>
      <c r="K225" s="274"/>
      <c r="L225" s="272"/>
      <c r="M225" s="272"/>
      <c r="O225" s="293"/>
    </row>
    <row r="226" spans="1:15">
      <c r="A226" s="259" t="s">
        <v>1095</v>
      </c>
      <c r="B226" s="328"/>
      <c r="C226" s="328"/>
      <c r="D226" s="328"/>
      <c r="E226" s="328"/>
      <c r="F226" s="274"/>
      <c r="G226" s="274">
        <v>1</v>
      </c>
      <c r="H226" s="272"/>
      <c r="I226" s="272"/>
      <c r="J226" s="274"/>
      <c r="K226" s="274"/>
      <c r="L226" s="272"/>
      <c r="M226" s="272"/>
      <c r="O226" s="293" t="s">
        <v>1098</v>
      </c>
    </row>
    <row r="227" spans="1:15">
      <c r="A227" s="259" t="s">
        <v>1053</v>
      </c>
      <c r="B227" s="328"/>
      <c r="C227" s="328"/>
      <c r="D227" s="328"/>
      <c r="E227" s="328"/>
      <c r="F227" s="274"/>
      <c r="G227" s="274"/>
      <c r="H227" s="272"/>
      <c r="I227" s="272">
        <v>1</v>
      </c>
      <c r="J227" s="274"/>
      <c r="K227" s="274"/>
      <c r="L227" s="272"/>
      <c r="M227" s="272"/>
      <c r="O227" s="293"/>
    </row>
    <row r="228" spans="1:15" hidden="1">
      <c r="A228" s="259"/>
      <c r="B228" s="274"/>
      <c r="C228" s="274"/>
      <c r="D228" s="272"/>
      <c r="E228" s="272"/>
      <c r="F228" s="274"/>
      <c r="G228" s="274"/>
      <c r="H228" s="272"/>
      <c r="I228" s="272"/>
      <c r="J228" s="274"/>
      <c r="K228" s="274"/>
      <c r="L228" s="272"/>
      <c r="M228" s="272"/>
      <c r="O228" s="293"/>
    </row>
    <row r="229" spans="1:15" hidden="1">
      <c r="A229" s="259"/>
      <c r="B229" s="274"/>
      <c r="C229" s="274"/>
      <c r="D229" s="272"/>
      <c r="E229" s="272"/>
      <c r="F229" s="274"/>
      <c r="G229" s="274"/>
      <c r="H229" s="272"/>
      <c r="I229" s="272"/>
      <c r="J229" s="274"/>
      <c r="K229" s="274"/>
      <c r="L229" s="272"/>
      <c r="M229" s="272"/>
      <c r="O229" s="293"/>
    </row>
    <row r="230" spans="1:15" hidden="1">
      <c r="A230" s="259"/>
      <c r="B230" s="274"/>
      <c r="C230" s="274"/>
      <c r="D230" s="272"/>
      <c r="E230" s="272"/>
      <c r="F230" s="274"/>
      <c r="G230" s="274"/>
      <c r="H230" s="272"/>
      <c r="I230" s="272"/>
      <c r="J230" s="274"/>
      <c r="K230" s="274"/>
      <c r="L230" s="272"/>
      <c r="M230" s="272"/>
      <c r="O230" s="293"/>
    </row>
    <row r="231" spans="1:15" ht="6" customHeight="1"/>
    <row r="232" spans="1:15" s="243" customFormat="1" ht="13.5" thickBot="1">
      <c r="A232" s="261" t="s">
        <v>1012</v>
      </c>
      <c r="B232" s="324">
        <f>SUM(B217:B230)</f>
        <v>0</v>
      </c>
      <c r="C232" s="324">
        <f t="shared" ref="C232:M232" si="10">SUM(C217:C230)</f>
        <v>0</v>
      </c>
      <c r="D232" s="324">
        <f t="shared" si="10"/>
        <v>0</v>
      </c>
      <c r="E232" s="324">
        <f t="shared" si="10"/>
        <v>0</v>
      </c>
      <c r="F232" s="275">
        <f t="shared" si="10"/>
        <v>0</v>
      </c>
      <c r="G232" s="275">
        <f t="shared" si="10"/>
        <v>2</v>
      </c>
      <c r="H232" s="273">
        <f t="shared" si="10"/>
        <v>4</v>
      </c>
      <c r="I232" s="273">
        <f t="shared" si="10"/>
        <v>3</v>
      </c>
      <c r="J232" s="275">
        <f t="shared" si="10"/>
        <v>0</v>
      </c>
      <c r="K232" s="275">
        <f t="shared" si="10"/>
        <v>1</v>
      </c>
      <c r="L232" s="273">
        <f t="shared" si="10"/>
        <v>1</v>
      </c>
      <c r="M232" s="273">
        <f t="shared" si="10"/>
        <v>0</v>
      </c>
      <c r="N232" s="262"/>
      <c r="O232" s="294">
        <f>SUM(B232:M232)</f>
        <v>11</v>
      </c>
    </row>
    <row r="233" spans="1:15" ht="6" customHeight="1" thickBot="1"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95"/>
    </row>
    <row r="234" spans="1:15">
      <c r="A234" s="438" t="s">
        <v>989</v>
      </c>
      <c r="B234" s="440">
        <v>4</v>
      </c>
      <c r="C234" s="441"/>
      <c r="D234" s="58"/>
      <c r="E234" s="257"/>
      <c r="F234" s="256"/>
      <c r="G234" s="58"/>
      <c r="H234" s="58"/>
      <c r="I234" s="257"/>
      <c r="J234" s="256"/>
      <c r="K234" s="58"/>
      <c r="L234" s="58"/>
      <c r="M234" s="257"/>
      <c r="O234" s="289"/>
    </row>
    <row r="235" spans="1:15" ht="13.5" thickBot="1">
      <c r="A235" s="439"/>
      <c r="B235" s="442"/>
      <c r="C235" s="443"/>
      <c r="D235" s="58"/>
      <c r="E235" s="257"/>
      <c r="F235" s="256"/>
      <c r="G235" s="58"/>
      <c r="H235" s="58"/>
      <c r="I235" s="257"/>
      <c r="J235" s="256"/>
      <c r="K235" s="58"/>
      <c r="L235" s="58"/>
      <c r="M235" s="257"/>
      <c r="O235" s="289"/>
    </row>
    <row r="236" spans="1:15" ht="6" customHeight="1" thickBot="1">
      <c r="B236" s="256"/>
      <c r="C236" s="58"/>
      <c r="D236" s="58"/>
      <c r="E236" s="257"/>
      <c r="F236" s="256"/>
      <c r="G236" s="58"/>
      <c r="H236" s="58"/>
      <c r="I236" s="257"/>
      <c r="J236" s="256"/>
      <c r="K236" s="58"/>
      <c r="L236" s="58"/>
      <c r="M236" s="257"/>
      <c r="O236" s="289"/>
    </row>
    <row r="237" spans="1:15" s="244" customFormat="1" ht="13.5" thickBot="1">
      <c r="A237" s="249" t="s">
        <v>1004</v>
      </c>
      <c r="B237" s="325" t="s">
        <v>991</v>
      </c>
      <c r="C237" s="326" t="s">
        <v>992</v>
      </c>
      <c r="D237" s="326" t="s">
        <v>993</v>
      </c>
      <c r="E237" s="327" t="s">
        <v>994</v>
      </c>
      <c r="F237" s="268" t="s">
        <v>991</v>
      </c>
      <c r="G237" s="269" t="s">
        <v>992</v>
      </c>
      <c r="H237" s="270" t="s">
        <v>993</v>
      </c>
      <c r="I237" s="271" t="s">
        <v>994</v>
      </c>
      <c r="J237" s="268" t="s">
        <v>991</v>
      </c>
      <c r="K237" s="269" t="s">
        <v>992</v>
      </c>
      <c r="L237" s="270" t="s">
        <v>993</v>
      </c>
      <c r="M237" s="271" t="s">
        <v>994</v>
      </c>
      <c r="N237" s="245"/>
      <c r="O237" s="292" t="s">
        <v>1003</v>
      </c>
    </row>
    <row r="238" spans="1:15" ht="6" customHeight="1"/>
    <row r="239" spans="1:15" ht="25.5">
      <c r="A239" s="259" t="s">
        <v>38</v>
      </c>
      <c r="B239" s="328"/>
      <c r="C239" s="328"/>
      <c r="D239" s="328"/>
      <c r="E239" s="328"/>
      <c r="F239" s="274"/>
      <c r="G239" s="274"/>
      <c r="H239" s="272"/>
      <c r="I239" s="272">
        <v>1</v>
      </c>
      <c r="J239" s="274"/>
      <c r="K239" s="274"/>
      <c r="L239" s="272"/>
      <c r="M239" s="272"/>
      <c r="O239" s="293" t="s">
        <v>1110</v>
      </c>
    </row>
    <row r="240" spans="1:15">
      <c r="A240" s="259" t="s">
        <v>1064</v>
      </c>
      <c r="B240" s="328"/>
      <c r="C240" s="328"/>
      <c r="D240" s="328"/>
      <c r="E240" s="328"/>
      <c r="F240" s="274"/>
      <c r="G240" s="274"/>
      <c r="H240" s="272">
        <v>1</v>
      </c>
      <c r="I240" s="272"/>
      <c r="J240" s="274"/>
      <c r="K240" s="274"/>
      <c r="L240" s="272"/>
      <c r="M240" s="272"/>
      <c r="O240" s="293" t="s">
        <v>1098</v>
      </c>
    </row>
    <row r="241" spans="1:15">
      <c r="A241" s="259" t="s">
        <v>1066</v>
      </c>
      <c r="B241" s="328"/>
      <c r="C241" s="328"/>
      <c r="D241" s="328"/>
      <c r="E241" s="328"/>
      <c r="F241" s="274"/>
      <c r="G241" s="274"/>
      <c r="H241" s="272">
        <v>1</v>
      </c>
      <c r="I241" s="272"/>
      <c r="J241" s="274"/>
      <c r="K241" s="274"/>
      <c r="L241" s="272"/>
      <c r="M241" s="272"/>
      <c r="O241" s="293"/>
    </row>
    <row r="242" spans="1:15" hidden="1">
      <c r="A242" s="259"/>
      <c r="B242" s="274"/>
      <c r="C242" s="274"/>
      <c r="D242" s="272"/>
      <c r="E242" s="272"/>
      <c r="F242" s="274"/>
      <c r="G242" s="274"/>
      <c r="H242" s="272"/>
      <c r="I242" s="272"/>
      <c r="J242" s="274"/>
      <c r="K242" s="274"/>
      <c r="L242" s="272"/>
      <c r="M242" s="272"/>
      <c r="O242" s="293"/>
    </row>
    <row r="243" spans="1:15" hidden="1">
      <c r="A243" s="259"/>
      <c r="B243" s="274"/>
      <c r="C243" s="274"/>
      <c r="D243" s="272"/>
      <c r="E243" s="272"/>
      <c r="F243" s="274"/>
      <c r="G243" s="274"/>
      <c r="H243" s="272"/>
      <c r="I243" s="272"/>
      <c r="J243" s="274"/>
      <c r="K243" s="274"/>
      <c r="L243" s="272"/>
      <c r="M243" s="272"/>
      <c r="O243" s="293"/>
    </row>
    <row r="244" spans="1:15" hidden="1">
      <c r="A244" s="259"/>
      <c r="B244" s="274"/>
      <c r="C244" s="274"/>
      <c r="D244" s="272"/>
      <c r="E244" s="272"/>
      <c r="F244" s="274"/>
      <c r="G244" s="274"/>
      <c r="H244" s="272"/>
      <c r="I244" s="272"/>
      <c r="J244" s="274"/>
      <c r="K244" s="274"/>
      <c r="L244" s="272"/>
      <c r="M244" s="272"/>
      <c r="O244" s="293"/>
    </row>
    <row r="245" spans="1:15" hidden="1">
      <c r="A245" s="259"/>
      <c r="B245" s="274"/>
      <c r="C245" s="274"/>
      <c r="D245" s="272"/>
      <c r="E245" s="272"/>
      <c r="F245" s="274"/>
      <c r="G245" s="274"/>
      <c r="H245" s="272"/>
      <c r="I245" s="272"/>
      <c r="J245" s="274"/>
      <c r="K245" s="274"/>
      <c r="L245" s="272"/>
      <c r="M245" s="272"/>
      <c r="O245" s="293"/>
    </row>
    <row r="246" spans="1:15" hidden="1">
      <c r="A246" s="259"/>
      <c r="B246" s="274"/>
      <c r="C246" s="274"/>
      <c r="D246" s="272"/>
      <c r="E246" s="272"/>
      <c r="F246" s="274"/>
      <c r="G246" s="274"/>
      <c r="H246" s="272"/>
      <c r="I246" s="272"/>
      <c r="J246" s="274"/>
      <c r="K246" s="274"/>
      <c r="L246" s="272"/>
      <c r="M246" s="272"/>
      <c r="O246" s="293"/>
    </row>
    <row r="247" spans="1:15" hidden="1">
      <c r="A247" s="259"/>
      <c r="B247" s="274"/>
      <c r="C247" s="274"/>
      <c r="D247" s="272"/>
      <c r="E247" s="272"/>
      <c r="F247" s="274"/>
      <c r="G247" s="274"/>
      <c r="H247" s="272"/>
      <c r="I247" s="272"/>
      <c r="J247" s="274"/>
      <c r="K247" s="274"/>
      <c r="L247" s="272"/>
      <c r="M247" s="272"/>
      <c r="O247" s="293"/>
    </row>
    <row r="248" spans="1:15" ht="6" customHeight="1"/>
    <row r="249" spans="1:15" s="243" customFormat="1" ht="13.5" thickBot="1">
      <c r="A249" s="261" t="s">
        <v>1012</v>
      </c>
      <c r="B249" s="324">
        <f>SUM(B239:B247)</f>
        <v>0</v>
      </c>
      <c r="C249" s="324">
        <f t="shared" ref="C249:M249" si="11">SUM(C239:C247)</f>
        <v>0</v>
      </c>
      <c r="D249" s="324">
        <f t="shared" si="11"/>
        <v>0</v>
      </c>
      <c r="E249" s="324">
        <f t="shared" si="11"/>
        <v>0</v>
      </c>
      <c r="F249" s="275">
        <f t="shared" si="11"/>
        <v>0</v>
      </c>
      <c r="G249" s="275">
        <f t="shared" si="11"/>
        <v>0</v>
      </c>
      <c r="H249" s="273">
        <f t="shared" si="11"/>
        <v>2</v>
      </c>
      <c r="I249" s="273">
        <f t="shared" si="11"/>
        <v>1</v>
      </c>
      <c r="J249" s="275">
        <f t="shared" si="11"/>
        <v>0</v>
      </c>
      <c r="K249" s="275">
        <f t="shared" si="11"/>
        <v>0</v>
      </c>
      <c r="L249" s="273">
        <f t="shared" si="11"/>
        <v>0</v>
      </c>
      <c r="M249" s="273">
        <f t="shared" si="11"/>
        <v>0</v>
      </c>
      <c r="N249" s="262"/>
      <c r="O249" s="294">
        <f>SUM(B249:M249)</f>
        <v>3</v>
      </c>
    </row>
    <row r="250" spans="1:15" ht="13.5" thickBot="1"/>
    <row r="251" spans="1:15" s="244" customFormat="1">
      <c r="A251" s="264"/>
      <c r="B251" s="444" t="s">
        <v>979</v>
      </c>
      <c r="C251" s="445"/>
      <c r="D251" s="445"/>
      <c r="E251" s="446"/>
      <c r="F251" s="444" t="s">
        <v>990</v>
      </c>
      <c r="G251" s="445"/>
      <c r="H251" s="445"/>
      <c r="I251" s="446"/>
      <c r="J251" s="447" t="s">
        <v>995</v>
      </c>
      <c r="K251" s="448"/>
      <c r="L251" s="448"/>
      <c r="M251" s="449"/>
      <c r="O251" s="285"/>
    </row>
    <row r="252" spans="1:15" s="244" customFormat="1" ht="6" customHeight="1">
      <c r="A252" s="265"/>
      <c r="B252" s="250"/>
      <c r="C252" s="251"/>
      <c r="D252" s="251"/>
      <c r="E252" s="252"/>
      <c r="F252" s="250"/>
      <c r="G252" s="251"/>
      <c r="H252" s="251"/>
      <c r="I252" s="252"/>
      <c r="J252" s="250"/>
      <c r="K252" s="251"/>
      <c r="L252" s="251"/>
      <c r="M252" s="252"/>
      <c r="O252" s="286"/>
    </row>
    <row r="253" spans="1:15" s="244" customFormat="1">
      <c r="A253" s="450"/>
      <c r="B253" s="453"/>
      <c r="C253" s="454"/>
      <c r="D253" s="454"/>
      <c r="E253" s="455"/>
      <c r="F253" s="456" t="s">
        <v>1096</v>
      </c>
      <c r="G253" s="457"/>
      <c r="H253" s="457"/>
      <c r="I253" s="458"/>
      <c r="J253" s="456" t="s">
        <v>1096</v>
      </c>
      <c r="K253" s="457"/>
      <c r="L253" s="457"/>
      <c r="M253" s="458"/>
      <c r="O253" s="287"/>
    </row>
    <row r="254" spans="1:15" s="244" customFormat="1">
      <c r="A254" s="451"/>
      <c r="B254" s="453"/>
      <c r="C254" s="454"/>
      <c r="D254" s="454"/>
      <c r="E254" s="455"/>
      <c r="F254" s="456"/>
      <c r="G254" s="457"/>
      <c r="H254" s="457"/>
      <c r="I254" s="458"/>
      <c r="J254" s="456"/>
      <c r="K254" s="457"/>
      <c r="L254" s="457"/>
      <c r="M254" s="458"/>
      <c r="O254" s="286"/>
    </row>
    <row r="255" spans="1:15" ht="34.15" customHeight="1">
      <c r="A255" s="452"/>
      <c r="B255" s="453"/>
      <c r="C255" s="454"/>
      <c r="D255" s="454"/>
      <c r="E255" s="455"/>
      <c r="F255" s="456"/>
      <c r="G255" s="457"/>
      <c r="H255" s="457"/>
      <c r="I255" s="458"/>
      <c r="J255" s="456"/>
      <c r="K255" s="457"/>
      <c r="L255" s="457"/>
      <c r="M255" s="458"/>
      <c r="O255" s="288"/>
    </row>
    <row r="256" spans="1:15" ht="6" customHeight="1">
      <c r="A256" s="256"/>
      <c r="B256" s="253"/>
      <c r="C256" s="254"/>
      <c r="D256" s="254"/>
      <c r="E256" s="255"/>
      <c r="F256" s="256"/>
      <c r="G256" s="58"/>
      <c r="H256" s="58"/>
      <c r="I256" s="257"/>
      <c r="J256" s="256"/>
      <c r="K256" s="58"/>
      <c r="L256" s="58"/>
      <c r="M256" s="257"/>
      <c r="O256" s="289"/>
    </row>
    <row r="257" spans="1:15">
      <c r="A257" s="266"/>
      <c r="B257" s="423"/>
      <c r="C257" s="424"/>
      <c r="D257" s="424"/>
      <c r="E257" s="425"/>
      <c r="F257" s="426" t="s">
        <v>998</v>
      </c>
      <c r="G257" s="427"/>
      <c r="H257" s="427"/>
      <c r="I257" s="428"/>
      <c r="J257" s="429" t="s">
        <v>1000</v>
      </c>
      <c r="K257" s="430"/>
      <c r="L257" s="430"/>
      <c r="M257" s="431"/>
      <c r="O257" s="290"/>
    </row>
    <row r="258" spans="1:15">
      <c r="A258" s="256"/>
      <c r="B258" s="423"/>
      <c r="C258" s="424"/>
      <c r="D258" s="424"/>
      <c r="E258" s="425"/>
      <c r="F258" s="426" t="s">
        <v>999</v>
      </c>
      <c r="G258" s="427"/>
      <c r="H258" s="427"/>
      <c r="I258" s="428"/>
      <c r="J258" s="429" t="s">
        <v>1001</v>
      </c>
      <c r="K258" s="430"/>
      <c r="L258" s="430"/>
      <c r="M258" s="431"/>
      <c r="O258" s="289"/>
    </row>
    <row r="259" spans="1:15">
      <c r="A259" s="267"/>
      <c r="B259" s="423"/>
      <c r="C259" s="424"/>
      <c r="D259" s="424"/>
      <c r="E259" s="425"/>
      <c r="F259" s="426" t="s">
        <v>1006</v>
      </c>
      <c r="G259" s="427"/>
      <c r="H259" s="427"/>
      <c r="I259" s="428"/>
      <c r="J259" s="429" t="s">
        <v>1002</v>
      </c>
      <c r="K259" s="430"/>
      <c r="L259" s="430"/>
      <c r="M259" s="431"/>
      <c r="O259" s="288"/>
    </row>
    <row r="260" spans="1:15" ht="6" customHeight="1" thickBot="1"/>
    <row r="261" spans="1:15" s="244" customFormat="1">
      <c r="A261" s="432" t="s">
        <v>1107</v>
      </c>
      <c r="B261" s="322" t="s">
        <v>991</v>
      </c>
      <c r="C261" s="321" t="s">
        <v>992</v>
      </c>
      <c r="D261" s="321" t="s">
        <v>993</v>
      </c>
      <c r="E261" s="321" t="s">
        <v>994</v>
      </c>
      <c r="F261" s="297" t="s">
        <v>991</v>
      </c>
      <c r="G261" s="297" t="s">
        <v>992</v>
      </c>
      <c r="H261" s="298" t="s">
        <v>993</v>
      </c>
      <c r="I261" s="298" t="s">
        <v>994</v>
      </c>
      <c r="J261" s="297" t="s">
        <v>991</v>
      </c>
      <c r="K261" s="297" t="s">
        <v>992</v>
      </c>
      <c r="L261" s="298" t="s">
        <v>993</v>
      </c>
      <c r="M261" s="298" t="s">
        <v>994</v>
      </c>
      <c r="N261" s="299"/>
      <c r="O261" s="435">
        <f>SUM(B263:M263)</f>
        <v>96</v>
      </c>
    </row>
    <row r="262" spans="1:15">
      <c r="A262" s="433"/>
      <c r="B262" s="30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436"/>
    </row>
    <row r="263" spans="1:15" s="243" customFormat="1" ht="13.5" thickBot="1">
      <c r="A263" s="434"/>
      <c r="B263" s="323">
        <f t="shared" ref="B263:M263" si="12">B30+B47+B64+B81+B104+B126+B148+B165+B188+B210+B232+B249</f>
        <v>0</v>
      </c>
      <c r="C263" s="324">
        <f t="shared" si="12"/>
        <v>0</v>
      </c>
      <c r="D263" s="324">
        <f t="shared" si="12"/>
        <v>0</v>
      </c>
      <c r="E263" s="324">
        <f t="shared" si="12"/>
        <v>0</v>
      </c>
      <c r="F263" s="275">
        <f t="shared" si="12"/>
        <v>10</v>
      </c>
      <c r="G263" s="275">
        <f t="shared" si="12"/>
        <v>7</v>
      </c>
      <c r="H263" s="273">
        <f t="shared" si="12"/>
        <v>43</v>
      </c>
      <c r="I263" s="273">
        <f t="shared" si="12"/>
        <v>21</v>
      </c>
      <c r="J263" s="275">
        <f t="shared" si="12"/>
        <v>2</v>
      </c>
      <c r="K263" s="275">
        <f t="shared" si="12"/>
        <v>3</v>
      </c>
      <c r="L263" s="273">
        <f t="shared" si="12"/>
        <v>9</v>
      </c>
      <c r="M263" s="273">
        <f t="shared" si="12"/>
        <v>1</v>
      </c>
      <c r="N263" s="263"/>
      <c r="O263" s="437"/>
    </row>
    <row r="264" spans="1:15" ht="6" customHeight="1"/>
    <row r="265" spans="1:15" ht="20.25">
      <c r="F265" s="420">
        <f>SUM(F263:I263)</f>
        <v>81</v>
      </c>
      <c r="G265" s="421"/>
      <c r="H265" s="421"/>
      <c r="I265" s="422"/>
      <c r="J265" s="420">
        <f>SUM(J263:M263)</f>
        <v>15</v>
      </c>
      <c r="K265" s="421"/>
      <c r="L265" s="421"/>
      <c r="M265" s="422"/>
    </row>
  </sheetData>
  <sheetProtection password="9EF6" sheet="1" objects="1" scenarios="1"/>
  <mergeCells count="68">
    <mergeCell ref="A8:A10"/>
    <mergeCell ref="A2:O2"/>
    <mergeCell ref="A4:O4"/>
    <mergeCell ref="B12:E12"/>
    <mergeCell ref="B13:E13"/>
    <mergeCell ref="F12:I12"/>
    <mergeCell ref="F13:I13"/>
    <mergeCell ref="B6:E6"/>
    <mergeCell ref="F6:I6"/>
    <mergeCell ref="J6:M6"/>
    <mergeCell ref="B8:E10"/>
    <mergeCell ref="F8:I10"/>
    <mergeCell ref="J8:M10"/>
    <mergeCell ref="A49:A50"/>
    <mergeCell ref="B49:C50"/>
    <mergeCell ref="J12:M12"/>
    <mergeCell ref="J13:M13"/>
    <mergeCell ref="J14:M14"/>
    <mergeCell ref="B14:E14"/>
    <mergeCell ref="F14:I14"/>
    <mergeCell ref="A16:E16"/>
    <mergeCell ref="A17:E17"/>
    <mergeCell ref="A19:A20"/>
    <mergeCell ref="B19:C20"/>
    <mergeCell ref="A32:A33"/>
    <mergeCell ref="B32:C33"/>
    <mergeCell ref="A190:A191"/>
    <mergeCell ref="B190:C191"/>
    <mergeCell ref="A106:A107"/>
    <mergeCell ref="B106:C107"/>
    <mergeCell ref="A128:A129"/>
    <mergeCell ref="B128:C129"/>
    <mergeCell ref="A150:A151"/>
    <mergeCell ref="B150:C151"/>
    <mergeCell ref="A167:E167"/>
    <mergeCell ref="A168:E168"/>
    <mergeCell ref="A170:A171"/>
    <mergeCell ref="B170:C171"/>
    <mergeCell ref="A66:A67"/>
    <mergeCell ref="B66:C67"/>
    <mergeCell ref="A83:E83"/>
    <mergeCell ref="A84:E84"/>
    <mergeCell ref="A86:A87"/>
    <mergeCell ref="B86:C87"/>
    <mergeCell ref="A261:A263"/>
    <mergeCell ref="O261:O263"/>
    <mergeCell ref="A212:A213"/>
    <mergeCell ref="B212:C213"/>
    <mergeCell ref="A234:A235"/>
    <mergeCell ref="B234:C235"/>
    <mergeCell ref="B251:E251"/>
    <mergeCell ref="F251:I251"/>
    <mergeCell ref="J251:M251"/>
    <mergeCell ref="A253:A255"/>
    <mergeCell ref="B253:E255"/>
    <mergeCell ref="F253:I255"/>
    <mergeCell ref="J253:M255"/>
    <mergeCell ref="B257:E257"/>
    <mergeCell ref="F257:I257"/>
    <mergeCell ref="J257:M257"/>
    <mergeCell ref="F265:I265"/>
    <mergeCell ref="J265:M265"/>
    <mergeCell ref="B258:E258"/>
    <mergeCell ref="F258:I258"/>
    <mergeCell ref="J258:M258"/>
    <mergeCell ref="B259:E259"/>
    <mergeCell ref="F259:I259"/>
    <mergeCell ref="J259:M25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 rozpočtu</vt:lpstr>
      <vt:lpstr>Stavební rozpočet</vt:lpstr>
      <vt:lpstr>Výměry</vt:lpstr>
      <vt:lpstr>BD-PODLAŽÍ</vt:lpstr>
      <vt:lpstr>'Stavební rozpočet'!Oblast_tisku</vt:lpstr>
      <vt:lpstr>Výměry!Oblast_tisku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Topič Petr</cp:lastModifiedBy>
  <cp:lastPrinted>2020-10-31T09:27:48Z</cp:lastPrinted>
  <dcterms:created xsi:type="dcterms:W3CDTF">2016-02-03T14:12:35Z</dcterms:created>
  <dcterms:modified xsi:type="dcterms:W3CDTF">2021-10-20T13:20:02Z</dcterms:modified>
</cp:coreProperties>
</file>