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tonin.balsanek\Desktop\"/>
    </mc:Choice>
  </mc:AlternateContent>
  <bookViews>
    <workbookView xWindow="-105" yWindow="-105" windowWidth="23250" windowHeight="12720"/>
  </bookViews>
  <sheets>
    <sheet name="Krycí list rozpočtu" sheetId="1" r:id="rId1"/>
    <sheet name="Stavební rozpočet" sheetId="2" r:id="rId2"/>
    <sheet name="Položky El" sheetId="3" state="hidden" r:id="rId3"/>
    <sheet name="ZTI" sheetId="5" r:id="rId4"/>
    <sheet name="Výměry" sheetId="4" r:id="rId5"/>
  </sheets>
  <externalReferences>
    <externalReference r:id="rId6"/>
  </externalReferences>
  <definedNames>
    <definedName name="cisloobjektu">#REF!</definedName>
    <definedName name="cislostavby">#REF!</definedName>
    <definedName name="Datum">#REF!</definedName>
    <definedName name="Dil">#REF!</definedName>
    <definedName name="Dodavka0" localSheetId="2">'Položky El'!#REF!</definedName>
    <definedName name="Dodavka0">#REF!</definedName>
    <definedName name="HSV0" localSheetId="2">'Položky El'!#REF!</definedName>
    <definedName name="HSV0">#REF!</definedName>
    <definedName name="HZS0" localSheetId="2">'Položky El'!#REF!</definedName>
    <definedName name="HZS0">#REF!</definedName>
    <definedName name="JKSO">#REF!</definedName>
    <definedName name="MJ">#REF!</definedName>
    <definedName name="Montaz0" localSheetId="2">'Položky El'!#REF!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2">'Položky El'!$1:$6</definedName>
    <definedName name="Objednatel">#REF!</definedName>
    <definedName name="_xlnm.Print_Area" localSheetId="2">'Položky El'!$A$1:$G$66</definedName>
    <definedName name="_xlnm.Print_Area" localSheetId="1">'Stavební rozpočet'!$A$1:$L$312</definedName>
    <definedName name="_xlnm.Print_Area" localSheetId="4">Výměry!$A$1:$U$75</definedName>
    <definedName name="PocetMJ">'[1]Rozpis el.'!$G$7</definedName>
    <definedName name="Poznamka">#REF!</definedName>
    <definedName name="Projektant">#REF!</definedName>
    <definedName name="PSV0" localSheetId="2">'Položky El'!#REF!</definedName>
    <definedName name="PSV0">#REF!</definedName>
    <definedName name="SloupecCC" localSheetId="2">'Položky El'!$G$6</definedName>
    <definedName name="SloupecCC">#REF!</definedName>
    <definedName name="SloupecCisloPol" localSheetId="2">'Položky El'!$B$6</definedName>
    <definedName name="SloupecCisloPol">#REF!</definedName>
    <definedName name="SloupecJC" localSheetId="2">'Položky El'!$F$6</definedName>
    <definedName name="SloupecJC">#REF!</definedName>
    <definedName name="SloupecMJ" localSheetId="2">'Položky El'!$D$6</definedName>
    <definedName name="SloupecMJ">#REF!</definedName>
    <definedName name="SloupecMnozstvi" localSheetId="2">'Položky El'!$E$6</definedName>
    <definedName name="SloupecMnozstvi">#REF!</definedName>
    <definedName name="SloupecNazPol" localSheetId="2">'Položky El'!$C$6</definedName>
    <definedName name="SloupecNazPol">#REF!</definedName>
    <definedName name="SloupecPC" localSheetId="2">'Položky El'!$A$6</definedName>
    <definedName name="SloupecPC">#REF!</definedName>
    <definedName name="solver_lin" localSheetId="2" hidden="1">0</definedName>
    <definedName name="solver_num" localSheetId="2" hidden="1">0</definedName>
    <definedName name="solver_opt" localSheetId="2" hidden="1">'Položky El'!#REF!</definedName>
    <definedName name="solver_typ" localSheetId="2" hidden="1">1</definedName>
    <definedName name="solver_val" localSheetId="2" hidden="1">0</definedName>
    <definedName name="Typ" localSheetId="2">'Položky El'!#REF!</definedName>
    <definedName name="Typ">#REF!</definedName>
    <definedName name="VRNKc">#REF!</definedName>
    <definedName name="VRNnazev">#REF!</definedName>
    <definedName name="VRNproc">#REF!</definedName>
    <definedName name="VRNzakl">#REF!</definedName>
    <definedName name="Z_0A42B198_9C9E_43A6_8871_1A4824290440_.wvu.Cols" localSheetId="2" hidden="1">'Položky El'!$H:$BC</definedName>
    <definedName name="Z_0A42B198_9C9E_43A6_8871_1A4824290440_.wvu.Cols" localSheetId="1" hidden="1">'Stavební rozpočet'!$M:$AR</definedName>
    <definedName name="Z_0A42B198_9C9E_43A6_8871_1A4824290440_.wvu.PrintArea" localSheetId="2" hidden="1">'Položky El'!$A$1:$G$66</definedName>
    <definedName name="Z_0A42B198_9C9E_43A6_8871_1A4824290440_.wvu.PrintArea" localSheetId="1" hidden="1">'Stavební rozpočet'!$A$1:$L$313</definedName>
    <definedName name="Z_0A42B198_9C9E_43A6_8871_1A4824290440_.wvu.PrintTitles" localSheetId="2" hidden="1">'Položky El'!$1:$6</definedName>
    <definedName name="Z_0A42B198_9C9E_43A6_8871_1A4824290440_.wvu.Rows" localSheetId="0" hidden="1">'Krycí list rozpočtu'!$37:$37</definedName>
    <definedName name="Z_0A42B198_9C9E_43A6_8871_1A4824290440_.wvu.Rows" localSheetId="2" hidden="1">'Položky El'!$14:$25,'Položky El'!$27:$27,'Položky El'!$31:$31,'Položky El'!$33:$33,'Položky El'!$35:$35,'Položky El'!$37:$39,'Položky El'!$42:$51,'Položky El'!$54:$54</definedName>
    <definedName name="Z_0A42B198_9C9E_43A6_8871_1A4824290440_.wvu.Rows" localSheetId="1" hidden="1">'Stavební rozpočet'!$13:$25,'Stavební rozpočet'!$27:$29,'Stavební rozpočet'!$36:$37,'Stavební rozpočet'!$39:$40,'Stavební rozpočet'!$43:$47,'Stavební rozpočet'!$51:$51,'Stavební rozpočet'!$53:$55,'Stavební rozpočet'!$58:$63,'Stavební rozpočet'!$68:$69,'Stavební rozpočet'!$76:$76,'Stavební rozpočet'!$79:$80,'Stavební rozpočet'!$82:$82,'Stavební rozpočet'!$87:$92,'Stavební rozpočet'!$96:$113,'Stavební rozpočet'!$115:$121,'Stavební rozpočet'!$127:$127,'Stavební rozpočet'!$130:$134,'Stavební rozpočet'!$136:$136,'Stavební rozpočet'!$139:$141,'Stavební rozpočet'!$145:$145,'Stavební rozpočet'!$147:$153,'Stavební rozpočet'!$155:$156,'Stavební rozpočet'!$159:$159,'Stavební rozpočet'!$161:$161,'Stavební rozpočet'!$165:$166,'Stavební rozpočet'!$168:$169,'Stavební rozpočet'!$175:$177,'Stavební rozpočet'!$180:$196,'Stavební rozpočet'!$198:$199,'Stavební rozpočet'!$203:$203,'Stavební rozpočet'!$225:$226,'Stavební rozpočet'!$237:$238,'Stavební rozpočet'!$243:$245,'Stavební rozpočet'!$247:$249,'Stavební rozpočet'!$266:$270,'Stavební rozpočet'!$273:$275,'Stavební rozpočet'!$277:$280,'Stavební rozpočet'!$282:$285,'Stavební rozpočet'!$289:$290,'Stavební rozpočet'!$301:$301,'Stavební rozpočet'!$306:$306</definedName>
    <definedName name="Zakazka">#REF!</definedName>
    <definedName name="Zaklad22">#REF!</definedName>
    <definedName name="Zaklad5">#REF!</definedName>
    <definedName name="Zhotovitel">#REF!</definedName>
  </definedNames>
  <calcPr calcId="191029" iterateCount="1"/>
  <customWorkbookViews>
    <customWorkbookView name="pavel – osobní zobrazení" guid="{0A42B198-9C9E-43A6-8871-1A4824290440}" mergeInterval="0" personalView="1" maximized="1" windowWidth="1916" windowHeight="81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5" i="2" l="1"/>
  <c r="L271" i="2"/>
  <c r="F57" i="2"/>
  <c r="E30" i="5"/>
  <c r="E31" i="5" s="1"/>
  <c r="G31" i="5" s="1"/>
  <c r="E23" i="5"/>
  <c r="G23" i="5" s="1"/>
  <c r="E20" i="5"/>
  <c r="G20" i="5" s="1"/>
  <c r="E17" i="5"/>
  <c r="G17" i="5" s="1"/>
  <c r="E14" i="5"/>
  <c r="G14" i="5" s="1"/>
  <c r="E11" i="5"/>
  <c r="G11" i="5" s="1"/>
  <c r="G33" i="5"/>
  <c r="G30" i="5"/>
  <c r="G27" i="5"/>
  <c r="G26" i="5"/>
  <c r="G25" i="5"/>
  <c r="G22" i="5"/>
  <c r="G19" i="5"/>
  <c r="G16" i="5"/>
  <c r="G13" i="5"/>
  <c r="G35" i="5"/>
  <c r="G34" i="5"/>
  <c r="G29" i="5"/>
  <c r="G28" i="5"/>
  <c r="G24" i="5"/>
  <c r="G21" i="5"/>
  <c r="G18" i="5"/>
  <c r="G15" i="5"/>
  <c r="G12" i="5"/>
  <c r="G6" i="5"/>
  <c r="G7" i="5"/>
  <c r="G8" i="5"/>
  <c r="G9" i="5"/>
  <c r="G10" i="5"/>
  <c r="G5" i="5"/>
  <c r="F255" i="2"/>
  <c r="F253" i="2"/>
  <c r="F56" i="2"/>
  <c r="F286" i="2"/>
  <c r="F53" i="2"/>
  <c r="F52" i="2"/>
  <c r="F51" i="2"/>
  <c r="F48" i="2"/>
  <c r="F41" i="2"/>
  <c r="F254" i="2"/>
  <c r="F221" i="2"/>
  <c r="F226" i="2"/>
  <c r="F217" i="2"/>
  <c r="F201" i="2"/>
  <c r="F180" i="2"/>
  <c r="F185" i="2" s="1"/>
  <c r="F187" i="2"/>
  <c r="F186" i="2"/>
  <c r="F183" i="2" s="1"/>
  <c r="F69" i="2"/>
  <c r="F68" i="2"/>
  <c r="F67" i="2"/>
  <c r="F20" i="2"/>
  <c r="F19" i="2"/>
  <c r="F18" i="2"/>
  <c r="F275" i="2"/>
  <c r="F28" i="2"/>
  <c r="F27" i="2"/>
  <c r="F280" i="2"/>
  <c r="F23" i="2"/>
  <c r="F281" i="2"/>
  <c r="F274" i="2"/>
  <c r="F25" i="2"/>
  <c r="F24" i="2"/>
  <c r="F22" i="2"/>
  <c r="F269" i="2"/>
  <c r="F268" i="2"/>
  <c r="F271" i="2"/>
  <c r="F267" i="2"/>
  <c r="C66" i="4"/>
  <c r="A66" i="4"/>
  <c r="O43" i="4"/>
  <c r="M43" i="4"/>
  <c r="C16" i="4"/>
  <c r="C15" i="4"/>
  <c r="M33" i="4"/>
  <c r="B42" i="4"/>
  <c r="B41" i="4"/>
  <c r="B34" i="4"/>
  <c r="B33" i="4"/>
  <c r="B24" i="4"/>
  <c r="B23" i="4"/>
  <c r="B22" i="4"/>
  <c r="C9" i="4"/>
  <c r="S9" i="4"/>
  <c r="R9" i="4"/>
  <c r="G32" i="5" l="1"/>
  <c r="G4" i="5"/>
  <c r="G3" i="5" s="1"/>
  <c r="G71" i="2" s="1"/>
  <c r="F195" i="2"/>
  <c r="G147" i="2"/>
  <c r="AE34" i="2"/>
  <c r="AM34" i="2" s="1"/>
  <c r="AD34" i="2"/>
  <c r="AL34" i="2" s="1"/>
  <c r="AA34" i="2"/>
  <c r="Y34" i="2"/>
  <c r="N34" i="2"/>
  <c r="J34" i="2"/>
  <c r="AE33" i="2"/>
  <c r="AM33" i="2" s="1"/>
  <c r="AD33" i="2"/>
  <c r="AL33" i="2" s="1"/>
  <c r="AA33" i="2"/>
  <c r="Y33" i="2"/>
  <c r="N33" i="2"/>
  <c r="J33" i="2"/>
  <c r="Z33" i="2" s="1"/>
  <c r="H33" i="2"/>
  <c r="AE32" i="2"/>
  <c r="AD32" i="2"/>
  <c r="AA32" i="2"/>
  <c r="Y32" i="2"/>
  <c r="N32" i="2"/>
  <c r="AE31" i="2"/>
  <c r="AD31" i="2"/>
  <c r="AA31" i="2"/>
  <c r="Y31" i="2"/>
  <c r="N31" i="2"/>
  <c r="AS35" i="2"/>
  <c r="AE35" i="2"/>
  <c r="AM35" i="2" s="1"/>
  <c r="AD35" i="2"/>
  <c r="AL35" i="2" s="1"/>
  <c r="AA35" i="2"/>
  <c r="Y35" i="2"/>
  <c r="N35" i="2"/>
  <c r="K35" i="2"/>
  <c r="L35" i="2" s="1"/>
  <c r="J35" i="2"/>
  <c r="H34" i="2" l="1"/>
  <c r="I33" i="2"/>
  <c r="I34" i="2"/>
  <c r="Z34" i="2"/>
  <c r="H35" i="2"/>
  <c r="I35" i="2" s="1"/>
  <c r="Z35" i="2"/>
  <c r="F32" i="4" l="1"/>
  <c r="G12" i="4"/>
  <c r="F12" i="4"/>
  <c r="G10" i="4"/>
  <c r="F10" i="4"/>
  <c r="G9" i="4"/>
  <c r="F9" i="4"/>
  <c r="F28" i="4"/>
  <c r="G26" i="4"/>
  <c r="F279" i="2" l="1"/>
  <c r="G310" i="2"/>
  <c r="F11" i="4" l="1"/>
  <c r="AA257" i="2" l="1"/>
  <c r="Y257" i="2"/>
  <c r="N257" i="2"/>
  <c r="J256" i="2"/>
  <c r="Z256" i="2" s="1"/>
  <c r="AA256" i="2"/>
  <c r="Y256" i="2"/>
  <c r="N256" i="2"/>
  <c r="L256" i="2"/>
  <c r="J60" i="2"/>
  <c r="L60" i="2"/>
  <c r="N60" i="2"/>
  <c r="Y60" i="2"/>
  <c r="Z60" i="2"/>
  <c r="AA60" i="2"/>
  <c r="AD60" i="2"/>
  <c r="H60" i="2" s="1"/>
  <c r="AE60" i="2"/>
  <c r="AM60" i="2" s="1"/>
  <c r="J61" i="2"/>
  <c r="L61" i="2"/>
  <c r="N61" i="2"/>
  <c r="Y61" i="2"/>
  <c r="Z61" i="2"/>
  <c r="AA61" i="2"/>
  <c r="AD61" i="2"/>
  <c r="H61" i="2" s="1"/>
  <c r="AE61" i="2"/>
  <c r="AM61" i="2" s="1"/>
  <c r="J62" i="2"/>
  <c r="L62" i="2"/>
  <c r="N62" i="2"/>
  <c r="Y62" i="2"/>
  <c r="Z62" i="2"/>
  <c r="AA62" i="2"/>
  <c r="AD62" i="2"/>
  <c r="AL62" i="2" s="1"/>
  <c r="AE62" i="2"/>
  <c r="AM62" i="2" s="1"/>
  <c r="AE59" i="2"/>
  <c r="AM59" i="2" s="1"/>
  <c r="AD59" i="2"/>
  <c r="AL59" i="2" s="1"/>
  <c r="AA59" i="2"/>
  <c r="Y59" i="2"/>
  <c r="N59" i="2"/>
  <c r="L59" i="2"/>
  <c r="J59" i="2"/>
  <c r="Z59" i="2" s="1"/>
  <c r="H59" i="2" l="1"/>
  <c r="I59" i="2" s="1"/>
  <c r="AE256" i="2"/>
  <c r="AM256" i="2" s="1"/>
  <c r="AD256" i="2"/>
  <c r="I60" i="2"/>
  <c r="I61" i="2"/>
  <c r="H62" i="2"/>
  <c r="I62" i="2" s="1"/>
  <c r="AL61" i="2"/>
  <c r="AL60" i="2"/>
  <c r="AL256" i="2" l="1"/>
  <c r="H256" i="2"/>
  <c r="I256" i="2" s="1"/>
  <c r="F27" i="4" l="1"/>
  <c r="F26" i="4"/>
  <c r="G11" i="4"/>
  <c r="I12" i="4"/>
  <c r="I10" i="4"/>
  <c r="P33" i="4"/>
  <c r="F211" i="2" s="1"/>
  <c r="Y58" i="4"/>
  <c r="Y57" i="4"/>
  <c r="Y56" i="4"/>
  <c r="Y55" i="4"/>
  <c r="Y53" i="4"/>
  <c r="Y52" i="4"/>
  <c r="Y51" i="4"/>
  <c r="Y50" i="4"/>
  <c r="Y49" i="4"/>
  <c r="Y48" i="4"/>
  <c r="Y47" i="4"/>
  <c r="Y45" i="4"/>
  <c r="Y44" i="4"/>
  <c r="Y43" i="4"/>
  <c r="Y42" i="4"/>
  <c r="Y41" i="4"/>
  <c r="Y39" i="4"/>
  <c r="Y38" i="4"/>
  <c r="Y37" i="4"/>
  <c r="Y36" i="4"/>
  <c r="Y35" i="4"/>
  <c r="Y34" i="4"/>
  <c r="Y33" i="4"/>
  <c r="Y31" i="4"/>
  <c r="Y30" i="4"/>
  <c r="Y29" i="4"/>
  <c r="Y28" i="4"/>
  <c r="Y27" i="4"/>
  <c r="Y26" i="4"/>
  <c r="Y25" i="4"/>
  <c r="Y24" i="4"/>
  <c r="Y23" i="4"/>
  <c r="Y22" i="4"/>
  <c r="Y20" i="4"/>
  <c r="Y19" i="4"/>
  <c r="Y18" i="4"/>
  <c r="Y17" i="4"/>
  <c r="Y16" i="4"/>
  <c r="Y15" i="4"/>
  <c r="Y10" i="4"/>
  <c r="Y11" i="4"/>
  <c r="Y12" i="4"/>
  <c r="Y13" i="4"/>
  <c r="Y9" i="4"/>
  <c r="D48" i="4"/>
  <c r="D47" i="4"/>
  <c r="D23" i="4"/>
  <c r="D22" i="4"/>
  <c r="B16" i="4"/>
  <c r="B15" i="4"/>
  <c r="B10" i="4"/>
  <c r="B9" i="4"/>
  <c r="D25" i="4"/>
  <c r="D50" i="4"/>
  <c r="D49" i="4"/>
  <c r="U25" i="4"/>
  <c r="U24" i="4"/>
  <c r="U23" i="4"/>
  <c r="U22" i="4"/>
  <c r="U50" i="4"/>
  <c r="U49" i="4"/>
  <c r="U48" i="4"/>
  <c r="U47" i="4"/>
  <c r="M29" i="4" l="1"/>
  <c r="P29" i="4" s="1"/>
  <c r="D24" i="4"/>
  <c r="F204" i="2" l="1"/>
  <c r="F205" i="2"/>
  <c r="F207" i="2" s="1"/>
  <c r="F222" i="2"/>
  <c r="P49" i="4"/>
  <c r="P48" i="4"/>
  <c r="P47" i="4"/>
  <c r="P46" i="4"/>
  <c r="P45" i="4"/>
  <c r="P44" i="4"/>
  <c r="P43" i="4"/>
  <c r="P51" i="4" l="1"/>
  <c r="F301" i="2"/>
  <c r="F225" i="2" l="1"/>
  <c r="F216" i="2"/>
  <c r="D72" i="4"/>
  <c r="D71" i="4"/>
  <c r="D70" i="4"/>
  <c r="D69" i="4"/>
  <c r="D68" i="4"/>
  <c r="D67" i="4"/>
  <c r="D66" i="4"/>
  <c r="D55" i="4"/>
  <c r="I15" i="4"/>
  <c r="U58" i="4"/>
  <c r="U57" i="4"/>
  <c r="U56" i="4"/>
  <c r="U55" i="4"/>
  <c r="U53" i="4"/>
  <c r="U52" i="4"/>
  <c r="U51" i="4"/>
  <c r="U45" i="4"/>
  <c r="U44" i="4"/>
  <c r="U43" i="4"/>
  <c r="U42" i="4"/>
  <c r="U41" i="4"/>
  <c r="U39" i="4"/>
  <c r="U38" i="4"/>
  <c r="U37" i="4"/>
  <c r="U36" i="4"/>
  <c r="U35" i="4"/>
  <c r="U34" i="4"/>
  <c r="U33" i="4"/>
  <c r="U31" i="4"/>
  <c r="U30" i="4"/>
  <c r="U29" i="4"/>
  <c r="U28" i="4"/>
  <c r="U27" i="4"/>
  <c r="U26" i="4"/>
  <c r="U20" i="4"/>
  <c r="U19" i="4"/>
  <c r="U18" i="4"/>
  <c r="U17" i="4"/>
  <c r="U16" i="4"/>
  <c r="U15" i="4"/>
  <c r="U13" i="4"/>
  <c r="U12" i="4"/>
  <c r="U11" i="4"/>
  <c r="U10" i="4"/>
  <c r="U9" i="4"/>
  <c r="P8" i="4" l="1"/>
  <c r="P12" i="4"/>
  <c r="P14" i="4"/>
  <c r="P10" i="4"/>
  <c r="D74" i="4"/>
  <c r="P13" i="4"/>
  <c r="P11" i="4"/>
  <c r="P9" i="4"/>
  <c r="P24" i="4" s="1"/>
  <c r="U60" i="4"/>
  <c r="F244" i="2" l="1"/>
  <c r="F241" i="2"/>
  <c r="P23" i="4"/>
  <c r="P16" i="4"/>
  <c r="P19" i="4" s="1"/>
  <c r="G13" i="3"/>
  <c r="F209" i="2" l="1"/>
  <c r="F202" i="2"/>
  <c r="F208" i="2"/>
  <c r="F192" i="2"/>
  <c r="F194" i="2"/>
  <c r="F218" i="2"/>
  <c r="F188" i="2"/>
  <c r="F146" i="2"/>
  <c r="F212" i="2" l="1"/>
  <c r="J257" i="2"/>
  <c r="L257" i="2"/>
  <c r="F181" i="2"/>
  <c r="AE178" i="2"/>
  <c r="AM178" i="2" s="1"/>
  <c r="AD178" i="2"/>
  <c r="AL178" i="2" s="1"/>
  <c r="AA178" i="2"/>
  <c r="Y178" i="2"/>
  <c r="N178" i="2"/>
  <c r="L178" i="2"/>
  <c r="J178" i="2"/>
  <c r="Z178" i="2" s="1"/>
  <c r="Z257" i="2" l="1"/>
  <c r="AE257" i="2"/>
  <c r="AM257" i="2" s="1"/>
  <c r="AD257" i="2"/>
  <c r="H178" i="2"/>
  <c r="I178" i="2" s="1"/>
  <c r="AA263" i="2"/>
  <c r="Y263" i="2"/>
  <c r="N263" i="2"/>
  <c r="AE263" i="2"/>
  <c r="AE262" i="2"/>
  <c r="AM262" i="2" s="1"/>
  <c r="AD262" i="2"/>
  <c r="AL262" i="2" s="1"/>
  <c r="AA262" i="2"/>
  <c r="Y262" i="2"/>
  <c r="N262" i="2"/>
  <c r="L262" i="2"/>
  <c r="J262" i="2"/>
  <c r="Z262" i="2" s="1"/>
  <c r="AE261" i="2"/>
  <c r="AM261" i="2" s="1"/>
  <c r="AD261" i="2"/>
  <c r="H261" i="2" s="1"/>
  <c r="AA261" i="2"/>
  <c r="Y261" i="2"/>
  <c r="N261" i="2"/>
  <c r="L261" i="2"/>
  <c r="J261" i="2"/>
  <c r="Z261" i="2" s="1"/>
  <c r="H257" i="2" l="1"/>
  <c r="I257" i="2" s="1"/>
  <c r="AL257" i="2"/>
  <c r="I261" i="2"/>
  <c r="AM263" i="2"/>
  <c r="H262" i="2"/>
  <c r="I262" i="2" s="1"/>
  <c r="AD263" i="2"/>
  <c r="H263" i="2" s="1"/>
  <c r="AL261" i="2"/>
  <c r="J263" i="2"/>
  <c r="L263" i="2"/>
  <c r="AL263" i="2" l="1"/>
  <c r="Z263" i="2"/>
  <c r="I263" i="2"/>
  <c r="F219" i="2" l="1"/>
  <c r="F224" i="2"/>
  <c r="F223" i="2" l="1"/>
  <c r="F220" i="2"/>
  <c r="D58" i="4" l="1"/>
  <c r="D57" i="4"/>
  <c r="D56" i="4"/>
  <c r="D53" i="4"/>
  <c r="D52" i="4"/>
  <c r="D51" i="4"/>
  <c r="D45" i="4"/>
  <c r="D44" i="4"/>
  <c r="D43" i="4"/>
  <c r="D42" i="4"/>
  <c r="D41" i="4"/>
  <c r="D39" i="4"/>
  <c r="D38" i="4"/>
  <c r="I37" i="4"/>
  <c r="D37" i="4"/>
  <c r="I36" i="4"/>
  <c r="D36" i="4"/>
  <c r="I35" i="4"/>
  <c r="D35" i="4"/>
  <c r="I34" i="4"/>
  <c r="D34" i="4"/>
  <c r="I33" i="4"/>
  <c r="D33" i="4"/>
  <c r="D31" i="4"/>
  <c r="I30" i="4"/>
  <c r="D30" i="4"/>
  <c r="I29" i="4"/>
  <c r="D29" i="4"/>
  <c r="I28" i="4"/>
  <c r="D28" i="4"/>
  <c r="I27" i="4"/>
  <c r="D27" i="4"/>
  <c r="I26" i="4"/>
  <c r="D26" i="4"/>
  <c r="I20" i="4"/>
  <c r="D20" i="4"/>
  <c r="I19" i="4"/>
  <c r="D19" i="4"/>
  <c r="I18" i="4"/>
  <c r="D18" i="4"/>
  <c r="I17" i="4"/>
  <c r="D17" i="4"/>
  <c r="I16" i="4"/>
  <c r="D16" i="4"/>
  <c r="D15" i="4"/>
  <c r="I13" i="4"/>
  <c r="D13" i="4"/>
  <c r="D12" i="4"/>
  <c r="I11" i="4"/>
  <c r="D11" i="4"/>
  <c r="D10" i="4"/>
  <c r="F49" i="2" s="1"/>
  <c r="I9" i="4"/>
  <c r="D9" i="4"/>
  <c r="F53" i="3"/>
  <c r="AD260" i="2"/>
  <c r="AA260" i="2"/>
  <c r="Y260" i="2"/>
  <c r="N260" i="2"/>
  <c r="L260" i="2"/>
  <c r="J259" i="2"/>
  <c r="Z259" i="2" s="1"/>
  <c r="AA259" i="2"/>
  <c r="Y259" i="2"/>
  <c r="N259" i="2"/>
  <c r="L259" i="2"/>
  <c r="AE258" i="2"/>
  <c r="AM258" i="2" s="1"/>
  <c r="AD258" i="2"/>
  <c r="AL258" i="2" s="1"/>
  <c r="AA258" i="2"/>
  <c r="Y258" i="2"/>
  <c r="N258" i="2"/>
  <c r="L258" i="2"/>
  <c r="J258" i="2"/>
  <c r="Z258" i="2" s="1"/>
  <c r="AE165" i="2"/>
  <c r="AM165" i="2" s="1"/>
  <c r="AA165" i="2"/>
  <c r="Y165" i="2"/>
  <c r="N165" i="2"/>
  <c r="L165" i="2"/>
  <c r="F210" i="2"/>
  <c r="F250" i="2" l="1"/>
  <c r="F251" i="2" s="1"/>
  <c r="J251" i="2" s="1"/>
  <c r="Z251" i="2" s="1"/>
  <c r="J204" i="2"/>
  <c r="Z204" i="2" s="1"/>
  <c r="K9" i="4"/>
  <c r="K15" i="4"/>
  <c r="D60" i="4"/>
  <c r="I32" i="4"/>
  <c r="K32" i="4" s="1"/>
  <c r="J211" i="2"/>
  <c r="Z211" i="2" s="1"/>
  <c r="H258" i="2"/>
  <c r="I258" i="2" s="1"/>
  <c r="AE260" i="2"/>
  <c r="AM260" i="2" s="1"/>
  <c r="J260" i="2"/>
  <c r="Z260" i="2" s="1"/>
  <c r="K26" i="4"/>
  <c r="I22" i="4"/>
  <c r="AD259" i="2"/>
  <c r="AL260" i="2"/>
  <c r="H260" i="2"/>
  <c r="AE259" i="2"/>
  <c r="AM259" i="2" s="1"/>
  <c r="J165" i="2"/>
  <c r="Z165" i="2" s="1"/>
  <c r="AD165" i="2"/>
  <c r="G37" i="3"/>
  <c r="F22" i="1"/>
  <c r="G61" i="3"/>
  <c r="G38" i="3"/>
  <c r="G36" i="3"/>
  <c r="G35" i="3"/>
  <c r="G34" i="3"/>
  <c r="C62" i="3"/>
  <c r="BB60" i="3"/>
  <c r="BB62" i="3" s="1"/>
  <c r="AZ60" i="3"/>
  <c r="AZ62" i="3" s="1"/>
  <c r="AY60" i="3"/>
  <c r="AY62" i="3" s="1"/>
  <c r="AX60" i="3"/>
  <c r="AX62" i="3" s="1"/>
  <c r="G60" i="3"/>
  <c r="BA60" i="3" s="1"/>
  <c r="BA62" i="3" s="1"/>
  <c r="AE279" i="2"/>
  <c r="AM279" i="2" s="1"/>
  <c r="AD279" i="2"/>
  <c r="AL279" i="2" s="1"/>
  <c r="AA279" i="2"/>
  <c r="Y279" i="2"/>
  <c r="N279" i="2"/>
  <c r="L279" i="2"/>
  <c r="J279" i="2"/>
  <c r="Z279" i="2" s="1"/>
  <c r="AE280" i="2"/>
  <c r="AM280" i="2" s="1"/>
  <c r="AD280" i="2"/>
  <c r="AL280" i="2" s="1"/>
  <c r="AA280" i="2"/>
  <c r="Y280" i="2"/>
  <c r="N280" i="2"/>
  <c r="L280" i="2"/>
  <c r="J280" i="2"/>
  <c r="AE76" i="2"/>
  <c r="AM76" i="2" s="1"/>
  <c r="AD76" i="2"/>
  <c r="AL76" i="2" s="1"/>
  <c r="AA76" i="2"/>
  <c r="Y76" i="2"/>
  <c r="N76" i="2"/>
  <c r="L76" i="2"/>
  <c r="J76" i="2"/>
  <c r="Z76" i="2" s="1"/>
  <c r="AE202" i="2"/>
  <c r="AD202" i="2"/>
  <c r="AA202" i="2"/>
  <c r="Y202" i="2"/>
  <c r="N202" i="2"/>
  <c r="AE225" i="2"/>
  <c r="AM225" i="2" s="1"/>
  <c r="AD225" i="2"/>
  <c r="AL225" i="2" s="1"/>
  <c r="AA225" i="2"/>
  <c r="Y225" i="2"/>
  <c r="N225" i="2"/>
  <c r="L225" i="2"/>
  <c r="J225" i="2"/>
  <c r="Z225" i="2" s="1"/>
  <c r="AE194" i="2"/>
  <c r="AM194" i="2" s="1"/>
  <c r="AD194" i="2"/>
  <c r="AA194" i="2"/>
  <c r="Y194" i="2"/>
  <c r="N194" i="2"/>
  <c r="L194" i="2"/>
  <c r="J194" i="2"/>
  <c r="Z194" i="2" s="1"/>
  <c r="AE128" i="2"/>
  <c r="AM128" i="2" s="1"/>
  <c r="AD128" i="2"/>
  <c r="H128" i="2" s="1"/>
  <c r="AA128" i="2"/>
  <c r="Y128" i="2"/>
  <c r="N128" i="2"/>
  <c r="L128" i="2"/>
  <c r="J128" i="2"/>
  <c r="Z128" i="2" s="1"/>
  <c r="AE16" i="2"/>
  <c r="AM16" i="2" s="1"/>
  <c r="AD16" i="2"/>
  <c r="AL16" i="2" s="1"/>
  <c r="AA16" i="2"/>
  <c r="Y16" i="2"/>
  <c r="N16" i="2"/>
  <c r="L16" i="2"/>
  <c r="J16" i="2"/>
  <c r="Z16" i="2" s="1"/>
  <c r="AE278" i="2"/>
  <c r="AM278" i="2" s="1"/>
  <c r="AD278" i="2"/>
  <c r="AL278" i="2" s="1"/>
  <c r="AA278" i="2"/>
  <c r="Y278" i="2"/>
  <c r="L278" i="2"/>
  <c r="J278" i="2"/>
  <c r="Z278" i="2" s="1"/>
  <c r="L277" i="2"/>
  <c r="AE277" i="2"/>
  <c r="AM277" i="2" s="1"/>
  <c r="AD277" i="2"/>
  <c r="AL277" i="2" s="1"/>
  <c r="AA277" i="2"/>
  <c r="Y277" i="2"/>
  <c r="L212" i="2"/>
  <c r="AS36" i="2"/>
  <c r="K246" i="2"/>
  <c r="L270" i="2"/>
  <c r="L273" i="2"/>
  <c r="L272" i="2"/>
  <c r="AE271" i="2"/>
  <c r="AM271" i="2" s="1"/>
  <c r="AD271" i="2"/>
  <c r="H271" i="2" s="1"/>
  <c r="AA271" i="2"/>
  <c r="Y271" i="2"/>
  <c r="N271" i="2"/>
  <c r="J271" i="2"/>
  <c r="Z271" i="2" s="1"/>
  <c r="G57" i="3"/>
  <c r="G58" i="3" s="1"/>
  <c r="G42" i="3"/>
  <c r="BA42" i="3" s="1"/>
  <c r="G43" i="3"/>
  <c r="BA43" i="3" s="1"/>
  <c r="G44" i="3"/>
  <c r="BA44" i="3" s="1"/>
  <c r="G45" i="3"/>
  <c r="BA45" i="3" s="1"/>
  <c r="G46" i="3"/>
  <c r="BA46" i="3" s="1"/>
  <c r="G47" i="3"/>
  <c r="BA47" i="3" s="1"/>
  <c r="G48" i="3"/>
  <c r="BA48" i="3" s="1"/>
  <c r="G49" i="3"/>
  <c r="AZ49" i="3" s="1"/>
  <c r="G50" i="3"/>
  <c r="AZ50" i="3" s="1"/>
  <c r="G51" i="3"/>
  <c r="AZ51" i="3" s="1"/>
  <c r="G52" i="3"/>
  <c r="BA52" i="3" s="1"/>
  <c r="G53" i="3"/>
  <c r="BA53" i="3" s="1"/>
  <c r="G54" i="3"/>
  <c r="AZ54" i="3" s="1"/>
  <c r="G14" i="3"/>
  <c r="BA14" i="3" s="1"/>
  <c r="G15" i="3"/>
  <c r="AZ15" i="3" s="1"/>
  <c r="G16" i="3"/>
  <c r="BA16" i="3" s="1"/>
  <c r="G17" i="3"/>
  <c r="AZ17" i="3" s="1"/>
  <c r="G18" i="3"/>
  <c r="BA18" i="3" s="1"/>
  <c r="G19" i="3"/>
  <c r="BA19" i="3" s="1"/>
  <c r="G20" i="3"/>
  <c r="BA20" i="3" s="1"/>
  <c r="G21" i="3"/>
  <c r="BA21" i="3" s="1"/>
  <c r="G22" i="3"/>
  <c r="BA22" i="3" s="1"/>
  <c r="G23" i="3"/>
  <c r="BA23" i="3" s="1"/>
  <c r="G24" i="3"/>
  <c r="AZ24" i="3" s="1"/>
  <c r="G25" i="3"/>
  <c r="BA25" i="3" s="1"/>
  <c r="G26" i="3"/>
  <c r="BA26" i="3" s="1"/>
  <c r="G27" i="3"/>
  <c r="AZ27" i="3" s="1"/>
  <c r="G28" i="3"/>
  <c r="BA28" i="3" s="1"/>
  <c r="G29" i="3"/>
  <c r="BA29" i="3" s="1"/>
  <c r="G30" i="3"/>
  <c r="BA30" i="3" s="1"/>
  <c r="G31" i="3"/>
  <c r="BA31" i="3" s="1"/>
  <c r="G32" i="3"/>
  <c r="BA32" i="3" s="1"/>
  <c r="G33" i="3"/>
  <c r="BA33" i="3" s="1"/>
  <c r="G39" i="3"/>
  <c r="BA39" i="3" s="1"/>
  <c r="G11" i="3"/>
  <c r="G12" i="3" s="1"/>
  <c r="G8" i="3"/>
  <c r="G9" i="3" s="1"/>
  <c r="L171" i="2"/>
  <c r="J176" i="2"/>
  <c r="J177" i="2"/>
  <c r="Z177" i="2" s="1"/>
  <c r="J175" i="2"/>
  <c r="Z175" i="2" s="1"/>
  <c r="J28" i="2"/>
  <c r="L288" i="2"/>
  <c r="K36" i="2"/>
  <c r="J273" i="2"/>
  <c r="Z273" i="2" s="1"/>
  <c r="J304" i="2"/>
  <c r="Z304" i="2" s="1"/>
  <c r="J301" i="2"/>
  <c r="N301" i="2" s="1"/>
  <c r="J289" i="2"/>
  <c r="Z289" i="2" s="1"/>
  <c r="J290" i="2"/>
  <c r="J291" i="2"/>
  <c r="J266" i="2"/>
  <c r="Z266" i="2" s="1"/>
  <c r="J267" i="2"/>
  <c r="Z267" i="2" s="1"/>
  <c r="J268" i="2"/>
  <c r="Z268" i="2" s="1"/>
  <c r="J269" i="2"/>
  <c r="Z269" i="2" s="1"/>
  <c r="J270" i="2"/>
  <c r="Z270" i="2" s="1"/>
  <c r="J274" i="2"/>
  <c r="Z274" i="2" s="1"/>
  <c r="J275" i="2"/>
  <c r="Z275" i="2" s="1"/>
  <c r="J237" i="2"/>
  <c r="J238" i="2"/>
  <c r="Z238" i="2" s="1"/>
  <c r="J241" i="2"/>
  <c r="J243" i="2"/>
  <c r="J217" i="2"/>
  <c r="J203" i="2"/>
  <c r="J198" i="2"/>
  <c r="J181" i="2"/>
  <c r="Z181" i="2" s="1"/>
  <c r="J183" i="2"/>
  <c r="Z183" i="2" s="1"/>
  <c r="J186" i="2"/>
  <c r="J187" i="2"/>
  <c r="Z187" i="2" s="1"/>
  <c r="J191" i="2"/>
  <c r="Z191" i="2" s="1"/>
  <c r="J192" i="2"/>
  <c r="Z192" i="2" s="1"/>
  <c r="J193" i="2"/>
  <c r="Z193" i="2" s="1"/>
  <c r="J195" i="2"/>
  <c r="J138" i="2"/>
  <c r="Z138" i="2" s="1"/>
  <c r="J140" i="2"/>
  <c r="Z140" i="2" s="1"/>
  <c r="J142" i="2"/>
  <c r="J147" i="2"/>
  <c r="J148" i="2"/>
  <c r="J149" i="2"/>
  <c r="Z149" i="2" s="1"/>
  <c r="J151" i="2"/>
  <c r="Z151" i="2" s="1"/>
  <c r="J152" i="2"/>
  <c r="Z152" i="2" s="1"/>
  <c r="J153" i="2"/>
  <c r="J154" i="2"/>
  <c r="Z154" i="2" s="1"/>
  <c r="J155" i="2"/>
  <c r="Z155" i="2" s="1"/>
  <c r="J156" i="2"/>
  <c r="Z156" i="2" s="1"/>
  <c r="J157" i="2"/>
  <c r="Z157" i="2" s="1"/>
  <c r="J158" i="2"/>
  <c r="Z158" i="2" s="1"/>
  <c r="J159" i="2"/>
  <c r="Z159" i="2" s="1"/>
  <c r="J160" i="2"/>
  <c r="Z160" i="2" s="1"/>
  <c r="J161" i="2"/>
  <c r="Z161" i="2" s="1"/>
  <c r="J163" i="2"/>
  <c r="Z163" i="2" s="1"/>
  <c r="J166" i="2"/>
  <c r="Z166" i="2" s="1"/>
  <c r="J167" i="2"/>
  <c r="Z167" i="2" s="1"/>
  <c r="J169" i="2"/>
  <c r="Z169" i="2" s="1"/>
  <c r="J136" i="2"/>
  <c r="Z136" i="2" s="1"/>
  <c r="J130" i="2"/>
  <c r="Z130" i="2" s="1"/>
  <c r="J127" i="2"/>
  <c r="J74" i="2"/>
  <c r="Z74" i="2" s="1"/>
  <c r="J77" i="2"/>
  <c r="Z77" i="2" s="1"/>
  <c r="J78" i="2"/>
  <c r="J80" i="2"/>
  <c r="J81" i="2"/>
  <c r="Z81" i="2" s="1"/>
  <c r="J82" i="2"/>
  <c r="J83" i="2"/>
  <c r="Z83" i="2" s="1"/>
  <c r="J84" i="2"/>
  <c r="Z84" i="2" s="1"/>
  <c r="J85" i="2"/>
  <c r="Z85" i="2" s="1"/>
  <c r="J86" i="2"/>
  <c r="J87" i="2"/>
  <c r="Z87" i="2" s="1"/>
  <c r="J88" i="2"/>
  <c r="Z88" i="2" s="1"/>
  <c r="J89" i="2"/>
  <c r="Z89" i="2" s="1"/>
  <c r="J90" i="2"/>
  <c r="Z90" i="2" s="1"/>
  <c r="J91" i="2"/>
  <c r="Z91" i="2" s="1"/>
  <c r="J92" i="2"/>
  <c r="J93" i="2"/>
  <c r="Z93" i="2" s="1"/>
  <c r="J94" i="2"/>
  <c r="Z94" i="2" s="1"/>
  <c r="J95" i="2"/>
  <c r="Z95" i="2" s="1"/>
  <c r="J96" i="2"/>
  <c r="Z96" i="2" s="1"/>
  <c r="J101" i="2"/>
  <c r="J102" i="2"/>
  <c r="Z102" i="2" s="1"/>
  <c r="J105" i="2"/>
  <c r="J106" i="2"/>
  <c r="Z106" i="2" s="1"/>
  <c r="J107" i="2"/>
  <c r="Z107" i="2" s="1"/>
  <c r="J108" i="2"/>
  <c r="J109" i="2"/>
  <c r="Z109" i="2" s="1"/>
  <c r="J110" i="2"/>
  <c r="Z110" i="2" s="1"/>
  <c r="J111" i="2"/>
  <c r="Z111" i="2" s="1"/>
  <c r="J112" i="2"/>
  <c r="Z112" i="2" s="1"/>
  <c r="J113" i="2"/>
  <c r="Z113" i="2" s="1"/>
  <c r="J114" i="2"/>
  <c r="Z114" i="2" s="1"/>
  <c r="J115" i="2"/>
  <c r="Z115" i="2" s="1"/>
  <c r="J116" i="2"/>
  <c r="Z116" i="2" s="1"/>
  <c r="J117" i="2"/>
  <c r="Z117" i="2" s="1"/>
  <c r="J118" i="2"/>
  <c r="J119" i="2"/>
  <c r="Z119" i="2" s="1"/>
  <c r="J120" i="2"/>
  <c r="Z120" i="2" s="1"/>
  <c r="J121" i="2"/>
  <c r="J122" i="2"/>
  <c r="Z122" i="2" s="1"/>
  <c r="J123" i="2"/>
  <c r="Z123" i="2" s="1"/>
  <c r="J124" i="2"/>
  <c r="Z124" i="2" s="1"/>
  <c r="J73" i="2"/>
  <c r="J43" i="2"/>
  <c r="Z43" i="2" s="1"/>
  <c r="J47" i="2"/>
  <c r="Z47" i="2" s="1"/>
  <c r="J58" i="2"/>
  <c r="Z58" i="2" s="1"/>
  <c r="J36" i="2"/>
  <c r="Z36" i="2" s="1"/>
  <c r="J27" i="2"/>
  <c r="J14" i="2"/>
  <c r="Z14" i="2" s="1"/>
  <c r="J13" i="2"/>
  <c r="Y302" i="2"/>
  <c r="AA302" i="2"/>
  <c r="AD302" i="2"/>
  <c r="AE302" i="2"/>
  <c r="AD14" i="2"/>
  <c r="AL14" i="2" s="1"/>
  <c r="AE14" i="2"/>
  <c r="AM14" i="2" s="1"/>
  <c r="AD15" i="2"/>
  <c r="H15" i="2" s="1"/>
  <c r="AE15" i="2"/>
  <c r="AM15" i="2" s="1"/>
  <c r="AD19" i="2"/>
  <c r="AL19" i="2" s="1"/>
  <c r="AE19" i="2"/>
  <c r="AM19" i="2" s="1"/>
  <c r="AD23" i="2"/>
  <c r="H23" i="2" s="1"/>
  <c r="AE23" i="2"/>
  <c r="AM23" i="2" s="1"/>
  <c r="AD24" i="2"/>
  <c r="AE24" i="2"/>
  <c r="AM24" i="2" s="1"/>
  <c r="AD25" i="2"/>
  <c r="AL25" i="2" s="1"/>
  <c r="AE25" i="2"/>
  <c r="AM25" i="2" s="1"/>
  <c r="AD27" i="2"/>
  <c r="H27" i="2" s="1"/>
  <c r="AE27" i="2"/>
  <c r="AM27" i="2" s="1"/>
  <c r="AD28" i="2"/>
  <c r="AL28" i="2" s="1"/>
  <c r="AE28" i="2"/>
  <c r="AM28" i="2" s="1"/>
  <c r="AD29" i="2"/>
  <c r="AL29" i="2" s="1"/>
  <c r="AE29" i="2"/>
  <c r="AM29" i="2" s="1"/>
  <c r="AD36" i="2"/>
  <c r="H36" i="2" s="1"/>
  <c r="AE36" i="2"/>
  <c r="AM36" i="2" s="1"/>
  <c r="AD37" i="2"/>
  <c r="AE37" i="2"/>
  <c r="AD38" i="2"/>
  <c r="AE38" i="2"/>
  <c r="AD39" i="2"/>
  <c r="AE39" i="2"/>
  <c r="AD41" i="2"/>
  <c r="AL41" i="2" s="1"/>
  <c r="AE41" i="2"/>
  <c r="AM41" i="2" s="1"/>
  <c r="AD42" i="2"/>
  <c r="AE42" i="2"/>
  <c r="AD43" i="2"/>
  <c r="H43" i="2" s="1"/>
  <c r="AE43" i="2"/>
  <c r="AM43" i="2" s="1"/>
  <c r="AD45" i="2"/>
  <c r="AE45" i="2"/>
  <c r="AD46" i="2"/>
  <c r="AE46" i="2"/>
  <c r="AD47" i="2"/>
  <c r="AE47" i="2"/>
  <c r="AM47" i="2" s="1"/>
  <c r="AD48" i="2"/>
  <c r="AL48" i="2" s="1"/>
  <c r="AE48" i="2"/>
  <c r="AM48" i="2" s="1"/>
  <c r="AD49" i="2"/>
  <c r="AE49" i="2"/>
  <c r="AD50" i="2"/>
  <c r="AE50" i="2"/>
  <c r="AD51" i="2"/>
  <c r="AE51" i="2"/>
  <c r="AD52" i="2"/>
  <c r="AE52" i="2"/>
  <c r="AD53" i="2"/>
  <c r="AE53" i="2"/>
  <c r="AD54" i="2"/>
  <c r="AL54" i="2" s="1"/>
  <c r="AE54" i="2"/>
  <c r="AM54" i="2" s="1"/>
  <c r="AD55" i="2"/>
  <c r="H55" i="2" s="1"/>
  <c r="AE55" i="2"/>
  <c r="AM55" i="2" s="1"/>
  <c r="AD56" i="2"/>
  <c r="H56" i="2" s="1"/>
  <c r="AE56" i="2"/>
  <c r="AM56" i="2" s="1"/>
  <c r="AD57" i="2"/>
  <c r="AE57" i="2"/>
  <c r="AM57" i="2" s="1"/>
  <c r="AD58" i="2"/>
  <c r="AL58" i="2" s="1"/>
  <c r="AE58" i="2"/>
  <c r="AM58" i="2" s="1"/>
  <c r="AD64" i="2"/>
  <c r="AE64" i="2"/>
  <c r="AD65" i="2"/>
  <c r="AE65" i="2"/>
  <c r="AD67" i="2"/>
  <c r="AE67" i="2"/>
  <c r="AD68" i="2"/>
  <c r="H68" i="2" s="1"/>
  <c r="AE68" i="2"/>
  <c r="AM68" i="2" s="1"/>
  <c r="AD69" i="2"/>
  <c r="AL69" i="2" s="1"/>
  <c r="AE69" i="2"/>
  <c r="AD71" i="2"/>
  <c r="AL71" i="2" s="1"/>
  <c r="AE71" i="2"/>
  <c r="AM71" i="2" s="1"/>
  <c r="AD73" i="2"/>
  <c r="AL73" i="2" s="1"/>
  <c r="AE73" i="2"/>
  <c r="AM73" i="2" s="1"/>
  <c r="AD74" i="2"/>
  <c r="H74" i="2" s="1"/>
  <c r="AE74" i="2"/>
  <c r="AM74" i="2" s="1"/>
  <c r="AD77" i="2"/>
  <c r="AL77" i="2" s="1"/>
  <c r="AE77" i="2"/>
  <c r="AM77" i="2" s="1"/>
  <c r="AD78" i="2"/>
  <c r="AL78" i="2" s="1"/>
  <c r="AE78" i="2"/>
  <c r="AM78" i="2" s="1"/>
  <c r="AD80" i="2"/>
  <c r="AL80" i="2" s="1"/>
  <c r="AE80" i="2"/>
  <c r="AM80" i="2" s="1"/>
  <c r="AD81" i="2"/>
  <c r="H81" i="2" s="1"/>
  <c r="AE81" i="2"/>
  <c r="AM81" i="2" s="1"/>
  <c r="AD82" i="2"/>
  <c r="AL82" i="2" s="1"/>
  <c r="AE82" i="2"/>
  <c r="AM82" i="2" s="1"/>
  <c r="AD83" i="2"/>
  <c r="H83" i="2" s="1"/>
  <c r="AE83" i="2"/>
  <c r="AM83" i="2" s="1"/>
  <c r="AD84" i="2"/>
  <c r="H84" i="2" s="1"/>
  <c r="AE84" i="2"/>
  <c r="AM84" i="2" s="1"/>
  <c r="AD85" i="2"/>
  <c r="H85" i="2" s="1"/>
  <c r="AE85" i="2"/>
  <c r="AM85" i="2" s="1"/>
  <c r="AD86" i="2"/>
  <c r="AL86" i="2" s="1"/>
  <c r="AE86" i="2"/>
  <c r="AM86" i="2" s="1"/>
  <c r="AD87" i="2"/>
  <c r="AL87" i="2" s="1"/>
  <c r="AE87" i="2"/>
  <c r="AM87" i="2" s="1"/>
  <c r="AD88" i="2"/>
  <c r="AE88" i="2"/>
  <c r="AM88" i="2" s="1"/>
  <c r="AD89" i="2"/>
  <c r="AL89" i="2" s="1"/>
  <c r="AE89" i="2"/>
  <c r="AM89" i="2" s="1"/>
  <c r="AD90" i="2"/>
  <c r="H90" i="2" s="1"/>
  <c r="AE90" i="2"/>
  <c r="AM90" i="2" s="1"/>
  <c r="AD91" i="2"/>
  <c r="AL91" i="2" s="1"/>
  <c r="AE91" i="2"/>
  <c r="AM91" i="2" s="1"/>
  <c r="AD92" i="2"/>
  <c r="AL92" i="2" s="1"/>
  <c r="AE92" i="2"/>
  <c r="AM92" i="2" s="1"/>
  <c r="AD93" i="2"/>
  <c r="AL93" i="2" s="1"/>
  <c r="AE93" i="2"/>
  <c r="AM93" i="2" s="1"/>
  <c r="AD94" i="2"/>
  <c r="AL94" i="2" s="1"/>
  <c r="AE94" i="2"/>
  <c r="AM94" i="2" s="1"/>
  <c r="AD95" i="2"/>
  <c r="AL95" i="2" s="1"/>
  <c r="AE95" i="2"/>
  <c r="AM95" i="2" s="1"/>
  <c r="AD96" i="2"/>
  <c r="AL96" i="2" s="1"/>
  <c r="AE96" i="2"/>
  <c r="AM96" i="2" s="1"/>
  <c r="AD101" i="2"/>
  <c r="AE101" i="2"/>
  <c r="AM101" i="2" s="1"/>
  <c r="AD102" i="2"/>
  <c r="H102" i="2" s="1"/>
  <c r="AE102" i="2"/>
  <c r="AM102" i="2" s="1"/>
  <c r="AD105" i="2"/>
  <c r="H105" i="2" s="1"/>
  <c r="AE105" i="2"/>
  <c r="AM105" i="2" s="1"/>
  <c r="AD106" i="2"/>
  <c r="AL106" i="2" s="1"/>
  <c r="AE106" i="2"/>
  <c r="AM106" i="2" s="1"/>
  <c r="AD107" i="2"/>
  <c r="H107" i="2" s="1"/>
  <c r="AE107" i="2"/>
  <c r="AM107" i="2" s="1"/>
  <c r="AD108" i="2"/>
  <c r="H108" i="2" s="1"/>
  <c r="AE108" i="2"/>
  <c r="AM108" i="2" s="1"/>
  <c r="AD109" i="2"/>
  <c r="AL109" i="2" s="1"/>
  <c r="AE109" i="2"/>
  <c r="AM109" i="2" s="1"/>
  <c r="AD110" i="2"/>
  <c r="AL110" i="2" s="1"/>
  <c r="AE110" i="2"/>
  <c r="AM110" i="2" s="1"/>
  <c r="AD111" i="2"/>
  <c r="AL111" i="2" s="1"/>
  <c r="AE111" i="2"/>
  <c r="AM111" i="2" s="1"/>
  <c r="AD112" i="2"/>
  <c r="AL112" i="2" s="1"/>
  <c r="AE112" i="2"/>
  <c r="AM112" i="2" s="1"/>
  <c r="AD113" i="2"/>
  <c r="AL113" i="2" s="1"/>
  <c r="AE113" i="2"/>
  <c r="AM113" i="2" s="1"/>
  <c r="AD114" i="2"/>
  <c r="AL114" i="2" s="1"/>
  <c r="AE114" i="2"/>
  <c r="AM114" i="2" s="1"/>
  <c r="AD115" i="2"/>
  <c r="AE115" i="2"/>
  <c r="AM115" i="2" s="1"/>
  <c r="AD116" i="2"/>
  <c r="H116" i="2" s="1"/>
  <c r="AE116" i="2"/>
  <c r="AM116" i="2" s="1"/>
  <c r="AD117" i="2"/>
  <c r="H117" i="2" s="1"/>
  <c r="AE117" i="2"/>
  <c r="AM117" i="2" s="1"/>
  <c r="AD118" i="2"/>
  <c r="AL118" i="2" s="1"/>
  <c r="AE118" i="2"/>
  <c r="AM118" i="2" s="1"/>
  <c r="AD119" i="2"/>
  <c r="AL119" i="2" s="1"/>
  <c r="AE119" i="2"/>
  <c r="AM119" i="2" s="1"/>
  <c r="AD120" i="2"/>
  <c r="H120" i="2" s="1"/>
  <c r="AE120" i="2"/>
  <c r="AM120" i="2" s="1"/>
  <c r="AD121" i="2"/>
  <c r="AL121" i="2" s="1"/>
  <c r="AE121" i="2"/>
  <c r="AM121" i="2" s="1"/>
  <c r="AD122" i="2"/>
  <c r="AL122" i="2" s="1"/>
  <c r="AE122" i="2"/>
  <c r="AM122" i="2" s="1"/>
  <c r="AD123" i="2"/>
  <c r="AL123" i="2" s="1"/>
  <c r="AE123" i="2"/>
  <c r="AM123" i="2" s="1"/>
  <c r="AD124" i="2"/>
  <c r="AL124" i="2" s="1"/>
  <c r="AE124" i="2"/>
  <c r="AM124" i="2" s="1"/>
  <c r="AD127" i="2"/>
  <c r="H127" i="2" s="1"/>
  <c r="AE127" i="2"/>
  <c r="AM127" i="2" s="1"/>
  <c r="AD130" i="2"/>
  <c r="H130" i="2" s="1"/>
  <c r="AE130" i="2"/>
  <c r="AM130" i="2" s="1"/>
  <c r="AD131" i="2"/>
  <c r="AL131" i="2" s="1"/>
  <c r="AE131" i="2"/>
  <c r="AM131" i="2" s="1"/>
  <c r="AD133" i="2"/>
  <c r="AL133" i="2" s="1"/>
  <c r="AE133" i="2"/>
  <c r="AM133" i="2" s="1"/>
  <c r="AD136" i="2"/>
  <c r="AL136" i="2" s="1"/>
  <c r="AE136" i="2"/>
  <c r="AM136" i="2" s="1"/>
  <c r="AD137" i="2"/>
  <c r="AL137" i="2" s="1"/>
  <c r="AE137" i="2"/>
  <c r="AD138" i="2"/>
  <c r="H138" i="2" s="1"/>
  <c r="AE138" i="2"/>
  <c r="AM138" i="2" s="1"/>
  <c r="AD139" i="2"/>
  <c r="AL139" i="2" s="1"/>
  <c r="AE139" i="2"/>
  <c r="AM139" i="2" s="1"/>
  <c r="AD140" i="2"/>
  <c r="AL140" i="2" s="1"/>
  <c r="AE140" i="2"/>
  <c r="AM140" i="2" s="1"/>
  <c r="AD141" i="2"/>
  <c r="H141" i="2" s="1"/>
  <c r="AE141" i="2"/>
  <c r="AM141" i="2" s="1"/>
  <c r="AD142" i="2"/>
  <c r="AL142" i="2" s="1"/>
  <c r="AE142" i="2"/>
  <c r="AM142" i="2" s="1"/>
  <c r="AD143" i="2"/>
  <c r="AE143" i="2"/>
  <c r="AD144" i="2"/>
  <c r="H144" i="2" s="1"/>
  <c r="AE144" i="2"/>
  <c r="AM144" i="2" s="1"/>
  <c r="AD145" i="2"/>
  <c r="H145" i="2" s="1"/>
  <c r="AE145" i="2"/>
  <c r="AM145" i="2" s="1"/>
  <c r="AD146" i="2"/>
  <c r="AE146" i="2"/>
  <c r="AD147" i="2"/>
  <c r="H147" i="2" s="1"/>
  <c r="AE147" i="2"/>
  <c r="AM147" i="2" s="1"/>
  <c r="AD148" i="2"/>
  <c r="AE148" i="2"/>
  <c r="AM148" i="2" s="1"/>
  <c r="AD149" i="2"/>
  <c r="AL149" i="2" s="1"/>
  <c r="AE149" i="2"/>
  <c r="AM149" i="2" s="1"/>
  <c r="AD150" i="2"/>
  <c r="AE150" i="2"/>
  <c r="AD151" i="2"/>
  <c r="H151" i="2" s="1"/>
  <c r="I151" i="2" s="1"/>
  <c r="AE151" i="2"/>
  <c r="AM151" i="2" s="1"/>
  <c r="AD152" i="2"/>
  <c r="H152" i="2" s="1"/>
  <c r="AE152" i="2"/>
  <c r="AM152" i="2" s="1"/>
  <c r="AD153" i="2"/>
  <c r="AL153" i="2" s="1"/>
  <c r="AE153" i="2"/>
  <c r="AM153" i="2" s="1"/>
  <c r="AD154" i="2"/>
  <c r="AE154" i="2"/>
  <c r="AM154" i="2" s="1"/>
  <c r="AD155" i="2"/>
  <c r="AL155" i="2" s="1"/>
  <c r="AE155" i="2"/>
  <c r="AM155" i="2" s="1"/>
  <c r="AD156" i="2"/>
  <c r="H156" i="2" s="1"/>
  <c r="AE156" i="2"/>
  <c r="AM156" i="2" s="1"/>
  <c r="AD157" i="2"/>
  <c r="H157" i="2" s="1"/>
  <c r="AE157" i="2"/>
  <c r="AM157" i="2" s="1"/>
  <c r="AD158" i="2"/>
  <c r="AL158" i="2" s="1"/>
  <c r="AE158" i="2"/>
  <c r="AM158" i="2" s="1"/>
  <c r="AD159" i="2"/>
  <c r="H159" i="2" s="1"/>
  <c r="AE159" i="2"/>
  <c r="AM159" i="2" s="1"/>
  <c r="AD160" i="2"/>
  <c r="AL160" i="2" s="1"/>
  <c r="AE160" i="2"/>
  <c r="AM160" i="2" s="1"/>
  <c r="AD161" i="2"/>
  <c r="AE161" i="2"/>
  <c r="AM161" i="2" s="1"/>
  <c r="AD162" i="2"/>
  <c r="H162" i="2" s="1"/>
  <c r="AE162" i="2"/>
  <c r="AM162" i="2" s="1"/>
  <c r="AD163" i="2"/>
  <c r="H163" i="2" s="1"/>
  <c r="AE163" i="2"/>
  <c r="AM163" i="2" s="1"/>
  <c r="AD166" i="2"/>
  <c r="H166" i="2" s="1"/>
  <c r="AE166" i="2"/>
  <c r="AM166" i="2" s="1"/>
  <c r="AD167" i="2"/>
  <c r="AE167" i="2"/>
  <c r="AM167" i="2" s="1"/>
  <c r="AD168" i="2"/>
  <c r="AL168" i="2" s="1"/>
  <c r="AE168" i="2"/>
  <c r="AM168" i="2" s="1"/>
  <c r="AD169" i="2"/>
  <c r="H169" i="2" s="1"/>
  <c r="AE169" i="2"/>
  <c r="AM169" i="2" s="1"/>
  <c r="AD170" i="2"/>
  <c r="AL170" i="2" s="1"/>
  <c r="AE170" i="2"/>
  <c r="AM170" i="2" s="1"/>
  <c r="AD171" i="2"/>
  <c r="AL171" i="2" s="1"/>
  <c r="AE171" i="2"/>
  <c r="AD175" i="2"/>
  <c r="H175" i="2" s="1"/>
  <c r="AE175" i="2"/>
  <c r="AM175" i="2" s="1"/>
  <c r="AD176" i="2"/>
  <c r="H176" i="2" s="1"/>
  <c r="AE176" i="2"/>
  <c r="AM176" i="2" s="1"/>
  <c r="AD177" i="2"/>
  <c r="AL177" i="2" s="1"/>
  <c r="AE177" i="2"/>
  <c r="AM177" i="2" s="1"/>
  <c r="AD180" i="2"/>
  <c r="AL180" i="2" s="1"/>
  <c r="AE180" i="2"/>
  <c r="AM180" i="2" s="1"/>
  <c r="AD181" i="2"/>
  <c r="AE181" i="2"/>
  <c r="AM181" i="2" s="1"/>
  <c r="AD182" i="2"/>
  <c r="AE182" i="2"/>
  <c r="AD183" i="2"/>
  <c r="AL183" i="2" s="1"/>
  <c r="AE183" i="2"/>
  <c r="AM183" i="2" s="1"/>
  <c r="AD184" i="2"/>
  <c r="AE184" i="2"/>
  <c r="AD186" i="2"/>
  <c r="H186" i="2" s="1"/>
  <c r="AE186" i="2"/>
  <c r="AM186" i="2" s="1"/>
  <c r="AD187" i="2"/>
  <c r="AL187" i="2" s="1"/>
  <c r="AE187" i="2"/>
  <c r="AM187" i="2" s="1"/>
  <c r="AD188" i="2"/>
  <c r="AL188" i="2" s="1"/>
  <c r="AE188" i="2"/>
  <c r="AM188" i="2" s="1"/>
  <c r="AD189" i="2"/>
  <c r="AE189" i="2"/>
  <c r="AD190" i="2"/>
  <c r="AE190" i="2"/>
  <c r="AD191" i="2"/>
  <c r="AL191" i="2" s="1"/>
  <c r="AE191" i="2"/>
  <c r="AM191" i="2" s="1"/>
  <c r="AD192" i="2"/>
  <c r="H192" i="2" s="1"/>
  <c r="AE192" i="2"/>
  <c r="AM192" i="2" s="1"/>
  <c r="AD193" i="2"/>
  <c r="H193" i="2" s="1"/>
  <c r="I193" i="2" s="1"/>
  <c r="AE193" i="2"/>
  <c r="AM193" i="2" s="1"/>
  <c r="AD195" i="2"/>
  <c r="AL195" i="2" s="1"/>
  <c r="AE195" i="2"/>
  <c r="AM195" i="2" s="1"/>
  <c r="AD198" i="2"/>
  <c r="AL198" i="2" s="1"/>
  <c r="AE198" i="2"/>
  <c r="AM198" i="2" s="1"/>
  <c r="AD199" i="2"/>
  <c r="H199" i="2" s="1"/>
  <c r="AE199" i="2"/>
  <c r="AM199" i="2" s="1"/>
  <c r="AD201" i="2"/>
  <c r="H201" i="2" s="1"/>
  <c r="AE201" i="2"/>
  <c r="AM201" i="2" s="1"/>
  <c r="AD203" i="2"/>
  <c r="AL203" i="2" s="1"/>
  <c r="AE203" i="2"/>
  <c r="AM203" i="2" s="1"/>
  <c r="AD204" i="2"/>
  <c r="AE204" i="2"/>
  <c r="AD205" i="2"/>
  <c r="AE205" i="2"/>
  <c r="AD207" i="2"/>
  <c r="AE207" i="2"/>
  <c r="AD208" i="2"/>
  <c r="AE208" i="2"/>
  <c r="AM208" i="2" s="1"/>
  <c r="AD209" i="2"/>
  <c r="H209" i="2" s="1"/>
  <c r="AE209" i="2"/>
  <c r="AD210" i="2"/>
  <c r="AE210" i="2"/>
  <c r="AM210" i="2" s="1"/>
  <c r="AD211" i="2"/>
  <c r="AE211" i="2"/>
  <c r="AD213" i="2"/>
  <c r="AE213" i="2"/>
  <c r="AD216" i="2"/>
  <c r="H216" i="2" s="1"/>
  <c r="AE216" i="2"/>
  <c r="AM216" i="2" s="1"/>
  <c r="AD217" i="2"/>
  <c r="H217" i="2" s="1"/>
  <c r="AE217" i="2"/>
  <c r="AM217" i="2" s="1"/>
  <c r="AD218" i="2"/>
  <c r="AE218" i="2"/>
  <c r="AD219" i="2"/>
  <c r="AL219" i="2" s="1"/>
  <c r="AE219" i="2"/>
  <c r="AD220" i="2"/>
  <c r="AE220" i="2"/>
  <c r="AM220" i="2" s="1"/>
  <c r="AD221" i="2"/>
  <c r="AL221" i="2" s="1"/>
  <c r="AE221" i="2"/>
  <c r="AM221" i="2" s="1"/>
  <c r="AD222" i="2"/>
  <c r="AL222" i="2" s="1"/>
  <c r="AE222" i="2"/>
  <c r="AM222" i="2" s="1"/>
  <c r="AD224" i="2"/>
  <c r="AE224" i="2"/>
  <c r="AM224" i="2" s="1"/>
  <c r="AD226" i="2"/>
  <c r="H226" i="2" s="1"/>
  <c r="AE226" i="2"/>
  <c r="AD229" i="2"/>
  <c r="AE229" i="2"/>
  <c r="AD230" i="2"/>
  <c r="AE230" i="2"/>
  <c r="AD231" i="2"/>
  <c r="AL231" i="2" s="1"/>
  <c r="AE231" i="2"/>
  <c r="AM231" i="2" s="1"/>
  <c r="AD232" i="2"/>
  <c r="AE232" i="2"/>
  <c r="AD233" i="2"/>
  <c r="AE233" i="2"/>
  <c r="AD234" i="2"/>
  <c r="AE234" i="2"/>
  <c r="AD236" i="2"/>
  <c r="AE236" i="2"/>
  <c r="AD237" i="2"/>
  <c r="H237" i="2" s="1"/>
  <c r="AE237" i="2"/>
  <c r="AM237" i="2" s="1"/>
  <c r="AD238" i="2"/>
  <c r="H238" i="2" s="1"/>
  <c r="AE238" i="2"/>
  <c r="AM238" i="2" s="1"/>
  <c r="AD239" i="2"/>
  <c r="AE239" i="2"/>
  <c r="AD240" i="2"/>
  <c r="AE240" i="2"/>
  <c r="AD241" i="2"/>
  <c r="AE241" i="2"/>
  <c r="AM241" i="2" s="1"/>
  <c r="AD242" i="2"/>
  <c r="AE242" i="2"/>
  <c r="AD243" i="2"/>
  <c r="H243" i="2" s="1"/>
  <c r="AE243" i="2"/>
  <c r="AM243" i="2" s="1"/>
  <c r="AD245" i="2"/>
  <c r="AE245" i="2"/>
  <c r="AD250" i="2"/>
  <c r="AL250" i="2" s="1"/>
  <c r="AE250" i="2"/>
  <c r="AD251" i="2"/>
  <c r="AE251" i="2"/>
  <c r="AD253" i="2"/>
  <c r="AE253" i="2"/>
  <c r="AM253" i="2" s="1"/>
  <c r="AD254" i="2"/>
  <c r="AL254" i="2" s="1"/>
  <c r="AE254" i="2"/>
  <c r="AM254" i="2" s="1"/>
  <c r="AD255" i="2"/>
  <c r="AE255" i="2"/>
  <c r="AD265" i="2"/>
  <c r="AE265" i="2"/>
  <c r="AD266" i="2"/>
  <c r="H266" i="2" s="1"/>
  <c r="AE266" i="2"/>
  <c r="AM266" i="2" s="1"/>
  <c r="AD267" i="2"/>
  <c r="H267" i="2" s="1"/>
  <c r="AE267" i="2"/>
  <c r="AM267" i="2" s="1"/>
  <c r="AD268" i="2"/>
  <c r="H268" i="2" s="1"/>
  <c r="AE268" i="2"/>
  <c r="AM268" i="2" s="1"/>
  <c r="AD269" i="2"/>
  <c r="H269" i="2" s="1"/>
  <c r="AE269" i="2"/>
  <c r="AM269" i="2" s="1"/>
  <c r="AD270" i="2"/>
  <c r="AL270" i="2" s="1"/>
  <c r="AE270" i="2"/>
  <c r="AM270" i="2" s="1"/>
  <c r="AD272" i="2"/>
  <c r="H272" i="2" s="1"/>
  <c r="AE272" i="2"/>
  <c r="AM272" i="2" s="1"/>
  <c r="AD273" i="2"/>
  <c r="H273" i="2" s="1"/>
  <c r="AE273" i="2"/>
  <c r="AM273" i="2" s="1"/>
  <c r="AD274" i="2"/>
  <c r="H274" i="2" s="1"/>
  <c r="AE274" i="2"/>
  <c r="AM274" i="2" s="1"/>
  <c r="AD275" i="2"/>
  <c r="AL275" i="2" s="1"/>
  <c r="AE275" i="2"/>
  <c r="AM275" i="2" s="1"/>
  <c r="AD281" i="2"/>
  <c r="AL281" i="2" s="1"/>
  <c r="AE281" i="2"/>
  <c r="AM281" i="2" s="1"/>
  <c r="AD282" i="2"/>
  <c r="AL282" i="2" s="1"/>
  <c r="AE282" i="2"/>
  <c r="AD283" i="2"/>
  <c r="H283" i="2" s="1"/>
  <c r="AE283" i="2"/>
  <c r="AM283" i="2" s="1"/>
  <c r="AD284" i="2"/>
  <c r="AL284" i="2" s="1"/>
  <c r="AE284" i="2"/>
  <c r="AM284" i="2" s="1"/>
  <c r="AD285" i="2"/>
  <c r="H285" i="2" s="1"/>
  <c r="AE285" i="2"/>
  <c r="AM285" i="2" s="1"/>
  <c r="AD289" i="2"/>
  <c r="AL289" i="2" s="1"/>
  <c r="AE289" i="2"/>
  <c r="AM289" i="2" s="1"/>
  <c r="AD290" i="2"/>
  <c r="AL290" i="2" s="1"/>
  <c r="AE290" i="2"/>
  <c r="AM290" i="2" s="1"/>
  <c r="AD291" i="2"/>
  <c r="AL291" i="2" s="1"/>
  <c r="AE291" i="2"/>
  <c r="AM291" i="2" s="1"/>
  <c r="AD293" i="2"/>
  <c r="AE293" i="2"/>
  <c r="AD294" i="2"/>
  <c r="AE294" i="2"/>
  <c r="AD295" i="2"/>
  <c r="AE295" i="2"/>
  <c r="AD296" i="2"/>
  <c r="AE296" i="2"/>
  <c r="AD297" i="2"/>
  <c r="AE297" i="2"/>
  <c r="AD298" i="2"/>
  <c r="AE298" i="2"/>
  <c r="AD299" i="2"/>
  <c r="AE299" i="2"/>
  <c r="AD300" i="2"/>
  <c r="AE300" i="2"/>
  <c r="AD301" i="2"/>
  <c r="H301" i="2" s="1"/>
  <c r="AE301" i="2"/>
  <c r="AM301" i="2" s="1"/>
  <c r="AD304" i="2"/>
  <c r="AL304" i="2" s="1"/>
  <c r="AE304" i="2"/>
  <c r="AM304" i="2" s="1"/>
  <c r="AD305" i="2"/>
  <c r="H305" i="2" s="1"/>
  <c r="AE305" i="2"/>
  <c r="AM305" i="2" s="1"/>
  <c r="AD306" i="2"/>
  <c r="H306" i="2" s="1"/>
  <c r="AE306" i="2"/>
  <c r="AM306" i="2" s="1"/>
  <c r="AD307" i="2"/>
  <c r="AL307" i="2" s="1"/>
  <c r="AE307" i="2"/>
  <c r="AM307" i="2" s="1"/>
  <c r="AD310" i="2"/>
  <c r="AL310" i="2" s="1"/>
  <c r="AE310" i="2"/>
  <c r="AM310" i="2" s="1"/>
  <c r="AD311" i="2"/>
  <c r="AL311" i="2" s="1"/>
  <c r="AE311" i="2"/>
  <c r="AM311" i="2" s="1"/>
  <c r="Y14" i="2"/>
  <c r="AA14" i="2"/>
  <c r="Y15" i="2"/>
  <c r="AA15" i="2"/>
  <c r="Y17" i="2"/>
  <c r="AA17" i="2"/>
  <c r="Y18" i="2"/>
  <c r="AA18" i="2"/>
  <c r="Y19" i="2"/>
  <c r="AA19" i="2"/>
  <c r="Y20" i="2"/>
  <c r="AA20" i="2"/>
  <c r="Y21" i="2"/>
  <c r="AA21" i="2"/>
  <c r="Y22" i="2"/>
  <c r="AA22" i="2"/>
  <c r="Y23" i="2"/>
  <c r="AA23" i="2"/>
  <c r="Y24" i="2"/>
  <c r="AA24" i="2"/>
  <c r="Y25" i="2"/>
  <c r="AA25" i="2"/>
  <c r="Y27" i="2"/>
  <c r="AA27" i="2"/>
  <c r="Y28" i="2"/>
  <c r="AA28" i="2"/>
  <c r="Y29" i="2"/>
  <c r="AA29" i="2"/>
  <c r="Y36" i="2"/>
  <c r="AA36" i="2"/>
  <c r="Y37" i="2"/>
  <c r="AA37" i="2"/>
  <c r="Y38" i="2"/>
  <c r="AA38" i="2"/>
  <c r="Y39" i="2"/>
  <c r="AA39" i="2"/>
  <c r="Y40" i="2"/>
  <c r="AA40" i="2"/>
  <c r="Y41" i="2"/>
  <c r="AA41" i="2"/>
  <c r="Y42" i="2"/>
  <c r="AA42" i="2"/>
  <c r="Y43" i="2"/>
  <c r="AA43" i="2"/>
  <c r="Y44" i="2"/>
  <c r="AA44" i="2"/>
  <c r="Y45" i="2"/>
  <c r="AA45" i="2"/>
  <c r="Y46" i="2"/>
  <c r="AA46" i="2"/>
  <c r="Y47" i="2"/>
  <c r="AA47" i="2"/>
  <c r="Y48" i="2"/>
  <c r="AA48" i="2"/>
  <c r="Y49" i="2"/>
  <c r="AA49" i="2"/>
  <c r="Y50" i="2"/>
  <c r="AA50" i="2"/>
  <c r="Y51" i="2"/>
  <c r="AA51" i="2"/>
  <c r="Y52" i="2"/>
  <c r="AA52" i="2"/>
  <c r="Y53" i="2"/>
  <c r="AA53" i="2"/>
  <c r="Y54" i="2"/>
  <c r="AA54" i="2"/>
  <c r="Y55" i="2"/>
  <c r="AA55" i="2"/>
  <c r="Y56" i="2"/>
  <c r="AA56" i="2"/>
  <c r="Y57" i="2"/>
  <c r="AA57" i="2"/>
  <c r="Y58" i="2"/>
  <c r="AA58" i="2"/>
  <c r="Y63" i="2"/>
  <c r="AA63" i="2"/>
  <c r="Y64" i="2"/>
  <c r="AA64" i="2"/>
  <c r="Y65" i="2"/>
  <c r="AA65" i="2"/>
  <c r="Y67" i="2"/>
  <c r="AA67" i="2"/>
  <c r="Y68" i="2"/>
  <c r="AA68" i="2"/>
  <c r="Y69" i="2"/>
  <c r="AA69" i="2"/>
  <c r="Y71" i="2"/>
  <c r="AH70" i="2" s="1"/>
  <c r="AA71" i="2"/>
  <c r="AJ70" i="2" s="1"/>
  <c r="Y73" i="2"/>
  <c r="AA73" i="2"/>
  <c r="Y74" i="2"/>
  <c r="AA74" i="2"/>
  <c r="Y75" i="2"/>
  <c r="AA75" i="2"/>
  <c r="Y77" i="2"/>
  <c r="AA77" i="2"/>
  <c r="Y78" i="2"/>
  <c r="AA78" i="2"/>
  <c r="Y79" i="2"/>
  <c r="AA79" i="2"/>
  <c r="Y80" i="2"/>
  <c r="AA80" i="2"/>
  <c r="Y81" i="2"/>
  <c r="AA81" i="2"/>
  <c r="Y82" i="2"/>
  <c r="AA82" i="2"/>
  <c r="Y83" i="2"/>
  <c r="AA83" i="2"/>
  <c r="Y84" i="2"/>
  <c r="AA84" i="2"/>
  <c r="Y85" i="2"/>
  <c r="AA85" i="2"/>
  <c r="Y86" i="2"/>
  <c r="AA86" i="2"/>
  <c r="Y87" i="2"/>
  <c r="AA87" i="2"/>
  <c r="Y88" i="2"/>
  <c r="AA88" i="2"/>
  <c r="Y89" i="2"/>
  <c r="AA89" i="2"/>
  <c r="Y90" i="2"/>
  <c r="AA90" i="2"/>
  <c r="Y91" i="2"/>
  <c r="AA91" i="2"/>
  <c r="Y92" i="2"/>
  <c r="AA92" i="2"/>
  <c r="Y93" i="2"/>
  <c r="AA93" i="2"/>
  <c r="Y94" i="2"/>
  <c r="AA94" i="2"/>
  <c r="Y95" i="2"/>
  <c r="AA95" i="2"/>
  <c r="Y96" i="2"/>
  <c r="AA96" i="2"/>
  <c r="Y97" i="2"/>
  <c r="AA97" i="2"/>
  <c r="Y98" i="2"/>
  <c r="AA98" i="2"/>
  <c r="Y99" i="2"/>
  <c r="AA99" i="2"/>
  <c r="Y100" i="2"/>
  <c r="AA100" i="2"/>
  <c r="Y101" i="2"/>
  <c r="AA101" i="2"/>
  <c r="Y102" i="2"/>
  <c r="AA102" i="2"/>
  <c r="Y103" i="2"/>
  <c r="AA103" i="2"/>
  <c r="Y104" i="2"/>
  <c r="AA104" i="2"/>
  <c r="Y105" i="2"/>
  <c r="AA105" i="2"/>
  <c r="Y106" i="2"/>
  <c r="AA106" i="2"/>
  <c r="Y107" i="2"/>
  <c r="AA107" i="2"/>
  <c r="Y108" i="2"/>
  <c r="AA108" i="2"/>
  <c r="Y109" i="2"/>
  <c r="AA109" i="2"/>
  <c r="Y110" i="2"/>
  <c r="AA110" i="2"/>
  <c r="Y111" i="2"/>
  <c r="AA111" i="2"/>
  <c r="Y112" i="2"/>
  <c r="AA112" i="2"/>
  <c r="Y113" i="2"/>
  <c r="AA113" i="2"/>
  <c r="Y114" i="2"/>
  <c r="AA114" i="2"/>
  <c r="Y115" i="2"/>
  <c r="AA115" i="2"/>
  <c r="Y116" i="2"/>
  <c r="AA116" i="2"/>
  <c r="Y117" i="2"/>
  <c r="AA117" i="2"/>
  <c r="Y118" i="2"/>
  <c r="AA118" i="2"/>
  <c r="Y119" i="2"/>
  <c r="AA119" i="2"/>
  <c r="Y120" i="2"/>
  <c r="AA120" i="2"/>
  <c r="Y121" i="2"/>
  <c r="AA121" i="2"/>
  <c r="Y122" i="2"/>
  <c r="AA122" i="2"/>
  <c r="Y123" i="2"/>
  <c r="AA123" i="2"/>
  <c r="Y124" i="2"/>
  <c r="AA124" i="2"/>
  <c r="Y125" i="2"/>
  <c r="AA125" i="2"/>
  <c r="Y127" i="2"/>
  <c r="AH126" i="2" s="1"/>
  <c r="AA127" i="2"/>
  <c r="AJ126" i="2" s="1"/>
  <c r="Y130" i="2"/>
  <c r="AA130" i="2"/>
  <c r="Y131" i="2"/>
  <c r="AA131" i="2"/>
  <c r="Y132" i="2"/>
  <c r="AA132" i="2"/>
  <c r="Y133" i="2"/>
  <c r="AA133" i="2"/>
  <c r="Y134" i="2"/>
  <c r="AA134" i="2"/>
  <c r="Y136" i="2"/>
  <c r="AA136" i="2"/>
  <c r="Y137" i="2"/>
  <c r="AA137" i="2"/>
  <c r="Y138" i="2"/>
  <c r="AA138" i="2"/>
  <c r="Y139" i="2"/>
  <c r="AA139" i="2"/>
  <c r="Y140" i="2"/>
  <c r="AA140" i="2"/>
  <c r="Y141" i="2"/>
  <c r="AA141" i="2"/>
  <c r="Y142" i="2"/>
  <c r="AA142" i="2"/>
  <c r="Y143" i="2"/>
  <c r="AA143" i="2"/>
  <c r="Y144" i="2"/>
  <c r="AA144" i="2"/>
  <c r="Y145" i="2"/>
  <c r="AA145" i="2"/>
  <c r="Y146" i="2"/>
  <c r="AA146" i="2"/>
  <c r="Y147" i="2"/>
  <c r="AA147" i="2"/>
  <c r="Y148" i="2"/>
  <c r="AA148" i="2"/>
  <c r="Y149" i="2"/>
  <c r="AA149" i="2"/>
  <c r="Y150" i="2"/>
  <c r="AA150" i="2"/>
  <c r="Y151" i="2"/>
  <c r="AA151" i="2"/>
  <c r="Y152" i="2"/>
  <c r="AA152" i="2"/>
  <c r="Y153" i="2"/>
  <c r="AA153" i="2"/>
  <c r="Y154" i="2"/>
  <c r="AA154" i="2"/>
  <c r="Y155" i="2"/>
  <c r="AA155" i="2"/>
  <c r="Y156" i="2"/>
  <c r="AA156" i="2"/>
  <c r="Y157" i="2"/>
  <c r="AA157" i="2"/>
  <c r="Y158" i="2"/>
  <c r="AA158" i="2"/>
  <c r="Y159" i="2"/>
  <c r="AA159" i="2"/>
  <c r="Y160" i="2"/>
  <c r="AA160" i="2"/>
  <c r="Y161" i="2"/>
  <c r="AA161" i="2"/>
  <c r="Y162" i="2"/>
  <c r="AA162" i="2"/>
  <c r="Y163" i="2"/>
  <c r="AA163" i="2"/>
  <c r="Y164" i="2"/>
  <c r="AA164" i="2"/>
  <c r="Y166" i="2"/>
  <c r="AA166" i="2"/>
  <c r="Y167" i="2"/>
  <c r="AA167" i="2"/>
  <c r="Y168" i="2"/>
  <c r="AA168" i="2"/>
  <c r="Y169" i="2"/>
  <c r="AA169" i="2"/>
  <c r="Y170" i="2"/>
  <c r="AA170" i="2"/>
  <c r="Y171" i="2"/>
  <c r="AA171" i="2"/>
  <c r="Y172" i="2"/>
  <c r="AA172" i="2"/>
  <c r="Y173" i="2"/>
  <c r="AA173" i="2"/>
  <c r="Y175" i="2"/>
  <c r="AA175" i="2"/>
  <c r="Y176" i="2"/>
  <c r="AA176" i="2"/>
  <c r="Y177" i="2"/>
  <c r="AA177" i="2"/>
  <c r="Y180" i="2"/>
  <c r="AA180" i="2"/>
  <c r="Y181" i="2"/>
  <c r="AA181" i="2"/>
  <c r="Y182" i="2"/>
  <c r="AA182" i="2"/>
  <c r="Y183" i="2"/>
  <c r="AA183" i="2"/>
  <c r="Y184" i="2"/>
  <c r="AA184" i="2"/>
  <c r="Y185" i="2"/>
  <c r="AA185" i="2"/>
  <c r="Y186" i="2"/>
  <c r="AA186" i="2"/>
  <c r="Y187" i="2"/>
  <c r="AA187" i="2"/>
  <c r="Y188" i="2"/>
  <c r="AA188" i="2"/>
  <c r="Y189" i="2"/>
  <c r="AA189" i="2"/>
  <c r="Y190" i="2"/>
  <c r="AA190" i="2"/>
  <c r="Y191" i="2"/>
  <c r="AA191" i="2"/>
  <c r="Y192" i="2"/>
  <c r="AA192" i="2"/>
  <c r="Y193" i="2"/>
  <c r="AA193" i="2"/>
  <c r="Y195" i="2"/>
  <c r="AA195" i="2"/>
  <c r="Y196" i="2"/>
  <c r="AA196" i="2"/>
  <c r="Y198" i="2"/>
  <c r="AA198" i="2"/>
  <c r="Y199" i="2"/>
  <c r="AA199" i="2"/>
  <c r="Y201" i="2"/>
  <c r="AA201" i="2"/>
  <c r="Y203" i="2"/>
  <c r="AA203" i="2"/>
  <c r="Y204" i="2"/>
  <c r="AA204" i="2"/>
  <c r="Y205" i="2"/>
  <c r="AA205" i="2"/>
  <c r="Y206" i="2"/>
  <c r="AA206" i="2"/>
  <c r="Y207" i="2"/>
  <c r="AA207" i="2"/>
  <c r="Y208" i="2"/>
  <c r="AA208" i="2"/>
  <c r="Y209" i="2"/>
  <c r="AA209" i="2"/>
  <c r="Y210" i="2"/>
  <c r="AA210" i="2"/>
  <c r="Y211" i="2"/>
  <c r="AA211" i="2"/>
  <c r="Y212" i="2"/>
  <c r="AA212" i="2"/>
  <c r="Y213" i="2"/>
  <c r="AA213" i="2"/>
  <c r="Y214" i="2"/>
  <c r="AA214" i="2"/>
  <c r="Y216" i="2"/>
  <c r="AA216" i="2"/>
  <c r="Y217" i="2"/>
  <c r="AA217" i="2"/>
  <c r="Y218" i="2"/>
  <c r="AA218" i="2"/>
  <c r="Y219" i="2"/>
  <c r="AA219" i="2"/>
  <c r="Y220" i="2"/>
  <c r="AA220" i="2"/>
  <c r="Y221" i="2"/>
  <c r="AA221" i="2"/>
  <c r="Y222" i="2"/>
  <c r="AA222" i="2"/>
  <c r="Y223" i="2"/>
  <c r="AA223" i="2"/>
  <c r="Y224" i="2"/>
  <c r="AA224" i="2"/>
  <c r="Y226" i="2"/>
  <c r="AA226" i="2"/>
  <c r="Y227" i="2"/>
  <c r="AA227" i="2"/>
  <c r="Y229" i="2"/>
  <c r="AA229" i="2"/>
  <c r="Y230" i="2"/>
  <c r="AA230" i="2"/>
  <c r="Y231" i="2"/>
  <c r="AA231" i="2"/>
  <c r="Y232" i="2"/>
  <c r="AA232" i="2"/>
  <c r="Y233" i="2"/>
  <c r="AA233" i="2"/>
  <c r="Y234" i="2"/>
  <c r="AA234" i="2"/>
  <c r="Y236" i="2"/>
  <c r="AA236" i="2"/>
  <c r="Y237" i="2"/>
  <c r="AA237" i="2"/>
  <c r="Y238" i="2"/>
  <c r="AA238" i="2"/>
  <c r="Y239" i="2"/>
  <c r="AA239" i="2"/>
  <c r="Y240" i="2"/>
  <c r="AA240" i="2"/>
  <c r="Y241" i="2"/>
  <c r="AA241" i="2"/>
  <c r="Y242" i="2"/>
  <c r="AA242" i="2"/>
  <c r="Y243" i="2"/>
  <c r="AA243" i="2"/>
  <c r="Y244" i="2"/>
  <c r="AA244" i="2"/>
  <c r="Y245" i="2"/>
  <c r="AA245" i="2"/>
  <c r="Y246" i="2"/>
  <c r="AA246" i="2"/>
  <c r="Y247" i="2"/>
  <c r="AA247" i="2"/>
  <c r="Y248" i="2"/>
  <c r="AA248" i="2"/>
  <c r="Y249" i="2"/>
  <c r="AA249" i="2"/>
  <c r="Y250" i="2"/>
  <c r="AA250" i="2"/>
  <c r="Y251" i="2"/>
  <c r="AA251" i="2"/>
  <c r="Y253" i="2"/>
  <c r="AA253" i="2"/>
  <c r="Y254" i="2"/>
  <c r="AA254" i="2"/>
  <c r="Y255" i="2"/>
  <c r="AA255" i="2"/>
  <c r="Y265" i="2"/>
  <c r="AA265" i="2"/>
  <c r="Y266" i="2"/>
  <c r="AA266" i="2"/>
  <c r="Y267" i="2"/>
  <c r="AA267" i="2"/>
  <c r="Y268" i="2"/>
  <c r="AA268" i="2"/>
  <c r="Y269" i="2"/>
  <c r="AA269" i="2"/>
  <c r="Y270" i="2"/>
  <c r="AA270" i="2"/>
  <c r="Y272" i="2"/>
  <c r="AA272" i="2"/>
  <c r="Y273" i="2"/>
  <c r="AA273" i="2"/>
  <c r="Y274" i="2"/>
  <c r="AA274" i="2"/>
  <c r="Y275" i="2"/>
  <c r="AA275" i="2"/>
  <c r="Y281" i="2"/>
  <c r="AA281" i="2"/>
  <c r="Y282" i="2"/>
  <c r="AA282" i="2"/>
  <c r="Y283" i="2"/>
  <c r="AA283" i="2"/>
  <c r="Y284" i="2"/>
  <c r="AA284" i="2"/>
  <c r="Y285" i="2"/>
  <c r="AA285" i="2"/>
  <c r="Y286" i="2"/>
  <c r="AA286" i="2"/>
  <c r="Y288" i="2"/>
  <c r="AA288" i="2"/>
  <c r="Y289" i="2"/>
  <c r="AA289" i="2"/>
  <c r="Y290" i="2"/>
  <c r="AA290" i="2"/>
  <c r="Y291" i="2"/>
  <c r="AA291" i="2"/>
  <c r="Y293" i="2"/>
  <c r="AA293" i="2"/>
  <c r="Y294" i="2"/>
  <c r="AA294" i="2"/>
  <c r="Y295" i="2"/>
  <c r="AA295" i="2"/>
  <c r="Y296" i="2"/>
  <c r="AA296" i="2"/>
  <c r="Y297" i="2"/>
  <c r="AA297" i="2"/>
  <c r="Y298" i="2"/>
  <c r="AA298" i="2"/>
  <c r="Y299" i="2"/>
  <c r="AA299" i="2"/>
  <c r="Y300" i="2"/>
  <c r="AA300" i="2"/>
  <c r="Y301" i="2"/>
  <c r="AA301" i="2"/>
  <c r="Y304" i="2"/>
  <c r="AA304" i="2"/>
  <c r="Y305" i="2"/>
  <c r="AA305" i="2"/>
  <c r="Y306" i="2"/>
  <c r="AA306" i="2"/>
  <c r="Y307" i="2"/>
  <c r="AA307" i="2"/>
  <c r="Y309" i="2"/>
  <c r="AA309" i="2"/>
  <c r="Y310" i="2"/>
  <c r="AA310" i="2"/>
  <c r="Y311" i="2"/>
  <c r="AA311" i="2"/>
  <c r="N132" i="2"/>
  <c r="N114" i="2"/>
  <c r="N103" i="2"/>
  <c r="L103" i="2"/>
  <c r="N104" i="2"/>
  <c r="L104" i="2"/>
  <c r="N98" i="2"/>
  <c r="L98" i="2"/>
  <c r="N79" i="2"/>
  <c r="L79" i="2"/>
  <c r="N97" i="2"/>
  <c r="L97" i="2"/>
  <c r="N167" i="2"/>
  <c r="L167" i="2"/>
  <c r="N240" i="2"/>
  <c r="N193" i="2"/>
  <c r="L193" i="2"/>
  <c r="N192" i="2"/>
  <c r="L192" i="2"/>
  <c r="N191" i="2"/>
  <c r="L191" i="2"/>
  <c r="N176" i="2"/>
  <c r="L176" i="2"/>
  <c r="N157" i="2"/>
  <c r="L157" i="2"/>
  <c r="N161" i="2"/>
  <c r="L161" i="2"/>
  <c r="N159" i="2"/>
  <c r="L159" i="2"/>
  <c r="N155" i="2"/>
  <c r="L155" i="2"/>
  <c r="N156" i="2"/>
  <c r="L156" i="2"/>
  <c r="N47" i="2"/>
  <c r="L47" i="2"/>
  <c r="N46" i="2"/>
  <c r="N45" i="2"/>
  <c r="N28" i="2"/>
  <c r="L28" i="2"/>
  <c r="N267" i="2"/>
  <c r="L267" i="2"/>
  <c r="N67" i="2"/>
  <c r="N142" i="2"/>
  <c r="N226" i="2"/>
  <c r="J226" i="2"/>
  <c r="AE172" i="2"/>
  <c r="AM172" i="2" s="1"/>
  <c r="AE44" i="2"/>
  <c r="AM44" i="2" s="1"/>
  <c r="N42" i="2"/>
  <c r="J281" i="2"/>
  <c r="Z281" i="2" s="1"/>
  <c r="Z13" i="2"/>
  <c r="J272" i="2"/>
  <c r="Z272" i="2" s="1"/>
  <c r="J253" i="2"/>
  <c r="Z253" i="2" s="1"/>
  <c r="N247" i="2"/>
  <c r="L247" i="2"/>
  <c r="J247" i="2"/>
  <c r="Z247" i="2" s="1"/>
  <c r="N244" i="2"/>
  <c r="J248" i="2"/>
  <c r="Z248" i="2" s="1"/>
  <c r="N248" i="2"/>
  <c r="L248" i="2"/>
  <c r="N246" i="2"/>
  <c r="N245" i="2"/>
  <c r="J222" i="2"/>
  <c r="L221" i="2"/>
  <c r="J170" i="2"/>
  <c r="Z170" i="2" s="1"/>
  <c r="J168" i="2"/>
  <c r="Z168" i="2" s="1"/>
  <c r="L168" i="2"/>
  <c r="L140" i="2"/>
  <c r="L139" i="2"/>
  <c r="N107" i="2"/>
  <c r="L107" i="2"/>
  <c r="N106" i="2"/>
  <c r="L106" i="2"/>
  <c r="N101" i="2"/>
  <c r="L101" i="2"/>
  <c r="N95" i="2"/>
  <c r="L95" i="2"/>
  <c r="L94" i="2"/>
  <c r="N94" i="2"/>
  <c r="N84" i="2"/>
  <c r="L84" i="2"/>
  <c r="J141" i="2"/>
  <c r="Z141" i="2" s="1"/>
  <c r="N49" i="2"/>
  <c r="AE40" i="2"/>
  <c r="AM40" i="2" s="1"/>
  <c r="N40" i="2"/>
  <c r="N41" i="2"/>
  <c r="N39" i="2"/>
  <c r="C58" i="3"/>
  <c r="BB57" i="3"/>
  <c r="BB58" i="3" s="1"/>
  <c r="AZ57" i="3"/>
  <c r="AZ58" i="3" s="1"/>
  <c r="AY57" i="3"/>
  <c r="AY58" i="3" s="1"/>
  <c r="AX57" i="3"/>
  <c r="AX58" i="3" s="1"/>
  <c r="C55" i="3"/>
  <c r="BB54" i="3"/>
  <c r="BA54" i="3"/>
  <c r="AY54" i="3"/>
  <c r="AX54" i="3"/>
  <c r="BB53" i="3"/>
  <c r="AZ53" i="3"/>
  <c r="AY53" i="3"/>
  <c r="AX53" i="3"/>
  <c r="BB52" i="3"/>
  <c r="AZ52" i="3"/>
  <c r="AY52" i="3"/>
  <c r="AX52" i="3"/>
  <c r="BB51" i="3"/>
  <c r="BA51" i="3"/>
  <c r="AY51" i="3"/>
  <c r="AX51" i="3"/>
  <c r="BB50" i="3"/>
  <c r="BA50" i="3"/>
  <c r="AY50" i="3"/>
  <c r="AX50" i="3"/>
  <c r="BB49" i="3"/>
  <c r="BA49" i="3"/>
  <c r="AY49" i="3"/>
  <c r="AX49" i="3"/>
  <c r="BB48" i="3"/>
  <c r="AZ48" i="3"/>
  <c r="AY48" i="3"/>
  <c r="AX48" i="3"/>
  <c r="BB47" i="3"/>
  <c r="AZ47" i="3"/>
  <c r="AY47" i="3"/>
  <c r="AX47" i="3"/>
  <c r="BB46" i="3"/>
  <c r="AZ46" i="3"/>
  <c r="AY46" i="3"/>
  <c r="AX46" i="3"/>
  <c r="BB45" i="3"/>
  <c r="AZ45" i="3"/>
  <c r="AY45" i="3"/>
  <c r="AX45" i="3"/>
  <c r="BB44" i="3"/>
  <c r="AZ44" i="3"/>
  <c r="AY44" i="3"/>
  <c r="AX44" i="3"/>
  <c r="BB43" i="3"/>
  <c r="AZ43" i="3"/>
  <c r="AY43" i="3"/>
  <c r="AX43" i="3"/>
  <c r="BB42" i="3"/>
  <c r="AZ42" i="3"/>
  <c r="AY42" i="3"/>
  <c r="AX42" i="3"/>
  <c r="C40" i="3"/>
  <c r="BB39" i="3"/>
  <c r="AZ39" i="3"/>
  <c r="AY39" i="3"/>
  <c r="AX39" i="3"/>
  <c r="BB33" i="3"/>
  <c r="AZ33" i="3"/>
  <c r="AY33" i="3"/>
  <c r="AX33" i="3"/>
  <c r="BB32" i="3"/>
  <c r="AZ32" i="3"/>
  <c r="AY32" i="3"/>
  <c r="AX32" i="3"/>
  <c r="BB31" i="3"/>
  <c r="AZ31" i="3"/>
  <c r="AY31" i="3"/>
  <c r="AX31" i="3"/>
  <c r="BB30" i="3"/>
  <c r="AZ30" i="3"/>
  <c r="AY30" i="3"/>
  <c r="AX30" i="3"/>
  <c r="BB29" i="3"/>
  <c r="AZ29" i="3"/>
  <c r="AY29" i="3"/>
  <c r="AX29" i="3"/>
  <c r="BB28" i="3"/>
  <c r="AZ28" i="3"/>
  <c r="AY28" i="3"/>
  <c r="AX28" i="3"/>
  <c r="BB27" i="3"/>
  <c r="BA27" i="3"/>
  <c r="AY27" i="3"/>
  <c r="AX27" i="3"/>
  <c r="BB26" i="3"/>
  <c r="AZ26" i="3"/>
  <c r="AY26" i="3"/>
  <c r="AX26" i="3"/>
  <c r="BB25" i="3"/>
  <c r="AZ25" i="3"/>
  <c r="AY25" i="3"/>
  <c r="AX25" i="3"/>
  <c r="BB24" i="3"/>
  <c r="BA24" i="3"/>
  <c r="AY24" i="3"/>
  <c r="AX24" i="3"/>
  <c r="BB23" i="3"/>
  <c r="AZ23" i="3"/>
  <c r="AY23" i="3"/>
  <c r="AX23" i="3"/>
  <c r="BB22" i="3"/>
  <c r="AZ22" i="3"/>
  <c r="AY22" i="3"/>
  <c r="AX22" i="3"/>
  <c r="BB21" i="3"/>
  <c r="AZ21" i="3"/>
  <c r="AY21" i="3"/>
  <c r="AX21" i="3"/>
  <c r="BB20" i="3"/>
  <c r="AZ20" i="3"/>
  <c r="AY20" i="3"/>
  <c r="AX20" i="3"/>
  <c r="BB19" i="3"/>
  <c r="AZ19" i="3"/>
  <c r="AY19" i="3"/>
  <c r="AX19" i="3"/>
  <c r="BB18" i="3"/>
  <c r="AZ18" i="3"/>
  <c r="AY18" i="3"/>
  <c r="AX18" i="3"/>
  <c r="BB17" i="3"/>
  <c r="BA17" i="3"/>
  <c r="AY17" i="3"/>
  <c r="AX17" i="3"/>
  <c r="BB16" i="3"/>
  <c r="AZ16" i="3"/>
  <c r="AY16" i="3"/>
  <c r="AX16" i="3"/>
  <c r="BB15" i="3"/>
  <c r="BA15" i="3"/>
  <c r="AY15" i="3"/>
  <c r="AX15" i="3"/>
  <c r="BB14" i="3"/>
  <c r="AZ14" i="3"/>
  <c r="AY14" i="3"/>
  <c r="AX14" i="3"/>
  <c r="C12" i="3"/>
  <c r="BB11" i="3"/>
  <c r="BB12" i="3" s="1"/>
  <c r="BA11" i="3"/>
  <c r="BA12" i="3" s="1"/>
  <c r="AZ11" i="3"/>
  <c r="AZ12" i="3" s="1"/>
  <c r="AY11" i="3"/>
  <c r="AY12" i="3" s="1"/>
  <c r="C9" i="3"/>
  <c r="BB8" i="3"/>
  <c r="BB9" i="3" s="1"/>
  <c r="BA8" i="3"/>
  <c r="BA9" i="3" s="1"/>
  <c r="AZ8" i="3"/>
  <c r="AZ9" i="3" s="1"/>
  <c r="AY8" i="3"/>
  <c r="AY9" i="3" s="1"/>
  <c r="N289" i="2"/>
  <c r="L289" i="2"/>
  <c r="N290" i="2"/>
  <c r="L290" i="2"/>
  <c r="AE249" i="2"/>
  <c r="AM249" i="2" s="1"/>
  <c r="J249" i="2"/>
  <c r="N250" i="2"/>
  <c r="N249" i="2"/>
  <c r="L249" i="2"/>
  <c r="N269" i="2"/>
  <c r="L269" i="2"/>
  <c r="N172" i="2"/>
  <c r="N171" i="2"/>
  <c r="N151" i="2"/>
  <c r="L151" i="2"/>
  <c r="N162" i="2"/>
  <c r="N160" i="2"/>
  <c r="L160" i="2"/>
  <c r="N158" i="2"/>
  <c r="L158" i="2"/>
  <c r="N154" i="2"/>
  <c r="L154" i="2"/>
  <c r="N146" i="2"/>
  <c r="N150" i="2"/>
  <c r="N148" i="2"/>
  <c r="L148" i="2"/>
  <c r="L149" i="2"/>
  <c r="N149" i="2"/>
  <c r="N147" i="2"/>
  <c r="L147" i="2"/>
  <c r="N145" i="2"/>
  <c r="N144" i="2"/>
  <c r="N143" i="2"/>
  <c r="N140" i="2"/>
  <c r="N137" i="2"/>
  <c r="N139" i="2"/>
  <c r="N138" i="2"/>
  <c r="L138" i="2"/>
  <c r="N136" i="2"/>
  <c r="L136" i="2"/>
  <c r="L114" i="2"/>
  <c r="N113" i="2"/>
  <c r="L113" i="2"/>
  <c r="N112" i="2"/>
  <c r="L112" i="2"/>
  <c r="N111" i="2"/>
  <c r="L111" i="2"/>
  <c r="N92" i="2"/>
  <c r="L92" i="2"/>
  <c r="N108" i="2"/>
  <c r="L108" i="2"/>
  <c r="N109" i="2"/>
  <c r="L109" i="2"/>
  <c r="N93" i="2"/>
  <c r="L93" i="2"/>
  <c r="N105" i="2"/>
  <c r="L105" i="2"/>
  <c r="N86" i="2"/>
  <c r="L86" i="2"/>
  <c r="N102" i="2"/>
  <c r="L102" i="2"/>
  <c r="N99" i="2"/>
  <c r="L99" i="2"/>
  <c r="N100" i="2"/>
  <c r="L100" i="2"/>
  <c r="N96" i="2"/>
  <c r="L96" i="2"/>
  <c r="N91" i="2"/>
  <c r="L91" i="2"/>
  <c r="N90" i="2"/>
  <c r="L90" i="2"/>
  <c r="N80" i="2"/>
  <c r="L80" i="2"/>
  <c r="N85" i="2"/>
  <c r="L85" i="2"/>
  <c r="N87" i="2"/>
  <c r="L87" i="2"/>
  <c r="N82" i="2"/>
  <c r="L82" i="2"/>
  <c r="N81" i="2"/>
  <c r="L81" i="2"/>
  <c r="N75" i="2"/>
  <c r="L75" i="2"/>
  <c r="N83" i="2"/>
  <c r="L83" i="2"/>
  <c r="N77" i="2"/>
  <c r="L77" i="2"/>
  <c r="N73" i="2"/>
  <c r="L73" i="2"/>
  <c r="N141" i="2"/>
  <c r="N266" i="2"/>
  <c r="L266" i="2"/>
  <c r="N270" i="2"/>
  <c r="N124" i="2"/>
  <c r="L124" i="2"/>
  <c r="N123" i="2"/>
  <c r="L123" i="2"/>
  <c r="N64" i="2"/>
  <c r="N285" i="2"/>
  <c r="N203" i="2"/>
  <c r="N68" i="2"/>
  <c r="N48" i="2"/>
  <c r="N44" i="2"/>
  <c r="L44" i="2"/>
  <c r="N43" i="2"/>
  <c r="L43" i="2"/>
  <c r="N133" i="2"/>
  <c r="L133" i="2"/>
  <c r="J133" i="2"/>
  <c r="Z133" i="2" s="1"/>
  <c r="N291" i="2"/>
  <c r="L291" i="2"/>
  <c r="N120" i="2"/>
  <c r="L120" i="2"/>
  <c r="N239" i="2"/>
  <c r="N238" i="2"/>
  <c r="L238" i="2"/>
  <c r="N237" i="2"/>
  <c r="L237" i="2"/>
  <c r="N213" i="2"/>
  <c r="N201" i="2"/>
  <c r="N184" i="2"/>
  <c r="N152" i="2"/>
  <c r="L152" i="2"/>
  <c r="N131" i="2"/>
  <c r="L131" i="2"/>
  <c r="J131" i="2"/>
  <c r="Z131" i="2" s="1"/>
  <c r="N130" i="2"/>
  <c r="L130" i="2"/>
  <c r="W129" i="2"/>
  <c r="U129" i="2"/>
  <c r="Q129" i="2"/>
  <c r="N127" i="2"/>
  <c r="O126" i="2" s="1"/>
  <c r="L127" i="2"/>
  <c r="L126" i="2" s="1"/>
  <c r="W126" i="2"/>
  <c r="U126" i="2"/>
  <c r="Q126" i="2"/>
  <c r="N119" i="2"/>
  <c r="L119" i="2"/>
  <c r="N118" i="2"/>
  <c r="L118" i="2"/>
  <c r="N117" i="2"/>
  <c r="L117" i="2"/>
  <c r="N116" i="2"/>
  <c r="L116" i="2"/>
  <c r="N115" i="2"/>
  <c r="L115" i="2"/>
  <c r="N110" i="2"/>
  <c r="L110" i="2"/>
  <c r="N29" i="2"/>
  <c r="L29" i="2"/>
  <c r="J29" i="2"/>
  <c r="Z29" i="2" s="1"/>
  <c r="N27" i="2"/>
  <c r="L27" i="2"/>
  <c r="W26" i="2"/>
  <c r="U26" i="2"/>
  <c r="S26" i="2"/>
  <c r="N15" i="2"/>
  <c r="N14" i="2"/>
  <c r="L14" i="2"/>
  <c r="AE13" i="2"/>
  <c r="AM13" i="2" s="1"/>
  <c r="AD13" i="2"/>
  <c r="H13" i="2" s="1"/>
  <c r="AA13" i="2"/>
  <c r="Y13" i="2"/>
  <c r="N13" i="2"/>
  <c r="L13" i="2"/>
  <c r="N209" i="2"/>
  <c r="K37" i="2"/>
  <c r="N217" i="2"/>
  <c r="L217" i="2"/>
  <c r="N38" i="2"/>
  <c r="N37" i="2"/>
  <c r="N36" i="2"/>
  <c r="N187" i="2"/>
  <c r="L187" i="2"/>
  <c r="N186" i="2"/>
  <c r="L186" i="2"/>
  <c r="N183" i="2"/>
  <c r="L183" i="2"/>
  <c r="N22" i="2"/>
  <c r="N310" i="2"/>
  <c r="N311" i="2"/>
  <c r="N309" i="2"/>
  <c r="N306" i="2"/>
  <c r="L306" i="2"/>
  <c r="J306" i="2"/>
  <c r="Z306" i="2" s="1"/>
  <c r="N231" i="2"/>
  <c r="N230" i="2"/>
  <c r="N163" i="2"/>
  <c r="L163" i="2"/>
  <c r="N121" i="2"/>
  <c r="L121" i="2"/>
  <c r="AD286" i="2"/>
  <c r="L241" i="2"/>
  <c r="N255" i="2"/>
  <c r="N53" i="2"/>
  <c r="N52" i="2"/>
  <c r="N190" i="2"/>
  <c r="N189" i="2"/>
  <c r="N185" i="2"/>
  <c r="N199" i="2"/>
  <c r="L199" i="2"/>
  <c r="J199" i="2"/>
  <c r="Z199" i="2" s="1"/>
  <c r="N221" i="2"/>
  <c r="N222" i="2"/>
  <c r="N232" i="2"/>
  <c r="N233" i="2"/>
  <c r="N286" i="2"/>
  <c r="N284" i="2"/>
  <c r="N283" i="2"/>
  <c r="N282" i="2"/>
  <c r="N281" i="2"/>
  <c r="AE206" i="2"/>
  <c r="N206" i="2"/>
  <c r="N18" i="2"/>
  <c r="N273" i="2"/>
  <c r="N63" i="2"/>
  <c r="W308" i="2"/>
  <c r="S308" i="2"/>
  <c r="Q308" i="2"/>
  <c r="W303" i="2"/>
  <c r="U303" i="2"/>
  <c r="S303" i="2"/>
  <c r="L311" i="2"/>
  <c r="J311" i="2"/>
  <c r="Z311" i="2" s="1"/>
  <c r="I311" i="2"/>
  <c r="H311" i="2"/>
  <c r="L310" i="2"/>
  <c r="I310" i="2"/>
  <c r="L309" i="2"/>
  <c r="I309" i="2"/>
  <c r="N56" i="2"/>
  <c r="N23" i="2"/>
  <c r="N24" i="2"/>
  <c r="L63" i="2"/>
  <c r="I63" i="2"/>
  <c r="AD63" i="2"/>
  <c r="AL63" i="2" s="1"/>
  <c r="N305" i="2"/>
  <c r="L305" i="2"/>
  <c r="J305" i="2"/>
  <c r="Z305" i="2" s="1"/>
  <c r="N304" i="2"/>
  <c r="L304" i="2"/>
  <c r="L307" i="2"/>
  <c r="H307" i="2"/>
  <c r="I307" i="2"/>
  <c r="N58" i="2"/>
  <c r="L58" i="2"/>
  <c r="N57" i="2"/>
  <c r="N166" i="2"/>
  <c r="L166" i="2"/>
  <c r="N164" i="2"/>
  <c r="L164" i="2"/>
  <c r="S12" i="2"/>
  <c r="U12" i="2"/>
  <c r="W12" i="2"/>
  <c r="N17" i="2"/>
  <c r="N19" i="2"/>
  <c r="N20" i="2"/>
  <c r="N21" i="2"/>
  <c r="N25" i="2"/>
  <c r="S30" i="2"/>
  <c r="U30" i="2"/>
  <c r="W30" i="2"/>
  <c r="N50" i="2"/>
  <c r="N51" i="2"/>
  <c r="N54" i="2"/>
  <c r="N55" i="2"/>
  <c r="N65" i="2"/>
  <c r="S66" i="2"/>
  <c r="U66" i="2"/>
  <c r="W66" i="2"/>
  <c r="N69" i="2"/>
  <c r="Q70" i="2"/>
  <c r="U70" i="2"/>
  <c r="W70" i="2"/>
  <c r="N71" i="2"/>
  <c r="O70" i="2" s="1"/>
  <c r="Q72" i="2"/>
  <c r="U72" i="2"/>
  <c r="W72" i="2"/>
  <c r="L74" i="2"/>
  <c r="N74" i="2"/>
  <c r="L78" i="2"/>
  <c r="N78" i="2"/>
  <c r="L88" i="2"/>
  <c r="N88" i="2"/>
  <c r="L89" i="2"/>
  <c r="N89" i="2"/>
  <c r="L122" i="2"/>
  <c r="N122" i="2"/>
  <c r="Q135" i="2"/>
  <c r="U135" i="2"/>
  <c r="W135" i="2"/>
  <c r="L153" i="2"/>
  <c r="N153" i="2"/>
  <c r="N168" i="2"/>
  <c r="L169" i="2"/>
  <c r="N169" i="2"/>
  <c r="N170" i="2"/>
  <c r="Q174" i="2"/>
  <c r="U174" i="2"/>
  <c r="W174" i="2"/>
  <c r="L175" i="2"/>
  <c r="N175" i="2"/>
  <c r="L177" i="2"/>
  <c r="N177" i="2"/>
  <c r="Q179" i="2"/>
  <c r="U179" i="2"/>
  <c r="W179" i="2"/>
  <c r="N180" i="2"/>
  <c r="L181" i="2"/>
  <c r="N181" i="2"/>
  <c r="N182" i="2"/>
  <c r="N188" i="2"/>
  <c r="N195" i="2"/>
  <c r="Q197" i="2"/>
  <c r="U197" i="2"/>
  <c r="W197" i="2"/>
  <c r="L198" i="2"/>
  <c r="N198" i="2"/>
  <c r="Q200" i="2"/>
  <c r="U200" i="2"/>
  <c r="W200" i="2"/>
  <c r="N204" i="2"/>
  <c r="N205" i="2"/>
  <c r="N207" i="2"/>
  <c r="N208" i="2"/>
  <c r="N210" i="2"/>
  <c r="N211" i="2"/>
  <c r="N212" i="2"/>
  <c r="Q215" i="2"/>
  <c r="U215" i="2"/>
  <c r="W215" i="2"/>
  <c r="N216" i="2"/>
  <c r="N218" i="2"/>
  <c r="N219" i="2"/>
  <c r="N220" i="2"/>
  <c r="N223" i="2"/>
  <c r="N224" i="2"/>
  <c r="Q228" i="2"/>
  <c r="U228" i="2"/>
  <c r="W228" i="2"/>
  <c r="N229" i="2"/>
  <c r="N234" i="2"/>
  <c r="Q235" i="2"/>
  <c r="U235" i="2"/>
  <c r="W235" i="2"/>
  <c r="N236" i="2"/>
  <c r="N241" i="2"/>
  <c r="N242" i="2"/>
  <c r="L243" i="2"/>
  <c r="N243" i="2"/>
  <c r="L251" i="2"/>
  <c r="N251" i="2"/>
  <c r="S252" i="2"/>
  <c r="U252" i="2"/>
  <c r="W252" i="2"/>
  <c r="N253" i="2"/>
  <c r="N254" i="2"/>
  <c r="S264" i="2"/>
  <c r="U264" i="2"/>
  <c r="W264" i="2"/>
  <c r="L268" i="2"/>
  <c r="N268" i="2"/>
  <c r="N272" i="2"/>
  <c r="L274" i="2"/>
  <c r="N274" i="2"/>
  <c r="L275" i="2"/>
  <c r="N275" i="2"/>
  <c r="S276" i="2"/>
  <c r="U276" i="2"/>
  <c r="W276" i="2"/>
  <c r="Q287" i="2"/>
  <c r="S287" i="2"/>
  <c r="W287" i="2"/>
  <c r="N288" i="2"/>
  <c r="S292" i="2"/>
  <c r="U292" i="2"/>
  <c r="W292" i="2"/>
  <c r="H310" i="2"/>
  <c r="J307" i="2"/>
  <c r="Z307" i="2" s="1"/>
  <c r="J310" i="2"/>
  <c r="Z310" i="2" s="1"/>
  <c r="N307" i="2"/>
  <c r="M303" i="2"/>
  <c r="L17" i="2"/>
  <c r="L195" i="2"/>
  <c r="L203" i="2"/>
  <c r="L142" i="2"/>
  <c r="L283" i="2"/>
  <c r="H309" i="2"/>
  <c r="L70" i="2"/>
  <c r="L285" i="2"/>
  <c r="H158" i="2"/>
  <c r="L23" i="2"/>
  <c r="L146" i="2"/>
  <c r="L222" i="2"/>
  <c r="L24" i="2"/>
  <c r="L56" i="2"/>
  <c r="L253" i="2"/>
  <c r="AM282" i="2"/>
  <c r="J284" i="2"/>
  <c r="Z284" i="2" s="1"/>
  <c r="L281" i="2"/>
  <c r="AM226" i="2"/>
  <c r="L231" i="2"/>
  <c r="J231" i="2"/>
  <c r="Z231" i="2" s="1"/>
  <c r="Z80" i="2"/>
  <c r="AM137" i="2"/>
  <c r="L41" i="2"/>
  <c r="L53" i="2"/>
  <c r="AD249" i="2"/>
  <c r="H249" i="2" s="1"/>
  <c r="AD100" i="2"/>
  <c r="H100" i="2" s="1"/>
  <c r="AD206" i="2"/>
  <c r="AD99" i="2"/>
  <c r="H99" i="2" s="1"/>
  <c r="AD21" i="2"/>
  <c r="AL21" i="2" s="1"/>
  <c r="AD75" i="2"/>
  <c r="AL75" i="2" s="1"/>
  <c r="AD309" i="2"/>
  <c r="AL309" i="2" s="1"/>
  <c r="AE309" i="2"/>
  <c r="AM309" i="2" s="1"/>
  <c r="J309" i="2"/>
  <c r="Z309" i="2" s="1"/>
  <c r="AD244" i="2"/>
  <c r="AL244" i="2" s="1"/>
  <c r="AE244" i="2"/>
  <c r="AM244" i="2" s="1"/>
  <c r="AE185" i="2"/>
  <c r="AD185" i="2"/>
  <c r="AE247" i="2"/>
  <c r="AM247" i="2" s="1"/>
  <c r="AD247" i="2"/>
  <c r="AL247" i="2" s="1"/>
  <c r="AE20" i="2"/>
  <c r="AM20" i="2" s="1"/>
  <c r="AD20" i="2"/>
  <c r="H20" i="2" s="1"/>
  <c r="AD248" i="2"/>
  <c r="H248" i="2" s="1"/>
  <c r="I248" i="2" s="1"/>
  <c r="AE248" i="2"/>
  <c r="AM248" i="2" s="1"/>
  <c r="AD212" i="2"/>
  <c r="AE212" i="2"/>
  <c r="AM212" i="2" s="1"/>
  <c r="AE286" i="2"/>
  <c r="AD172" i="2"/>
  <c r="AE98" i="2"/>
  <c r="AM98" i="2" s="1"/>
  <c r="J22" i="2"/>
  <c r="Z22" i="2" s="1"/>
  <c r="J99" i="2"/>
  <c r="Z99" i="2" s="1"/>
  <c r="AE99" i="2"/>
  <c r="AM99" i="2" s="1"/>
  <c r="J104" i="2"/>
  <c r="Z104" i="2" s="1"/>
  <c r="AE104" i="2"/>
  <c r="AM104" i="2" s="1"/>
  <c r="AD104" i="2"/>
  <c r="H104" i="2" s="1"/>
  <c r="J180" i="2"/>
  <c r="Z180" i="2" s="1"/>
  <c r="AD40" i="2"/>
  <c r="H40" i="2" s="1"/>
  <c r="J137" i="2"/>
  <c r="Z137" i="2" s="1"/>
  <c r="L137" i="2"/>
  <c r="L144" i="2"/>
  <c r="J144" i="2"/>
  <c r="J75" i="2"/>
  <c r="AE75" i="2"/>
  <c r="AM75" i="2" s="1"/>
  <c r="J15" i="2"/>
  <c r="L15" i="2"/>
  <c r="J20" i="2"/>
  <c r="Z20" i="2" s="1"/>
  <c r="L20" i="2"/>
  <c r="J54" i="2"/>
  <c r="Z54" i="2" s="1"/>
  <c r="L54" i="2"/>
  <c r="J71" i="2"/>
  <c r="Z71" i="2" s="1"/>
  <c r="AI70" i="2" s="1"/>
  <c r="J188" i="2"/>
  <c r="Z188" i="2" s="1"/>
  <c r="L188" i="2"/>
  <c r="J24" i="2"/>
  <c r="Z24" i="2" s="1"/>
  <c r="L216" i="2"/>
  <c r="J98" i="2"/>
  <c r="Z98" i="2" s="1"/>
  <c r="AD98" i="2"/>
  <c r="H98" i="2" s="1"/>
  <c r="J282" i="2"/>
  <c r="Z282" i="2" s="1"/>
  <c r="L282" i="2"/>
  <c r="J25" i="2"/>
  <c r="Z25" i="2" s="1"/>
  <c r="L226" i="2"/>
  <c r="L55" i="2"/>
  <c r="AE246" i="2"/>
  <c r="AD246" i="2"/>
  <c r="J19" i="2"/>
  <c r="Z19" i="2" s="1"/>
  <c r="J55" i="2"/>
  <c r="Z55" i="2" s="1"/>
  <c r="J44" i="2"/>
  <c r="Z44" i="2" s="1"/>
  <c r="AD44" i="2"/>
  <c r="AL44" i="2" s="1"/>
  <c r="J17" i="2"/>
  <c r="AE17" i="2"/>
  <c r="AM17" i="2" s="1"/>
  <c r="AD17" i="2"/>
  <c r="H17" i="2" s="1"/>
  <c r="AE21" i="2"/>
  <c r="AM21" i="2" s="1"/>
  <c r="L218" i="2"/>
  <c r="J216" i="2"/>
  <c r="Z216" i="2" s="1"/>
  <c r="L25" i="2"/>
  <c r="L64" i="2"/>
  <c r="J162" i="2"/>
  <c r="Z162" i="2" s="1"/>
  <c r="L162" i="2"/>
  <c r="L254" i="2"/>
  <c r="J254" i="2"/>
  <c r="Z254" i="2" s="1"/>
  <c r="AE22" i="2"/>
  <c r="AM22" i="2" s="1"/>
  <c r="AD22" i="2"/>
  <c r="J41" i="2"/>
  <c r="Z41" i="2" s="1"/>
  <c r="L21" i="2"/>
  <c r="J21" i="2"/>
  <c r="Z21" i="2" s="1"/>
  <c r="AE223" i="2"/>
  <c r="AD223" i="2"/>
  <c r="H223" i="2" s="1"/>
  <c r="L223" i="2"/>
  <c r="H63" i="2"/>
  <c r="AE63" i="2"/>
  <c r="AM63" i="2" s="1"/>
  <c r="J63" i="2"/>
  <c r="Z63" i="2" s="1"/>
  <c r="L244" i="2"/>
  <c r="F189" i="2"/>
  <c r="L189" i="2" s="1"/>
  <c r="L184" i="2"/>
  <c r="J185" i="2"/>
  <c r="F190" i="2"/>
  <c r="L180" i="2"/>
  <c r="F182" i="2"/>
  <c r="L22" i="2"/>
  <c r="L170" i="2"/>
  <c r="J285" i="2"/>
  <c r="J100" i="2"/>
  <c r="AE100" i="2"/>
  <c r="AM100" i="2" s="1"/>
  <c r="AE132" i="2"/>
  <c r="AM132" i="2" s="1"/>
  <c r="J132" i="2"/>
  <c r="AD132" i="2"/>
  <c r="H132" i="2" s="1"/>
  <c r="AX11" i="3"/>
  <c r="AX12" i="3" s="1"/>
  <c r="J145" i="2"/>
  <c r="L145" i="2"/>
  <c r="J57" i="2"/>
  <c r="Z57" i="2" s="1"/>
  <c r="L57" i="2"/>
  <c r="L284" i="2"/>
  <c r="J283" i="2"/>
  <c r="Z283" i="2" s="1"/>
  <c r="J23" i="2"/>
  <c r="Z23" i="2" s="1"/>
  <c r="AE164" i="2"/>
  <c r="AM164" i="2" s="1"/>
  <c r="AD164" i="2"/>
  <c r="AL164" i="2" s="1"/>
  <c r="J164" i="2"/>
  <c r="Z164" i="2" s="1"/>
  <c r="L48" i="2"/>
  <c r="J48" i="2"/>
  <c r="Z48" i="2" s="1"/>
  <c r="F206" i="2"/>
  <c r="J206" i="2" s="1"/>
  <c r="J201" i="2"/>
  <c r="J210" i="2"/>
  <c r="J244" i="2"/>
  <c r="Z244" i="2" s="1"/>
  <c r="AD103" i="2"/>
  <c r="AL103" i="2" s="1"/>
  <c r="J103" i="2"/>
  <c r="Z103" i="2" s="1"/>
  <c r="AE103" i="2"/>
  <c r="AM103" i="2" s="1"/>
  <c r="AD97" i="2"/>
  <c r="H97" i="2" s="1"/>
  <c r="AE97" i="2"/>
  <c r="AM97" i="2" s="1"/>
  <c r="J97" i="2"/>
  <c r="Z97" i="2" s="1"/>
  <c r="AE79" i="2"/>
  <c r="AM79" i="2" s="1"/>
  <c r="AD79" i="2"/>
  <c r="AL79" i="2" s="1"/>
  <c r="J79" i="2"/>
  <c r="Z79" i="2" s="1"/>
  <c r="J250" i="2"/>
  <c r="Z250" i="2" s="1"/>
  <c r="J40" i="2"/>
  <c r="L40" i="2"/>
  <c r="J68" i="2"/>
  <c r="Z68" i="2" s="1"/>
  <c r="L68" i="2"/>
  <c r="AE18" i="2"/>
  <c r="AM18" i="2" s="1"/>
  <c r="AD18" i="2"/>
  <c r="H18" i="2" s="1"/>
  <c r="J56" i="2"/>
  <c r="Z56" i="2" s="1"/>
  <c r="L141" i="2"/>
  <c r="J139" i="2"/>
  <c r="J221" i="2"/>
  <c r="Z221" i="2" s="1"/>
  <c r="L286" i="2"/>
  <c r="F213" i="2"/>
  <c r="J213" i="2" s="1"/>
  <c r="L201" i="2"/>
  <c r="J18" i="2"/>
  <c r="Z18" i="2" s="1"/>
  <c r="L18" i="2"/>
  <c r="L19" i="2"/>
  <c r="J143" i="2"/>
  <c r="H93" i="2"/>
  <c r="L209" i="2"/>
  <c r="J224" i="2"/>
  <c r="Z224" i="2" s="1"/>
  <c r="L150" i="2"/>
  <c r="J220" i="2"/>
  <c r="Z220" i="2" s="1"/>
  <c r="L36" i="2"/>
  <c r="J277" i="2"/>
  <c r="N277" i="2" s="1"/>
  <c r="Z243" i="2"/>
  <c r="J172" i="2"/>
  <c r="Z172" i="2" s="1"/>
  <c r="J223" i="2"/>
  <c r="Z223" i="2" s="1"/>
  <c r="H219" i="2"/>
  <c r="H221" i="2"/>
  <c r="H91" i="2"/>
  <c r="AL217" i="2" l="1"/>
  <c r="F31" i="2"/>
  <c r="F236" i="2"/>
  <c r="F239" i="2" s="1"/>
  <c r="H180" i="2"/>
  <c r="AS37" i="2"/>
  <c r="AS31" i="2"/>
  <c r="K39" i="2"/>
  <c r="K34" i="2" s="1"/>
  <c r="L34" i="2" s="1"/>
  <c r="K31" i="2"/>
  <c r="F240" i="2"/>
  <c r="H240" i="2" s="1"/>
  <c r="F245" i="2"/>
  <c r="F32" i="2"/>
  <c r="AL49" i="2"/>
  <c r="K38" i="2"/>
  <c r="K33" i="2" s="1"/>
  <c r="L33" i="2" s="1"/>
  <c r="K32" i="2"/>
  <c r="AS38" i="2"/>
  <c r="AS33" i="2" s="1"/>
  <c r="AS32" i="2"/>
  <c r="AL182" i="2"/>
  <c r="H251" i="2"/>
  <c r="I251" i="2" s="1"/>
  <c r="J37" i="2"/>
  <c r="Z37" i="2" s="1"/>
  <c r="AL166" i="2"/>
  <c r="I166" i="2"/>
  <c r="I120" i="2"/>
  <c r="I116" i="2"/>
  <c r="H16" i="2"/>
  <c r="I16" i="2" s="1"/>
  <c r="AL56" i="2"/>
  <c r="AL204" i="2"/>
  <c r="L250" i="2"/>
  <c r="L204" i="2"/>
  <c r="AL207" i="2"/>
  <c r="AM251" i="2"/>
  <c r="AL273" i="2"/>
  <c r="AL283" i="2"/>
  <c r="H131" i="2"/>
  <c r="I131" i="2" s="1"/>
  <c r="H78" i="2"/>
  <c r="I78" i="2" s="1"/>
  <c r="AL68" i="2"/>
  <c r="H54" i="2"/>
  <c r="AL43" i="2"/>
  <c r="H89" i="2"/>
  <c r="I89" i="2" s="1"/>
  <c r="H278" i="2"/>
  <c r="I278" i="2" s="1"/>
  <c r="F229" i="2"/>
  <c r="L229" i="2" s="1"/>
  <c r="AM250" i="2"/>
  <c r="AM205" i="2"/>
  <c r="AM204" i="2"/>
  <c r="J38" i="2"/>
  <c r="Z38" i="2" s="1"/>
  <c r="Z132" i="2"/>
  <c r="G134" i="2"/>
  <c r="J134" i="2" s="1"/>
  <c r="Z277" i="2"/>
  <c r="H58" i="2"/>
  <c r="I58" i="2" s="1"/>
  <c r="H250" i="2"/>
  <c r="I250" i="2" s="1"/>
  <c r="AL169" i="2"/>
  <c r="AL271" i="2"/>
  <c r="H118" i="2"/>
  <c r="AL163" i="2"/>
  <c r="H155" i="2"/>
  <c r="I155" i="2" s="1"/>
  <c r="H187" i="2"/>
  <c r="I187" i="2" s="1"/>
  <c r="H304" i="2"/>
  <c r="H303" i="2" s="1"/>
  <c r="Q303" i="2" s="1"/>
  <c r="AL147" i="2"/>
  <c r="H133" i="2"/>
  <c r="I133" i="2" s="1"/>
  <c r="I158" i="2"/>
  <c r="I107" i="2"/>
  <c r="I85" i="2"/>
  <c r="I81" i="2"/>
  <c r="H191" i="2"/>
  <c r="I191" i="2" s="1"/>
  <c r="AL306" i="2"/>
  <c r="I145" i="2"/>
  <c r="H124" i="2"/>
  <c r="I124" i="2" s="1"/>
  <c r="AL151" i="2"/>
  <c r="H291" i="2"/>
  <c r="I291" i="2" s="1"/>
  <c r="H48" i="2"/>
  <c r="I48" i="2" s="1"/>
  <c r="AM51" i="2"/>
  <c r="H137" i="2"/>
  <c r="I137" i="2" s="1"/>
  <c r="I192" i="2"/>
  <c r="H255" i="2"/>
  <c r="J53" i="2"/>
  <c r="Z53" i="2" s="1"/>
  <c r="H282" i="2"/>
  <c r="I282" i="2" s="1"/>
  <c r="H270" i="2"/>
  <c r="I270" i="2" s="1"/>
  <c r="H139" i="2"/>
  <c r="I139" i="2" s="1"/>
  <c r="AL36" i="2"/>
  <c r="H28" i="2"/>
  <c r="I28" i="2" s="1"/>
  <c r="H25" i="2"/>
  <c r="I25" i="2" s="1"/>
  <c r="AL15" i="2"/>
  <c r="I15" i="2"/>
  <c r="I226" i="2"/>
  <c r="K22" i="4"/>
  <c r="F230" i="2"/>
  <c r="AM230" i="2" s="1"/>
  <c r="AM211" i="2"/>
  <c r="L211" i="2"/>
  <c r="H211" i="2"/>
  <c r="I211" i="2" s="1"/>
  <c r="H213" i="2"/>
  <c r="I213" i="2" s="1"/>
  <c r="AL65" i="2"/>
  <c r="J246" i="2"/>
  <c r="Z246" i="2" s="1"/>
  <c r="AL236" i="2"/>
  <c r="H160" i="2"/>
  <c r="I160" i="2" s="1"/>
  <c r="AL138" i="2"/>
  <c r="AL144" i="2"/>
  <c r="AL190" i="2"/>
  <c r="AL81" i="2"/>
  <c r="H277" i="2"/>
  <c r="I277" i="2" s="1"/>
  <c r="H142" i="2"/>
  <c r="I142" i="2" s="1"/>
  <c r="H231" i="2"/>
  <c r="I231" i="2" s="1"/>
  <c r="AL83" i="2"/>
  <c r="I157" i="2"/>
  <c r="H284" i="2"/>
  <c r="I284" i="2" s="1"/>
  <c r="AL52" i="2"/>
  <c r="J50" i="2"/>
  <c r="Z50" i="2" s="1"/>
  <c r="AL269" i="2"/>
  <c r="H188" i="2"/>
  <c r="I188" i="2" s="1"/>
  <c r="H177" i="2"/>
  <c r="H174" i="2" s="1"/>
  <c r="AL156" i="2"/>
  <c r="H136" i="2"/>
  <c r="I136" i="2" s="1"/>
  <c r="H126" i="2"/>
  <c r="S126" i="2" s="1"/>
  <c r="AL107" i="2"/>
  <c r="I102" i="2"/>
  <c r="H44" i="2"/>
  <c r="I44" i="2" s="1"/>
  <c r="AL27" i="2"/>
  <c r="H290" i="2"/>
  <c r="I290" i="2" s="1"/>
  <c r="BA57" i="3"/>
  <c r="BA58" i="3" s="1"/>
  <c r="H281" i="2"/>
  <c r="I281" i="2" s="1"/>
  <c r="I39" i="4"/>
  <c r="K39" i="4"/>
  <c r="I163" i="2"/>
  <c r="H123" i="2"/>
  <c r="I123" i="2" s="1"/>
  <c r="AY55" i="3"/>
  <c r="AL272" i="2"/>
  <c r="AL274" i="2"/>
  <c r="AL199" i="2"/>
  <c r="H182" i="2"/>
  <c r="I199" i="2"/>
  <c r="H168" i="2"/>
  <c r="I168" i="2" s="1"/>
  <c r="G125" i="2"/>
  <c r="AL238" i="2"/>
  <c r="AL251" i="2"/>
  <c r="AJ200" i="2"/>
  <c r="AM189" i="2"/>
  <c r="H119" i="2"/>
  <c r="I119" i="2" s="1"/>
  <c r="H113" i="2"/>
  <c r="I113" i="2" s="1"/>
  <c r="AL117" i="2"/>
  <c r="I93" i="2"/>
  <c r="AL99" i="2"/>
  <c r="L308" i="2"/>
  <c r="I221" i="2"/>
  <c r="AL100" i="2"/>
  <c r="J69" i="2"/>
  <c r="Z69" i="2" s="1"/>
  <c r="L206" i="2"/>
  <c r="AM206" i="2"/>
  <c r="L303" i="2"/>
  <c r="AJ26" i="2"/>
  <c r="J182" i="2"/>
  <c r="Z182" i="2" s="1"/>
  <c r="H184" i="2"/>
  <c r="L182" i="2"/>
  <c r="AL120" i="2"/>
  <c r="H80" i="2"/>
  <c r="I80" i="2" s="1"/>
  <c r="AL84" i="2"/>
  <c r="H112" i="2"/>
  <c r="I112" i="2" s="1"/>
  <c r="H96" i="2"/>
  <c r="I96" i="2" s="1"/>
  <c r="H77" i="2"/>
  <c r="I77" i="2" s="1"/>
  <c r="H94" i="2"/>
  <c r="I94" i="2" s="1"/>
  <c r="H103" i="2"/>
  <c r="I103" i="2" s="1"/>
  <c r="AL90" i="2"/>
  <c r="I268" i="2"/>
  <c r="I273" i="2"/>
  <c r="I271" i="2"/>
  <c r="I260" i="2"/>
  <c r="I223" i="2"/>
  <c r="AM52" i="2"/>
  <c r="Z201" i="2"/>
  <c r="AI303" i="2"/>
  <c r="Z73" i="2"/>
  <c r="I217" i="2"/>
  <c r="BB40" i="3"/>
  <c r="Z147" i="2"/>
  <c r="I147" i="2"/>
  <c r="AX8" i="3"/>
  <c r="AX9" i="3" s="1"/>
  <c r="AY40" i="3"/>
  <c r="BB55" i="3"/>
  <c r="G55" i="3"/>
  <c r="AX40" i="3"/>
  <c r="G40" i="3"/>
  <c r="AX55" i="3"/>
  <c r="G62" i="3"/>
  <c r="AZ55" i="3"/>
  <c r="AL116" i="2"/>
  <c r="AM64" i="2"/>
  <c r="I156" i="2"/>
  <c r="J212" i="2"/>
  <c r="Z212" i="2" s="1"/>
  <c r="I97" i="2"/>
  <c r="AL193" i="2"/>
  <c r="AL162" i="2"/>
  <c r="I144" i="2"/>
  <c r="H212" i="2"/>
  <c r="O308" i="2"/>
  <c r="L26" i="2"/>
  <c r="AJ174" i="2"/>
  <c r="AH66" i="2"/>
  <c r="AH26" i="2"/>
  <c r="I269" i="2"/>
  <c r="AL212" i="2"/>
  <c r="AL132" i="2"/>
  <c r="AL305" i="2"/>
  <c r="H79" i="2"/>
  <c r="I79" i="2" s="1"/>
  <c r="I36" i="2"/>
  <c r="H106" i="2"/>
  <c r="I106" i="2" s="1"/>
  <c r="L220" i="2"/>
  <c r="AL220" i="2"/>
  <c r="AL237" i="2"/>
  <c r="AL64" i="2"/>
  <c r="H114" i="2"/>
  <c r="I114" i="2" s="1"/>
  <c r="L69" i="2"/>
  <c r="H206" i="2"/>
  <c r="I206" i="2" s="1"/>
  <c r="H198" i="2"/>
  <c r="I198" i="2" s="1"/>
  <c r="O276" i="2"/>
  <c r="O26" i="2"/>
  <c r="AL18" i="2"/>
  <c r="AL226" i="2"/>
  <c r="J64" i="2"/>
  <c r="Z64" i="2" s="1"/>
  <c r="I43" i="2"/>
  <c r="O12" i="2"/>
  <c r="O303" i="2"/>
  <c r="I308" i="2"/>
  <c r="L129" i="2"/>
  <c r="AJ264" i="2"/>
  <c r="I266" i="2"/>
  <c r="AL259" i="2"/>
  <c r="H259" i="2"/>
  <c r="I259" i="2" s="1"/>
  <c r="AJ30" i="2"/>
  <c r="AL165" i="2"/>
  <c r="H165" i="2"/>
  <c r="I165" i="2" s="1"/>
  <c r="AL211" i="2"/>
  <c r="AL206" i="2"/>
  <c r="H204" i="2"/>
  <c r="I204" i="2" s="1"/>
  <c r="J146" i="2"/>
  <c r="Z146" i="2" s="1"/>
  <c r="AM146" i="2"/>
  <c r="Z213" i="2"/>
  <c r="AZ40" i="3"/>
  <c r="BA55" i="3"/>
  <c r="BA40" i="3"/>
  <c r="I306" i="2"/>
  <c r="H220" i="2"/>
  <c r="I220" i="2" s="1"/>
  <c r="H210" i="2"/>
  <c r="I210" i="2" s="1"/>
  <c r="AL208" i="2"/>
  <c r="H53" i="2"/>
  <c r="AL51" i="2"/>
  <c r="H280" i="2"/>
  <c r="I280" i="2" s="1"/>
  <c r="I54" i="2"/>
  <c r="AH135" i="2"/>
  <c r="AJ66" i="2"/>
  <c r="I272" i="2"/>
  <c r="I90" i="2"/>
  <c r="H69" i="2"/>
  <c r="H64" i="2"/>
  <c r="J219" i="2"/>
  <c r="I219" i="2" s="1"/>
  <c r="J208" i="2"/>
  <c r="Z208" i="2" s="1"/>
  <c r="H21" i="2"/>
  <c r="I21" i="2" s="1"/>
  <c r="AL248" i="2"/>
  <c r="AL53" i="2"/>
  <c r="H172" i="2"/>
  <c r="I172" i="2" s="1"/>
  <c r="L72" i="2"/>
  <c r="AJ308" i="2"/>
  <c r="AJ303" i="2"/>
  <c r="AJ287" i="2"/>
  <c r="AJ235" i="2"/>
  <c r="AJ215" i="2"/>
  <c r="AJ135" i="2"/>
  <c r="Y312" i="2"/>
  <c r="I305" i="2"/>
  <c r="AL224" i="2"/>
  <c r="AM184" i="2"/>
  <c r="I152" i="2"/>
  <c r="I141" i="2"/>
  <c r="I130" i="2"/>
  <c r="AL202" i="2"/>
  <c r="AI308" i="2"/>
  <c r="L213" i="2"/>
  <c r="AM182" i="2"/>
  <c r="L219" i="2"/>
  <c r="L51" i="2"/>
  <c r="J184" i="2"/>
  <c r="Z184" i="2" s="1"/>
  <c r="L208" i="2"/>
  <c r="H247" i="2"/>
  <c r="I247" i="2" s="1"/>
  <c r="Z139" i="2"/>
  <c r="AL213" i="2"/>
  <c r="L172" i="2"/>
  <c r="I132" i="2"/>
  <c r="AM219" i="2"/>
  <c r="J51" i="2"/>
  <c r="Z51" i="2" s="1"/>
  <c r="J189" i="2"/>
  <c r="Z189" i="2" s="1"/>
  <c r="H164" i="2"/>
  <c r="I164" i="2" s="1"/>
  <c r="AL184" i="2"/>
  <c r="AL98" i="2"/>
  <c r="I18" i="2"/>
  <c r="O174" i="2"/>
  <c r="L197" i="2"/>
  <c r="AL146" i="2"/>
  <c r="I23" i="2"/>
  <c r="Z210" i="2"/>
  <c r="I243" i="2"/>
  <c r="I127" i="2"/>
  <c r="Z185" i="2"/>
  <c r="I100" i="2"/>
  <c r="I108" i="2"/>
  <c r="L12" i="2"/>
  <c r="L174" i="2"/>
  <c r="L276" i="2"/>
  <c r="Z195" i="2"/>
  <c r="AL23" i="2"/>
  <c r="AM185" i="2"/>
  <c r="AL127" i="2"/>
  <c r="O287" i="2"/>
  <c r="AL285" i="2"/>
  <c r="AL243" i="2"/>
  <c r="H195" i="2"/>
  <c r="I195" i="2" s="1"/>
  <c r="AL55" i="2"/>
  <c r="H14" i="2"/>
  <c r="I14" i="2" s="1"/>
  <c r="Z108" i="2"/>
  <c r="I169" i="2"/>
  <c r="Z280" i="2"/>
  <c r="H279" i="2"/>
  <c r="I279" i="2" s="1"/>
  <c r="I98" i="2"/>
  <c r="C27" i="1"/>
  <c r="AL152" i="2"/>
  <c r="H75" i="2"/>
  <c r="I75" i="2" s="1"/>
  <c r="AL172" i="2"/>
  <c r="J171" i="2"/>
  <c r="Z171" i="2" s="1"/>
  <c r="AL74" i="2"/>
  <c r="H92" i="2"/>
  <c r="I92" i="2" s="1"/>
  <c r="H122" i="2"/>
  <c r="I122" i="2" s="1"/>
  <c r="AL223" i="2"/>
  <c r="H140" i="2"/>
  <c r="I140" i="2" s="1"/>
  <c r="AL266" i="2"/>
  <c r="I138" i="2"/>
  <c r="H29" i="2"/>
  <c r="I29" i="2" s="1"/>
  <c r="H82" i="2"/>
  <c r="I82" i="2" s="1"/>
  <c r="AL268" i="2"/>
  <c r="H224" i="2"/>
  <c r="I224" i="2" s="1"/>
  <c r="H275" i="2"/>
  <c r="I275" i="2" s="1"/>
  <c r="H149" i="2"/>
  <c r="I149" i="2" s="1"/>
  <c r="L224" i="2"/>
  <c r="L210" i="2"/>
  <c r="AL105" i="2"/>
  <c r="Z144" i="2"/>
  <c r="Z222" i="2"/>
  <c r="I40" i="2"/>
  <c r="Z100" i="2"/>
  <c r="H170" i="2"/>
  <c r="I170" i="2" s="1"/>
  <c r="I17" i="2"/>
  <c r="Z15" i="2"/>
  <c r="AL20" i="2"/>
  <c r="H185" i="2"/>
  <c r="I185" i="2" s="1"/>
  <c r="H244" i="2"/>
  <c r="I244" i="2" s="1"/>
  <c r="AL13" i="2"/>
  <c r="AM53" i="2"/>
  <c r="H308" i="2"/>
  <c r="U308" i="2" s="1"/>
  <c r="AL108" i="2"/>
  <c r="O252" i="2"/>
  <c r="AJ252" i="2"/>
  <c r="AJ197" i="2"/>
  <c r="I274" i="2"/>
  <c r="AL267" i="2"/>
  <c r="H222" i="2"/>
  <c r="I222" i="2" s="1"/>
  <c r="AL157" i="2"/>
  <c r="I84" i="2"/>
  <c r="AM69" i="2"/>
  <c r="H19" i="2"/>
  <c r="I19" i="2" s="1"/>
  <c r="Z127" i="2"/>
  <c r="AI126" i="2" s="1"/>
  <c r="AL128" i="2"/>
  <c r="J202" i="2"/>
  <c r="Z202" i="2" s="1"/>
  <c r="AH72" i="2"/>
  <c r="AH30" i="2"/>
  <c r="AM171" i="2"/>
  <c r="H51" i="2"/>
  <c r="AL104" i="2"/>
  <c r="H95" i="2"/>
  <c r="I95" i="2" s="1"/>
  <c r="Z217" i="2"/>
  <c r="AL141" i="2"/>
  <c r="Z206" i="2"/>
  <c r="I91" i="2"/>
  <c r="L185" i="2"/>
  <c r="AM223" i="2"/>
  <c r="H171" i="2"/>
  <c r="I180" i="2"/>
  <c r="AL40" i="2"/>
  <c r="I20" i="2"/>
  <c r="I56" i="2"/>
  <c r="H203" i="2"/>
  <c r="I203" i="2" s="1"/>
  <c r="I162" i="2"/>
  <c r="O228" i="2"/>
  <c r="C20" i="1"/>
  <c r="AH308" i="2"/>
  <c r="AH292" i="2"/>
  <c r="AH287" i="2"/>
  <c r="AH264" i="2"/>
  <c r="AH252" i="2"/>
  <c r="AH235" i="2"/>
  <c r="AH200" i="2"/>
  <c r="AH197" i="2"/>
  <c r="AH174" i="2"/>
  <c r="AH129" i="2"/>
  <c r="AJ72" i="2"/>
  <c r="I283" i="2"/>
  <c r="AM213" i="2"/>
  <c r="I68" i="2"/>
  <c r="I83" i="2"/>
  <c r="Z143" i="2"/>
  <c r="R308" i="2"/>
  <c r="T308" i="2"/>
  <c r="I13" i="2"/>
  <c r="I175" i="2"/>
  <c r="V126" i="2"/>
  <c r="AL143" i="2"/>
  <c r="L143" i="2"/>
  <c r="Z285" i="2"/>
  <c r="I285" i="2"/>
  <c r="L190" i="2"/>
  <c r="AM190" i="2"/>
  <c r="AL181" i="2"/>
  <c r="H181" i="2"/>
  <c r="H88" i="2"/>
  <c r="I88" i="2" s="1"/>
  <c r="AL88" i="2"/>
  <c r="Z27" i="2"/>
  <c r="I27" i="2"/>
  <c r="J67" i="2"/>
  <c r="AM67" i="2"/>
  <c r="H241" i="2"/>
  <c r="I241" i="2" s="1"/>
  <c r="AL241" i="2"/>
  <c r="Z86" i="2"/>
  <c r="J209" i="2"/>
  <c r="AM209" i="2"/>
  <c r="AL209" i="2"/>
  <c r="J286" i="2"/>
  <c r="H286" i="2"/>
  <c r="AM286" i="2"/>
  <c r="AL286" i="2"/>
  <c r="Z249" i="2"/>
  <c r="I249" i="2"/>
  <c r="AL161" i="2"/>
  <c r="H161" i="2"/>
  <c r="I161" i="2" s="1"/>
  <c r="H47" i="2"/>
  <c r="I47" i="2" s="1"/>
  <c r="AL47" i="2"/>
  <c r="Z121" i="2"/>
  <c r="Z105" i="2"/>
  <c r="I105" i="2"/>
  <c r="Z198" i="2"/>
  <c r="AI197" i="2" s="1"/>
  <c r="I237" i="2"/>
  <c r="Z237" i="2"/>
  <c r="L202" i="2"/>
  <c r="H202" i="2"/>
  <c r="AM202" i="2"/>
  <c r="O30" i="2"/>
  <c r="O235" i="2"/>
  <c r="AH276" i="2"/>
  <c r="AH179" i="2"/>
  <c r="I176" i="2"/>
  <c r="AL185" i="2"/>
  <c r="AL97" i="2"/>
  <c r="I128" i="2"/>
  <c r="I216" i="2"/>
  <c r="I238" i="2"/>
  <c r="Z17" i="2"/>
  <c r="H73" i="2"/>
  <c r="Z92" i="2"/>
  <c r="Z78" i="2"/>
  <c r="L287" i="2"/>
  <c r="H225" i="2"/>
  <c r="I225" i="2" s="1"/>
  <c r="H143" i="2"/>
  <c r="Z75" i="2"/>
  <c r="AL67" i="2"/>
  <c r="H71" i="2"/>
  <c r="H41" i="2"/>
  <c r="I41" i="2" s="1"/>
  <c r="Z226" i="2"/>
  <c r="H183" i="2"/>
  <c r="I183" i="2" s="1"/>
  <c r="H289" i="2"/>
  <c r="I289" i="2" s="1"/>
  <c r="AL130" i="2"/>
  <c r="Z301" i="2"/>
  <c r="Z145" i="2"/>
  <c r="AL192" i="2"/>
  <c r="Z40" i="2"/>
  <c r="H254" i="2"/>
  <c r="I254" i="2" s="1"/>
  <c r="I104" i="2"/>
  <c r="AL249" i="2"/>
  <c r="AL145" i="2"/>
  <c r="H111" i="2"/>
  <c r="I111" i="2" s="1"/>
  <c r="L67" i="2"/>
  <c r="AL175" i="2"/>
  <c r="AJ292" i="2"/>
  <c r="AJ276" i="2"/>
  <c r="AJ228" i="2"/>
  <c r="AJ179" i="2"/>
  <c r="AJ129" i="2"/>
  <c r="H153" i="2"/>
  <c r="I153" i="2" s="1"/>
  <c r="H121" i="2"/>
  <c r="I121" i="2" s="1"/>
  <c r="I117" i="2"/>
  <c r="I267" i="2"/>
  <c r="I118" i="2"/>
  <c r="Z118" i="2"/>
  <c r="Z101" i="2"/>
  <c r="Z241" i="2"/>
  <c r="Z290" i="2"/>
  <c r="AM218" i="2"/>
  <c r="J218" i="2"/>
  <c r="H218" i="2"/>
  <c r="AJ12" i="2"/>
  <c r="C29" i="1"/>
  <c r="F29" i="1" s="1"/>
  <c r="AA312" i="2"/>
  <c r="H150" i="2"/>
  <c r="J150" i="2"/>
  <c r="AM150" i="2"/>
  <c r="AL148" i="2"/>
  <c r="H148" i="2"/>
  <c r="I148" i="2" s="1"/>
  <c r="AL115" i="2"/>
  <c r="H115" i="2"/>
  <c r="I115" i="2" s="1"/>
  <c r="AL24" i="2"/>
  <c r="H24" i="2"/>
  <c r="I24" i="2" s="1"/>
  <c r="Z153" i="2"/>
  <c r="Z148" i="2"/>
  <c r="Z291" i="2"/>
  <c r="H22" i="2"/>
  <c r="AL22" i="2"/>
  <c r="H52" i="2"/>
  <c r="J52" i="2"/>
  <c r="L52" i="2"/>
  <c r="H253" i="2"/>
  <c r="AL253" i="2"/>
  <c r="H189" i="2"/>
  <c r="AL189" i="2"/>
  <c r="AL167" i="2"/>
  <c r="H167" i="2"/>
  <c r="I167" i="2" s="1"/>
  <c r="AL154" i="2"/>
  <c r="H154" i="2"/>
  <c r="I154" i="2" s="1"/>
  <c r="AL101" i="2"/>
  <c r="H101" i="2"/>
  <c r="I101" i="2" s="1"/>
  <c r="AL57" i="2"/>
  <c r="H57" i="2"/>
  <c r="I57" i="2" s="1"/>
  <c r="I186" i="2"/>
  <c r="Z186" i="2"/>
  <c r="Z203" i="2"/>
  <c r="AL194" i="2"/>
  <c r="H194" i="2"/>
  <c r="I194" i="2" s="1"/>
  <c r="AH303" i="2"/>
  <c r="AH228" i="2"/>
  <c r="AH215" i="2"/>
  <c r="N278" i="2"/>
  <c r="H208" i="2"/>
  <c r="H190" i="2"/>
  <c r="AH12" i="2"/>
  <c r="H110" i="2"/>
  <c r="I110" i="2" s="1"/>
  <c r="Z176" i="2"/>
  <c r="AI174" i="2" s="1"/>
  <c r="AS39" i="2"/>
  <c r="AS34" i="2" s="1"/>
  <c r="I74" i="2"/>
  <c r="AM143" i="2"/>
  <c r="AL17" i="2"/>
  <c r="H146" i="2"/>
  <c r="AL201" i="2"/>
  <c r="I301" i="2"/>
  <c r="AL102" i="2"/>
  <c r="AL216" i="2"/>
  <c r="Z82" i="2"/>
  <c r="H109" i="2"/>
  <c r="I109" i="2" s="1"/>
  <c r="H76" i="2"/>
  <c r="I76" i="2" s="1"/>
  <c r="AL210" i="2"/>
  <c r="I55" i="2"/>
  <c r="Z28" i="2"/>
  <c r="AL150" i="2"/>
  <c r="H87" i="2"/>
  <c r="I87" i="2" s="1"/>
  <c r="J190" i="2"/>
  <c r="I201" i="2"/>
  <c r="AL176" i="2"/>
  <c r="AL218" i="2"/>
  <c r="I99" i="2"/>
  <c r="AL186" i="2"/>
  <c r="AL301" i="2"/>
  <c r="O197" i="2"/>
  <c r="O66" i="2"/>
  <c r="L264" i="2"/>
  <c r="H67" i="2"/>
  <c r="AL159" i="2"/>
  <c r="H86" i="2"/>
  <c r="I86" i="2" s="1"/>
  <c r="AL85" i="2"/>
  <c r="I159" i="2"/>
  <c r="Z142" i="2"/>
  <c r="I304" i="2" l="1"/>
  <c r="L32" i="2"/>
  <c r="F42" i="2"/>
  <c r="AL42" i="2" s="1"/>
  <c r="AM31" i="2"/>
  <c r="H31" i="2"/>
  <c r="L31" i="2"/>
  <c r="AL31" i="2"/>
  <c r="J31" i="2"/>
  <c r="AL32" i="2"/>
  <c r="H32" i="2"/>
  <c r="J32" i="2"/>
  <c r="AM32" i="2"/>
  <c r="J245" i="2"/>
  <c r="L245" i="2"/>
  <c r="H245" i="2"/>
  <c r="AL245" i="2"/>
  <c r="AM245" i="2"/>
  <c r="H229" i="2"/>
  <c r="I177" i="2"/>
  <c r="I174" i="2" s="1"/>
  <c r="F302" i="2"/>
  <c r="H302" i="2" s="1"/>
  <c r="AL229" i="2"/>
  <c r="AL37" i="2"/>
  <c r="L37" i="2"/>
  <c r="AM207" i="2"/>
  <c r="L207" i="2"/>
  <c r="H207" i="2"/>
  <c r="J207" i="2"/>
  <c r="Z207" i="2" s="1"/>
  <c r="L205" i="2"/>
  <c r="J229" i="2"/>
  <c r="Z229" i="2" s="1"/>
  <c r="F234" i="2"/>
  <c r="H234" i="2" s="1"/>
  <c r="H37" i="2"/>
  <c r="I37" i="2" s="1"/>
  <c r="AM37" i="2"/>
  <c r="AM229" i="2"/>
  <c r="H205" i="2"/>
  <c r="I64" i="2"/>
  <c r="AL205" i="2"/>
  <c r="J205" i="2"/>
  <c r="Z205" i="2" s="1"/>
  <c r="AM38" i="2"/>
  <c r="H38" i="2"/>
  <c r="I38" i="2" s="1"/>
  <c r="AL38" i="2"/>
  <c r="L38" i="2"/>
  <c r="I303" i="2"/>
  <c r="J303" i="2" s="1"/>
  <c r="I53" i="2"/>
  <c r="AL255" i="2"/>
  <c r="J39" i="2"/>
  <c r="Z39" i="2" s="1"/>
  <c r="I146" i="2"/>
  <c r="AL230" i="2"/>
  <c r="H39" i="2"/>
  <c r="AL246" i="2"/>
  <c r="H49" i="2"/>
  <c r="AL240" i="2"/>
  <c r="AM246" i="2"/>
  <c r="AM39" i="2"/>
  <c r="L246" i="2"/>
  <c r="AL39" i="2"/>
  <c r="L39" i="2"/>
  <c r="I197" i="2"/>
  <c r="T197" i="2" s="1"/>
  <c r="J230" i="2"/>
  <c r="H230" i="2"/>
  <c r="F232" i="2"/>
  <c r="L230" i="2"/>
  <c r="AM240" i="2"/>
  <c r="H246" i="2"/>
  <c r="I246" i="2" s="1"/>
  <c r="H65" i="2"/>
  <c r="AM65" i="2"/>
  <c r="L240" i="2"/>
  <c r="J240" i="2"/>
  <c r="Z240" i="2" s="1"/>
  <c r="F242" i="2"/>
  <c r="J236" i="2"/>
  <c r="AM236" i="2"/>
  <c r="L236" i="2"/>
  <c r="J255" i="2"/>
  <c r="AM255" i="2"/>
  <c r="L255" i="2"/>
  <c r="L252" i="2" s="1"/>
  <c r="J65" i="2"/>
  <c r="Z65" i="2" s="1"/>
  <c r="L65" i="2"/>
  <c r="H236" i="2"/>
  <c r="J49" i="2"/>
  <c r="L49" i="2"/>
  <c r="AM49" i="2"/>
  <c r="I182" i="2"/>
  <c r="R126" i="2"/>
  <c r="I126" i="2"/>
  <c r="J126" i="2" s="1"/>
  <c r="H252" i="2"/>
  <c r="Q252" i="2" s="1"/>
  <c r="AD227" i="2"/>
  <c r="H197" i="2"/>
  <c r="S197" i="2" s="1"/>
  <c r="Z219" i="2"/>
  <c r="I212" i="2"/>
  <c r="I184" i="2"/>
  <c r="L66" i="2"/>
  <c r="I69" i="2"/>
  <c r="G173" i="2"/>
  <c r="J173" i="2" s="1"/>
  <c r="AI12" i="2"/>
  <c r="I208" i="2"/>
  <c r="L135" i="2"/>
  <c r="H66" i="2"/>
  <c r="Q66" i="2" s="1"/>
  <c r="I189" i="2"/>
  <c r="I171" i="2"/>
  <c r="I51" i="2"/>
  <c r="J125" i="2"/>
  <c r="AE125" i="2"/>
  <c r="AM125" i="2" s="1"/>
  <c r="AD125" i="2"/>
  <c r="V308" i="2"/>
  <c r="G65" i="3"/>
  <c r="I26" i="2"/>
  <c r="R26" i="2" s="1"/>
  <c r="J308" i="2"/>
  <c r="L215" i="2"/>
  <c r="H50" i="2"/>
  <c r="I50" i="2" s="1"/>
  <c r="AM50" i="2"/>
  <c r="AL50" i="2"/>
  <c r="L50" i="2"/>
  <c r="H276" i="2"/>
  <c r="Q276" i="2" s="1"/>
  <c r="L179" i="2"/>
  <c r="I202" i="2"/>
  <c r="H26" i="2"/>
  <c r="H12" i="2"/>
  <c r="Q12" i="2" s="1"/>
  <c r="R129" i="2"/>
  <c r="V129" i="2"/>
  <c r="I190" i="2"/>
  <c r="Z190" i="2"/>
  <c r="S174" i="2"/>
  <c r="V303" i="2"/>
  <c r="T303" i="2"/>
  <c r="R197" i="2"/>
  <c r="V197" i="2"/>
  <c r="Z286" i="2"/>
  <c r="AI276" i="2" s="1"/>
  <c r="I286" i="2"/>
  <c r="I276" i="2" s="1"/>
  <c r="I181" i="2"/>
  <c r="Z52" i="2"/>
  <c r="I52" i="2"/>
  <c r="I150" i="2"/>
  <c r="Z150" i="2"/>
  <c r="I73" i="2"/>
  <c r="Z209" i="2"/>
  <c r="I209" i="2"/>
  <c r="I22" i="2"/>
  <c r="I12" i="2" s="1"/>
  <c r="I143" i="2"/>
  <c r="AI26" i="2"/>
  <c r="I218" i="2"/>
  <c r="Z218" i="2"/>
  <c r="Z67" i="2"/>
  <c r="AI66" i="2" s="1"/>
  <c r="I67" i="2"/>
  <c r="I71" i="2"/>
  <c r="I70" i="2" s="1"/>
  <c r="H70" i="2"/>
  <c r="T26" i="2"/>
  <c r="V26" i="2"/>
  <c r="I253" i="2"/>
  <c r="Z31" i="2" l="1"/>
  <c r="I31" i="2"/>
  <c r="I32" i="2"/>
  <c r="Z32" i="2"/>
  <c r="R303" i="2"/>
  <c r="Z245" i="2"/>
  <c r="I245" i="2"/>
  <c r="AM302" i="2"/>
  <c r="J302" i="2"/>
  <c r="Z302" i="2" s="1"/>
  <c r="AL234" i="2"/>
  <c r="L234" i="2"/>
  <c r="AM234" i="2"/>
  <c r="L200" i="2"/>
  <c r="AL302" i="2"/>
  <c r="I229" i="2"/>
  <c r="J234" i="2"/>
  <c r="Z234" i="2" s="1"/>
  <c r="I207" i="2"/>
  <c r="I205" i="2"/>
  <c r="AD214" i="2"/>
  <c r="I39" i="2"/>
  <c r="J45" i="2"/>
  <c r="L45" i="2"/>
  <c r="AM45" i="2"/>
  <c r="AL45" i="2"/>
  <c r="H45" i="2"/>
  <c r="L46" i="2"/>
  <c r="J46" i="2"/>
  <c r="Z46" i="2" s="1"/>
  <c r="AL46" i="2"/>
  <c r="AM46" i="2"/>
  <c r="H46" i="2"/>
  <c r="I66" i="2"/>
  <c r="J66" i="2" s="1"/>
  <c r="T126" i="2"/>
  <c r="F233" i="2"/>
  <c r="L232" i="2"/>
  <c r="F294" i="2" s="1"/>
  <c r="F293" i="2" s="1"/>
  <c r="H232" i="2"/>
  <c r="J232" i="2"/>
  <c r="AL232" i="2"/>
  <c r="AM232" i="2"/>
  <c r="I230" i="2"/>
  <c r="Z230" i="2"/>
  <c r="I240" i="2"/>
  <c r="Z49" i="2"/>
  <c r="I49" i="2"/>
  <c r="H239" i="2"/>
  <c r="J239" i="2"/>
  <c r="L239" i="2"/>
  <c r="AM239" i="2"/>
  <c r="AL239" i="2"/>
  <c r="Z255" i="2"/>
  <c r="AI252" i="2" s="1"/>
  <c r="I255" i="2"/>
  <c r="I252" i="2" s="1"/>
  <c r="J252" i="2" s="1"/>
  <c r="L242" i="2"/>
  <c r="AL242" i="2"/>
  <c r="H242" i="2"/>
  <c r="J242" i="2"/>
  <c r="AM242" i="2"/>
  <c r="I65" i="2"/>
  <c r="Z236" i="2"/>
  <c r="I236" i="2"/>
  <c r="J197" i="2"/>
  <c r="AE227" i="2"/>
  <c r="AM227" i="2" s="1"/>
  <c r="J227" i="2"/>
  <c r="Z227" i="2" s="1"/>
  <c r="AI215" i="2" s="1"/>
  <c r="AD288" i="2"/>
  <c r="AD173" i="2"/>
  <c r="AL173" i="2" s="1"/>
  <c r="AE173" i="2"/>
  <c r="AM173" i="2" s="1"/>
  <c r="H227" i="2"/>
  <c r="H215" i="2" s="1"/>
  <c r="S215" i="2" s="1"/>
  <c r="AL227" i="2"/>
  <c r="AD196" i="2"/>
  <c r="AE196" i="2"/>
  <c r="AM196" i="2" s="1"/>
  <c r="J196" i="2"/>
  <c r="AM42" i="2"/>
  <c r="N125" i="2"/>
  <c r="O72" i="2" s="1"/>
  <c r="Z125" i="2"/>
  <c r="AI72" i="2" s="1"/>
  <c r="AL125" i="2"/>
  <c r="H125" i="2"/>
  <c r="Z173" i="2"/>
  <c r="AI135" i="2" s="1"/>
  <c r="N173" i="2"/>
  <c r="O135" i="2" s="1"/>
  <c r="J276" i="2"/>
  <c r="L42" i="2"/>
  <c r="H42" i="2"/>
  <c r="J42" i="2"/>
  <c r="Q26" i="2"/>
  <c r="J26" i="2"/>
  <c r="R135" i="2"/>
  <c r="V135" i="2"/>
  <c r="V12" i="2"/>
  <c r="T12" i="2"/>
  <c r="R12" i="2"/>
  <c r="J12" i="2"/>
  <c r="R215" i="2"/>
  <c r="V215" i="2"/>
  <c r="V200" i="2"/>
  <c r="R200" i="2"/>
  <c r="V235" i="2"/>
  <c r="R235" i="2"/>
  <c r="V174" i="2"/>
  <c r="T174" i="2"/>
  <c r="R174" i="2"/>
  <c r="R72" i="2"/>
  <c r="V72" i="2"/>
  <c r="R70" i="2"/>
  <c r="T70" i="2"/>
  <c r="V70" i="2"/>
  <c r="V276" i="2"/>
  <c r="R276" i="2"/>
  <c r="T276" i="2"/>
  <c r="S70" i="2"/>
  <c r="J70" i="2"/>
  <c r="J174" i="2"/>
  <c r="T66" i="2"/>
  <c r="V66" i="2"/>
  <c r="R179" i="2"/>
  <c r="V179" i="2"/>
  <c r="V252" i="2"/>
  <c r="T252" i="2"/>
  <c r="R287" i="2"/>
  <c r="T287" i="2"/>
  <c r="H30" i="2" l="1"/>
  <c r="I302" i="2"/>
  <c r="N302" i="2"/>
  <c r="I234" i="2"/>
  <c r="AE214" i="2"/>
  <c r="AM214" i="2" s="1"/>
  <c r="J214" i="2"/>
  <c r="N214" i="2" s="1"/>
  <c r="O200" i="2" s="1"/>
  <c r="F298" i="2"/>
  <c r="J298" i="2" s="1"/>
  <c r="Z298" i="2" s="1"/>
  <c r="AM293" i="2"/>
  <c r="L30" i="2"/>
  <c r="I46" i="2"/>
  <c r="Z45" i="2"/>
  <c r="I45" i="2"/>
  <c r="R66" i="2"/>
  <c r="F297" i="2"/>
  <c r="AL297" i="2" s="1"/>
  <c r="F296" i="2"/>
  <c r="AL296" i="2" s="1"/>
  <c r="H233" i="2"/>
  <c r="H228" i="2" s="1"/>
  <c r="AL233" i="2"/>
  <c r="L233" i="2"/>
  <c r="L228" i="2" s="1"/>
  <c r="J233" i="2"/>
  <c r="AM233" i="2"/>
  <c r="F299" i="2"/>
  <c r="H299" i="2" s="1"/>
  <c r="AM294" i="2"/>
  <c r="AM295" i="2"/>
  <c r="I232" i="2"/>
  <c r="Z232" i="2"/>
  <c r="H235" i="2"/>
  <c r="S235" i="2" s="1"/>
  <c r="L235" i="2"/>
  <c r="I242" i="2"/>
  <c r="Z242" i="2"/>
  <c r="R252" i="2"/>
  <c r="I239" i="2"/>
  <c r="Z239" i="2"/>
  <c r="N227" i="2"/>
  <c r="O215" i="2" s="1"/>
  <c r="AE288" i="2"/>
  <c r="AM288" i="2" s="1"/>
  <c r="H288" i="2"/>
  <c r="H287" i="2" s="1"/>
  <c r="U287" i="2" s="1"/>
  <c r="C18" i="1" s="1"/>
  <c r="AL288" i="2"/>
  <c r="J288" i="2"/>
  <c r="Z288" i="2" s="1"/>
  <c r="AI287" i="2" s="1"/>
  <c r="H173" i="2"/>
  <c r="I173" i="2" s="1"/>
  <c r="I135" i="2" s="1"/>
  <c r="I227" i="2"/>
  <c r="I215" i="2" s="1"/>
  <c r="Z196" i="2"/>
  <c r="AI179" i="2" s="1"/>
  <c r="N196" i="2"/>
  <c r="O179" i="2" s="1"/>
  <c r="H196" i="2"/>
  <c r="H179" i="2" s="1"/>
  <c r="AV22" i="2" s="1"/>
  <c r="C16" i="1" s="1"/>
  <c r="AL196" i="2"/>
  <c r="H214" i="2"/>
  <c r="H200" i="2" s="1"/>
  <c r="S200" i="2" s="1"/>
  <c r="AL214" i="2"/>
  <c r="I125" i="2"/>
  <c r="I72" i="2" s="1"/>
  <c r="T72" i="2" s="1"/>
  <c r="H72" i="2"/>
  <c r="I42" i="2"/>
  <c r="Z42" i="2"/>
  <c r="AL294" i="2"/>
  <c r="J294" i="2"/>
  <c r="N294" i="2" s="1"/>
  <c r="H294" i="2"/>
  <c r="V30" i="2"/>
  <c r="T30" i="2"/>
  <c r="R228" i="2"/>
  <c r="V228" i="2"/>
  <c r="Q30" i="2" l="1"/>
  <c r="I30" i="2"/>
  <c r="Z214" i="2"/>
  <c r="AI200" i="2" s="1"/>
  <c r="N298" i="2"/>
  <c r="H298" i="2"/>
  <c r="I298" i="2" s="1"/>
  <c r="AL298" i="2"/>
  <c r="AM298" i="2"/>
  <c r="AI30" i="2"/>
  <c r="H295" i="2"/>
  <c r="J297" i="2"/>
  <c r="N297" i="2" s="1"/>
  <c r="AM297" i="2"/>
  <c r="H297" i="2"/>
  <c r="J299" i="2"/>
  <c r="I299" i="2" s="1"/>
  <c r="AM299" i="2"/>
  <c r="AL299" i="2"/>
  <c r="F300" i="2"/>
  <c r="H300" i="2" s="1"/>
  <c r="AL295" i="2"/>
  <c r="H296" i="2"/>
  <c r="AL293" i="2"/>
  <c r="J295" i="2"/>
  <c r="N295" i="2" s="1"/>
  <c r="J296" i="2"/>
  <c r="Z296" i="2" s="1"/>
  <c r="AM296" i="2"/>
  <c r="S228" i="2"/>
  <c r="H293" i="2"/>
  <c r="J293" i="2"/>
  <c r="Z293" i="2" s="1"/>
  <c r="F265" i="2"/>
  <c r="H265" i="2" s="1"/>
  <c r="H264" i="2" s="1"/>
  <c r="Q264" i="2" s="1"/>
  <c r="Z233" i="2"/>
  <c r="AI228" i="2" s="1"/>
  <c r="I233" i="2"/>
  <c r="I228" i="2" s="1"/>
  <c r="T228" i="2" s="1"/>
  <c r="I235" i="2"/>
  <c r="AI235" i="2"/>
  <c r="I288" i="2"/>
  <c r="I287" i="2" s="1"/>
  <c r="V287" i="2" s="1"/>
  <c r="I214" i="2"/>
  <c r="I200" i="2" s="1"/>
  <c r="J200" i="2" s="1"/>
  <c r="H135" i="2"/>
  <c r="S135" i="2" s="1"/>
  <c r="T215" i="2"/>
  <c r="J215" i="2"/>
  <c r="S179" i="2"/>
  <c r="I196" i="2"/>
  <c r="I179" i="2" s="1"/>
  <c r="J72" i="2"/>
  <c r="S72" i="2"/>
  <c r="T135" i="2"/>
  <c r="I294" i="2"/>
  <c r="Z294" i="2"/>
  <c r="T179" i="2" l="1"/>
  <c r="AV23" i="2"/>
  <c r="C17" i="1" s="1"/>
  <c r="J30" i="2"/>
  <c r="AV12" i="2"/>
  <c r="C14" i="1" s="1"/>
  <c r="R30" i="2"/>
  <c r="Z297" i="2"/>
  <c r="AM300" i="2"/>
  <c r="N293" i="2"/>
  <c r="Z299" i="2"/>
  <c r="I297" i="2"/>
  <c r="N299" i="2"/>
  <c r="I296" i="2"/>
  <c r="N296" i="2"/>
  <c r="AL300" i="2"/>
  <c r="I295" i="2"/>
  <c r="J300" i="2"/>
  <c r="I300" i="2" s="1"/>
  <c r="Z295" i="2"/>
  <c r="I293" i="2"/>
  <c r="H292" i="2"/>
  <c r="Q292" i="2" s="1"/>
  <c r="AL265" i="2"/>
  <c r="J265" i="2"/>
  <c r="N265" i="2" s="1"/>
  <c r="O264" i="2" s="1"/>
  <c r="AM265" i="2"/>
  <c r="J228" i="2"/>
  <c r="T235" i="2"/>
  <c r="J235" i="2"/>
  <c r="T200" i="2"/>
  <c r="J287" i="2"/>
  <c r="J135" i="2"/>
  <c r="J179" i="2"/>
  <c r="T292" i="2"/>
  <c r="T264" i="2"/>
  <c r="V264" i="2"/>
  <c r="Z300" i="2" l="1"/>
  <c r="AI292" i="2" s="1"/>
  <c r="N300" i="2"/>
  <c r="O292" i="2" s="1"/>
  <c r="I292" i="2"/>
  <c r="V292" i="2" s="1"/>
  <c r="C19" i="1" s="1"/>
  <c r="I265" i="2"/>
  <c r="I264" i="2" s="1"/>
  <c r="AV18" i="2" s="1"/>
  <c r="C15" i="1" s="1"/>
  <c r="Z265" i="2"/>
  <c r="AI264" i="2" s="1"/>
  <c r="R292" i="2" l="1"/>
  <c r="J292" i="2"/>
  <c r="C21" i="1" s="1"/>
  <c r="J264" i="2"/>
  <c r="R264" i="2"/>
  <c r="AE134" i="2" l="1"/>
  <c r="AM134" i="2" s="1"/>
  <c r="Z134" i="2"/>
  <c r="AI129" i="2" s="1"/>
  <c r="N134" i="2"/>
  <c r="O129" i="2" s="1"/>
  <c r="AD134" i="2"/>
  <c r="AL134" i="2" s="1"/>
  <c r="H134" i="2" l="1"/>
  <c r="H129" i="2" s="1"/>
  <c r="S129" i="2" s="1"/>
  <c r="Z312" i="2"/>
  <c r="I134" i="2" l="1"/>
  <c r="I129" i="2" s="1"/>
  <c r="T129" i="2" s="1"/>
  <c r="C22" i="1" s="1"/>
  <c r="J129" i="2" l="1"/>
  <c r="J312" i="2" s="1"/>
  <c r="I19" i="1"/>
  <c r="I14" i="1"/>
  <c r="I18" i="1"/>
  <c r="I17" i="1"/>
  <c r="I16" i="1"/>
  <c r="I15" i="1"/>
  <c r="I22" i="1" l="1"/>
  <c r="C28" i="1" s="1"/>
  <c r="F28" i="1" s="1"/>
  <c r="I28" i="1" l="1"/>
  <c r="I29" i="1" s="1"/>
</calcChain>
</file>

<file path=xl/sharedStrings.xml><?xml version="1.0" encoding="utf-8"?>
<sst xmlns="http://schemas.openxmlformats.org/spreadsheetml/2006/main" count="2974" uniqueCount="1194">
  <si>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</si>
  <si>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</si>
  <si>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</si>
  <si>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</si>
  <si>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</si>
  <si>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</si>
  <si>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</si>
  <si>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</si>
  <si>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</si>
  <si>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</si>
  <si>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</si>
  <si>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</si>
  <si>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</si>
  <si>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</si>
  <si>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</si>
  <si>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</si>
  <si>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</si>
  <si>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</si>
  <si>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</si>
  <si>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</si>
  <si>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</si>
  <si>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</si>
  <si>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</si>
  <si>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</si>
  <si>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</si>
  <si>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</si>
  <si>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</si>
  <si>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</si>
  <si>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</si>
  <si>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</si>
  <si>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</si>
  <si>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</si>
  <si>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</si>
  <si>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</si>
  <si>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</si>
  <si>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</si>
  <si>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</si>
  <si>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</si>
  <si>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</si>
  <si>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</si>
  <si>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</si>
  <si>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</si>
  <si>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</si>
  <si>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</si>
  <si>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</si>
  <si>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</si>
  <si>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</si>
  <si>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</si>
  <si>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</si>
  <si>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</si>
  <si>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</si>
  <si>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</si>
  <si>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</si>
  <si>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</si>
  <si>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</si>
  <si>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</si>
  <si>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</si>
  <si>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</si>
  <si>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57</t>
  </si>
  <si>
    <t>58</t>
  </si>
  <si>
    <t>59</t>
  </si>
  <si>
    <t>60</t>
  </si>
  <si>
    <t>61</t>
  </si>
  <si>
    <t>63</t>
  </si>
  <si>
    <t>65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</si>
  <si>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</si>
  <si>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</si>
  <si>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</si>
  <si>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</si>
  <si>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</si>
  <si>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</si>
  <si>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</si>
  <si>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</si>
  <si>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</si>
  <si>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</si>
  <si>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</si>
  <si>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80</t>
  </si>
  <si>
    <t>81</t>
  </si>
  <si>
    <t>82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</si>
  <si>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</si>
  <si>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</si>
  <si>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</si>
  <si>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</si>
  <si>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</si>
  <si>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</si>
  <si>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</si>
  <si>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</si>
  <si>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</si>
  <si>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</si>
  <si>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</si>
  <si>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</si>
  <si>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</si>
  <si>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</si>
  <si>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</si>
  <si>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</si>
  <si>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</si>
  <si>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</si>
  <si>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</si>
  <si>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</si>
  <si>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Poznámka:</t>
  </si>
  <si>
    <t>Objekt</t>
  </si>
  <si>
    <t>Kód</t>
  </si>
  <si>
    <t>346244311R00</t>
  </si>
  <si>
    <t>342263410R00</t>
  </si>
  <si>
    <t>55347626</t>
  </si>
  <si>
    <t>342270041RA0</t>
  </si>
  <si>
    <t>342948111R00</t>
  </si>
  <si>
    <t>342668111R00</t>
  </si>
  <si>
    <t>612423531RT2</t>
  </si>
  <si>
    <t>612481211RT8</t>
  </si>
  <si>
    <t>612409991RT2</t>
  </si>
  <si>
    <t>611401111R00</t>
  </si>
  <si>
    <t>611471413R00</t>
  </si>
  <si>
    <t>632473102R00</t>
  </si>
  <si>
    <t>722</t>
  </si>
  <si>
    <t>725</t>
  </si>
  <si>
    <t>725013131R00</t>
  </si>
  <si>
    <t>725017132R00</t>
  </si>
  <si>
    <t>725018105R00</t>
  </si>
  <si>
    <t>725210821R00</t>
  </si>
  <si>
    <t>725220841R00</t>
  </si>
  <si>
    <t>725224137R00</t>
  </si>
  <si>
    <t>725823111RT1</t>
  </si>
  <si>
    <t>725835113R00</t>
  </si>
  <si>
    <t>725840850R00</t>
  </si>
  <si>
    <t>725860107R00</t>
  </si>
  <si>
    <t>725860182RT1</t>
  </si>
  <si>
    <t>725860190R00</t>
  </si>
  <si>
    <t>725110811R00</t>
  </si>
  <si>
    <t>725980113R00</t>
  </si>
  <si>
    <t>766</t>
  </si>
  <si>
    <t>766661112R00</t>
  </si>
  <si>
    <t>766661422R00</t>
  </si>
  <si>
    <t>766669922R00</t>
  </si>
  <si>
    <t>766670021R00</t>
  </si>
  <si>
    <t>549146452</t>
  </si>
  <si>
    <t>54914585</t>
  </si>
  <si>
    <t>54914582</t>
  </si>
  <si>
    <t>766825821R00</t>
  </si>
  <si>
    <t>766692114R00</t>
  </si>
  <si>
    <t>766692112R00</t>
  </si>
  <si>
    <t>767</t>
  </si>
  <si>
    <t>767584811R00</t>
  </si>
  <si>
    <t>767612911R00</t>
  </si>
  <si>
    <t>771</t>
  </si>
  <si>
    <t>771575109RT6</t>
  </si>
  <si>
    <t>771101111R00</t>
  </si>
  <si>
    <t>771101121R00</t>
  </si>
  <si>
    <t>771578011R00</t>
  </si>
  <si>
    <t>775</t>
  </si>
  <si>
    <t>775981113RV2</t>
  </si>
  <si>
    <t>775411820R00</t>
  </si>
  <si>
    <t>776</t>
  </si>
  <si>
    <t>776401800R00</t>
  </si>
  <si>
    <t>776421100R00</t>
  </si>
  <si>
    <t>28342401</t>
  </si>
  <si>
    <t>776511820R00</t>
  </si>
  <si>
    <t>776521110R00</t>
  </si>
  <si>
    <t>776994111RT1</t>
  </si>
  <si>
    <t>28412285</t>
  </si>
  <si>
    <t>781</t>
  </si>
  <si>
    <t>781101111R00</t>
  </si>
  <si>
    <t>781101210R00</t>
  </si>
  <si>
    <t>781415016RT6</t>
  </si>
  <si>
    <t>781419701R00</t>
  </si>
  <si>
    <t>597813623</t>
  </si>
  <si>
    <t>781779705RT3</t>
  </si>
  <si>
    <t>783</t>
  </si>
  <si>
    <t>783225400R00</t>
  </si>
  <si>
    <t>783226100R00</t>
  </si>
  <si>
    <t>784</t>
  </si>
  <si>
    <t>784111201R00</t>
  </si>
  <si>
    <t>784127101R00</t>
  </si>
  <si>
    <t>784195212R00</t>
  </si>
  <si>
    <t>784402801R00</t>
  </si>
  <si>
    <t>784471112R00</t>
  </si>
  <si>
    <t>952902110R00</t>
  </si>
  <si>
    <t>952901111R00</t>
  </si>
  <si>
    <t>953946111R00</t>
  </si>
  <si>
    <t>42972741</t>
  </si>
  <si>
    <t>968061125R00</t>
  </si>
  <si>
    <t>998011003R00</t>
  </si>
  <si>
    <t>965048150R00</t>
  </si>
  <si>
    <t>965081712R00</t>
  </si>
  <si>
    <t>966079851R00</t>
  </si>
  <si>
    <t>962031133R00</t>
  </si>
  <si>
    <t>962031135R00</t>
  </si>
  <si>
    <t>978059531R00</t>
  </si>
  <si>
    <t>M21</t>
  </si>
  <si>
    <t>S</t>
  </si>
  <si>
    <t>979011121R00</t>
  </si>
  <si>
    <t>979081111R00</t>
  </si>
  <si>
    <t>979081121R00</t>
  </si>
  <si>
    <t>979082111R00</t>
  </si>
  <si>
    <t>979082121R00</t>
  </si>
  <si>
    <t>979087112R00</t>
  </si>
  <si>
    <t>979990001R00</t>
  </si>
  <si>
    <t>979011111R00</t>
  </si>
  <si>
    <t>Zkrácený popis</t>
  </si>
  <si>
    <t>Rozměry</t>
  </si>
  <si>
    <t>Stěny a příčky</t>
  </si>
  <si>
    <t>Příčka z desek Ytong hladkých, tloušťka 7,5 cm</t>
  </si>
  <si>
    <t>Těsnění styku příčky se stáv. konstrukcí PU pěnou</t>
  </si>
  <si>
    <t>Úprava povrchů vnitřní</t>
  </si>
  <si>
    <t>Montáž výztužné sítě (perlinky) do stěrky-stěny</t>
  </si>
  <si>
    <t>Podlahy a podlahové konstrukce</t>
  </si>
  <si>
    <t>Vnitřní vodovod</t>
  </si>
  <si>
    <t>Zařizovací předměty</t>
  </si>
  <si>
    <t>Demontáž umyvadel bez výtokových armatur</t>
  </si>
  <si>
    <t>Demontáž ocelové vany</t>
  </si>
  <si>
    <t>Uzávěrka zápachová umyvadlová T 1015,D 40</t>
  </si>
  <si>
    <t>Sifon pračkový HL405, D 40/50 mm</t>
  </si>
  <si>
    <t>Sifon vanový PP HL500, D 40,50 mm</t>
  </si>
  <si>
    <t>Demontáž klozetů splachovacích</t>
  </si>
  <si>
    <t>Konstrukce truhlářské</t>
  </si>
  <si>
    <t>Montáž dveří do zárubně,otevíravých 1kř.do 0,8 m</t>
  </si>
  <si>
    <t>Oprava dveří - výměna vložky Fab</t>
  </si>
  <si>
    <t>Montáž kliky a štítku</t>
  </si>
  <si>
    <t>Bezp. kování BK RX4 Klika-klika nerez mat Ti</t>
  </si>
  <si>
    <t>Kliky se štítem mezip  804 Cr</t>
  </si>
  <si>
    <t>Demontáž vestavěných skříní 2křídlových</t>
  </si>
  <si>
    <t>Demontáž záclon.krytů, do 360 cm</t>
  </si>
  <si>
    <t>Demontáž záclon.krytů,  do 270 cm</t>
  </si>
  <si>
    <t>Konstrukce doplňkové stavební (zámečnické)</t>
  </si>
  <si>
    <t>Demontáž doplňků podhledů-vzduchotech.mřížek</t>
  </si>
  <si>
    <t>Podlahy z dlaždic</t>
  </si>
  <si>
    <t>Montáž podlah keram.,hladké, tmel, 30x30 cm</t>
  </si>
  <si>
    <t>Vyrovnání podkladů maltou ze SMS tl. do 10 mm</t>
  </si>
  <si>
    <t>Provedení penetrace podkladu</t>
  </si>
  <si>
    <t>Podlahy vlysové a parketové</t>
  </si>
  <si>
    <t>Lišta hliníková přechodová, různá výška krytin</t>
  </si>
  <si>
    <t>Demontáž lišt dřevěných, šroubovaných</t>
  </si>
  <si>
    <t>Podlahy povlakové</t>
  </si>
  <si>
    <t>Demontáž soklíků nebo lišt, pryžových nebo z PVC</t>
  </si>
  <si>
    <t>Lepení podlahových soklíků z PVC a vinylu</t>
  </si>
  <si>
    <t>Soklík profil z měkčeného PVC č. h. 2198 lišta</t>
  </si>
  <si>
    <t>Odstranění PVC a koberců lepených s podložkou</t>
  </si>
  <si>
    <t>Lepení povlak.podlah z pásů PVC na lepidlo V7508</t>
  </si>
  <si>
    <t>Svařování povlakových podlah z pásů nebo čtverců</t>
  </si>
  <si>
    <t>Vyrovnání podkladu maltou ze SMS tl. do 7 mm</t>
  </si>
  <si>
    <t>Penetrace podkladu pod obklady</t>
  </si>
  <si>
    <t>Příplatek za práci v omezeném prostoru</t>
  </si>
  <si>
    <t>Příplatek za spárovací hmotu - plošně</t>
  </si>
  <si>
    <t>Nátěr syntetický kov. konstr. 2x + 1x email + tmel</t>
  </si>
  <si>
    <t>Nátěr syntetický kovových konstrukcí základní</t>
  </si>
  <si>
    <t>Odstranění malby oškrábáním v místnosti H do 3,8 m</t>
  </si>
  <si>
    <t>Bandážování spojů šířky 10 cm, místnost do 5 m</t>
  </si>
  <si>
    <t>Různé dokončovací konstrukce a práce na pozemních stavbách</t>
  </si>
  <si>
    <t>Osazení ventilačních mřížek</t>
  </si>
  <si>
    <t>Mřížka kruhová KMM pr.160.20, na konec potrubí</t>
  </si>
  <si>
    <t>Bourání konstrukcí</t>
  </si>
  <si>
    <t>Vyvěšení dřevěných dveřních křídel pl. do 2 m2</t>
  </si>
  <si>
    <t>Přesun hmot pro budovy zděné výšky do 24 m</t>
  </si>
  <si>
    <t>Dočištění povrchu po vybourání dlažeb, tmel do 50%</t>
  </si>
  <si>
    <t>Bourání dlaždic keramických tl.1 cm, pl. do 1 m2</t>
  </si>
  <si>
    <t>Přerušení ocelových profilů - hřeby garnyže</t>
  </si>
  <si>
    <t>Prorážení otvorů a ostatní bourací práce</t>
  </si>
  <si>
    <t>Elektromontáže</t>
  </si>
  <si>
    <t>Přesuny sutí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</si>
  <si>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</si>
  <si>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</si>
  <si>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</si>
  <si>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</si>
  <si>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</si>
  <si>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</si>
  <si>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Poplatek za skládku stavební suti</t>
  </si>
  <si>
    <t>Svislá doprava suti a vybour. hmot za 2.NP a 1.PP</t>
  </si>
  <si>
    <t>Doba výstavby:</t>
  </si>
  <si>
    <t>Začátek výstavby:</t>
  </si>
  <si>
    <t>Konec výstavby:</t>
  </si>
  <si>
    <t>Zpracováno dne:</t>
  </si>
  <si>
    <t>M.j.</t>
  </si>
  <si>
    <t>m2</t>
  </si>
  <si>
    <t>kus</t>
  </si>
  <si>
    <t>m</t>
  </si>
  <si>
    <t>soubor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</si>
  <si>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</si>
  <si>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</si>
  <si>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</si>
  <si>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</si>
  <si>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</si>
  <si>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</si>
  <si>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</si>
  <si>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</si>
  <si>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</si>
  <si>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</si>
  <si>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</si>
  <si>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</si>
  <si>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</si>
  <si>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</si>
  <si>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0</t>
  </si>
  <si>
    <t>Přesuny</t>
  </si>
  <si>
    <t>Typ skupiny</t>
  </si>
  <si>
    <t>HS</t>
  </si>
  <si>
    <t>PS</t>
  </si>
  <si>
    <t>MP</t>
  </si>
  <si>
    <t>HSV mat</t>
  </si>
  <si>
    <t>HSV prac</t>
  </si>
  <si>
    <t>PSV mat</t>
  </si>
  <si>
    <t>PSV prac</t>
  </si>
  <si>
    <t>Mont mat</t>
  </si>
  <si>
    <t>Mont prac</t>
  </si>
  <si>
    <t>Ostatní mat.</t>
  </si>
  <si>
    <t>34_</t>
  </si>
  <si>
    <t>61_</t>
  </si>
  <si>
    <t>63_</t>
  </si>
  <si>
    <t>722_</t>
  </si>
  <si>
    <t>725_</t>
  </si>
  <si>
    <t>766_</t>
  </si>
  <si>
    <t>767_</t>
  </si>
  <si>
    <t>771_</t>
  </si>
  <si>
    <t>775_</t>
  </si>
  <si>
    <t>776_</t>
  </si>
  <si>
    <t>781_</t>
  </si>
  <si>
    <t>783_</t>
  </si>
  <si>
    <t>784_</t>
  </si>
  <si>
    <t>95_</t>
  </si>
  <si>
    <t>96_</t>
  </si>
  <si>
    <t>97_</t>
  </si>
  <si>
    <t>M21_</t>
  </si>
  <si>
    <t>S_</t>
  </si>
  <si>
    <t>3_</t>
  </si>
  <si>
    <t>6_</t>
  </si>
  <si>
    <t>72_</t>
  </si>
  <si>
    <t>76_</t>
  </si>
  <si>
    <t>77_</t>
  </si>
  <si>
    <t>78_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</si>
  <si>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</si>
  <si>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</si>
  <si>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</si>
  <si>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</si>
  <si>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</si>
  <si>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</si>
  <si>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</si>
  <si>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</si>
  <si>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</si>
  <si>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</si>
  <si>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</si>
  <si>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</si>
  <si>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</si>
  <si>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</si>
  <si>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</si>
  <si>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</si>
  <si>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</si>
  <si>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</si>
  <si>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</si>
  <si>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</si>
  <si>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</si>
  <si>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</si>
  <si>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</si>
  <si>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</si>
  <si>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</si>
  <si>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</si>
  <si>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</si>
  <si>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</si>
  <si>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</si>
  <si>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</si>
  <si>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</si>
  <si>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</si>
  <si>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</si>
  <si>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</si>
  <si>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</si>
  <si>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</si>
  <si>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</si>
  <si>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</si>
  <si>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</si>
  <si>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</si>
  <si>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</si>
  <si>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</si>
  <si>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</si>
  <si>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</si>
  <si>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</si>
  <si>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kom.</t>
  </si>
  <si>
    <t>615290352</t>
  </si>
  <si>
    <t xml:space="preserve">Montáž a dod.skříňka DOMINO univerzální </t>
  </si>
  <si>
    <t>612403386R00</t>
  </si>
  <si>
    <t>610991111R00</t>
  </si>
  <si>
    <t>642942111RZ1</t>
  </si>
  <si>
    <t>Osazení zárubní dveřních ocelových, pl. do 2,5 m2</t>
  </si>
  <si>
    <t>64_</t>
  </si>
  <si>
    <t>115</t>
  </si>
  <si>
    <t>55330368</t>
  </si>
  <si>
    <t>766662811R00</t>
  </si>
  <si>
    <t>Demontáž prahů dveří 1křídlových</t>
  </si>
  <si>
    <t>766695213R00</t>
  </si>
  <si>
    <t>Montáž prahů dveří jednokřídlových š. nad 10 cm</t>
  </si>
  <si>
    <t>114</t>
  </si>
  <si>
    <t>61187181</t>
  </si>
  <si>
    <t>Prah dubový délka 90 cm šířka 15 cm tl. 2 cm</t>
  </si>
  <si>
    <t>725814122R00</t>
  </si>
  <si>
    <t>Ventil pračkový se zpět.kl. IVAR.08101 DN15 x DN20</t>
  </si>
  <si>
    <t>725814105R00</t>
  </si>
  <si>
    <t>Ventil rohový s filtrem IVAR.70872 DN 15 x DN 10</t>
  </si>
  <si>
    <t/>
  </si>
  <si>
    <t>791</t>
  </si>
  <si>
    <t>Zařízení kuchyní</t>
  </si>
  <si>
    <t>MAT</t>
  </si>
  <si>
    <t>sporák elektrický bílý CS 110 GW</t>
  </si>
  <si>
    <t>731249131R00</t>
  </si>
  <si>
    <t>731_</t>
  </si>
  <si>
    <t>73_</t>
  </si>
  <si>
    <t>732291812R00</t>
  </si>
  <si>
    <t>732_</t>
  </si>
  <si>
    <t>Montáž sporáku, elektrický do 12 kW</t>
  </si>
  <si>
    <t>Zalití zárubní  kovových do 2,5 m2  maltou  MC</t>
  </si>
  <si>
    <t>Vybourání bytového jádra s odpojením vody a elektřiny</t>
  </si>
  <si>
    <t>612401191RT2</t>
  </si>
  <si>
    <t>Omítka malých ploch vnitřních stěn do 0,09 m2</t>
  </si>
  <si>
    <t>24-M</t>
  </si>
  <si>
    <t>Montáže vzduchotechnických zařízení</t>
  </si>
  <si>
    <t>924</t>
  </si>
  <si>
    <t>VZT- úprava odsávacího potrubí a trasy včetně dopojení</t>
  </si>
  <si>
    <t>Digestoř nad sporák s odtahem</t>
  </si>
  <si>
    <t>29</t>
  </si>
  <si>
    <t>105</t>
  </si>
  <si>
    <t>106</t>
  </si>
  <si>
    <t>107</t>
  </si>
  <si>
    <t>109</t>
  </si>
  <si>
    <t>110</t>
  </si>
  <si>
    <t>111</t>
  </si>
  <si>
    <t>112</t>
  </si>
  <si>
    <t>113</t>
  </si>
  <si>
    <t>116</t>
  </si>
  <si>
    <t>117</t>
  </si>
  <si>
    <t>Demontáž el.sporáku do 7500 W</t>
  </si>
  <si>
    <t>dle rozpisu elektro 260 m kabelů a 78 m NN a STA</t>
  </si>
  <si>
    <t>stropy z V.V.</t>
  </si>
  <si>
    <t>776590100</t>
  </si>
  <si>
    <t xml:space="preserve">Úprava nášlapných ploch vysátím </t>
  </si>
  <si>
    <t>57 m rýhh v šíři 15 cm</t>
  </si>
  <si>
    <t>37 el.krabic</t>
  </si>
  <si>
    <t>974049121R00</t>
  </si>
  <si>
    <t>974049122R00</t>
  </si>
  <si>
    <t>Vysekání rýh v betonových zdech 3x7 cm</t>
  </si>
  <si>
    <t>974049223R00</t>
  </si>
  <si>
    <t>974082821R00</t>
  </si>
  <si>
    <t>Vysekání rýh pro vodiče podhled beton. 3x3 cm</t>
  </si>
  <si>
    <t>970251100R00</t>
  </si>
  <si>
    <t>Vysekání rýh zeď betonová  3x10 cm</t>
  </si>
  <si>
    <t>122</t>
  </si>
  <si>
    <t>783903811R00</t>
  </si>
  <si>
    <t>Odmaštění chemickými rozpouštědly</t>
  </si>
  <si>
    <t>120</t>
  </si>
  <si>
    <t>783201811R00</t>
  </si>
  <si>
    <t>Odstranění nátěrů z kovových konstrukcí oškrábáním</t>
  </si>
  <si>
    <t>59760150.A</t>
  </si>
  <si>
    <t>781111121R00</t>
  </si>
  <si>
    <t>Montáž lišt rohových, vanových a dilatačních</t>
  </si>
  <si>
    <t>775531800R</t>
  </si>
  <si>
    <t>597623142</t>
  </si>
  <si>
    <t>771589791R00</t>
  </si>
  <si>
    <t>Příplatek za plochu do 5 m2 jednotlivě</t>
  </si>
  <si>
    <t>771589792R00</t>
  </si>
  <si>
    <t>61162111</t>
  </si>
  <si>
    <t>Dveře vnitřní fóliované 2/3 sklo 1kř. 70x197 cm</t>
  </si>
  <si>
    <t>61162101</t>
  </si>
  <si>
    <t>Dveře vnitřní fóliované plné 1kř.60x197 cm</t>
  </si>
  <si>
    <t>61162102</t>
  </si>
  <si>
    <t>612403380R00</t>
  </si>
  <si>
    <t>Hrubá výplň rýh ve stěnách do 3x3 cm maltou ze SMS</t>
  </si>
  <si>
    <t>612403382R00</t>
  </si>
  <si>
    <t>941955001R00</t>
  </si>
  <si>
    <t>Lešení lehké pomocné, výška podlahy do 1,2 m</t>
  </si>
  <si>
    <t>94_</t>
  </si>
  <si>
    <r>
      <t>Demontáž parketových tabulí,</t>
    </r>
    <r>
      <rPr>
        <sz val="10"/>
        <color indexed="10"/>
        <rFont val="Arial"/>
        <family val="2"/>
        <charset val="238"/>
      </rPr>
      <t xml:space="preserve"> plov.podlahovin</t>
    </r>
  </si>
  <si>
    <t>612421431</t>
  </si>
  <si>
    <t>54</t>
  </si>
  <si>
    <t>55</t>
  </si>
  <si>
    <t>56</t>
  </si>
  <si>
    <t>62</t>
  </si>
  <si>
    <t>64</t>
  </si>
  <si>
    <t>66</t>
  </si>
  <si>
    <t>70</t>
  </si>
  <si>
    <t>87</t>
  </si>
  <si>
    <t>118</t>
  </si>
  <si>
    <t>119</t>
  </si>
  <si>
    <t>121</t>
  </si>
  <si>
    <t>123</t>
  </si>
  <si>
    <t>124</t>
  </si>
  <si>
    <t>125</t>
  </si>
  <si>
    <t>126</t>
  </si>
  <si>
    <t>127</t>
  </si>
  <si>
    <t>Objekt :</t>
  </si>
  <si>
    <t>Stavba :</t>
  </si>
  <si>
    <t>%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</si>
  <si>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</si>
  <si>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</si>
  <si>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</si>
  <si>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</si>
  <si>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</si>
  <si>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</si>
  <si>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</si>
  <si>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</si>
  <si>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Demontáže elektro</t>
  </si>
  <si>
    <t>229 83-0012.R00</t>
  </si>
  <si>
    <t>Kompl</t>
  </si>
  <si>
    <t>Celkem za</t>
  </si>
  <si>
    <t>Přípravné a přidružené práce</t>
  </si>
  <si>
    <t>110 01-1757</t>
  </si>
  <si>
    <t xml:space="preserve">Zaměření,doprava režijní náklady </t>
  </si>
  <si>
    <t>celp</t>
  </si>
  <si>
    <t>210 01-0311.R00</t>
  </si>
  <si>
    <t xml:space="preserve">Krabice odbočná KO 68, bez zapojení-kruhová </t>
  </si>
  <si>
    <t>429-11530</t>
  </si>
  <si>
    <t>Ventilátor 100 včetně zapojení + usazení</t>
  </si>
  <si>
    <t>210 81-0045.RT1</t>
  </si>
  <si>
    <t>Kabel CYKY-m 750 V 3 x 1,5 mm2 pevně uložený včetně dodávky CYKY 3Ax1.5</t>
  </si>
  <si>
    <t>585-41233</t>
  </si>
  <si>
    <t>210 81-0045.RT2</t>
  </si>
  <si>
    <t>Kabel CYKY-m 750 V 3 x 1,5 mm2 pevně uložený včetně dodávky CYKY 3Cx1.5</t>
  </si>
  <si>
    <t>210 81-0046.RT3</t>
  </si>
  <si>
    <t>Kabel CYKY-m 750 V 3 x 2,5 mm2 pevně uložený včetně dodávky CYKY 3Cx2.5</t>
  </si>
  <si>
    <t>210 81-0049.RT1</t>
  </si>
  <si>
    <t>Kabel CYKY-m 750 V 4 x 1,5 mm2 pevně uložený včetně dodávky CYKY 4Bx1.5</t>
  </si>
  <si>
    <t>210 22-0003.RT2</t>
  </si>
  <si>
    <t>Vedení uzemňovací na povrchu Cu do 50 mm2 včetně dodávky CY 4 mm2</t>
  </si>
  <si>
    <t>210 01-0321.R00</t>
  </si>
  <si>
    <t>Krabice odbočná KR 68, se zapojením-kruhová vč.wago svorek zapojení bez dodávky krabice</t>
  </si>
  <si>
    <t>210 01-0106.R00</t>
  </si>
  <si>
    <t xml:space="preserve">Lišta z PH bez krabic,ulož. pevně,LV 80-2780 </t>
  </si>
  <si>
    <t>345-72140</t>
  </si>
  <si>
    <t xml:space="preserve">Lišta vkládací z PVC délka 3 m  LV 120x40 </t>
  </si>
  <si>
    <t>210 19-0001.R00</t>
  </si>
  <si>
    <t>Montáž rozvodnic do váhy 20 kg bez zapojení</t>
  </si>
  <si>
    <t>210 19-0006.R00</t>
  </si>
  <si>
    <t>357-16101</t>
  </si>
  <si>
    <t>210 20-0042.RT1</t>
  </si>
  <si>
    <t>210 20-1001.RT2</t>
  </si>
  <si>
    <t>210 20-0006.RT1</t>
  </si>
  <si>
    <t>210 11-1012.RT1</t>
  </si>
  <si>
    <t>Zásuvka domovní zapuštěná -  2P+Z,dvojí zapojení včetně zásuvky dvojité ZAO 5514-2349</t>
  </si>
  <si>
    <t>210 11-1002.RT1</t>
  </si>
  <si>
    <t>210 11-0045.RT1</t>
  </si>
  <si>
    <t>211 01-0012.R00</t>
  </si>
  <si>
    <t>Osazení hmoždinky do tvrd.kamene/betonu, včetně dodávky hmoždinky + vrutu</t>
  </si>
  <si>
    <t>M22</t>
  </si>
  <si>
    <t>Montáž sdělovací a zabezp.tech</t>
  </si>
  <si>
    <t>220 27-0011.R00</t>
  </si>
  <si>
    <t xml:space="preserve">Montáž vodiče  sykfy 2x2x0,5sdělovací pod omítku </t>
  </si>
  <si>
    <t>220 27-1502.R00</t>
  </si>
  <si>
    <t xml:space="preserve">Zapojení 2 vodičů v krabici </t>
  </si>
  <si>
    <t>220 26-0002.R00</t>
  </si>
  <si>
    <t xml:space="preserve">Krabice KP 68 ve zdi v přípraveném lůžku </t>
  </si>
  <si>
    <t>220 26-0066.R00</t>
  </si>
  <si>
    <t xml:space="preserve">Krabice panelová - panelový rozvod </t>
  </si>
  <si>
    <t>220 08-9999.R00</t>
  </si>
  <si>
    <t xml:space="preserve">Spojky kabelu stávajícího anténního rozvodu </t>
  </si>
  <si>
    <t xml:space="preserve">Montáž vodiče  sykfy 5x2x0,5 sdělovací v liště </t>
  </si>
  <si>
    <t xml:space="preserve">Montáž anténních rozvodů  pod omítku </t>
  </si>
  <si>
    <t>341-21044</t>
  </si>
  <si>
    <t xml:space="preserve">Kabel sdělovací s Cu jádrem SYKFY 2 x 2 x 0,50 mm </t>
  </si>
  <si>
    <t>341-21050</t>
  </si>
  <si>
    <t xml:space="preserve">Kabel sdělovací s Cu jádrem SYKFY 5 x 2 x 0,50 mm </t>
  </si>
  <si>
    <t>341-21550</t>
  </si>
  <si>
    <t xml:space="preserve">Kabel sdělovací s Cu jádrem Koax </t>
  </si>
  <si>
    <t>220 30-1203.R00</t>
  </si>
  <si>
    <t xml:space="preserve">Zásuvka telefonní </t>
  </si>
  <si>
    <t>374-21852</t>
  </si>
  <si>
    <t>M24</t>
  </si>
  <si>
    <t>Revize</t>
  </si>
  <si>
    <t>240 01 171802</t>
  </si>
  <si>
    <t xml:space="preserve">Revizní zpráva </t>
  </si>
  <si>
    <t>61165619</t>
  </si>
  <si>
    <t>725249102R00</t>
  </si>
  <si>
    <t>Montáž sprchových mís a vaniček</t>
  </si>
  <si>
    <t>725249103R00</t>
  </si>
  <si>
    <t>Montáž sprchových koutů</t>
  </si>
  <si>
    <t>725860221RT1</t>
  </si>
  <si>
    <t>Sifon sprchový PP/PE HL514, D 40/50 mm</t>
  </si>
  <si>
    <t>642938080</t>
  </si>
  <si>
    <t>55428100.A</t>
  </si>
  <si>
    <t>Kout sprchov 1/4kruh 90x90xR50 SKKH2/90R50 S</t>
  </si>
  <si>
    <t>735171134R00</t>
  </si>
  <si>
    <t>Těleso trub.Koralux Linear Comfort</t>
  </si>
  <si>
    <t>735_</t>
  </si>
  <si>
    <t>766812840R00</t>
  </si>
  <si>
    <t>783324340R00</t>
  </si>
  <si>
    <t>783424340R00</t>
  </si>
  <si>
    <t>Nátěr syntet. potrubí do DN 50 mm  Z+2x +1x email</t>
  </si>
  <si>
    <t>Dodávka a montáž el.dvouplotýnky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</si>
  <si>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</si>
  <si>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</si>
  <si>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</si>
  <si>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</si>
  <si>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</si>
  <si>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</si>
  <si>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</si>
  <si>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</si>
  <si>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</si>
  <si>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</si>
  <si>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</si>
  <si>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342255024R00</t>
  </si>
  <si>
    <t>139</t>
  </si>
  <si>
    <t>725860211RT1</t>
  </si>
  <si>
    <t>Sifon umyvadlový HL133, 5/4 " přípoj pračka</t>
  </si>
  <si>
    <t>140</t>
  </si>
  <si>
    <t>771101147R00</t>
  </si>
  <si>
    <t>Bandáž koutů - provedení</t>
  </si>
  <si>
    <t>28355125.A</t>
  </si>
  <si>
    <t>Mapeband modrý pás těsnicí š.120 mm Mapei</t>
  </si>
  <si>
    <t>711212002R00</t>
  </si>
  <si>
    <t>Hydroizolační povlak - nátěr nebo stěrka</t>
  </si>
  <si>
    <t>612421131</t>
  </si>
  <si>
    <t>612421231</t>
  </si>
  <si>
    <t>612421331</t>
  </si>
  <si>
    <t>781101142R00</t>
  </si>
  <si>
    <t>Hydroizolační stěrka dvouvrstvá</t>
  </si>
  <si>
    <t>141</t>
  </si>
  <si>
    <t>142</t>
  </si>
  <si>
    <t>143</t>
  </si>
  <si>
    <t>144</t>
  </si>
  <si>
    <t>776511820RT4</t>
  </si>
  <si>
    <t>Odstranění lepidla a stěrky</t>
  </si>
  <si>
    <t>317121047RT2</t>
  </si>
  <si>
    <t>31_</t>
  </si>
  <si>
    <t>317121047RT3</t>
  </si>
  <si>
    <t>317120033RAA</t>
  </si>
  <si>
    <t>Stropy a stropní konstrukce (pro pozemní stavby)</t>
  </si>
  <si>
    <t>416020113R00</t>
  </si>
  <si>
    <t>41_</t>
  </si>
  <si>
    <t>4_</t>
  </si>
  <si>
    <t>416091082R00</t>
  </si>
  <si>
    <t>725212370R00</t>
  </si>
  <si>
    <t>Umyvadlo pro invalidy, se zápachovou uzávěrkou</t>
  </si>
  <si>
    <t>725229107R00</t>
  </si>
  <si>
    <t>Montáž vanových zástěn oboustranně upevněných</t>
  </si>
  <si>
    <t>725829301R00</t>
  </si>
  <si>
    <t>725291114R00</t>
  </si>
  <si>
    <t>Madlo rovné bílé Novaservis dl. 600 mm</t>
  </si>
  <si>
    <t>725291116R00</t>
  </si>
  <si>
    <t>Madlo rovné bílé Novaservis dl. 700 mm</t>
  </si>
  <si>
    <t>725291136R00</t>
  </si>
  <si>
    <t>Madlo dvojité sklopné bílé Novaservis dl. 830 mm</t>
  </si>
  <si>
    <t>725291132R00</t>
  </si>
  <si>
    <t>Madlo dvojité pevné bílé Novaservis dl. 830 mm</t>
  </si>
  <si>
    <t>725291171R00</t>
  </si>
  <si>
    <t>Sedátko sklopné bílé Novaservis</t>
  </si>
  <si>
    <t>734</t>
  </si>
  <si>
    <t>Armatury</t>
  </si>
  <si>
    <t>734119111R00</t>
  </si>
  <si>
    <t>734_</t>
  </si>
  <si>
    <t>735</t>
  </si>
  <si>
    <t>Otopná tělesa</t>
  </si>
  <si>
    <t>735159111R00</t>
  </si>
  <si>
    <t>Montáž panelových těles Radik do délky 1600 mm</t>
  </si>
  <si>
    <t>735151811R00</t>
  </si>
  <si>
    <t>Demontáž otopných těles panelových 1řadých,1500 mm</t>
  </si>
  <si>
    <t>766666112R00</t>
  </si>
  <si>
    <t>Montáž dveří posuvných, osazení závěsu, 1kř.</t>
  </si>
  <si>
    <t>Montáž záclon.krytů, bez lišt, natřené do 270 cm</t>
  </si>
  <si>
    <t>771111141R00</t>
  </si>
  <si>
    <t>Příplatek za diagonální kladení dlažby</t>
  </si>
  <si>
    <t>776101121R00</t>
  </si>
  <si>
    <t>777561020R00</t>
  </si>
  <si>
    <t>Vyrovnání podlahy stěrkou Unirovnal tloušťky 2 mm</t>
  </si>
  <si>
    <t>777_</t>
  </si>
  <si>
    <t>784118101R00</t>
  </si>
  <si>
    <t>Izolování přípravkem Teluria,Telsal 1x</t>
  </si>
  <si>
    <t>784118102R00</t>
  </si>
  <si>
    <t>Izolování přípravkem Teluria,Telsal 2x</t>
  </si>
  <si>
    <t>784403801R00</t>
  </si>
  <si>
    <t>Odstranění maleb omytím v místnosti H do 3,8 m</t>
  </si>
  <si>
    <t>965048250R00</t>
  </si>
  <si>
    <t>Dočištění povrchu po vybourání dlažeb, MC do 50%</t>
  </si>
  <si>
    <t>Přesun hmot pro zařizovací předměty, výšky do 12 m</t>
  </si>
  <si>
    <t>H725_</t>
  </si>
  <si>
    <t>Přesun hmot pro otopná tělesa, výšky do 12 m</t>
  </si>
  <si>
    <t>H735_</t>
  </si>
  <si>
    <t>H766_</t>
  </si>
  <si>
    <t>998771201R00</t>
  </si>
  <si>
    <t>H771_</t>
  </si>
  <si>
    <t>Přesun hmot pro podlahy povlakové, výšky do 12 m</t>
  </si>
  <si>
    <t>H776_</t>
  </si>
  <si>
    <t>998781201R00</t>
  </si>
  <si>
    <t>Přesun hmot pro obklady keramické, výšky do 6 m</t>
  </si>
  <si>
    <t>H781_</t>
  </si>
  <si>
    <t>979990162R00</t>
  </si>
  <si>
    <t>Poplatek za skládku suti - dřevo+sklo</t>
  </si>
  <si>
    <t>979990181R00</t>
  </si>
  <si>
    <t>Poplatek za skládku suti - PVC podlahová krytina</t>
  </si>
  <si>
    <t>55143605</t>
  </si>
  <si>
    <t>Baterie dřezová CERAPLAN NEW B 5206 AA</t>
  </si>
  <si>
    <t>Z99999_</t>
  </si>
  <si>
    <t>55167391</t>
  </si>
  <si>
    <t>55221002.A</t>
  </si>
  <si>
    <t>Nohy kovové pro standard. vany RIGA a anatom. ALMA</t>
  </si>
  <si>
    <t>pár</t>
  </si>
  <si>
    <t>55231080</t>
  </si>
  <si>
    <t>Dřez nerez s miskou vestavný typ 528 Mono plus 1a</t>
  </si>
  <si>
    <t>429148015</t>
  </si>
  <si>
    <t>Ventilátor axiální do koupelny VENTS 100STH</t>
  </si>
  <si>
    <t>48457008</t>
  </si>
  <si>
    <t>Těleso otopné des. Radik Klasik typ11 v.300dl.1200</t>
  </si>
  <si>
    <t>61169501</t>
  </si>
  <si>
    <t>Dveře posuvné na stěnu UNO 60-90x197 ERKADO</t>
  </si>
  <si>
    <t>998735202R00</t>
  </si>
  <si>
    <t>998776202R00</t>
  </si>
  <si>
    <r>
      <t>Přesun hmot pro podlahy z dlaždic, výšky do</t>
    </r>
    <r>
      <rPr>
        <sz val="10"/>
        <color indexed="10"/>
        <rFont val="Arial"/>
        <family val="2"/>
        <charset val="238"/>
      </rPr>
      <t xml:space="preserve"> 6 m</t>
    </r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</si>
  <si>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</si>
  <si>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</si>
  <si>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</si>
  <si>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</si>
  <si>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</si>
  <si>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</si>
  <si>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</si>
  <si>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</si>
  <si>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</si>
  <si>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</si>
  <si>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</si>
  <si>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</si>
  <si>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</si>
  <si>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</si>
  <si>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</si>
  <si>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</si>
  <si>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</si>
  <si>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</si>
  <si>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</si>
  <si>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</si>
  <si>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</si>
  <si>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</si>
  <si>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</si>
  <si>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</si>
  <si>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</si>
  <si>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</si>
  <si>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</si>
  <si>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</si>
  <si>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</si>
  <si>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</si>
  <si>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</si>
  <si>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</si>
  <si>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</si>
  <si>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</si>
  <si>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</si>
  <si>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</si>
  <si>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</si>
  <si>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</si>
  <si>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</si>
  <si>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</si>
  <si>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</si>
  <si>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</si>
  <si>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</si>
  <si>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</si>
  <si>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</si>
  <si>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</si>
  <si>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Překlad nenosný porobeton, světlost otv. do 105 cm, š.10 cm</t>
  </si>
  <si>
    <t>Překlad nenosný porobeton, světlost otv. do 105 cm, š.12,5 cm</t>
  </si>
  <si>
    <t>Překlad nenosný Ytong tl.7,5 cm</t>
  </si>
  <si>
    <t>601016143RT1</t>
  </si>
  <si>
    <t>Stěrka na stropech PROFI Finalspachtel vnit. ručně</t>
  </si>
  <si>
    <t>602011147RT1</t>
  </si>
  <si>
    <t>611481211RT2</t>
  </si>
  <si>
    <t>Montáž výztužné sítě (perlinky) do stěrky-stropy</t>
  </si>
  <si>
    <t>725814121R00</t>
  </si>
  <si>
    <t>Ventil kombi. IVAR.ART.250 DN 15 x (DN 20 + DN 10)</t>
  </si>
  <si>
    <t>776551830RT3</t>
  </si>
  <si>
    <t>973026161R00</t>
  </si>
  <si>
    <t>Oškrabání  štuků stěn v rozsahu 100%</t>
  </si>
  <si>
    <t>Akrylování koutů stěn, stropů, ukončení obkladů,…</t>
  </si>
  <si>
    <t>Montáž baterie umyvadlové</t>
  </si>
  <si>
    <t>Montáž baterie dřezové stojánkové</t>
  </si>
  <si>
    <t>Demontáž baterie umyvadlové</t>
  </si>
  <si>
    <t>Demontáž baterie dřezové</t>
  </si>
  <si>
    <t>Montáž vany</t>
  </si>
  <si>
    <t>61162112</t>
  </si>
  <si>
    <t>Z_</t>
  </si>
  <si>
    <t>61162103</t>
  </si>
  <si>
    <t>Dveře vnitřní fóliované plné 1kř.80x197 cm</t>
  </si>
  <si>
    <t>Dodávka záclon.krytů, natřených do 270 cm</t>
  </si>
  <si>
    <t>429148041</t>
  </si>
  <si>
    <t>Ventilátor do koupelny VENTS 100 MATL TURBO</t>
  </si>
  <si>
    <t>429148041R</t>
  </si>
  <si>
    <t>771578011R00R</t>
  </si>
  <si>
    <t>766692112R00R</t>
  </si>
  <si>
    <t>785412800R00</t>
  </si>
  <si>
    <t>Odstranění tapet lepených ostatních s podl. 3,8 m</t>
  </si>
  <si>
    <t>785_</t>
  </si>
  <si>
    <t>Rozvodnice /IP40 BILE DV.12W RN2-PNS - 09010 Včetně výzboje VYBAVENÁ</t>
  </si>
  <si>
    <t>Zásuvka domovní vestavná - provedení 2P+Z včetně zásuvky jednoduché 5514-2235</t>
  </si>
  <si>
    <t>611471413R00R</t>
  </si>
  <si>
    <t>Montáž umyvadel</t>
  </si>
  <si>
    <t>725219201R00R</t>
  </si>
  <si>
    <t>Montáž baterie vanové</t>
  </si>
  <si>
    <t>Montáž baterie sprchové</t>
  </si>
  <si>
    <t>Oškrabání  štuků stropů v rozsahu 100%</t>
  </si>
  <si>
    <t>Oškrabání  štuků stěn v rozsahu do 60%</t>
  </si>
  <si>
    <t>ok</t>
  </si>
  <si>
    <t>vytvořená</t>
  </si>
  <si>
    <t>ok -přesunutá</t>
  </si>
  <si>
    <t>přidaná</t>
  </si>
  <si>
    <t>ok -přesunutá bourání</t>
  </si>
  <si>
    <t>vytvořená (50) MT sprch. Mís a vaniček</t>
  </si>
  <si>
    <t>ok -vytvořená (60) - opakování</t>
  </si>
  <si>
    <t>ok - vytvořená (42)</t>
  </si>
  <si>
    <t>ok - vytvořená (61)</t>
  </si>
  <si>
    <t>ok - vytvořená (62)</t>
  </si>
  <si>
    <r>
      <t xml:space="preserve">Spára stěn akrylát - </t>
    </r>
    <r>
      <rPr>
        <sz val="10"/>
        <color indexed="10"/>
        <rFont val="Arial"/>
        <family val="2"/>
        <charset val="238"/>
      </rPr>
      <t>napojení vyzdívek</t>
    </r>
  </si>
  <si>
    <r>
      <t xml:space="preserve">Penetrace podkladu pod </t>
    </r>
    <r>
      <rPr>
        <sz val="10"/>
        <color indexed="10"/>
        <rFont val="Arial"/>
        <family val="2"/>
        <charset val="238"/>
      </rPr>
      <t>omítky</t>
    </r>
  </si>
  <si>
    <r>
      <t xml:space="preserve">Stěrka sádrová </t>
    </r>
    <r>
      <rPr>
        <sz val="10"/>
        <color indexed="10"/>
        <rFont val="Arial"/>
        <family val="2"/>
        <charset val="238"/>
      </rPr>
      <t>stěn,</t>
    </r>
    <r>
      <rPr>
        <sz val="10"/>
        <color indexed="61"/>
        <rFont val="Arial"/>
        <family val="2"/>
        <charset val="238"/>
      </rPr>
      <t xml:space="preserve"> Cemix 106, ručně</t>
    </r>
  </si>
  <si>
    <r>
      <t xml:space="preserve">Spára podlaha, </t>
    </r>
    <r>
      <rPr>
        <sz val="10"/>
        <color indexed="10"/>
        <rFont val="Arial"/>
        <family val="2"/>
        <charset val="238"/>
      </rPr>
      <t>stěna, silikonem</t>
    </r>
  </si>
  <si>
    <t>kpl</t>
  </si>
  <si>
    <r>
      <t xml:space="preserve">Obkládačka </t>
    </r>
    <r>
      <rPr>
        <sz val="10"/>
        <color indexed="10"/>
        <rFont val="Arial"/>
        <family val="2"/>
        <charset val="238"/>
      </rPr>
      <t>keramická</t>
    </r>
    <r>
      <rPr>
        <sz val="10"/>
        <color indexed="62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20 x 25</t>
    </r>
  </si>
  <si>
    <r>
      <t xml:space="preserve">Dlaždice 29,7x29,7  </t>
    </r>
    <r>
      <rPr>
        <sz val="10"/>
        <color indexed="10"/>
        <rFont val="Arial"/>
        <family val="2"/>
        <charset val="238"/>
      </rPr>
      <t>keramická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</si>
  <si>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obklad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</si>
  <si>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akrylování koutů stěn, stropů</t>
    </r>
  </si>
  <si>
    <t>83</t>
  </si>
  <si>
    <t>108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</si>
  <si>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</si>
  <si>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</si>
  <si>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</si>
  <si>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</si>
  <si>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</si>
  <si>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</si>
  <si>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</si>
  <si>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</si>
  <si>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</si>
  <si>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</si>
  <si>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</si>
  <si>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</si>
  <si>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</si>
  <si>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</si>
  <si>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</si>
  <si>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</si>
  <si>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</si>
  <si>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</si>
  <si>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</si>
  <si>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</si>
  <si>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</si>
  <si>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</si>
  <si>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</si>
  <si>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</si>
  <si>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</si>
  <si>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</si>
  <si>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</si>
  <si>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</si>
  <si>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</si>
  <si>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</si>
  <si>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</si>
  <si>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</si>
  <si>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</si>
  <si>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Sejmutí povlaků volně položených</t>
  </si>
  <si>
    <r>
      <t>Oprava - seřízení</t>
    </r>
    <r>
      <rPr>
        <sz val="10"/>
        <color indexed="10"/>
        <rFont val="Arial"/>
        <family val="2"/>
        <charset val="238"/>
      </rPr>
      <t xml:space="preserve"> - plastového okna (křídlo)</t>
    </r>
  </si>
  <si>
    <t>771990111</t>
  </si>
  <si>
    <t>771573810</t>
  </si>
  <si>
    <t>Demontáž dlažeb keramických lepených</t>
  </si>
  <si>
    <t>224</t>
  </si>
  <si>
    <t>225</t>
  </si>
  <si>
    <t>226</t>
  </si>
  <si>
    <t>227</t>
  </si>
  <si>
    <t>602016191R00</t>
  </si>
  <si>
    <t>Penetrační nátěr stěn PROFI Putzgrund</t>
  </si>
  <si>
    <t>602016195R00</t>
  </si>
  <si>
    <t>Penetrace hloubková stěn PROFI Silikat-Tiefengrund</t>
  </si>
  <si>
    <t>601016193R00</t>
  </si>
  <si>
    <t>Penetrace hloubková stropů PROFI Akryl-Tiefengrund</t>
  </si>
  <si>
    <t>766664911R00</t>
  </si>
  <si>
    <t>Vyřezání otvoru v dveřních křídlech kompletizovan.</t>
  </si>
  <si>
    <t>766662812R00</t>
  </si>
  <si>
    <t>Demontáž prahů dveří 2křídlových</t>
  </si>
  <si>
    <t>766695233R00</t>
  </si>
  <si>
    <t>Montáž prahů dveří dvoukřídlových š. nad 10 cm</t>
  </si>
  <si>
    <t>61187198</t>
  </si>
  <si>
    <t>Prah dubový délka 145 cm šířka 15 cm tl. 2 cm</t>
  </si>
  <si>
    <t>766664915R00</t>
  </si>
  <si>
    <t>Seříznutí dveřních křídel  kompletizovaných</t>
  </si>
  <si>
    <t>767811120R00</t>
  </si>
  <si>
    <t>Montáž větracích mřížek, typ VMU 2</t>
  </si>
  <si>
    <t>771579792R00</t>
  </si>
  <si>
    <t>771579793RT1</t>
  </si>
  <si>
    <t>771579795R00</t>
  </si>
  <si>
    <t>Příplatek za spárování vodotěsnou hmotou - plošně</t>
  </si>
  <si>
    <t>Přesun hmot pro truhlářské konstr., výšky do 12 m</t>
  </si>
  <si>
    <t>998766202R00</t>
  </si>
  <si>
    <t>998725202R00</t>
  </si>
  <si>
    <t>602029141R00</t>
  </si>
  <si>
    <r>
      <t xml:space="preserve">Štuk vnitřní </t>
    </r>
    <r>
      <rPr>
        <sz val="10"/>
        <color indexed="10"/>
        <rFont val="Arial"/>
        <family val="2"/>
        <charset val="238"/>
      </rPr>
      <t>Kerastuk K</t>
    </r>
    <r>
      <rPr>
        <sz val="10"/>
        <color indexed="61"/>
        <rFont val="Arial"/>
        <family val="2"/>
        <charset val="238"/>
      </rPr>
      <t>, tl. 2 mm, ručně</t>
    </r>
  </si>
  <si>
    <t>Baterie vanová nástěnná ruční, vč. příslušenství</t>
  </si>
  <si>
    <r>
      <t xml:space="preserve">Sprchová zástěna </t>
    </r>
    <r>
      <rPr>
        <sz val="10"/>
        <color indexed="10"/>
        <rFont val="Arial"/>
        <family val="2"/>
        <charset val="238"/>
      </rPr>
      <t>ASDP3-120 bílá+pearl</t>
    </r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</si>
  <si>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</si>
  <si>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</si>
  <si>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</si>
  <si>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</si>
  <si>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</si>
  <si>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</si>
  <si>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</si>
  <si>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</si>
  <si>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</si>
  <si>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</si>
  <si>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</si>
  <si>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</si>
  <si>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</si>
  <si>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</si>
  <si>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</si>
  <si>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</si>
  <si>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</si>
  <si>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</si>
  <si>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r>
      <t xml:space="preserve">Příplatek za podlahy v omezeném prostoru </t>
    </r>
    <r>
      <rPr>
        <sz val="10"/>
        <color indexed="10"/>
        <rFont val="Arial"/>
        <family val="2"/>
        <charset val="238"/>
      </rPr>
      <t>- lepidlem</t>
    </r>
  </si>
  <si>
    <r>
      <t xml:space="preserve">Příplatek za podlahy keram.v omezeném prostoru </t>
    </r>
    <r>
      <rPr>
        <sz val="10"/>
        <color indexed="10"/>
        <rFont val="Arial"/>
        <family val="2"/>
        <charset val="238"/>
      </rPr>
      <t>- maltou</t>
    </r>
  </si>
  <si>
    <t>79</t>
  </si>
  <si>
    <r>
      <t xml:space="preserve">Vanička sprchová </t>
    </r>
    <r>
      <rPr>
        <sz val="10"/>
        <color indexed="10"/>
        <rFont val="Arial"/>
        <family val="2"/>
        <charset val="238"/>
      </rPr>
      <t>čtvrtkruhová 90x90 cm, R 550, keramická</t>
    </r>
  </si>
  <si>
    <t>246</t>
  </si>
  <si>
    <t>původní hmot.</t>
  </si>
  <si>
    <t>962036412R00</t>
  </si>
  <si>
    <t>Osazování ventilátoru 12V s trafem umístěným v šachtě</t>
  </si>
  <si>
    <t>767137802R00</t>
  </si>
  <si>
    <t>Demontáž příček sádrokarton. sejmutí desek</t>
  </si>
  <si>
    <t>342280110RAA</t>
  </si>
  <si>
    <t>734291971R01</t>
  </si>
  <si>
    <t>ks</t>
  </si>
  <si>
    <t>627456110RT3</t>
  </si>
  <si>
    <t>627456110R</t>
  </si>
  <si>
    <t>24592112</t>
  </si>
  <si>
    <t>l</t>
  </si>
  <si>
    <t>BONA D 510 penetrace pod stěrky bílá á 5 l, spotřeba: cca 150 g/m2</t>
  </si>
  <si>
    <t>725013129R00</t>
  </si>
  <si>
    <t>Kloz.kombi OLYMP ZTP,nádrž s arm.odpad svislý, včetně sedátka</t>
  </si>
  <si>
    <t>963016111R00</t>
  </si>
  <si>
    <t>962036112R00</t>
  </si>
  <si>
    <t>DMTZ SDK příčky, 1x kov.kce., 1x opláštěné 12,5 mm, bez minerální izolace.</t>
  </si>
  <si>
    <t>210110082RT1</t>
  </si>
  <si>
    <t>Spínač sporákový zapuštěný, včetně dodávky spínače</t>
  </si>
  <si>
    <t xml:space="preserve">Ostatní </t>
  </si>
  <si>
    <t>Celkové náklady</t>
  </si>
  <si>
    <t>Spínač zapuštěný střídavý včetně dodávky spínače</t>
  </si>
  <si>
    <t>Spínač zapuštěný řazení 1 včetně dodávky spínače</t>
  </si>
  <si>
    <t>Spínač zapuštěnýřazení 2 včetně dodávky spínače</t>
  </si>
  <si>
    <t>Spínač zapuštěný řazení 5 včetně dodávky spínače</t>
  </si>
  <si>
    <t>Spínač zapuštěný řazení 6 včetně dodávky spínače</t>
  </si>
  <si>
    <t>Likvidace suti</t>
  </si>
  <si>
    <t>210 11-0045.RT2</t>
  </si>
  <si>
    <t>210 11-0045.RT3</t>
  </si>
  <si>
    <t>210 11-0045.RT4</t>
  </si>
  <si>
    <t>210 11-0045.RT5</t>
  </si>
  <si>
    <t>Kompletační přirážka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</si>
  <si>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</si>
  <si>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</si>
  <si>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</si>
  <si>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</si>
  <si>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</si>
  <si>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</si>
  <si>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</si>
  <si>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</si>
  <si>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</si>
  <si>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136b</t>
  </si>
  <si>
    <t>766812841R02</t>
  </si>
  <si>
    <t>216b</t>
  </si>
  <si>
    <t>216c</t>
  </si>
  <si>
    <t>216d</t>
  </si>
  <si>
    <t>95R01</t>
  </si>
  <si>
    <t>95R02</t>
  </si>
  <si>
    <t>95R03</t>
  </si>
  <si>
    <r>
      <t xml:space="preserve">Zásuvka anténí, </t>
    </r>
    <r>
      <rPr>
        <sz val="8"/>
        <color rgb="FFFF0000"/>
        <rFont val="Arial CE"/>
        <charset val="238"/>
      </rPr>
      <t>vč. kontroly STA</t>
    </r>
  </si>
  <si>
    <t>NÁTĚRY KONSTRUKCÍ</t>
  </si>
  <si>
    <t>dlažba</t>
  </si>
  <si>
    <t>součet</t>
  </si>
  <si>
    <t>Z TOHO:</t>
  </si>
  <si>
    <t>Součet celkem m2</t>
  </si>
  <si>
    <t>DLAŽBA</t>
  </si>
  <si>
    <t>PLOVOUCÍ PODLAHA</t>
  </si>
  <si>
    <t>soklíky u PVC</t>
  </si>
  <si>
    <t>svařování PVC - uvažované pásy 1,50 m</t>
  </si>
  <si>
    <t>216e</t>
  </si>
  <si>
    <t>95R04</t>
  </si>
  <si>
    <t>216f</t>
  </si>
  <si>
    <t>95R05</t>
  </si>
  <si>
    <t>216g</t>
  </si>
  <si>
    <t>95R06</t>
  </si>
  <si>
    <t>147b</t>
  </si>
  <si>
    <t>767001R</t>
  </si>
  <si>
    <t>PODLAHY - STROPY - VÝPOČTY DLE ZAMĚŘENÍ</t>
  </si>
  <si>
    <t>lodžie/balkon</t>
  </si>
  <si>
    <t>celkem m2 (včetně lodž/balk)</t>
  </si>
  <si>
    <t>PODLAHY - DLE ZAMĚŘENÍ - ROZDĚLENÍ KRYTIN</t>
  </si>
  <si>
    <t>průměrný radiátor - pohledové plochy (bez vnitřního žebrování)</t>
  </si>
  <si>
    <t>zábradlí lodžie / balkonu</t>
  </si>
  <si>
    <t>Součet celkem m2 STĚN PRO MALBY</t>
  </si>
  <si>
    <r>
      <t xml:space="preserve">MALBY - ŠKRÁBÁNÍ - LOKÁLNÍ OPRAVY - </t>
    </r>
    <r>
      <rPr>
        <b/>
        <u/>
        <sz val="11"/>
        <color rgb="FFFF0000"/>
        <rFont val="Calibri"/>
        <family val="2"/>
        <charset val="238"/>
        <scheme val="minor"/>
      </rPr>
      <t>PLOCHY STĚN</t>
    </r>
    <r>
      <rPr>
        <b/>
        <sz val="11"/>
        <color theme="1"/>
        <rFont val="Calibri"/>
        <family val="2"/>
        <charset val="238"/>
        <scheme val="minor"/>
      </rPr>
      <t xml:space="preserve"> (včetně ploch oken a balkonových dveří jako náhrada za špalety a nadpraží)</t>
    </r>
  </si>
  <si>
    <t>Součet celkem m2 PODLAH</t>
  </si>
  <si>
    <t>Součet celkem m2 STĚN PRO KERAMICKÉ OBKLADY</t>
  </si>
  <si>
    <t>výpočet ploch</t>
  </si>
  <si>
    <t>Stavební přípomoce drobné</t>
  </si>
  <si>
    <t>Digestoř - montáž odsávací skříně se zapojením</t>
  </si>
  <si>
    <t>Demontáž a likvidace stávajících nefunkčních vnitřních okenních žaluzií</t>
  </si>
  <si>
    <t>Nátěry (včetně nátěrů konstrukce zábradlí na terase a mezistěny)</t>
  </si>
  <si>
    <t>Dodávka a montáž detektoru kouře / požárního hlásiče na strop, napájení akumulátorovou baterií, se zkušebním tlačítkem a min. IP20, umístění chodba a kuchyně, včetně dokladů a prohlášení o shodě k výrobku</t>
  </si>
  <si>
    <t>Dvířka vanová / revizní 300 x 300 mm bílá</t>
  </si>
  <si>
    <t>Baterie sprchová termostatická nástěnná ruční, vč. příslušenství</t>
  </si>
  <si>
    <r>
      <t xml:space="preserve">Umyvadlo na šrouby </t>
    </r>
    <r>
      <rPr>
        <sz val="10"/>
        <color indexed="10"/>
        <rFont val="Arial"/>
        <family val="2"/>
        <charset val="238"/>
      </rPr>
      <t>Jika Lyra plus 50 x 45 cm, bílé</t>
    </r>
  </si>
  <si>
    <t>Umyvadlo na šrouby OLYMP Deep 55 x 45 cm, bílé</t>
  </si>
  <si>
    <r>
      <t xml:space="preserve">Vanička sprchová </t>
    </r>
    <r>
      <rPr>
        <sz val="10"/>
        <color indexed="10"/>
        <rFont val="Arial"/>
        <family val="2"/>
        <charset val="238"/>
      </rPr>
      <t>obdélníková 120x73x15 cm, akrylátová</t>
    </r>
  </si>
  <si>
    <r>
      <t xml:space="preserve">KERAMICKÉ OBKLADY STĚN </t>
    </r>
    <r>
      <rPr>
        <b/>
        <u/>
        <sz val="10"/>
        <color rgb="FFFF0000"/>
        <rFont val="Arial"/>
        <family val="2"/>
        <charset val="238"/>
      </rPr>
      <t>STÁVAJÍCÍ</t>
    </r>
  </si>
  <si>
    <t>Součet celkem m2 STĚN PRO ODSTRANĚNÍ OBKLADŮ</t>
  </si>
  <si>
    <t>Osazení revizních dvířek do příčky, do 0,4 m2</t>
  </si>
  <si>
    <t>Klozet kombi Arteco WC 613, nádrž s armat. odpad šikmý, bílý</t>
  </si>
  <si>
    <t>Sedátko klozetové z PH Cleanon + - bílé</t>
  </si>
  <si>
    <t>Demontáž baterie sprch./vanové diferenciální G 3/4x1</t>
  </si>
  <si>
    <t>Kuchyňská linka do 2, m - opravy a repase stávající sestavy</t>
  </si>
  <si>
    <t>DMTZ (SDK) - truhl. předstěny, 1x kov.kce, 1x oplášť.12,5 mm - šachta stoupaček</t>
  </si>
  <si>
    <t>kg</t>
  </si>
  <si>
    <t>SVĚTLÁ VÝŠKA</t>
  </si>
  <si>
    <t>ocelová zárubeň 80/197, 70/197 a 60/197 a vstupní</t>
  </si>
  <si>
    <t>Oprava vápen.omítek stěn do 10 % pl. - aktivovaným štukem</t>
  </si>
  <si>
    <t>Oprava vápen.omítek stěn do 50 % pl. - aktivovaným štukem</t>
  </si>
  <si>
    <t xml:space="preserve">Oprava vápen.omítek stěn do 75 % pl. - aktivovaným štukem </t>
  </si>
  <si>
    <t>Oprava vápen.omítek stěn do 100 % pl. - aktivovaným štukem</t>
  </si>
  <si>
    <r>
      <t>Úprava stropů aktiv. štukem s přísadou, tl. 2-3 mm do 100</t>
    </r>
    <r>
      <rPr>
        <sz val="10"/>
        <rFont val="Arial"/>
        <family val="2"/>
        <charset val="238"/>
      </rPr>
      <t xml:space="preserve"> % pl.</t>
    </r>
  </si>
  <si>
    <t>Hrubá výplň rýh ve stěnách do 3x7 cm maltou ze SMS</t>
  </si>
  <si>
    <t>Začištění omítek kolem oken, dveří apod.</t>
  </si>
  <si>
    <t>Oprava omítky na stropech - odstraněné hřeby garnyž, svítidla a pod.</t>
  </si>
  <si>
    <t>Příplatek k podhledu sádrokart. za plochu od 2 do 5 m2</t>
  </si>
  <si>
    <t>40a</t>
  </si>
  <si>
    <t>40b</t>
  </si>
  <si>
    <t>40c</t>
  </si>
  <si>
    <t>55330369</t>
  </si>
  <si>
    <t>55330370</t>
  </si>
  <si>
    <t>55330371</t>
  </si>
  <si>
    <t>Zárubeň ocelová YH 75 900x1970x110</t>
  </si>
  <si>
    <t>Zárubeň ocelová YH 75 600x1970x75</t>
  </si>
  <si>
    <t>Zárubeň ocelová YH 75 700x1970x75</t>
  </si>
  <si>
    <t>Zárubeň ocelová YH 75 800x1970x75</t>
  </si>
  <si>
    <t>64294-0001.A</t>
  </si>
  <si>
    <t xml:space="preserve">Výměna hlavice ovládání term. ventilů </t>
  </si>
  <si>
    <t>=F31*0,1+F32*0,5+F33*0,75+F34*1+F35+F36+F60+F38+F39+F43+F44+F45</t>
  </si>
  <si>
    <t>=F31*0,1+F32*0,5+F33*0,75+F34*1+F60+F44+F45</t>
  </si>
  <si>
    <t>=F35+F36+F60+F38+F43</t>
  </si>
  <si>
    <t>Omítka rýh stěn vápenná šířky do 15 cm - štuk</t>
  </si>
  <si>
    <t>735151811R01.2</t>
  </si>
  <si>
    <t>Kliky se štítem mezip  804 se zaj. Cr (WC zámek)</t>
  </si>
  <si>
    <t>Spára - rohy podlaha / stěna akrylát</t>
  </si>
  <si>
    <r>
      <t>Nátěr syntetický</t>
    </r>
    <r>
      <rPr>
        <sz val="10"/>
        <color indexed="61"/>
        <rFont val="Arial"/>
        <family val="2"/>
        <charset val="238"/>
      </rPr>
      <t xml:space="preserve"> radiátorů 2x email</t>
    </r>
  </si>
  <si>
    <t>nátěry venkovních parapetů</t>
  </si>
  <si>
    <t>216a</t>
  </si>
  <si>
    <t>95R01.1</t>
  </si>
  <si>
    <t>=((1,3+5,8+1,3)*2,8)*1,15</t>
  </si>
  <si>
    <t>216a.2</t>
  </si>
  <si>
    <t>95R01.2</t>
  </si>
  <si>
    <t>Svítidlo žárovkové 2131805, 60 W, případně LED stejného výkonu, nástěnné včetně zdroje - 2x chodba, 1x komora, 1x obdoba pod horní skříňky kuchyňské linky</t>
  </si>
  <si>
    <t>telefon domovní 36 /bzučák  4FP11036 - D+M</t>
  </si>
  <si>
    <t>Demontáž kuchyňských linek do 2,5 m</t>
  </si>
  <si>
    <t>NEOBSAZENO</t>
  </si>
  <si>
    <t>Vana akrylátová KLASIK, dl. 1200 mm</t>
  </si>
  <si>
    <t>Odstranění malby stropů oškrábáním v místnosti H do 3,8 m</t>
  </si>
  <si>
    <t>Elektroinstalace - dle VV na samostatném listu - sjednocení koncových prvků, základní svítidla (D+M), vyzkoušení, revize a související drobné a nutné úpravy</t>
  </si>
  <si>
    <t>Sádra stavební šedá G - 2 - BII bal.</t>
  </si>
  <si>
    <t>Montáž uzavíracích ventilů DN 15 - 2ks</t>
  </si>
  <si>
    <t>Oprava spárování dlažeb z dlaždic, MC do 4 m2, včetně proškrábání původních spár a vyčištění</t>
  </si>
  <si>
    <t>Oprava spárování obkladu ker.  do 4 m2, včetně proškrábání původních spár a vyčištění</t>
  </si>
  <si>
    <t>Obklad stěn z desek sádrokartonových, na rošt ocelový, deska impregnovaná 12,5 mm - zadní stěna WC + příčky koupelny pod obklady</t>
  </si>
  <si>
    <t>Vanička sprchová keramická čtverec ABELE 80x80 cm</t>
  </si>
  <si>
    <t>Baterie umyvadlová stoján. Ruční, případně nástěnná, bez otvír.odpadu</t>
  </si>
  <si>
    <r>
      <t xml:space="preserve">Sprchová zástěna </t>
    </r>
    <r>
      <rPr>
        <sz val="10"/>
        <color indexed="10"/>
        <rFont val="Arial"/>
        <family val="2"/>
        <charset val="238"/>
      </rPr>
      <t>SKKP6-80 bílá+pearl</t>
    </r>
  </si>
  <si>
    <t>Úprava stropů aktiv. štukem s přísadou, tl. 2-3 mm do 75%</t>
  </si>
  <si>
    <t>Bozděchova 637/9</t>
  </si>
  <si>
    <t>Praha 5 - Smíchov</t>
  </si>
  <si>
    <t>Městská část Praha 5</t>
  </si>
  <si>
    <r>
      <t xml:space="preserve">Demontáž svítidel, lišt, </t>
    </r>
    <r>
      <rPr>
        <sz val="8"/>
        <color rgb="FFFF0000"/>
        <rFont val="Arial CE"/>
        <charset val="238"/>
      </rPr>
      <t>spínačů a zásuvek</t>
    </r>
    <r>
      <rPr>
        <sz val="8"/>
        <rFont val="Arial CE"/>
        <family val="2"/>
        <charset val="238"/>
      </rPr>
      <t>, rozvaděče, původních elektro krabic - kompl. v bytě</t>
    </r>
  </si>
  <si>
    <t>Odzkoušení bytové rozvodnice vč. zapojení</t>
  </si>
  <si>
    <t>Svítidlo zářivkové 2312001, případně LED stejného výkonu - min. 2x40 W, stropní včetně zdroje + recyklace -1x chodba, kuchyně stropní</t>
  </si>
  <si>
    <t>Svítidlo zářivkové, případně LED stejného výkonu, kompakt, čirý kryt, IP20 včetně zdroje - 1x koupelna s WC, a pod linku</t>
  </si>
  <si>
    <t>RTS II; Kros; CÚ II/2021; R-položky</t>
  </si>
  <si>
    <t>Vysekání kapes zeď, krabice 10x10x5cm</t>
  </si>
  <si>
    <t>17.01</t>
  </si>
  <si>
    <t>17.02</t>
  </si>
  <si>
    <t>17.03</t>
  </si>
  <si>
    <t>17.04</t>
  </si>
  <si>
    <t>17.05</t>
  </si>
  <si>
    <t>612421131-R01</t>
  </si>
  <si>
    <t>612421131-R02</t>
  </si>
  <si>
    <t>612421131-R03</t>
  </si>
  <si>
    <t>612421131-R04</t>
  </si>
  <si>
    <t>612421131-R05</t>
  </si>
  <si>
    <t>Otlučení omítek vnitřních vápenných stěn do 50 %</t>
  </si>
  <si>
    <t>Samonivelační stěrka tl. 4 mm - předpoklad dvojnásobná</t>
  </si>
  <si>
    <t>Potěr FERMACELL samonivelační ručně tl. 2 mm - pod dlažbu</t>
  </si>
  <si>
    <t>Vana akrylátová KLASIK se zápachovou uzávěrkou, dl. 1600 mm</t>
  </si>
  <si>
    <t>Vypuštění, napuštění systému stropního vytápění, tlak.zk., kontrola, revize funkčnosti</t>
  </si>
  <si>
    <t>Dveře vnitřní fóliované plné 1kř. - atypický rozměr 70x206 cm</t>
  </si>
  <si>
    <t>Dveře vnitřní fóliované 2/3 sklo 1kř.  - atypický rozměr 80x208 cm</t>
  </si>
  <si>
    <t>Demontáž dveří,otevíravých 1kř.do 0,8 m s likvidací</t>
  </si>
  <si>
    <r>
      <t xml:space="preserve">Dveře protipožární EI30 90x197 cm HPL 0,8 - </t>
    </r>
    <r>
      <rPr>
        <b/>
        <sz val="10"/>
        <rFont val="Arial"/>
        <family val="2"/>
        <charset val="238"/>
      </rPr>
      <t>včetně kukátka, prahu a nalepení čísla bytové jednotky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ATYPICKÉ DVEŘNÍ KŘÍDLO - REPLIKA STÁVAJÍCÍHO / PŮVODNÍ KŘÍDLA, VČETNĚ INTEGROVANÉ DOPISNÍ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SCHRÁNKY</t>
    </r>
  </si>
  <si>
    <t>Montáž dveří protipožárních 1kříd. do / nad 80 cm</t>
  </si>
  <si>
    <t>Dodávka a montáž kuchyňské linky rovné do dl. 180 cm, dekor například bardolino - vanilka, dřez, baterie</t>
  </si>
  <si>
    <t>Montáž a dod.skříňka univerzální - galerka plast s osvětlením</t>
  </si>
  <si>
    <t>Podlahovina PVC standard 1500x2,0 mm, dekor dub rustikal (vč. prořezu)</t>
  </si>
  <si>
    <t>Zednické opravy vnějších ploch na terase / balkonu, začištění venkovních špalet balkonových dveří a okna, včetně penetrace povrchů a nátěru fasádní barvou vhodného odstínu k celkovému barevnému řešení fasády domu</t>
  </si>
  <si>
    <t>Dodávka a montáž nových balkonových dveří dřevěných špaletových, z lepených euro profilů, vnější křídlo s izolačním dvojsklem, vnitřní křídlo s jednoduchým zasklením, členění dle původního křídla a ostatních v domě - přepočteno na celkovou plochu otvorové výplně</t>
  </si>
  <si>
    <t>Dodávka a montáž nového okna dřevěného špaletového, z lepených euro profilů, vnější křídlo s izolačním dvojsklem, vnitřní křídlo s jednoduchým zasklením, členění dle původního křídla a ostatních v domě - přepočteno na celkovou plochu otvorové výplně</t>
  </si>
  <si>
    <t>Dodávka a montáž vnitřního parapetu plastového nebo dřevěného</t>
  </si>
  <si>
    <t>Demontáž stávajícího provizorního zakrytí stavebního otvoru v obvodové stěně na terasu / balkon z OSB desek, včetně likvidace</t>
  </si>
  <si>
    <t>Dodávka a montáž nového okna dřevěného zdvojeného, z lepených euro profilů, s izolačním dvojsklem - do stavebního otvoru mezi koupelnou a KK - přepočteno na celkovou plochu otvorové výplně</t>
  </si>
  <si>
    <t>Plzeňská 2076/174</t>
  </si>
  <si>
    <t>VÝMĚNA VODOVODNÍHO POTRUBÍ - stoupačky</t>
  </si>
  <si>
    <t>Krycí list rozpočtu - objekt ADA</t>
  </si>
  <si>
    <t>Stavební rozpočet - objekt ADA</t>
  </si>
  <si>
    <t>Položkový rozpočet - elektro - objekt ADA</t>
  </si>
  <si>
    <t>Ing. Zuzana Válová</t>
  </si>
  <si>
    <t>KONSTRUKČNÍ VÝŠKA</t>
  </si>
  <si>
    <t>CHODBA</t>
  </si>
  <si>
    <t>samostatné WC</t>
  </si>
  <si>
    <t>TERRACO</t>
  </si>
  <si>
    <r>
      <t xml:space="preserve">KOUPELNA A WC - OBKLADY STĚN </t>
    </r>
    <r>
      <rPr>
        <b/>
        <u/>
        <sz val="10"/>
        <color rgb="FFFF0000"/>
        <rFont val="Arial"/>
        <family val="2"/>
        <charset val="238"/>
      </rPr>
      <t>NOVÉ</t>
    </r>
  </si>
  <si>
    <t>!!! ZDE UVEDENÉ VÝMĚRY JSOU PRO CHODBU V JEDNOM PODLAŽÍ DOMU !!!</t>
  </si>
  <si>
    <t>Odsekání vnitřních obkladů stěn nad 2 m2 na panelu</t>
  </si>
  <si>
    <t>Odsekání vnitřních obkladů stěn nad 2 m2 včetně omítky</t>
  </si>
  <si>
    <t>Bourání příček cihelných tl. 15 - 20 cm</t>
  </si>
  <si>
    <t>Příčka zděná, z CPP, tloušťka od 15 do 20 cm - dozdívky, vysprávky</t>
  </si>
  <si>
    <t>Ukotvení příček k cihel. konstr. kotvami na hmožd.</t>
  </si>
  <si>
    <t>Zazdívka otvorů a vysekaných drážek cihlami na maltu vápenou nebo VPC, tl.zdi do 20 cm</t>
  </si>
  <si>
    <t>340235000-R01</t>
  </si>
  <si>
    <t>DMTZ podhledu SDK, kovová kce., 1x oplášť.12,5 mm nebo SDK kazety v rastru, bez izolace</t>
  </si>
  <si>
    <t>Podhledy SDK, kovová kce. HUT 1x deska 12,5 mm nebo SDK kazety do rastru</t>
  </si>
  <si>
    <t>416001000-R-01</t>
  </si>
  <si>
    <t>Kompletní oprava stropních prostupů, systémově dle stávající konstrukce a skladby - po vybouraných prostupech pro trubní vedení</t>
  </si>
  <si>
    <t>Bourání příček z tvárnic tl. 5 cm - stáv. Instalační přizdívky</t>
  </si>
  <si>
    <t>Příčka z desek Ytong tl. 50 mm - zadní stěna WC</t>
  </si>
  <si>
    <t>Dvířka revizní se zámkem bílá do 300x300 mm, plastová</t>
  </si>
  <si>
    <t>632000150-R011.0</t>
  </si>
  <si>
    <t>Lokální opravy terracové podlahy na chodbě - po vybouraných prostupech pro trubní vedení</t>
  </si>
  <si>
    <r>
      <t xml:space="preserve">Obklady (keramické) - </t>
    </r>
    <r>
      <rPr>
        <b/>
        <sz val="10"/>
        <color rgb="FFFF0000"/>
        <rFont val="Arial"/>
        <family val="2"/>
        <charset val="238"/>
      </rPr>
      <t>v koupelně a WC výšky 2,0 metry</t>
    </r>
  </si>
  <si>
    <t>Montáž obkladů stěn, porovin.,tmel, nad 20x25 cm</t>
  </si>
  <si>
    <t>Malby - POUZE LOKÁLNÍ OPRAVY S PŘESAHEM DO STÁV. DO 15%</t>
  </si>
  <si>
    <t>Vyčištění budov o výšce podlaží do 4 m - závěrečný úklid</t>
  </si>
  <si>
    <t>Čištění zametáním v místnostech a chodbách - průběžný úklid</t>
  </si>
  <si>
    <t>Omítka VPC vnitřní stěn, jádrová s aktivním štukem - 100%</t>
  </si>
  <si>
    <t>Hrubá výplň rýh ve stěnách maltou šíře rýhy do 15 cm</t>
  </si>
  <si>
    <t>Vysekání rýh ve zdivu cihelném 15x10 cm</t>
  </si>
  <si>
    <t>Řezání v cihelném zdivu, hl. řezu do 50 mm</t>
  </si>
  <si>
    <t>Zakrývání vnitřních ploch a prostor</t>
  </si>
  <si>
    <t>Zámečnické drobné konstrukce - závěsy a podpůrné konstrukce rozvodů vody v 1.PP umístěných pod stropem a na stěnách</t>
  </si>
  <si>
    <t xml:space="preserve">Práce a dodávky PSV   </t>
  </si>
  <si>
    <t xml:space="preserve">Zdravotechnika - vnitřní vodovod   </t>
  </si>
  <si>
    <t>722170800</t>
  </si>
  <si>
    <t xml:space="preserve">Demontáž rozvodů vody z plastů do O 20 mm   </t>
  </si>
  <si>
    <t>722170801</t>
  </si>
  <si>
    <t xml:space="preserve">Demontáž rozvodů vody z plastů do O 25 mm   </t>
  </si>
  <si>
    <t>722170802</t>
  </si>
  <si>
    <t xml:space="preserve">Demontáž rozvodů vody z plastů do O 32 mm   </t>
  </si>
  <si>
    <t>722170803</t>
  </si>
  <si>
    <t xml:space="preserve">Demontáž rozvodů vody z plastů do O 40 mm   </t>
  </si>
  <si>
    <t>722170804</t>
  </si>
  <si>
    <t xml:space="preserve">Demontáž rozvodů vody z plastů do O 50 mm   </t>
  </si>
  <si>
    <t>722176112</t>
  </si>
  <si>
    <t xml:space="preserve">Montáž potrubí z plastových trub svařovaných polyfuzně vč. fitinek D přes 16 do 20 mm   </t>
  </si>
  <si>
    <t>28615133</t>
  </si>
  <si>
    <t xml:space="preserve">trubka vodovodní tlaková PPR řada PN 20 D 20mm dl 4m   </t>
  </si>
  <si>
    <t>SPC1</t>
  </si>
  <si>
    <t xml:space="preserve">kotevní prvky pro upevnění vodovodního potrubí (dodávka)   </t>
  </si>
  <si>
    <t>722176113</t>
  </si>
  <si>
    <t xml:space="preserve">Montáž potrubí z plastových trub svařovaných polyfuzně D přes 20 do 25 mm   </t>
  </si>
  <si>
    <t>286115133</t>
  </si>
  <si>
    <t>SPC11</t>
  </si>
  <si>
    <t>722176114</t>
  </si>
  <si>
    <t xml:space="preserve">Montáž potrubí z plastových trub svařovaných polyfuzně D přes 25 do 32 mm   </t>
  </si>
  <si>
    <t>286115135</t>
  </si>
  <si>
    <t>SPC12</t>
  </si>
  <si>
    <t>722176115</t>
  </si>
  <si>
    <t xml:space="preserve">Montáž potrubí z plastových trub svařovaných polyfuzně D přes 40do 40 mm   </t>
  </si>
  <si>
    <t>SPC13</t>
  </si>
  <si>
    <t>722176116</t>
  </si>
  <si>
    <t xml:space="preserve">Montáž potrubí z plastových trub svařovaných polyfuzně D přes 40do 50 mm   </t>
  </si>
  <si>
    <t>SPC114</t>
  </si>
  <si>
    <t>SPC115</t>
  </si>
  <si>
    <t>722180913R</t>
  </si>
  <si>
    <t xml:space="preserve">Propojení na stávající vodovodní potrubí - cena za kompletní dodávku a montáž včetně odříznutí trubky, spojky a přechodky   </t>
  </si>
  <si>
    <t>722190901</t>
  </si>
  <si>
    <t xml:space="preserve">Opravy ostatní uzavření nebo otevření vodovodního potrubí při opravách včetně vypuštění a napuštění   </t>
  </si>
  <si>
    <t>722190902</t>
  </si>
  <si>
    <t>SPC22</t>
  </si>
  <si>
    <t>722290226</t>
  </si>
  <si>
    <t xml:space="preserve">Zkoušky, proplach vodovodního potrubí zkoušky těsnosti vodovodního potrubí do DN 50   </t>
  </si>
  <si>
    <t>72229022R</t>
  </si>
  <si>
    <t xml:space="preserve">Desinfekce vodovodního potrubí  do DN 50   </t>
  </si>
  <si>
    <t>727</t>
  </si>
  <si>
    <t xml:space="preserve">Požární ochrana   </t>
  </si>
  <si>
    <t>7275463R</t>
  </si>
  <si>
    <t>SPC4</t>
  </si>
  <si>
    <t xml:space="preserve">PO ucpávka DN 25-32   </t>
  </si>
  <si>
    <t>SPC5</t>
  </si>
  <si>
    <t xml:space="preserve">Protipožární jednosložková polyuretanová pěna 700 Ml   </t>
  </si>
  <si>
    <t>Těsnění prostupů instalací potrubí konstrukcí stropů dle PD</t>
  </si>
  <si>
    <t>KOMPLETNÍ DODÁVKA A MONTÁŽE TRUBNÍHO VEDENÍ VNITŘNÍHO VODOVODU DLE PD</t>
  </si>
  <si>
    <t>KOMPLETNÍ DODÁVKA A MONTÁŽE TRUBNÍHO VEDENÍ VNITŘNÍHO VODOVODU DLE PD, VČETNĚ POŽÁRNÍCH UCPÁVEK - VIZ SAMOSTATNÝ LIST ROZPOČTU / VV</t>
  </si>
  <si>
    <t>Příčka z desek plynosilikátových tl. 50 mm - obezdívky instalačních šachet na WC</t>
  </si>
  <si>
    <t>Lišta plast rohová vnitřní nebo vnější do malt. lože</t>
  </si>
  <si>
    <t>Vyhlazení disperzním tmelem - stěrkový tmel pro vyrovnávání vnitřních povrchů, 2x - stěny</t>
  </si>
  <si>
    <t>Vyhlazení disperzním tmelem - stěrkový tmel pro vyrovnávání vnitřních povrchů, 50 % pl. stropů</t>
  </si>
  <si>
    <t>Penetrace podkladu nátěrem - na bázi hloubkové penetrace 1x</t>
  </si>
  <si>
    <t>Malba tekutá s vyšší kryvostí, otěruvzdorností a bělostí, bílá, 2x</t>
  </si>
  <si>
    <t xml:space="preserve">trubka vodovodní tlaková PPR řada PN 20 D 25mm dl.4m   </t>
  </si>
  <si>
    <t xml:space="preserve">trubka vodovodní tlaková PPR řada PN 20 D 32mm dl.4m   </t>
  </si>
  <si>
    <t xml:space="preserve">trubka vodovodní tlaková PPR řada PN 20 D 40mm dl.4m   </t>
  </si>
  <si>
    <t xml:space="preserve">trubka vodovodní tlaková PPR řada PN 20 D 50mm dl.4m   </t>
  </si>
  <si>
    <t xml:space="preserve">Tepelně izolační návlek z pěnového polyetylenu pro potrubní rozvody teplé a studené vody, DN 20 - 40/6   </t>
  </si>
  <si>
    <t>izolace z pěnového polyetylenu pro potrubní rozvody teplé a studené vody - DN 20-25/6</t>
  </si>
  <si>
    <t>zolace z pěnového polyetylenu pro potrubní rozvody teplé a studené vody - DN 32-40/6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</si>
</sst>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0"/>
    <numFmt numFmtId="165" formatCode="0.000"/>
  </numFmts>
  <fonts count="75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0"/>
      <color indexed="62"/>
      <name val="Arial"/>
      <family val="2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4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4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0"/>
      <color indexed="61"/>
      <name val="Helvetica Neue Light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u/>
      <sz val="10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trike/>
      <sz val="10"/>
      <name val="Arial"/>
      <family val="2"/>
      <charset val="238"/>
    </font>
    <font>
      <b/>
      <strike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 CE"/>
      <charset val="238"/>
    </font>
    <font>
      <i/>
      <sz val="8"/>
      <color indexed="12"/>
      <name val="Arial CE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44" fontId="17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17" fillId="0" borderId="0"/>
    <xf numFmtId="0" fontId="17" fillId="0" borderId="0"/>
    <xf numFmtId="0" fontId="54" fillId="0" borderId="0"/>
    <xf numFmtId="0" fontId="54" fillId="0" borderId="0"/>
    <xf numFmtId="0" fontId="17" fillId="0" borderId="0"/>
    <xf numFmtId="3" fontId="25" fillId="0" borderId="1">
      <alignment horizontal="right"/>
    </xf>
    <xf numFmtId="0" fontId="27" fillId="0" borderId="0"/>
    <xf numFmtId="3" fontId="37" fillId="2" borderId="0">
      <alignment horizontal="right"/>
    </xf>
    <xf numFmtId="3" fontId="37" fillId="2" borderId="0">
      <alignment horizontal="left"/>
    </xf>
    <xf numFmtId="3" fontId="37" fillId="3" borderId="0">
      <alignment horizontal="right"/>
    </xf>
    <xf numFmtId="0" fontId="37" fillId="3" borderId="0">
      <alignment horizontal="left" indent="1"/>
    </xf>
    <xf numFmtId="3" fontId="38" fillId="4" borderId="0">
      <alignment horizontal="right"/>
    </xf>
    <xf numFmtId="3" fontId="38" fillId="4" borderId="0">
      <alignment horizontal="left" indent="1"/>
    </xf>
    <xf numFmtId="0" fontId="25" fillId="0" borderId="0"/>
    <xf numFmtId="0" fontId="27" fillId="0" borderId="0"/>
  </cellStyleXfs>
  <cellXfs count="430">
    <xf numFmtId="0" fontId="1" fillId="0" borderId="0" xfId="0" applyFont="1" applyAlignment="1">
      <alignment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4" fillId="5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8" fillId="5" borderId="4" xfId="0" applyNumberFormat="1" applyFont="1" applyFill="1" applyBorder="1" applyAlignment="1" applyProtection="1">
      <alignment horizontal="left" vertical="center"/>
    </xf>
    <xf numFmtId="49" fontId="8" fillId="5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5" borderId="4" xfId="0" applyNumberFormat="1" applyFont="1" applyFill="1" applyBorder="1" applyAlignment="1" applyProtection="1">
      <alignment horizontal="right" vertical="center"/>
    </xf>
    <xf numFmtId="4" fontId="8" fillId="5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49" fontId="10" fillId="6" borderId="1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right"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1" fillId="6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/>
    <xf numFmtId="0" fontId="17" fillId="0" borderId="0" xfId="0" applyFont="1" applyFill="1" applyBorder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1" fontId="16" fillId="7" borderId="0" xfId="0" applyNumberFormat="1" applyFont="1" applyFill="1" applyBorder="1" applyAlignment="1">
      <alignment horizontal="center" vertical="center"/>
    </xf>
    <xf numFmtId="49" fontId="16" fillId="7" borderId="0" xfId="0" applyNumberFormat="1" applyFont="1" applyFill="1" applyBorder="1" applyAlignment="1" applyProtection="1">
      <alignment horizontal="center" vertical="center"/>
    </xf>
    <xf numFmtId="49" fontId="16" fillId="7" borderId="0" xfId="0" applyNumberFormat="1" applyFont="1" applyFill="1" applyBorder="1" applyAlignment="1" applyProtection="1">
      <alignment horizontal="left" vertical="center"/>
    </xf>
    <xf numFmtId="49" fontId="16" fillId="7" borderId="0" xfId="0" applyNumberFormat="1" applyFont="1" applyFill="1" applyBorder="1" applyAlignment="1" applyProtection="1">
      <alignment horizontal="left" vertical="center" wrapText="1"/>
    </xf>
    <xf numFmtId="164" fontId="16" fillId="7" borderId="0" xfId="0" applyNumberFormat="1" applyFont="1" applyFill="1" applyBorder="1" applyAlignment="1" applyProtection="1">
      <alignment horizontal="right" vertical="center"/>
    </xf>
    <xf numFmtId="4" fontId="16" fillId="7" borderId="0" xfId="0" applyNumberFormat="1" applyFont="1" applyFill="1" applyBorder="1" applyAlignment="1" applyProtection="1">
      <alignment horizontal="right" vertical="center"/>
    </xf>
    <xf numFmtId="0" fontId="17" fillId="7" borderId="0" xfId="0" applyFont="1" applyFill="1" applyBorder="1"/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1" fontId="0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right" vertical="center"/>
    </xf>
    <xf numFmtId="49" fontId="21" fillId="5" borderId="0" xfId="0" applyNumberFormat="1" applyFont="1" applyFill="1" applyBorder="1" applyAlignment="1" applyProtection="1">
      <alignment horizontal="right" vertical="center"/>
    </xf>
    <xf numFmtId="0" fontId="27" fillId="0" borderId="0" xfId="9" applyFill="1"/>
    <xf numFmtId="0" fontId="30" fillId="0" borderId="0" xfId="9" applyFont="1" applyFill="1" applyAlignment="1">
      <alignment horizontal="centerContinuous"/>
    </xf>
    <xf numFmtId="0" fontId="31" fillId="0" borderId="0" xfId="9" applyFont="1" applyFill="1" applyAlignment="1">
      <alignment horizontal="centerContinuous"/>
    </xf>
    <xf numFmtId="0" fontId="31" fillId="0" borderId="0" xfId="9" applyFont="1" applyFill="1" applyAlignment="1">
      <alignment horizontal="right"/>
    </xf>
    <xf numFmtId="0" fontId="28" fillId="0" borderId="0" xfId="9" applyFont="1" applyFill="1"/>
    <xf numFmtId="0" fontId="27" fillId="0" borderId="0" xfId="9" applyFont="1" applyFill="1"/>
    <xf numFmtId="0" fontId="27" fillId="0" borderId="0" xfId="9" applyFill="1" applyAlignment="1">
      <alignment horizontal="right"/>
    </xf>
    <xf numFmtId="0" fontId="27" fillId="0" borderId="0" xfId="9" applyFill="1" applyAlignment="1"/>
    <xf numFmtId="49" fontId="23" fillId="0" borderId="1" xfId="9" applyNumberFormat="1" applyFont="1" applyFill="1" applyBorder="1"/>
    <xf numFmtId="0" fontId="23" fillId="0" borderId="20" xfId="9" applyFont="1" applyFill="1" applyBorder="1" applyAlignment="1">
      <alignment horizontal="center"/>
    </xf>
    <xf numFmtId="0" fontId="23" fillId="0" borderId="20" xfId="9" applyNumberFormat="1" applyFont="1" applyFill="1" applyBorder="1" applyAlignment="1">
      <alignment horizontal="center"/>
    </xf>
    <xf numFmtId="0" fontId="23" fillId="0" borderId="1" xfId="9" applyFont="1" applyFill="1" applyBorder="1" applyAlignment="1">
      <alignment horizontal="center"/>
    </xf>
    <xf numFmtId="0" fontId="24" fillId="0" borderId="24" xfId="9" applyFont="1" applyFill="1" applyBorder="1" applyAlignment="1">
      <alignment horizontal="center"/>
    </xf>
    <xf numFmtId="49" fontId="24" fillId="0" borderId="24" xfId="9" applyNumberFormat="1" applyFont="1" applyFill="1" applyBorder="1" applyAlignment="1">
      <alignment horizontal="left"/>
    </xf>
    <xf numFmtId="0" fontId="24" fillId="0" borderId="24" xfId="9" applyFont="1" applyFill="1" applyBorder="1"/>
    <xf numFmtId="0" fontId="27" fillId="0" borderId="24" xfId="9" applyFill="1" applyBorder="1" applyAlignment="1">
      <alignment horizontal="center"/>
    </xf>
    <xf numFmtId="0" fontId="27" fillId="0" borderId="24" xfId="9" applyNumberFormat="1" applyFill="1" applyBorder="1" applyAlignment="1">
      <alignment horizontal="right"/>
    </xf>
    <xf numFmtId="0" fontId="27" fillId="0" borderId="24" xfId="9" applyNumberFormat="1" applyFill="1" applyBorder="1"/>
    <xf numFmtId="0" fontId="25" fillId="0" borderId="24" xfId="9" applyFont="1" applyFill="1" applyBorder="1" applyAlignment="1">
      <alignment horizontal="center"/>
    </xf>
    <xf numFmtId="49" fontId="26" fillId="0" borderId="24" xfId="9" applyNumberFormat="1" applyFont="1" applyFill="1" applyBorder="1" applyAlignment="1">
      <alignment horizontal="left"/>
    </xf>
    <xf numFmtId="0" fontId="26" fillId="0" borderId="24" xfId="9" applyFont="1" applyFill="1" applyBorder="1" applyAlignment="1">
      <alignment wrapText="1"/>
    </xf>
    <xf numFmtId="49" fontId="33" fillId="0" borderId="24" xfId="9" applyNumberFormat="1" applyFont="1" applyFill="1" applyBorder="1" applyAlignment="1">
      <alignment horizontal="center" shrinkToFit="1"/>
    </xf>
    <xf numFmtId="4" fontId="33" fillId="0" borderId="24" xfId="9" applyNumberFormat="1" applyFont="1" applyFill="1" applyBorder="1" applyAlignment="1">
      <alignment horizontal="right"/>
    </xf>
    <xf numFmtId="4" fontId="33" fillId="0" borderId="24" xfId="9" applyNumberFormat="1" applyFont="1" applyFill="1" applyBorder="1"/>
    <xf numFmtId="0" fontId="27" fillId="0" borderId="15" xfId="9" applyFill="1" applyBorder="1" applyAlignment="1">
      <alignment horizontal="center"/>
    </xf>
    <xf numFmtId="49" fontId="22" fillId="0" borderId="15" xfId="9" applyNumberFormat="1" applyFont="1" applyFill="1" applyBorder="1" applyAlignment="1">
      <alignment horizontal="left"/>
    </xf>
    <xf numFmtId="0" fontId="22" fillId="0" borderId="15" xfId="9" applyFont="1" applyFill="1" applyBorder="1"/>
    <xf numFmtId="4" fontId="27" fillId="0" borderId="15" xfId="9" applyNumberFormat="1" applyFill="1" applyBorder="1" applyAlignment="1">
      <alignment horizontal="right"/>
    </xf>
    <xf numFmtId="4" fontId="24" fillId="0" borderId="15" xfId="9" applyNumberFormat="1" applyFont="1" applyFill="1" applyBorder="1"/>
    <xf numFmtId="49" fontId="36" fillId="0" borderId="0" xfId="0" applyNumberFormat="1" applyFont="1" applyFill="1" applyBorder="1" applyAlignment="1" applyProtection="1">
      <alignment horizontal="left" vertical="center"/>
    </xf>
    <xf numFmtId="4" fontId="36" fillId="0" borderId="0" xfId="0" applyNumberFormat="1" applyFont="1" applyFill="1" applyBorder="1" applyAlignment="1" applyProtection="1">
      <alignment horizontal="right" vertical="center"/>
    </xf>
    <xf numFmtId="49" fontId="36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vertical="center"/>
    </xf>
    <xf numFmtId="49" fontId="8" fillId="5" borderId="0" xfId="0" applyNumberFormat="1" applyFont="1" applyFill="1" applyBorder="1" applyAlignment="1" applyProtection="1">
      <alignment vertical="center"/>
    </xf>
    <xf numFmtId="0" fontId="8" fillId="5" borderId="0" xfId="0" applyNumberFormat="1" applyFont="1" applyFill="1" applyBorder="1" applyAlignment="1" applyProtection="1">
      <alignment vertical="center"/>
    </xf>
    <xf numFmtId="49" fontId="8" fillId="5" borderId="4" xfId="0" applyNumberFormat="1" applyFont="1" applyFill="1" applyBorder="1" applyAlignment="1" applyProtection="1">
      <alignment vertical="center"/>
    </xf>
    <xf numFmtId="0" fontId="8" fillId="5" borderId="4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49" fontId="50" fillId="0" borderId="0" xfId="0" applyNumberFormat="1" applyFont="1" applyFill="1" applyBorder="1" applyAlignment="1" applyProtection="1">
      <alignment horizontal="left" vertical="center"/>
    </xf>
    <xf numFmtId="4" fontId="50" fillId="0" borderId="0" xfId="0" applyNumberFormat="1" applyFont="1" applyFill="1" applyBorder="1" applyAlignment="1" applyProtection="1">
      <alignment horizontal="right" vertical="center"/>
    </xf>
    <xf numFmtId="49" fontId="50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left" vertical="center"/>
    </xf>
    <xf numFmtId="4" fontId="39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>
      <alignment vertical="center"/>
    </xf>
    <xf numFmtId="4" fontId="40" fillId="0" borderId="0" xfId="0" applyNumberFormat="1" applyFont="1" applyFill="1" applyBorder="1" applyAlignment="1" applyProtection="1">
      <alignment horizontal="right" vertical="center"/>
    </xf>
    <xf numFmtId="49" fontId="40" fillId="0" borderId="0" xfId="0" applyNumberFormat="1" applyFont="1" applyFill="1" applyBorder="1" applyAlignment="1" applyProtection="1">
      <alignment horizontal="right" vertical="center"/>
    </xf>
    <xf numFmtId="49" fontId="41" fillId="5" borderId="0" xfId="0" applyNumberFormat="1" applyFont="1" applyFill="1" applyBorder="1" applyAlignment="1" applyProtection="1">
      <alignment horizontal="right" vertical="center"/>
    </xf>
    <xf numFmtId="49" fontId="42" fillId="5" borderId="0" xfId="0" applyNumberFormat="1" applyFont="1" applyFill="1" applyBorder="1" applyAlignment="1" applyProtection="1">
      <alignment horizontal="left" vertical="center"/>
    </xf>
    <xf numFmtId="49" fontId="41" fillId="5" borderId="0" xfId="0" applyNumberFormat="1" applyFont="1" applyFill="1" applyBorder="1" applyAlignment="1" applyProtection="1">
      <alignment horizontal="left" vertical="center"/>
    </xf>
    <xf numFmtId="4" fontId="41" fillId="5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left" vertical="center"/>
    </xf>
    <xf numFmtId="4" fontId="43" fillId="0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right" vertical="center"/>
    </xf>
    <xf numFmtId="49" fontId="44" fillId="0" borderId="0" xfId="0" applyNumberFormat="1" applyFont="1" applyFill="1" applyBorder="1" applyAlignment="1" applyProtection="1">
      <alignment horizontal="left" vertical="center"/>
    </xf>
    <xf numFmtId="4" fontId="44" fillId="0" borderId="0" xfId="0" applyNumberFormat="1" applyFont="1" applyFill="1" applyBorder="1" applyAlignment="1" applyProtection="1">
      <alignment horizontal="right" vertical="center"/>
    </xf>
    <xf numFmtId="49" fontId="44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Fill="1" applyBorder="1" applyAlignment="1" applyProtection="1">
      <alignment horizontal="right" vertical="center"/>
    </xf>
    <xf numFmtId="49" fontId="45" fillId="0" borderId="0" xfId="0" applyNumberFormat="1" applyFont="1" applyFill="1" applyBorder="1" applyAlignment="1" applyProtection="1">
      <alignment horizontal="right" vertical="center"/>
    </xf>
    <xf numFmtId="49" fontId="46" fillId="5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left" vertical="center"/>
    </xf>
    <xf numFmtId="4" fontId="47" fillId="0" borderId="0" xfId="0" applyNumberFormat="1" applyFon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Fill="1" applyAlignment="1">
      <alignment vertical="center"/>
    </xf>
    <xf numFmtId="49" fontId="4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0" fontId="50" fillId="0" borderId="0" xfId="0" applyFont="1" applyFill="1" applyAlignment="1">
      <alignment vertical="center"/>
    </xf>
    <xf numFmtId="49" fontId="52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Fill="1" applyAlignment="1">
      <alignment vertical="center"/>
    </xf>
    <xf numFmtId="49" fontId="46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4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9" fontId="41" fillId="5" borderId="0" xfId="0" applyNumberFormat="1" applyFont="1" applyFill="1" applyBorder="1" applyAlignment="1" applyProtection="1">
      <alignment vertical="center"/>
    </xf>
    <xf numFmtId="0" fontId="41" fillId="5" borderId="0" xfId="0" applyNumberFormat="1" applyFont="1" applyFill="1" applyBorder="1" applyAlignment="1" applyProtection="1">
      <alignment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51" fillId="0" borderId="0" xfId="0" applyFont="1" applyAlignment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4" fontId="48" fillId="0" borderId="1" xfId="0" applyNumberFormat="1" applyFont="1" applyFill="1" applyBorder="1" applyAlignment="1" applyProtection="1">
      <alignment horizontal="right" vertical="center"/>
    </xf>
    <xf numFmtId="0" fontId="51" fillId="0" borderId="11" xfId="0" applyNumberFormat="1" applyFont="1" applyFill="1" applyBorder="1" applyAlignment="1" applyProtection="1">
      <alignment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1" fillId="0" borderId="26" xfId="0" applyNumberFormat="1" applyFont="1" applyFill="1" applyBorder="1" applyAlignment="1" applyProtection="1">
      <alignment horizontal="left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165" fontId="3" fillId="0" borderId="8" xfId="0" applyNumberFormat="1" applyFont="1" applyFill="1" applyBorder="1" applyAlignment="1" applyProtection="1">
      <alignment horizontal="center" vertical="center"/>
    </xf>
    <xf numFmtId="165" fontId="8" fillId="5" borderId="4" xfId="0" applyNumberFormat="1" applyFont="1" applyFill="1" applyBorder="1" applyAlignment="1" applyProtection="1">
      <alignment horizontal="right" vertical="center"/>
    </xf>
    <xf numFmtId="165" fontId="39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165" fontId="41" fillId="5" borderId="0" xfId="0" applyNumberFormat="1" applyFont="1" applyFill="1" applyBorder="1" applyAlignment="1" applyProtection="1">
      <alignment horizontal="right" vertical="center"/>
    </xf>
    <xf numFmtId="165" fontId="8" fillId="5" borderId="0" xfId="0" applyNumberFormat="1" applyFont="1" applyFill="1" applyBorder="1" applyAlignment="1" applyProtection="1">
      <alignment horizontal="right" vertical="center"/>
    </xf>
    <xf numFmtId="165" fontId="19" fillId="0" borderId="0" xfId="0" applyNumberFormat="1" applyFont="1" applyFill="1" applyBorder="1" applyAlignment="1" applyProtection="1">
      <alignment horizontal="right" vertical="center"/>
    </xf>
    <xf numFmtId="165" fontId="15" fillId="0" borderId="0" xfId="0" applyNumberFormat="1" applyFont="1" applyFill="1" applyBorder="1" applyAlignment="1" applyProtection="1">
      <alignment horizontal="right" vertical="center"/>
    </xf>
    <xf numFmtId="165" fontId="44" fillId="0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 applyProtection="1">
      <alignment horizontal="right" vertical="center"/>
    </xf>
    <xf numFmtId="165" fontId="43" fillId="0" borderId="0" xfId="0" applyNumberFormat="1" applyFont="1" applyFill="1" applyBorder="1" applyAlignment="1" applyProtection="1">
      <alignment horizontal="right" vertical="center"/>
    </xf>
    <xf numFmtId="165" fontId="50" fillId="0" borderId="0" xfId="0" applyNumberFormat="1" applyFont="1" applyFill="1" applyBorder="1" applyAlignment="1" applyProtection="1">
      <alignment horizontal="right" vertical="center"/>
    </xf>
    <xf numFmtId="165" fontId="36" fillId="0" borderId="0" xfId="0" applyNumberFormat="1" applyFont="1" applyFill="1" applyBorder="1" applyAlignment="1" applyProtection="1">
      <alignment horizontal="right" vertical="center"/>
    </xf>
    <xf numFmtId="165" fontId="47" fillId="0" borderId="0" xfId="0" applyNumberFormat="1" applyFont="1" applyFill="1" applyBorder="1" applyAlignment="1" applyProtection="1">
      <alignment horizontal="right" vertical="center"/>
    </xf>
    <xf numFmtId="165" fontId="16" fillId="7" borderId="0" xfId="0" applyNumberFormat="1" applyFont="1" applyFill="1" applyBorder="1" applyAlignment="1" applyProtection="1">
      <alignment horizontal="right" vertical="center"/>
    </xf>
    <xf numFmtId="165" fontId="1" fillId="0" borderId="5" xfId="0" applyNumberFormat="1" applyFont="1" applyFill="1" applyBorder="1" applyAlignment="1" applyProtection="1">
      <alignment vertical="center"/>
    </xf>
    <xf numFmtId="165" fontId="1" fillId="0" borderId="0" xfId="0" applyNumberFormat="1" applyFont="1" applyAlignment="1">
      <alignment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ont="1" applyFill="1" applyBorder="1" applyAlignment="1" applyProtection="1">
      <alignment horizontal="right" vertical="center"/>
    </xf>
    <xf numFmtId="0" fontId="32" fillId="0" borderId="0" xfId="9" applyFont="1" applyFill="1"/>
    <xf numFmtId="3" fontId="27" fillId="0" borderId="0" xfId="9" applyNumberFormat="1" applyFill="1"/>
    <xf numFmtId="0" fontId="27" fillId="0" borderId="0" xfId="9" applyFill="1" applyBorder="1"/>
    <xf numFmtId="0" fontId="34" fillId="0" borderId="0" xfId="9" applyFont="1" applyFill="1" applyAlignment="1"/>
    <xf numFmtId="0" fontId="35" fillId="0" borderId="0" xfId="9" applyFont="1" applyFill="1" applyBorder="1"/>
    <xf numFmtId="3" fontId="35" fillId="0" borderId="0" xfId="9" applyNumberFormat="1" applyFont="1" applyFill="1" applyBorder="1" applyAlignment="1">
      <alignment horizontal="right"/>
    </xf>
    <xf numFmtId="4" fontId="35" fillId="0" borderId="0" xfId="9" applyNumberFormat="1" applyFont="1" applyFill="1" applyBorder="1"/>
    <xf numFmtId="0" fontId="34" fillId="0" borderId="0" xfId="9" applyFont="1" applyFill="1" applyBorder="1" applyAlignment="1"/>
    <xf numFmtId="0" fontId="27" fillId="0" borderId="0" xfId="9" applyFill="1" applyBorder="1" applyAlignment="1">
      <alignment horizontal="right"/>
    </xf>
    <xf numFmtId="165" fontId="5" fillId="8" borderId="0" xfId="0" applyNumberFormat="1" applyFont="1" applyFill="1" applyBorder="1" applyAlignment="1" applyProtection="1">
      <alignment horizontal="right" vertical="center"/>
    </xf>
    <xf numFmtId="49" fontId="5" fillId="8" borderId="0" xfId="0" applyNumberFormat="1" applyFont="1" applyFill="1" applyBorder="1" applyAlignment="1" applyProtection="1">
      <alignment horizontal="left" vertical="center"/>
    </xf>
    <xf numFmtId="165" fontId="0" fillId="8" borderId="0" xfId="0" applyNumberFormat="1" applyFont="1" applyFill="1" applyBorder="1" applyAlignment="1" applyProtection="1">
      <alignment horizontal="right" vertical="center"/>
    </xf>
    <xf numFmtId="165" fontId="44" fillId="8" borderId="0" xfId="0" applyNumberFormat="1" applyFont="1" applyFill="1" applyBorder="1" applyAlignment="1" applyProtection="1">
      <alignment horizontal="right" vertical="center"/>
    </xf>
    <xf numFmtId="164" fontId="40" fillId="0" borderId="0" xfId="0" applyNumberFormat="1" applyFont="1" applyFill="1" applyAlignment="1">
      <alignment vertical="center"/>
    </xf>
    <xf numFmtId="164" fontId="45" fillId="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5" fontId="5" fillId="9" borderId="0" xfId="0" applyNumberFormat="1" applyFont="1" applyFill="1" applyBorder="1" applyAlignment="1" applyProtection="1">
      <alignment horizontal="right" vertical="center"/>
    </xf>
    <xf numFmtId="165" fontId="6" fillId="9" borderId="0" xfId="0" applyNumberFormat="1" applyFont="1" applyFill="1" applyBorder="1" applyAlignment="1" applyProtection="1">
      <alignment horizontal="right" vertical="center"/>
    </xf>
    <xf numFmtId="165" fontId="8" fillId="10" borderId="0" xfId="0" applyNumberFormat="1" applyFont="1" applyFill="1" applyBorder="1" applyAlignment="1" applyProtection="1">
      <alignment horizontal="right" vertical="center"/>
    </xf>
    <xf numFmtId="165" fontId="15" fillId="9" borderId="0" xfId="0" applyNumberFormat="1" applyFont="1" applyFill="1" applyBorder="1" applyAlignment="1" applyProtection="1">
      <alignment horizontal="right" vertical="center"/>
    </xf>
    <xf numFmtId="165" fontId="0" fillId="9" borderId="0" xfId="0" applyNumberFormat="1" applyFont="1" applyFill="1" applyBorder="1" applyAlignment="1" applyProtection="1">
      <alignment horizontal="right" vertical="center"/>
    </xf>
    <xf numFmtId="165" fontId="50" fillId="9" borderId="0" xfId="0" applyNumberFormat="1" applyFont="1" applyFill="1" applyBorder="1" applyAlignment="1" applyProtection="1">
      <alignment horizontal="right" vertical="center"/>
    </xf>
    <xf numFmtId="0" fontId="1" fillId="9" borderId="0" xfId="0" applyFont="1" applyFill="1" applyAlignment="1">
      <alignment vertical="center"/>
    </xf>
    <xf numFmtId="165" fontId="16" fillId="9" borderId="0" xfId="0" applyNumberFormat="1" applyFont="1" applyFill="1" applyBorder="1" applyAlignment="1" applyProtection="1">
      <alignment horizontal="right" vertical="center"/>
    </xf>
    <xf numFmtId="164" fontId="1" fillId="9" borderId="0" xfId="0" applyNumberFormat="1" applyFont="1" applyFill="1" applyAlignment="1">
      <alignment vertical="center" wrapText="1"/>
    </xf>
    <xf numFmtId="10" fontId="27" fillId="0" borderId="0" xfId="9" applyNumberFormat="1" applyFill="1" applyBorder="1"/>
    <xf numFmtId="0" fontId="27" fillId="0" borderId="29" xfId="9" applyFill="1" applyBorder="1"/>
    <xf numFmtId="0" fontId="27" fillId="0" borderId="30" xfId="9" applyFill="1" applyBorder="1"/>
    <xf numFmtId="0" fontId="22" fillId="0" borderId="31" xfId="9" applyFont="1" applyFill="1" applyBorder="1"/>
    <xf numFmtId="4" fontId="27" fillId="0" borderId="32" xfId="9" applyNumberFormat="1" applyFill="1" applyBorder="1"/>
    <xf numFmtId="0" fontId="55" fillId="0" borderId="24" xfId="9" applyFont="1" applyFill="1" applyBorder="1" applyAlignment="1">
      <alignment wrapText="1"/>
    </xf>
    <xf numFmtId="0" fontId="26" fillId="8" borderId="24" xfId="9" applyFont="1" applyFill="1" applyBorder="1" applyAlignment="1">
      <alignment wrapText="1"/>
    </xf>
    <xf numFmtId="49" fontId="57" fillId="11" borderId="0" xfId="0" applyNumberFormat="1" applyFont="1" applyFill="1" applyBorder="1" applyAlignment="1" applyProtection="1">
      <alignment horizontal="left" vertical="center"/>
    </xf>
    <xf numFmtId="4" fontId="57" fillId="11" borderId="0" xfId="0" applyNumberFormat="1" applyFont="1" applyFill="1" applyBorder="1" applyAlignment="1" applyProtection="1">
      <alignment horizontal="right" vertical="center"/>
    </xf>
    <xf numFmtId="165" fontId="57" fillId="11" borderId="0" xfId="0" applyNumberFormat="1" applyFont="1" applyFill="1" applyBorder="1" applyAlignment="1" applyProtection="1">
      <alignment horizontal="right" vertical="center"/>
    </xf>
    <xf numFmtId="49" fontId="57" fillId="11" borderId="0" xfId="0" applyNumberFormat="1" applyFont="1" applyFill="1" applyBorder="1" applyAlignment="1" applyProtection="1">
      <alignment horizontal="left" vertical="center" wrapText="1"/>
    </xf>
    <xf numFmtId="0" fontId="25" fillId="0" borderId="24" xfId="16" applyNumberFormat="1" applyFill="1" applyBorder="1" applyAlignment="1">
      <alignment horizontal="right"/>
    </xf>
    <xf numFmtId="4" fontId="26" fillId="0" borderId="24" xfId="16" applyNumberFormat="1" applyFont="1" applyFill="1" applyBorder="1" applyAlignment="1">
      <alignment horizontal="right"/>
    </xf>
    <xf numFmtId="4" fontId="25" fillId="0" borderId="15" xfId="16" applyNumberFormat="1" applyFill="1" applyBorder="1" applyAlignment="1">
      <alignment horizontal="right"/>
    </xf>
    <xf numFmtId="4" fontId="33" fillId="0" borderId="24" xfId="17" applyNumberFormat="1" applyFont="1" applyFill="1" applyBorder="1" applyAlignment="1">
      <alignment horizontal="right"/>
    </xf>
    <xf numFmtId="0" fontId="27" fillId="0" borderId="24" xfId="17" applyNumberFormat="1" applyFill="1" applyBorder="1" applyAlignment="1">
      <alignment horizontal="right"/>
    </xf>
    <xf numFmtId="4" fontId="26" fillId="0" borderId="24" xfId="17" applyNumberFormat="1" applyFont="1" applyFill="1" applyBorder="1" applyAlignment="1">
      <alignment horizontal="right"/>
    </xf>
    <xf numFmtId="4" fontId="27" fillId="0" borderId="15" xfId="17" applyNumberFormat="1" applyFill="1" applyBorder="1" applyAlignment="1">
      <alignment horizontal="right"/>
    </xf>
    <xf numFmtId="4" fontId="60" fillId="0" borderId="0" xfId="0" applyNumberFormat="1" applyFont="1" applyFill="1" applyBorder="1" applyAlignment="1" applyProtection="1">
      <alignment horizontal="right" vertical="center"/>
    </xf>
    <xf numFmtId="4" fontId="56" fillId="12" borderId="19" xfId="0" applyNumberFormat="1" applyFont="1" applyFill="1" applyBorder="1"/>
    <xf numFmtId="4" fontId="0" fillId="0" borderId="0" xfId="0" applyNumberFormat="1"/>
    <xf numFmtId="4" fontId="56" fillId="13" borderId="0" xfId="0" applyNumberFormat="1" applyFont="1" applyFill="1"/>
    <xf numFmtId="4" fontId="0" fillId="13" borderId="19" xfId="0" applyNumberFormat="1" applyFill="1" applyBorder="1"/>
    <xf numFmtId="4" fontId="56" fillId="14" borderId="19" xfId="0" applyNumberFormat="1" applyFont="1" applyFill="1" applyBorder="1"/>
    <xf numFmtId="4" fontId="61" fillId="0" borderId="0" xfId="0" applyNumberFormat="1" applyFont="1"/>
    <xf numFmtId="4" fontId="56" fillId="13" borderId="19" xfId="0" applyNumberFormat="1" applyFont="1" applyFill="1" applyBorder="1"/>
    <xf numFmtId="4" fontId="0" fillId="13" borderId="0" xfId="0" applyNumberFormat="1" applyFill="1" applyAlignment="1">
      <alignment wrapText="1"/>
    </xf>
    <xf numFmtId="4" fontId="56" fillId="15" borderId="0" xfId="0" applyNumberFormat="1" applyFont="1" applyFill="1"/>
    <xf numFmtId="4" fontId="0" fillId="15" borderId="0" xfId="0" applyNumberFormat="1" applyFill="1"/>
    <xf numFmtId="4" fontId="61" fillId="15" borderId="0" xfId="0" applyNumberFormat="1" applyFont="1" applyFill="1"/>
    <xf numFmtId="4" fontId="56" fillId="11" borderId="0" xfId="0" applyNumberFormat="1" applyFont="1" applyFill="1"/>
    <xf numFmtId="4" fontId="0" fillId="11" borderId="0" xfId="0" applyNumberFormat="1" applyFill="1"/>
    <xf numFmtId="4" fontId="61" fillId="11" borderId="0" xfId="0" applyNumberFormat="1" applyFont="1" applyFill="1"/>
    <xf numFmtId="4" fontId="0" fillId="0" borderId="35" xfId="0" applyNumberFormat="1" applyBorder="1"/>
    <xf numFmtId="4" fontId="61" fillId="0" borderId="35" xfId="0" applyNumberFormat="1" applyFont="1" applyBorder="1"/>
    <xf numFmtId="4" fontId="56" fillId="13" borderId="35" xfId="0" applyNumberFormat="1" applyFont="1" applyFill="1" applyBorder="1"/>
    <xf numFmtId="4" fontId="0" fillId="13" borderId="49" xfId="0" applyNumberFormat="1" applyFill="1" applyBorder="1"/>
    <xf numFmtId="4" fontId="56" fillId="16" borderId="0" xfId="0" applyNumberFormat="1" applyFont="1" applyFill="1"/>
    <xf numFmtId="4" fontId="0" fillId="16" borderId="0" xfId="0" applyNumberFormat="1" applyFill="1"/>
    <xf numFmtId="4" fontId="61" fillId="16" borderId="0" xfId="0" applyNumberFormat="1" applyFont="1" applyFill="1"/>
    <xf numFmtId="4" fontId="56" fillId="0" borderId="0" xfId="0" applyNumberFormat="1" applyFont="1"/>
    <xf numFmtId="0" fontId="15" fillId="0" borderId="0" xfId="0" applyFont="1" applyFill="1" applyAlignment="1">
      <alignment vertical="center"/>
    </xf>
    <xf numFmtId="4" fontId="57" fillId="0" borderId="0" xfId="0" applyNumberFormat="1" applyFont="1" applyFill="1" applyBorder="1" applyAlignment="1" applyProtection="1">
      <alignment horizontal="right" vertical="center"/>
    </xf>
    <xf numFmtId="49" fontId="57" fillId="0" borderId="0" xfId="0" applyNumberFormat="1" applyFont="1" applyFill="1" applyBorder="1" applyAlignment="1" applyProtection="1">
      <alignment horizontal="right" vertical="center"/>
    </xf>
    <xf numFmtId="0" fontId="57" fillId="0" borderId="0" xfId="0" applyFont="1" applyFill="1" applyAlignment="1">
      <alignment vertical="center"/>
    </xf>
    <xf numFmtId="49" fontId="58" fillId="0" borderId="0" xfId="0" applyNumberFormat="1" applyFont="1" applyFill="1" applyBorder="1" applyAlignment="1" applyProtection="1">
      <alignment horizontal="right" vertical="center"/>
    </xf>
    <xf numFmtId="165" fontId="57" fillId="9" borderId="0" xfId="0" applyNumberFormat="1" applyFont="1" applyFill="1" applyBorder="1" applyAlignment="1" applyProtection="1">
      <alignment horizontal="right" vertical="center"/>
    </xf>
    <xf numFmtId="4" fontId="56" fillId="17" borderId="19" xfId="0" applyNumberFormat="1" applyFont="1" applyFill="1" applyBorder="1"/>
    <xf numFmtId="4" fontId="62" fillId="0" borderId="0" xfId="0" applyNumberFormat="1" applyFont="1"/>
    <xf numFmtId="4" fontId="56" fillId="17" borderId="50" xfId="0" applyNumberFormat="1" applyFont="1" applyFill="1" applyBorder="1"/>
    <xf numFmtId="4" fontId="15" fillId="0" borderId="0" xfId="0" applyNumberFormat="1" applyFont="1"/>
    <xf numFmtId="4" fontId="62" fillId="0" borderId="0" xfId="0" applyNumberFormat="1" applyFont="1" applyAlignment="1">
      <alignment wrapText="1"/>
    </xf>
    <xf numFmtId="4" fontId="56" fillId="12" borderId="50" xfId="0" applyNumberFormat="1" applyFont="1" applyFill="1" applyBorder="1"/>
    <xf numFmtId="4" fontId="56" fillId="11" borderId="19" xfId="0" applyNumberFormat="1" applyFont="1" applyFill="1" applyBorder="1"/>
    <xf numFmtId="4" fontId="56" fillId="11" borderId="50" xfId="0" applyNumberFormat="1" applyFont="1" applyFill="1" applyBorder="1"/>
    <xf numFmtId="4" fontId="5" fillId="11" borderId="0" xfId="0" applyNumberFormat="1" applyFont="1" applyFill="1" applyBorder="1" applyAlignment="1" applyProtection="1">
      <alignment horizontal="right" vertical="center"/>
    </xf>
    <xf numFmtId="0" fontId="64" fillId="11" borderId="24" xfId="9" applyFont="1" applyFill="1" applyBorder="1" applyAlignment="1">
      <alignment wrapText="1"/>
    </xf>
    <xf numFmtId="49" fontId="59" fillId="11" borderId="24" xfId="9" applyNumberFormat="1" applyFont="1" applyFill="1" applyBorder="1" applyAlignment="1">
      <alignment horizontal="center" shrinkToFit="1"/>
    </xf>
    <xf numFmtId="4" fontId="59" fillId="11" borderId="24" xfId="9" applyNumberFormat="1" applyFont="1" applyFill="1" applyBorder="1" applyAlignment="1">
      <alignment horizontal="right"/>
    </xf>
    <xf numFmtId="4" fontId="59" fillId="11" borderId="24" xfId="16" applyNumberFormat="1" applyFont="1" applyFill="1" applyBorder="1" applyAlignment="1">
      <alignment horizontal="right"/>
    </xf>
    <xf numFmtId="4" fontId="59" fillId="11" borderId="24" xfId="9" applyNumberFormat="1" applyFont="1" applyFill="1" applyBorder="1"/>
    <xf numFmtId="49" fontId="64" fillId="11" borderId="24" xfId="9" applyNumberFormat="1" applyFont="1" applyFill="1" applyBorder="1" applyAlignment="1">
      <alignment horizontal="left"/>
    </xf>
    <xf numFmtId="0" fontId="22" fillId="0" borderId="15" xfId="9" applyFont="1" applyFill="1" applyBorder="1" applyAlignment="1">
      <alignment wrapText="1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" fontId="56" fillId="18" borderId="19" xfId="0" applyNumberFormat="1" applyFont="1" applyFill="1" applyBorder="1"/>
    <xf numFmtId="4" fontId="56" fillId="18" borderId="50" xfId="0" applyNumberFormat="1" applyFont="1" applyFill="1" applyBorder="1"/>
    <xf numFmtId="49" fontId="18" fillId="11" borderId="0" xfId="0" applyNumberFormat="1" applyFont="1" applyFill="1" applyBorder="1" applyAlignment="1" applyProtection="1">
      <alignment horizontal="left" vertical="center" wrapText="1"/>
    </xf>
    <xf numFmtId="49" fontId="5" fillId="8" borderId="0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/>
    <xf numFmtId="4" fontId="61" fillId="0" borderId="0" xfId="0" applyNumberFormat="1" applyFont="1" applyFill="1"/>
    <xf numFmtId="4" fontId="56" fillId="0" borderId="19" xfId="0" applyNumberFormat="1" applyFont="1" applyFill="1" applyBorder="1"/>
    <xf numFmtId="4" fontId="56" fillId="0" borderId="0" xfId="0" applyNumberFormat="1" applyFont="1" applyFill="1"/>
    <xf numFmtId="4" fontId="0" fillId="0" borderId="19" xfId="0" applyNumberFormat="1" applyFill="1" applyBorder="1"/>
    <xf numFmtId="4" fontId="66" fillId="16" borderId="50" xfId="0" applyNumberFormat="1" applyFont="1" applyFill="1" applyBorder="1"/>
    <xf numFmtId="4" fontId="57" fillId="16" borderId="14" xfId="0" applyNumberFormat="1" applyFont="1" applyFill="1" applyBorder="1"/>
    <xf numFmtId="4" fontId="57" fillId="16" borderId="24" xfId="0" applyNumberFormat="1" applyFont="1" applyFill="1" applyBorder="1"/>
    <xf numFmtId="4" fontId="57" fillId="16" borderId="15" xfId="0" applyNumberFormat="1" applyFont="1" applyFill="1" applyBorder="1"/>
    <xf numFmtId="4" fontId="56" fillId="18" borderId="49" xfId="0" applyNumberFormat="1" applyFont="1" applyFill="1" applyBorder="1"/>
    <xf numFmtId="4" fontId="0" fillId="0" borderId="51" xfId="0" applyNumberFormat="1" applyBorder="1"/>
    <xf numFmtId="49" fontId="1" fillId="0" borderId="0" xfId="0" applyNumberFormat="1" applyFont="1" applyAlignment="1">
      <alignment vertical="center"/>
    </xf>
    <xf numFmtId="49" fontId="40" fillId="0" borderId="0" xfId="0" applyNumberFormat="1" applyFont="1" applyFill="1" applyAlignment="1">
      <alignment vertical="center"/>
    </xf>
    <xf numFmtId="49" fontId="40" fillId="0" borderId="0" xfId="0" applyNumberFormat="1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45" fillId="0" borderId="0" xfId="0" applyNumberFormat="1" applyFont="1" applyFill="1" applyAlignment="1">
      <alignment vertical="center"/>
    </xf>
    <xf numFmtId="49" fontId="45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7" fillId="0" borderId="0" xfId="0" applyNumberFormat="1" applyFont="1" applyFill="1" applyBorder="1"/>
    <xf numFmtId="49" fontId="50" fillId="0" borderId="0" xfId="0" applyNumberFormat="1" applyFont="1" applyFill="1" applyAlignment="1">
      <alignment vertical="center"/>
    </xf>
    <xf numFmtId="49" fontId="20" fillId="0" borderId="0" xfId="0" applyNumberFormat="1" applyFont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57" fillId="0" borderId="0" xfId="0" applyNumberFormat="1" applyFont="1" applyFill="1" applyAlignment="1">
      <alignment vertical="center"/>
    </xf>
    <xf numFmtId="49" fontId="17" fillId="7" borderId="0" xfId="0" applyNumberFormat="1" applyFont="1" applyFill="1" applyBorder="1"/>
    <xf numFmtId="49" fontId="57" fillId="11" borderId="0" xfId="0" applyNumberFormat="1" applyFont="1" applyFill="1" applyAlignment="1">
      <alignment horizontal="left" vertical="center" wrapText="1"/>
    </xf>
    <xf numFmtId="49" fontId="6" fillId="11" borderId="0" xfId="0" applyNumberFormat="1" applyFont="1" applyFill="1" applyBorder="1" applyAlignment="1" applyProtection="1">
      <alignment horizontal="left" vertical="center"/>
    </xf>
    <xf numFmtId="4" fontId="15" fillId="15" borderId="0" xfId="0" applyNumberFormat="1" applyFont="1" applyFill="1"/>
    <xf numFmtId="4" fontId="68" fillId="0" borderId="0" xfId="0" applyNumberFormat="1" applyFont="1"/>
    <xf numFmtId="37" fontId="71" fillId="0" borderId="0" xfId="0" applyNumberFormat="1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left" wrapText="1"/>
      <protection locked="0"/>
    </xf>
    <xf numFmtId="4" fontId="71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37" fontId="72" fillId="0" borderId="0" xfId="0" applyNumberFormat="1" applyFont="1" applyAlignment="1" applyProtection="1">
      <alignment horizontal="center"/>
      <protection locked="0"/>
    </xf>
    <xf numFmtId="0" fontId="72" fillId="0" borderId="0" xfId="0" applyFont="1" applyAlignment="1" applyProtection="1">
      <alignment horizontal="left" wrapText="1"/>
      <protection locked="0"/>
    </xf>
    <xf numFmtId="4" fontId="72" fillId="0" borderId="0" xfId="0" applyNumberFormat="1" applyFont="1" applyAlignment="1" applyProtection="1">
      <alignment horizontal="right"/>
      <protection locked="0"/>
    </xf>
    <xf numFmtId="37" fontId="73" fillId="0" borderId="54" xfId="0" applyNumberFormat="1" applyFont="1" applyBorder="1" applyAlignment="1" applyProtection="1">
      <alignment horizontal="center"/>
      <protection locked="0"/>
    </xf>
    <xf numFmtId="0" fontId="73" fillId="0" borderId="54" xfId="0" applyFont="1" applyBorder="1" applyAlignment="1" applyProtection="1">
      <alignment horizontal="left" wrapText="1"/>
      <protection locked="0"/>
    </xf>
    <xf numFmtId="4" fontId="73" fillId="0" borderId="54" xfId="0" applyNumberFormat="1" applyFont="1" applyBorder="1" applyAlignment="1" applyProtection="1">
      <alignment horizontal="right"/>
      <protection locked="0"/>
    </xf>
    <xf numFmtId="37" fontId="74" fillId="0" borderId="54" xfId="0" applyNumberFormat="1" applyFont="1" applyBorder="1" applyAlignment="1" applyProtection="1">
      <alignment horizontal="center"/>
      <protection locked="0"/>
    </xf>
    <xf numFmtId="0" fontId="74" fillId="0" borderId="54" xfId="0" applyFont="1" applyBorder="1" applyAlignment="1" applyProtection="1">
      <alignment horizontal="left" wrapText="1"/>
      <protection locked="0"/>
    </xf>
    <xf numFmtId="4" fontId="74" fillId="0" borderId="54" xfId="0" applyNumberFormat="1" applyFont="1" applyBorder="1" applyAlignment="1" applyProtection="1">
      <alignment horizontal="right"/>
      <protection locked="0"/>
    </xf>
    <xf numFmtId="49" fontId="15" fillId="19" borderId="0" xfId="0" applyNumberFormat="1" applyFont="1" applyFill="1" applyBorder="1" applyAlignment="1" applyProtection="1">
      <alignment horizontal="left" vertical="center" wrapText="1"/>
    </xf>
    <xf numFmtId="49" fontId="5" fillId="19" borderId="0" xfId="0" applyNumberFormat="1" applyFont="1" applyFill="1" applyBorder="1" applyAlignment="1" applyProtection="1">
      <alignment horizontal="left" vertical="center"/>
    </xf>
    <xf numFmtId="4" fontId="5" fillId="19" borderId="0" xfId="0" applyNumberFormat="1" applyFont="1" applyFill="1" applyBorder="1" applyAlignment="1" applyProtection="1">
      <alignment horizontal="right" vertical="center"/>
    </xf>
    <xf numFmtId="4" fontId="15" fillId="19" borderId="0" xfId="0" applyNumberFormat="1" applyFont="1" applyFill="1" applyBorder="1" applyAlignment="1" applyProtection="1">
      <alignment horizontal="right" vertical="center"/>
    </xf>
    <xf numFmtId="165" fontId="5" fillId="19" borderId="0" xfId="0" applyNumberFormat="1" applyFont="1" applyFill="1" applyBorder="1" applyAlignment="1" applyProtection="1">
      <alignment horizontal="right" vertical="center"/>
    </xf>
    <xf numFmtId="0" fontId="1" fillId="13" borderId="0" xfId="0" applyFont="1" applyFill="1" applyAlignment="1">
      <alignment vertical="center"/>
    </xf>
    <xf numFmtId="4" fontId="1" fillId="13" borderId="0" xfId="0" applyNumberFormat="1" applyFont="1" applyFill="1" applyAlignment="1">
      <alignment vertical="center"/>
    </xf>
    <xf numFmtId="0" fontId="40" fillId="13" borderId="0" xfId="0" applyFont="1" applyFill="1" applyAlignment="1">
      <alignment vertical="center"/>
    </xf>
    <xf numFmtId="10" fontId="51" fillId="11" borderId="1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33" xfId="0" applyNumberFormat="1" applyFont="1" applyFill="1" applyBorder="1" applyAlignment="1" applyProtection="1">
      <alignment horizontal="left" vertical="center"/>
    </xf>
    <xf numFmtId="49" fontId="12" fillId="0" borderId="34" xfId="0" applyNumberFormat="1" applyFont="1" applyFill="1" applyBorder="1" applyAlignment="1" applyProtection="1">
      <alignment horizontal="left" vertical="center"/>
    </xf>
    <xf numFmtId="0" fontId="12" fillId="0" borderId="35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49" fontId="11" fillId="6" borderId="36" xfId="0" applyNumberFormat="1" applyFont="1" applyFill="1" applyBorder="1" applyAlignment="1" applyProtection="1">
      <alignment horizontal="left" vertical="center"/>
    </xf>
    <xf numFmtId="0" fontId="11" fillId="6" borderId="37" xfId="0" applyNumberFormat="1" applyFont="1" applyFill="1" applyBorder="1" applyAlignment="1" applyProtection="1">
      <alignment horizontal="left" vertical="center"/>
    </xf>
    <xf numFmtId="49" fontId="12" fillId="0" borderId="38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27" xfId="0" applyNumberFormat="1" applyFont="1" applyFill="1" applyBorder="1" applyAlignment="1" applyProtection="1">
      <alignment horizontal="left" vertical="center"/>
    </xf>
    <xf numFmtId="49" fontId="11" fillId="0" borderId="36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49" fontId="12" fillId="0" borderId="36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49" fontId="9" fillId="0" borderId="37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13" fillId="0" borderId="36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1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49" fontId="1" fillId="0" borderId="19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14" fontId="1" fillId="0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39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14" fillId="15" borderId="13" xfId="0" applyNumberFormat="1" applyFont="1" applyFill="1" applyBorder="1" applyAlignment="1" applyProtection="1">
      <alignment horizontal="center" vertical="center" wrapText="1"/>
    </xf>
    <xf numFmtId="0" fontId="14" fillId="15" borderId="13" xfId="0" applyNumberFormat="1" applyFont="1" applyFill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 applyProtection="1">
      <alignment horizontal="left" vertical="center"/>
      <protection locked="0"/>
    </xf>
    <xf numFmtId="14" fontId="1" fillId="0" borderId="35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2" fillId="15" borderId="13" xfId="0" applyNumberFormat="1" applyFont="1" applyFill="1" applyBorder="1" applyAlignment="1" applyProtection="1">
      <alignment horizontal="center" vertical="center"/>
    </xf>
    <xf numFmtId="0" fontId="2" fillId="15" borderId="13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0" fontId="29" fillId="15" borderId="0" xfId="9" applyFont="1" applyFill="1" applyAlignment="1">
      <alignment horizontal="center" vertical="center"/>
    </xf>
    <xf numFmtId="0" fontId="27" fillId="0" borderId="44" xfId="9" applyFont="1" applyFill="1" applyBorder="1" applyAlignment="1">
      <alignment horizontal="center"/>
    </xf>
    <xf numFmtId="0" fontId="27" fillId="0" borderId="45" xfId="9" applyFont="1" applyFill="1" applyBorder="1" applyAlignment="1">
      <alignment horizontal="center"/>
    </xf>
    <xf numFmtId="49" fontId="27" fillId="0" borderId="46" xfId="9" applyNumberFormat="1" applyFont="1" applyFill="1" applyBorder="1" applyAlignment="1">
      <alignment horizontal="center"/>
    </xf>
    <xf numFmtId="0" fontId="27" fillId="0" borderId="47" xfId="9" applyFont="1" applyFill="1" applyBorder="1" applyAlignment="1">
      <alignment horizontal="center"/>
    </xf>
    <xf numFmtId="0" fontId="16" fillId="0" borderId="52" xfId="9" applyFont="1" applyFill="1" applyBorder="1" applyAlignment="1">
      <alignment horizontal="center"/>
    </xf>
    <xf numFmtId="0" fontId="16" fillId="0" borderId="23" xfId="9" applyFont="1" applyFill="1" applyBorder="1" applyAlignment="1">
      <alignment horizontal="center"/>
    </xf>
    <xf numFmtId="0" fontId="16" fillId="0" borderId="48" xfId="9" applyFont="1" applyFill="1" applyBorder="1" applyAlignment="1">
      <alignment horizontal="center"/>
    </xf>
    <xf numFmtId="0" fontId="16" fillId="0" borderId="53" xfId="9" applyFont="1" applyFill="1" applyBorder="1" applyAlignment="1">
      <alignment horizontal="center"/>
    </xf>
    <xf numFmtId="0" fontId="16" fillId="0" borderId="21" xfId="9" applyFont="1" applyFill="1" applyBorder="1" applyAlignment="1">
      <alignment horizontal="center"/>
    </xf>
    <xf numFmtId="0" fontId="16" fillId="0" borderId="22" xfId="9" applyFont="1" applyFill="1" applyBorder="1" applyAlignment="1">
      <alignment horizontal="center"/>
    </xf>
    <xf numFmtId="0" fontId="3" fillId="15" borderId="36" xfId="0" applyFont="1" applyFill="1" applyBorder="1" applyAlignment="1">
      <alignment horizontal="center" vertical="center"/>
    </xf>
    <xf numFmtId="0" fontId="3" fillId="15" borderId="37" xfId="0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4" fontId="70" fillId="18" borderId="36" xfId="0" applyNumberFormat="1" applyFont="1" applyFill="1" applyBorder="1" applyAlignment="1">
      <alignment horizontal="center" vertical="center"/>
    </xf>
    <xf numFmtId="4" fontId="70" fillId="18" borderId="37" xfId="0" applyNumberFormat="1" applyFont="1" applyFill="1" applyBorder="1" applyAlignment="1">
      <alignment horizontal="center" vertical="center"/>
    </xf>
    <xf numFmtId="4" fontId="70" fillId="18" borderId="20" xfId="0" applyNumberFormat="1" applyFont="1" applyFill="1" applyBorder="1" applyAlignment="1">
      <alignment horizontal="center" vertical="center"/>
    </xf>
    <xf numFmtId="4" fontId="67" fillId="0" borderId="1" xfId="0" applyNumberFormat="1" applyFont="1" applyFill="1" applyBorder="1" applyAlignment="1">
      <alignment horizontal="center" vertical="center"/>
    </xf>
    <xf numFmtId="4" fontId="67" fillId="0" borderId="36" xfId="0" applyNumberFormat="1" applyFont="1" applyFill="1" applyBorder="1" applyAlignment="1">
      <alignment horizontal="center" vertical="center"/>
    </xf>
    <xf numFmtId="4" fontId="68" fillId="0" borderId="0" xfId="0" applyNumberFormat="1" applyFont="1" applyAlignment="1">
      <alignment horizontal="left" vertical="center" wrapText="1"/>
    </xf>
    <xf numFmtId="4" fontId="56" fillId="17" borderId="0" xfId="0" applyNumberFormat="1" applyFont="1" applyFill="1" applyAlignment="1">
      <alignment horizontal="center" vertical="center" wrapText="1"/>
    </xf>
    <xf numFmtId="4" fontId="56" fillId="12" borderId="29" xfId="0" applyNumberFormat="1" applyFont="1" applyFill="1" applyBorder="1" applyAlignment="1">
      <alignment horizontal="center" vertical="center" wrapText="1"/>
    </xf>
    <xf numFmtId="4" fontId="56" fillId="12" borderId="30" xfId="0" applyNumberFormat="1" applyFont="1" applyFill="1" applyBorder="1" applyAlignment="1">
      <alignment horizontal="center" vertical="center" wrapText="1"/>
    </xf>
    <xf numFmtId="4" fontId="56" fillId="17" borderId="29" xfId="0" applyNumberFormat="1" applyFont="1" applyFill="1" applyBorder="1" applyAlignment="1">
      <alignment horizontal="center" vertical="center" wrapText="1"/>
    </xf>
    <xf numFmtId="4" fontId="56" fillId="17" borderId="30" xfId="0" applyNumberFormat="1" applyFont="1" applyFill="1" applyBorder="1" applyAlignment="1">
      <alignment horizontal="center" vertical="center" wrapText="1"/>
    </xf>
    <xf numFmtId="4" fontId="56" fillId="17" borderId="32" xfId="0" applyNumberFormat="1" applyFont="1" applyFill="1" applyBorder="1" applyAlignment="1">
      <alignment horizontal="center" vertical="center" wrapText="1"/>
    </xf>
    <xf numFmtId="4" fontId="56" fillId="14" borderId="0" xfId="0" applyNumberFormat="1" applyFont="1" applyFill="1" applyAlignment="1">
      <alignment horizontal="center" vertical="center" wrapText="1"/>
    </xf>
    <xf numFmtId="4" fontId="62" fillId="18" borderId="0" xfId="0" applyNumberFormat="1" applyFont="1" applyFill="1" applyAlignment="1">
      <alignment horizontal="center" vertical="center" wrapText="1"/>
    </xf>
    <xf numFmtId="4" fontId="56" fillId="18" borderId="29" xfId="0" applyNumberFormat="1" applyFont="1" applyFill="1" applyBorder="1" applyAlignment="1">
      <alignment horizontal="center" vertical="center" wrapText="1"/>
    </xf>
    <xf numFmtId="4" fontId="56" fillId="18" borderId="30" xfId="0" applyNumberFormat="1" applyFont="1" applyFill="1" applyBorder="1" applyAlignment="1">
      <alignment horizontal="center" vertical="center" wrapText="1"/>
    </xf>
    <xf numFmtId="4" fontId="56" fillId="18" borderId="32" xfId="0" applyNumberFormat="1" applyFont="1" applyFill="1" applyBorder="1" applyAlignment="1">
      <alignment horizontal="center" vertical="center" wrapText="1"/>
    </xf>
    <xf numFmtId="4" fontId="67" fillId="0" borderId="37" xfId="0" applyNumberFormat="1" applyFont="1" applyFill="1" applyBorder="1" applyAlignment="1">
      <alignment horizontal="center" vertical="center"/>
    </xf>
    <xf numFmtId="4" fontId="67" fillId="0" borderId="20" xfId="0" applyNumberFormat="1" applyFont="1" applyFill="1" applyBorder="1" applyAlignment="1">
      <alignment horizontal="center" vertical="center"/>
    </xf>
    <xf numFmtId="4" fontId="62" fillId="11" borderId="0" xfId="0" applyNumberFormat="1" applyFont="1" applyFill="1" applyAlignment="1">
      <alignment horizontal="center" vertical="center" wrapText="1"/>
    </xf>
    <xf numFmtId="4" fontId="56" fillId="11" borderId="29" xfId="0" applyNumberFormat="1" applyFont="1" applyFill="1" applyBorder="1" applyAlignment="1">
      <alignment horizontal="center" vertical="center" wrapText="1"/>
    </xf>
    <xf numFmtId="4" fontId="56" fillId="11" borderId="30" xfId="0" applyNumberFormat="1" applyFont="1" applyFill="1" applyBorder="1" applyAlignment="1">
      <alignment horizontal="center" vertical="center" wrapText="1"/>
    </xf>
    <xf numFmtId="4" fontId="56" fillId="11" borderId="32" xfId="0" applyNumberFormat="1" applyFont="1" applyFill="1" applyBorder="1" applyAlignment="1">
      <alignment horizontal="center" vertical="center" wrapText="1"/>
    </xf>
    <xf numFmtId="4" fontId="15" fillId="16" borderId="0" xfId="0" applyNumberFormat="1" applyFont="1" applyFill="1" applyAlignment="1">
      <alignment horizontal="center" wrapText="1"/>
    </xf>
    <xf numFmtId="4" fontId="0" fillId="16" borderId="0" xfId="0" applyNumberFormat="1" applyFill="1" applyAlignment="1">
      <alignment horizontal="center" wrapText="1"/>
    </xf>
    <xf numFmtId="4" fontId="56" fillId="12" borderId="0" xfId="0" applyNumberFormat="1" applyFont="1" applyFill="1" applyAlignment="1">
      <alignment horizontal="center" vertical="center" wrapText="1"/>
    </xf>
    <xf numFmtId="4" fontId="69" fillId="13" borderId="0" xfId="0" applyNumberFormat="1" applyFont="1" applyFill="1" applyAlignment="1">
      <alignment horizontal="center" vertical="center" wrapText="1"/>
    </xf>
    <xf numFmtId="4" fontId="15" fillId="11" borderId="0" xfId="0" applyNumberFormat="1" applyFont="1" applyFill="1" applyAlignment="1">
      <alignment horizontal="center" wrapText="1"/>
    </xf>
    <xf numFmtId="4" fontId="0" fillId="11" borderId="0" xfId="0" applyNumberFormat="1" applyFill="1" applyAlignment="1">
      <alignment horizontal="center" wrapText="1"/>
    </xf>
  </cellXfs>
  <cellStyles count="18">
    <cellStyle name="Čárka 2" xfId="1"/>
    <cellStyle name="měny 2" xfId="2"/>
    <cellStyle name="Normální" xfId="0" builtinId="0"/>
    <cellStyle name="normální 2" xfId="3"/>
    <cellStyle name="normální 3" xfId="4"/>
    <cellStyle name="Normální 4" xfId="5"/>
    <cellStyle name="normální 5" xfId="6"/>
    <cellStyle name="Normální 6" xfId="7"/>
    <cellStyle name="normální číslo" xfId="8"/>
    <cellStyle name="normální_POL.XLS" xfId="9"/>
    <cellStyle name="normální_POL.XLS 2" xfId="17"/>
    <cellStyle name="normální_POL.XLS 2 2" xfId="16"/>
    <cellStyle name="Skupina I" xfId="10"/>
    <cellStyle name="Skupina I nadpis" xfId="11"/>
    <cellStyle name="Skupina II" xfId="12"/>
    <cellStyle name="Skupina II nadpis" xfId="13"/>
    <cellStyle name="Skupina III" xfId="14"/>
    <cellStyle name="Skupina III nadpis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f\dftechnik\D-%20NAB&#205;DKY%20%20DFS\2013\093-13%20HMP,%20P9,%20Anderleho%20859,%20byt%2012\xxx%20-%20Anderleho%20859,%20byt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Zákazka"/>
      <sheetName val="zarizovaky ZTI"/>
      <sheetName val="dvere"/>
      <sheetName val="rekapitulace el."/>
      <sheetName val="Rozpis el."/>
      <sheetName val="pricky"/>
      <sheetName val="Kuchyň real."/>
      <sheetName val="Výkaz výměr"/>
      <sheetName val="T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G7">
            <v>2400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Normal="100" workbookViewId="0">
      <selection activeCell="K2" sqref="K2"/>
    </sheetView>
  </sheetViews>
  <sheetFormatPr defaultColWidth="11.5703125" defaultRowHeight="12.75"/>
  <cols>
    <col min="1" max="1" width="9.140625" customWidth="1"/>
    <col min="2" max="2" width="12.7109375" customWidth="1"/>
    <col min="3" max="3" width="22.85546875" customWidth="1"/>
    <col min="4" max="4" width="10.140625" customWidth="1"/>
    <col min="5" max="5" width="14" customWidth="1"/>
    <col min="6" max="6" width="22.85546875" customWidth="1"/>
    <col min="7" max="7" width="9.140625" customWidth="1"/>
    <col min="8" max="8" width="12.7109375" customWidth="1"/>
    <col min="9" max="9" width="22.85546875" customWidth="1"/>
    <col min="10" max="10" width="7.28515625" customWidth="1"/>
  </cols>
  <sheetData>
    <row r="1" spans="1:10" ht="73.150000000000006" customHeight="1">
      <c r="A1" s="44"/>
      <c r="B1" s="30"/>
      <c r="C1" s="362" t="s">
        <v>1091</v>
      </c>
      <c r="D1" s="363"/>
      <c r="E1" s="363"/>
      <c r="F1" s="363"/>
      <c r="G1" s="363"/>
      <c r="H1" s="363"/>
      <c r="I1" s="363"/>
    </row>
    <row r="2" spans="1:10">
      <c r="A2" s="364" t="s">
        <v>0</v>
      </c>
      <c r="B2" s="365"/>
      <c r="C2" s="366" t="s">
        <v>1089</v>
      </c>
      <c r="D2" s="366"/>
      <c r="E2" s="368" t="s">
        <v>283</v>
      </c>
      <c r="F2" s="368" t="s">
        <v>1053</v>
      </c>
      <c r="G2" s="365"/>
      <c r="H2" s="368" t="s">
        <v>368</v>
      </c>
      <c r="I2" s="369"/>
      <c r="J2" s="22"/>
    </row>
    <row r="3" spans="1:10" ht="12.75" customHeight="1">
      <c r="A3" s="348"/>
      <c r="B3" s="327"/>
      <c r="C3" s="367"/>
      <c r="D3" s="367"/>
      <c r="E3" s="327"/>
      <c r="F3" s="327"/>
      <c r="G3" s="327"/>
      <c r="H3" s="327"/>
      <c r="I3" s="356"/>
      <c r="J3" s="22"/>
    </row>
    <row r="4" spans="1:10">
      <c r="A4" s="347" t="s">
        <v>1</v>
      </c>
      <c r="B4" s="327"/>
      <c r="C4" s="360" t="s">
        <v>1090</v>
      </c>
      <c r="D4" s="361"/>
      <c r="E4" s="326" t="s">
        <v>284</v>
      </c>
      <c r="F4" s="326" t="s">
        <v>1094</v>
      </c>
      <c r="G4" s="326"/>
      <c r="H4" s="326" t="s">
        <v>368</v>
      </c>
      <c r="I4" s="355"/>
      <c r="J4" s="22"/>
    </row>
    <row r="5" spans="1:10" ht="12.75" customHeight="1">
      <c r="A5" s="348"/>
      <c r="B5" s="327"/>
      <c r="C5" s="361"/>
      <c r="D5" s="361"/>
      <c r="E5" s="327"/>
      <c r="F5" s="326"/>
      <c r="G5" s="326"/>
      <c r="H5" s="327"/>
      <c r="I5" s="356"/>
      <c r="J5" s="22"/>
    </row>
    <row r="6" spans="1:10">
      <c r="A6" s="347" t="s">
        <v>2</v>
      </c>
      <c r="B6" s="327"/>
      <c r="C6" s="349" t="s">
        <v>1052</v>
      </c>
      <c r="D6" s="350"/>
      <c r="E6" s="326" t="s">
        <v>285</v>
      </c>
      <c r="F6" s="326"/>
      <c r="G6" s="327"/>
      <c r="H6" s="326" t="s">
        <v>368</v>
      </c>
      <c r="I6" s="355"/>
      <c r="J6" s="22"/>
    </row>
    <row r="7" spans="1:10" ht="12.75" customHeight="1">
      <c r="A7" s="348"/>
      <c r="B7" s="327"/>
      <c r="C7" s="350"/>
      <c r="D7" s="350"/>
      <c r="E7" s="327"/>
      <c r="F7" s="327"/>
      <c r="G7" s="327"/>
      <c r="H7" s="327"/>
      <c r="I7" s="356"/>
      <c r="J7" s="22"/>
    </row>
    <row r="8" spans="1:10">
      <c r="A8" s="347" t="s">
        <v>268</v>
      </c>
      <c r="B8" s="327"/>
      <c r="C8" s="351"/>
      <c r="D8" s="327"/>
      <c r="E8" s="326" t="s">
        <v>269</v>
      </c>
      <c r="F8" s="327"/>
      <c r="G8" s="327"/>
      <c r="H8" s="359" t="s">
        <v>369</v>
      </c>
      <c r="I8" s="355"/>
      <c r="J8" s="22"/>
    </row>
    <row r="9" spans="1:10">
      <c r="A9" s="348"/>
      <c r="B9" s="327"/>
      <c r="C9" s="327"/>
      <c r="D9" s="327"/>
      <c r="E9" s="327"/>
      <c r="F9" s="327"/>
      <c r="G9" s="327"/>
      <c r="H9" s="327"/>
      <c r="I9" s="356"/>
      <c r="J9" s="22"/>
    </row>
    <row r="10" spans="1:10">
      <c r="A10" s="347" t="s">
        <v>3</v>
      </c>
      <c r="B10" s="327"/>
      <c r="C10" s="349" t="s">
        <v>1058</v>
      </c>
      <c r="D10" s="350"/>
      <c r="E10" s="326" t="s">
        <v>286</v>
      </c>
      <c r="F10" s="326"/>
      <c r="G10" s="327"/>
      <c r="H10" s="359" t="s">
        <v>370</v>
      </c>
      <c r="I10" s="357"/>
      <c r="J10" s="22"/>
    </row>
    <row r="11" spans="1:10">
      <c r="A11" s="352"/>
      <c r="B11" s="353"/>
      <c r="C11" s="354"/>
      <c r="D11" s="354"/>
      <c r="E11" s="353"/>
      <c r="F11" s="353"/>
      <c r="G11" s="353"/>
      <c r="H11" s="353"/>
      <c r="I11" s="358"/>
      <c r="J11" s="22"/>
    </row>
    <row r="12" spans="1:10" ht="18.75" customHeight="1">
      <c r="A12" s="343" t="s">
        <v>329</v>
      </c>
      <c r="B12" s="344"/>
      <c r="C12" s="344"/>
      <c r="D12" s="344"/>
      <c r="E12" s="344"/>
      <c r="F12" s="344"/>
      <c r="G12" s="344"/>
      <c r="H12" s="344"/>
      <c r="I12" s="344"/>
    </row>
    <row r="13" spans="1:10" ht="26.65" customHeight="1">
      <c r="A13" s="31" t="s">
        <v>330</v>
      </c>
      <c r="B13" s="345" t="s">
        <v>342</v>
      </c>
      <c r="C13" s="346"/>
      <c r="D13" s="31" t="s">
        <v>344</v>
      </c>
      <c r="E13" s="345" t="s">
        <v>353</v>
      </c>
      <c r="F13" s="346"/>
      <c r="G13" s="31" t="s">
        <v>354</v>
      </c>
      <c r="H13" s="345" t="s">
        <v>371</v>
      </c>
      <c r="I13" s="346"/>
      <c r="J13" s="22"/>
    </row>
    <row r="14" spans="1:10" ht="12.75" customHeight="1">
      <c r="A14" s="32" t="s">
        <v>331</v>
      </c>
      <c r="B14" s="36" t="s">
        <v>343</v>
      </c>
      <c r="C14" s="40">
        <f>'Stavební rozpočet'!AV12</f>
        <v>0</v>
      </c>
      <c r="D14" s="341" t="s">
        <v>345</v>
      </c>
      <c r="E14" s="342"/>
      <c r="F14" s="40">
        <v>0</v>
      </c>
      <c r="G14" s="341" t="s">
        <v>355</v>
      </c>
      <c r="H14" s="342"/>
      <c r="I14" s="155">
        <f t="shared" ref="I14:I19" si="0">ROUND($C$22*(J14),0)</f>
        <v>0</v>
      </c>
      <c r="J14" s="325">
        <v>0</v>
      </c>
    </row>
    <row r="15" spans="1:10" ht="12.75" customHeight="1">
      <c r="A15" s="33"/>
      <c r="B15" s="36" t="s">
        <v>287</v>
      </c>
      <c r="C15" s="40">
        <f>'Stavební rozpočet'!AV18</f>
        <v>0</v>
      </c>
      <c r="D15" s="341" t="s">
        <v>346</v>
      </c>
      <c r="E15" s="342"/>
      <c r="F15" s="40">
        <v>0</v>
      </c>
      <c r="G15" s="341" t="s">
        <v>356</v>
      </c>
      <c r="H15" s="342"/>
      <c r="I15" s="155">
        <f t="shared" si="0"/>
        <v>0</v>
      </c>
      <c r="J15" s="156"/>
    </row>
    <row r="16" spans="1:10" ht="12.75" customHeight="1">
      <c r="A16" s="32" t="s">
        <v>332</v>
      </c>
      <c r="B16" s="36" t="s">
        <v>343</v>
      </c>
      <c r="C16" s="40">
        <f>'Stavební rozpočet'!AV22</f>
        <v>0</v>
      </c>
      <c r="D16" s="341" t="s">
        <v>347</v>
      </c>
      <c r="E16" s="342"/>
      <c r="F16" s="40">
        <v>0</v>
      </c>
      <c r="G16" s="341" t="s">
        <v>357</v>
      </c>
      <c r="H16" s="342"/>
      <c r="I16" s="155">
        <f t="shared" si="0"/>
        <v>0</v>
      </c>
      <c r="J16" s="156"/>
    </row>
    <row r="17" spans="1:11" ht="12.75" customHeight="1">
      <c r="A17" s="33"/>
      <c r="B17" s="36" t="s">
        <v>287</v>
      </c>
      <c r="C17" s="40">
        <f>'Stavební rozpočet'!AV23</f>
        <v>0</v>
      </c>
      <c r="D17" s="341" t="s">
        <v>932</v>
      </c>
      <c r="E17" s="342"/>
      <c r="F17" s="40">
        <v>0</v>
      </c>
      <c r="G17" s="341" t="s">
        <v>358</v>
      </c>
      <c r="H17" s="342"/>
      <c r="I17" s="155">
        <f t="shared" si="0"/>
        <v>0</v>
      </c>
      <c r="J17" s="325">
        <v>0</v>
      </c>
    </row>
    <row r="18" spans="1:11" ht="12.75" customHeight="1">
      <c r="A18" s="32" t="s">
        <v>333</v>
      </c>
      <c r="B18" s="36" t="s">
        <v>343</v>
      </c>
      <c r="C18" s="40">
        <f>SUM('Stavební rozpočet'!U12:U312)</f>
        <v>0</v>
      </c>
      <c r="D18" s="341"/>
      <c r="E18" s="342"/>
      <c r="F18" s="41"/>
      <c r="G18" s="341" t="s">
        <v>359</v>
      </c>
      <c r="H18" s="342"/>
      <c r="I18" s="155">
        <f t="shared" si="0"/>
        <v>0</v>
      </c>
      <c r="J18" s="156"/>
    </row>
    <row r="19" spans="1:11" ht="12.75" customHeight="1">
      <c r="A19" s="33"/>
      <c r="B19" s="36" t="s">
        <v>287</v>
      </c>
      <c r="C19" s="40">
        <f>SUM('Stavební rozpočet'!V12:V312)</f>
        <v>0</v>
      </c>
      <c r="D19" s="341"/>
      <c r="E19" s="342"/>
      <c r="F19" s="41"/>
      <c r="G19" s="341" t="s">
        <v>360</v>
      </c>
      <c r="H19" s="342"/>
      <c r="I19" s="155">
        <f t="shared" si="0"/>
        <v>0</v>
      </c>
      <c r="J19" s="156"/>
    </row>
    <row r="20" spans="1:11" ht="12.75" customHeight="1">
      <c r="A20" s="339" t="s">
        <v>334</v>
      </c>
      <c r="B20" s="340"/>
      <c r="C20" s="40">
        <f>SUM('Stavební rozpočet'!W12:W312)</f>
        <v>0</v>
      </c>
      <c r="D20" s="341"/>
      <c r="E20" s="342"/>
      <c r="F20" s="41"/>
      <c r="G20" s="341"/>
      <c r="H20" s="342"/>
      <c r="I20" s="41"/>
      <c r="J20" s="22"/>
    </row>
    <row r="21" spans="1:11" ht="12.75" customHeight="1">
      <c r="A21" s="339" t="s">
        <v>335</v>
      </c>
      <c r="B21" s="340"/>
      <c r="C21" s="40">
        <f>'Stavební rozpočet'!J292</f>
        <v>0</v>
      </c>
      <c r="D21" s="341"/>
      <c r="E21" s="342"/>
      <c r="F21" s="41"/>
      <c r="G21" s="341"/>
      <c r="H21" s="342"/>
      <c r="I21" s="41"/>
      <c r="J21" s="22"/>
    </row>
    <row r="22" spans="1:11" ht="16.899999999999999" customHeight="1">
      <c r="A22" s="339" t="s">
        <v>336</v>
      </c>
      <c r="B22" s="340"/>
      <c r="C22" s="40">
        <f>SUM(C14:C21)</f>
        <v>0</v>
      </c>
      <c r="D22" s="339" t="s">
        <v>348</v>
      </c>
      <c r="E22" s="340"/>
      <c r="F22" s="40">
        <f>SUM(F14:F21)</f>
        <v>0</v>
      </c>
      <c r="G22" s="339" t="s">
        <v>361</v>
      </c>
      <c r="H22" s="340"/>
      <c r="I22" s="40">
        <f>SUM(I14:I21)</f>
        <v>0</v>
      </c>
      <c r="J22" s="22"/>
    </row>
    <row r="23" spans="1:11" ht="12.75" customHeight="1">
      <c r="A23" s="7"/>
      <c r="B23" s="7"/>
      <c r="C23" s="38"/>
      <c r="D23" s="339" t="s">
        <v>349</v>
      </c>
      <c r="E23" s="340"/>
      <c r="F23" s="40">
        <v>0</v>
      </c>
      <c r="G23" s="339" t="s">
        <v>362</v>
      </c>
      <c r="H23" s="340"/>
      <c r="I23" s="40">
        <v>0</v>
      </c>
      <c r="J23" s="22"/>
    </row>
    <row r="24" spans="1:11" ht="12.75" customHeight="1">
      <c r="D24" s="7"/>
      <c r="E24" s="7"/>
      <c r="F24" s="42"/>
      <c r="G24" s="339" t="s">
        <v>363</v>
      </c>
      <c r="H24" s="340"/>
      <c r="I24" s="40">
        <v>0</v>
      </c>
      <c r="J24" s="22"/>
    </row>
    <row r="25" spans="1:11" ht="12.75" customHeight="1">
      <c r="F25" s="42"/>
      <c r="G25" s="339" t="s">
        <v>364</v>
      </c>
      <c r="H25" s="340"/>
      <c r="I25" s="40">
        <v>0</v>
      </c>
      <c r="J25" s="22"/>
    </row>
    <row r="26" spans="1:11">
      <c r="A26" s="30"/>
      <c r="B26" s="30"/>
      <c r="C26" s="30"/>
      <c r="G26" s="7"/>
      <c r="H26" s="7"/>
      <c r="I26" s="7"/>
    </row>
    <row r="27" spans="1:11" ht="12.75" customHeight="1">
      <c r="A27" s="334" t="s">
        <v>337</v>
      </c>
      <c r="B27" s="335"/>
      <c r="C27" s="43">
        <f>SUM('Stavební rozpočet'!Y12:Y300)</f>
        <v>0</v>
      </c>
      <c r="D27" s="39"/>
      <c r="E27" s="30"/>
      <c r="F27" s="30"/>
      <c r="G27" s="30"/>
      <c r="H27" s="30"/>
      <c r="I27" s="30"/>
    </row>
    <row r="28" spans="1:11" ht="12.75" customHeight="1">
      <c r="A28" s="334" t="s">
        <v>338</v>
      </c>
      <c r="B28" s="335"/>
      <c r="C28" s="43">
        <f>SUM('Stavební rozpočet'!Z12:Z311)+(F22+I22+F23+I23+I24+I25)</f>
        <v>0</v>
      </c>
      <c r="D28" s="334" t="s">
        <v>350</v>
      </c>
      <c r="E28" s="335"/>
      <c r="F28" s="43">
        <f>ROUND(C28*(15/100),2)</f>
        <v>0</v>
      </c>
      <c r="G28" s="334" t="s">
        <v>365</v>
      </c>
      <c r="H28" s="335"/>
      <c r="I28" s="43">
        <f>SUM(C27:C29)</f>
        <v>0</v>
      </c>
      <c r="J28" s="22"/>
      <c r="K28" s="149"/>
    </row>
    <row r="29" spans="1:11" ht="12.75" customHeight="1">
      <c r="A29" s="334" t="s">
        <v>339</v>
      </c>
      <c r="B29" s="335"/>
      <c r="C29" s="43">
        <f>SUM('Stavební rozpočet'!AA12:AA300)</f>
        <v>0</v>
      </c>
      <c r="D29" s="334" t="s">
        <v>351</v>
      </c>
      <c r="E29" s="335"/>
      <c r="F29" s="43">
        <f>ROUND(C29*(21/100),2)</f>
        <v>0</v>
      </c>
      <c r="G29" s="334" t="s">
        <v>366</v>
      </c>
      <c r="H29" s="335"/>
      <c r="I29" s="43">
        <f>SUM(F28:F29)+I28</f>
        <v>0</v>
      </c>
      <c r="J29" s="22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</row>
    <row r="31" spans="1:11" ht="12.75" customHeight="1">
      <c r="A31" s="336" t="s">
        <v>340</v>
      </c>
      <c r="B31" s="337"/>
      <c r="C31" s="338"/>
      <c r="D31" s="336" t="s">
        <v>352</v>
      </c>
      <c r="E31" s="337"/>
      <c r="F31" s="338"/>
      <c r="G31" s="336" t="s">
        <v>367</v>
      </c>
      <c r="H31" s="337"/>
      <c r="I31" s="338"/>
      <c r="J31" s="23"/>
    </row>
    <row r="32" spans="1:11" ht="12.75" customHeight="1">
      <c r="A32" s="328"/>
      <c r="B32" s="329"/>
      <c r="C32" s="330"/>
      <c r="D32" s="328"/>
      <c r="E32" s="329"/>
      <c r="F32" s="330"/>
      <c r="G32" s="328"/>
      <c r="H32" s="329"/>
      <c r="I32" s="330"/>
      <c r="J32" s="23"/>
    </row>
    <row r="33" spans="1:10" ht="12.75" customHeight="1">
      <c r="A33" s="328"/>
      <c r="B33" s="329"/>
      <c r="C33" s="330"/>
      <c r="D33" s="328"/>
      <c r="E33" s="329"/>
      <c r="F33" s="330"/>
      <c r="G33" s="328"/>
      <c r="H33" s="329"/>
      <c r="I33" s="330"/>
      <c r="J33" s="23"/>
    </row>
    <row r="34" spans="1:10" ht="12.75" customHeight="1">
      <c r="A34" s="328"/>
      <c r="B34" s="329"/>
      <c r="C34" s="330"/>
      <c r="D34" s="328"/>
      <c r="E34" s="329"/>
      <c r="F34" s="330"/>
      <c r="G34" s="328"/>
      <c r="H34" s="329"/>
      <c r="I34" s="330"/>
      <c r="J34" s="23"/>
    </row>
    <row r="35" spans="1:10" ht="12.75" customHeight="1">
      <c r="A35" s="331" t="s">
        <v>341</v>
      </c>
      <c r="B35" s="332"/>
      <c r="C35" s="333"/>
      <c r="D35" s="331" t="s">
        <v>341</v>
      </c>
      <c r="E35" s="332"/>
      <c r="F35" s="333"/>
      <c r="G35" s="331" t="s">
        <v>341</v>
      </c>
      <c r="H35" s="332"/>
      <c r="I35" s="333"/>
      <c r="J35" s="23"/>
    </row>
    <row r="36" spans="1:10" ht="15" customHeight="1">
      <c r="A36" s="35" t="s">
        <v>99</v>
      </c>
      <c r="B36" s="37"/>
      <c r="C36" s="37"/>
      <c r="D36" s="37"/>
      <c r="E36" s="37"/>
      <c r="F36" s="37"/>
      <c r="G36" s="37"/>
      <c r="H36" s="37"/>
      <c r="I36" s="37"/>
    </row>
    <row r="37" spans="1:10" ht="409.6" hidden="1" customHeight="1">
      <c r="A37" s="326"/>
      <c r="B37" s="327"/>
      <c r="C37" s="327"/>
      <c r="D37" s="327"/>
      <c r="E37" s="327"/>
      <c r="F37" s="327"/>
      <c r="G37" s="327"/>
      <c r="H37" s="327"/>
      <c r="I37" s="327"/>
    </row>
  </sheetData>
  <sheetProtection algorithmName="SHA-512" hashValue="9/NJVvsi3xK76W0eA+xJqD4GWuMEVfAhIONwWLj+dsovtm+TfjuqzRDNB2LOH9Il1JkrrqVO0KHduudhYLLwVw==" saltValue="g79asV86U9RVfJJyjN1bqw==" spinCount="100000" sheet="1" objects="1" scenarios="1"/>
  <protectedRanges>
    <protectedRange sqref="F6:G7 I6:I7 F10:G11 I10:I11 J14 J17" name="Oblast1"/>
  </protectedRanges>
  <customSheetViews>
    <customSheetView guid="{0A42B198-9C9E-43A6-8871-1A4824290440}" fitToPage="1" hiddenRows="1">
      <selection activeCell="K12" sqref="K12"/>
      <pageMargins left="0.39370078740157483" right="0.39370078740157483" top="0.62992125984251968" bottom="0.35433070866141736" header="0.19685039370078741" footer="0.19685039370078741"/>
      <pageSetup paperSize="9" scale="96" orientation="landscape" r:id="rId1"/>
      <headerFooter alignWithMargins="0"/>
    </customSheetView>
  </customSheetViews>
  <mergeCells count="83">
    <mergeCell ref="A4:B5"/>
    <mergeCell ref="C4:D5"/>
    <mergeCell ref="E4:E5"/>
    <mergeCell ref="F4:G5"/>
    <mergeCell ref="C1:I1"/>
    <mergeCell ref="A2:B3"/>
    <mergeCell ref="C2:D3"/>
    <mergeCell ref="E2:E3"/>
    <mergeCell ref="F2:G3"/>
    <mergeCell ref="H2:H3"/>
    <mergeCell ref="I2:I3"/>
    <mergeCell ref="H4:H5"/>
    <mergeCell ref="I4:I5"/>
    <mergeCell ref="E6:E7"/>
    <mergeCell ref="F6:G7"/>
    <mergeCell ref="H6:H7"/>
    <mergeCell ref="I6:I7"/>
    <mergeCell ref="I10:I11"/>
    <mergeCell ref="E10:E11"/>
    <mergeCell ref="F10:G11"/>
    <mergeCell ref="H10:H11"/>
    <mergeCell ref="E8:E9"/>
    <mergeCell ref="F8:G9"/>
    <mergeCell ref="H8:H9"/>
    <mergeCell ref="I8:I9"/>
    <mergeCell ref="A8:B9"/>
    <mergeCell ref="A6:B7"/>
    <mergeCell ref="C6:D7"/>
    <mergeCell ref="C8:D9"/>
    <mergeCell ref="A10:B11"/>
    <mergeCell ref="C10:D11"/>
    <mergeCell ref="D14:E14"/>
    <mergeCell ref="G14:H14"/>
    <mergeCell ref="D15:E15"/>
    <mergeCell ref="G15:H15"/>
    <mergeCell ref="A12:I12"/>
    <mergeCell ref="B13:C13"/>
    <mergeCell ref="E13:F13"/>
    <mergeCell ref="H13:I13"/>
    <mergeCell ref="D18:E18"/>
    <mergeCell ref="G18:H18"/>
    <mergeCell ref="D19:E19"/>
    <mergeCell ref="G19:H19"/>
    <mergeCell ref="D16:E16"/>
    <mergeCell ref="G16:H16"/>
    <mergeCell ref="D17:E17"/>
    <mergeCell ref="G17:H17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honeticPr fontId="53" type="noConversion"/>
  <pageMargins left="0.39370078740157483" right="0.39370078740157483" top="0.62992125984251968" bottom="0.35433070866141736" header="0.19685039370078741" footer="0.19685039370078741"/>
  <pageSetup paperSize="9" scale="9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1"/>
  <sheetViews>
    <sheetView zoomScaleNormal="100" workbookViewId="0">
      <selection activeCell="AW2" sqref="AW2"/>
    </sheetView>
  </sheetViews>
  <sheetFormatPr defaultColWidth="11.5703125" defaultRowHeight="12.75"/>
  <cols>
    <col min="1" max="1" width="5.7109375" customWidth="1"/>
    <col min="2" max="2" width="3.28515625" customWidth="1"/>
    <col min="3" max="3" width="14.28515625" customWidth="1"/>
    <col min="4" max="4" width="62.42578125" customWidth="1"/>
    <col min="5" max="5" width="5.85546875" customWidth="1"/>
    <col min="6" max="6" width="8.42578125" customWidth="1"/>
    <col min="7" max="7" width="10.42578125" style="104" customWidth="1"/>
    <col min="8" max="8" width="10.42578125" customWidth="1"/>
    <col min="9" max="10" width="12.7109375" customWidth="1"/>
    <col min="11" max="11" width="7.7109375" style="178" customWidth="1"/>
    <col min="12" max="12" width="8.28515625" customWidth="1"/>
    <col min="13" max="13" width="11.5703125" hidden="1" customWidth="1"/>
    <col min="14" max="17" width="9.7109375" hidden="1" customWidth="1"/>
    <col min="18" max="18" width="11.42578125" hidden="1" customWidth="1"/>
    <col min="19" max="25" width="9.7109375" hidden="1" customWidth="1"/>
    <col min="26" max="26" width="11.7109375" hidden="1" customWidth="1"/>
    <col min="27" max="38" width="9.7109375" hidden="1" customWidth="1"/>
    <col min="39" max="39" width="10.85546875" hidden="1" customWidth="1"/>
    <col min="40" max="44" width="9.7109375" hidden="1" customWidth="1"/>
    <col min="45" max="45" width="9.7109375" style="196" hidden="1" customWidth="1"/>
    <col min="46" max="46" width="3.42578125" customWidth="1"/>
    <col min="47" max="47" width="0" style="285" hidden="1" customWidth="1"/>
    <col min="48" max="48" width="0" hidden="1" customWidth="1"/>
  </cols>
  <sheetData>
    <row r="1" spans="1:48" ht="33" customHeight="1">
      <c r="A1" s="382" t="s">
        <v>1092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48" ht="25.5" customHeight="1">
      <c r="A2" s="364" t="s">
        <v>0</v>
      </c>
      <c r="B2" s="365"/>
      <c r="C2" s="365"/>
      <c r="D2" s="366" t="s">
        <v>1089</v>
      </c>
      <c r="E2" s="384" t="s">
        <v>267</v>
      </c>
      <c r="F2" s="365"/>
      <c r="G2" s="384"/>
      <c r="H2" s="365"/>
      <c r="I2" s="368" t="s">
        <v>283</v>
      </c>
      <c r="J2" s="385" t="s">
        <v>1053</v>
      </c>
      <c r="K2" s="386"/>
      <c r="L2" s="386"/>
      <c r="M2" s="22"/>
    </row>
    <row r="3" spans="1:48" ht="4.1500000000000004" customHeight="1">
      <c r="A3" s="348"/>
      <c r="B3" s="327"/>
      <c r="C3" s="327"/>
      <c r="D3" s="367"/>
      <c r="E3" s="327"/>
      <c r="F3" s="327"/>
      <c r="G3" s="327"/>
      <c r="H3" s="327"/>
      <c r="I3" s="327"/>
      <c r="J3" s="381"/>
      <c r="K3" s="381"/>
      <c r="L3" s="381"/>
      <c r="M3" s="22"/>
    </row>
    <row r="4" spans="1:48">
      <c r="A4" s="347" t="s">
        <v>1</v>
      </c>
      <c r="B4" s="327"/>
      <c r="C4" s="327"/>
      <c r="D4" s="349" t="s">
        <v>1090</v>
      </c>
      <c r="E4" s="359" t="s">
        <v>268</v>
      </c>
      <c r="F4" s="327"/>
      <c r="G4" s="351"/>
      <c r="H4" s="327"/>
      <c r="I4" s="326" t="s">
        <v>284</v>
      </c>
      <c r="J4" s="326" t="s">
        <v>1094</v>
      </c>
      <c r="K4" s="327"/>
      <c r="L4" s="327"/>
      <c r="M4" s="22"/>
    </row>
    <row r="5" spans="1:48" ht="12.6" customHeight="1">
      <c r="A5" s="348"/>
      <c r="B5" s="327"/>
      <c r="C5" s="327"/>
      <c r="D5" s="350"/>
      <c r="E5" s="327"/>
      <c r="F5" s="327"/>
      <c r="G5" s="327"/>
      <c r="H5" s="327"/>
      <c r="I5" s="327"/>
      <c r="J5" s="327"/>
      <c r="K5" s="327"/>
      <c r="L5" s="327"/>
      <c r="M5" s="22"/>
    </row>
    <row r="6" spans="1:48">
      <c r="A6" s="347" t="s">
        <v>2</v>
      </c>
      <c r="B6" s="327"/>
      <c r="C6" s="327"/>
      <c r="D6" s="380" t="s">
        <v>1052</v>
      </c>
      <c r="E6" s="359" t="s">
        <v>269</v>
      </c>
      <c r="F6" s="327"/>
      <c r="G6" s="327"/>
      <c r="H6" s="327"/>
      <c r="I6" s="326" t="s">
        <v>285</v>
      </c>
      <c r="J6" s="349"/>
      <c r="K6" s="350"/>
      <c r="L6" s="350"/>
      <c r="M6" s="22"/>
    </row>
    <row r="7" spans="1:48" ht="12.6" customHeight="1">
      <c r="A7" s="348"/>
      <c r="B7" s="327"/>
      <c r="C7" s="327"/>
      <c r="D7" s="381"/>
      <c r="E7" s="327"/>
      <c r="F7" s="327"/>
      <c r="G7" s="327"/>
      <c r="H7" s="327"/>
      <c r="I7" s="327"/>
      <c r="J7" s="350"/>
      <c r="K7" s="350"/>
      <c r="L7" s="350"/>
      <c r="M7" s="22"/>
    </row>
    <row r="8" spans="1:48">
      <c r="A8" s="347" t="s">
        <v>3</v>
      </c>
      <c r="B8" s="327"/>
      <c r="C8" s="327"/>
      <c r="D8" s="349" t="s">
        <v>1058</v>
      </c>
      <c r="E8" s="359" t="s">
        <v>270</v>
      </c>
      <c r="F8" s="327"/>
      <c r="G8" s="378"/>
      <c r="H8" s="378"/>
      <c r="I8" s="326" t="s">
        <v>286</v>
      </c>
      <c r="J8" s="326"/>
      <c r="K8" s="327"/>
      <c r="L8" s="327"/>
      <c r="M8" s="22"/>
    </row>
    <row r="9" spans="1:48" ht="13.5" thickBot="1">
      <c r="A9" s="370"/>
      <c r="B9" s="371"/>
      <c r="C9" s="371"/>
      <c r="D9" s="372"/>
      <c r="E9" s="371"/>
      <c r="F9" s="371"/>
      <c r="G9" s="379"/>
      <c r="H9" s="379"/>
      <c r="I9" s="371"/>
      <c r="J9" s="371"/>
      <c r="K9" s="371"/>
      <c r="L9" s="371"/>
      <c r="M9" s="22"/>
    </row>
    <row r="10" spans="1:48" ht="25.5">
      <c r="A10" s="1" t="s">
        <v>4</v>
      </c>
      <c r="B10" s="9" t="s">
        <v>100</v>
      </c>
      <c r="C10" s="9" t="s">
        <v>101</v>
      </c>
      <c r="D10" s="9" t="s">
        <v>198</v>
      </c>
      <c r="E10" s="9" t="s">
        <v>271</v>
      </c>
      <c r="F10" s="157" t="s">
        <v>277</v>
      </c>
      <c r="G10" s="159" t="s">
        <v>278</v>
      </c>
      <c r="H10" s="375" t="s">
        <v>280</v>
      </c>
      <c r="I10" s="376"/>
      <c r="J10" s="377"/>
      <c r="K10" s="375" t="s">
        <v>289</v>
      </c>
      <c r="L10" s="377"/>
      <c r="M10" s="23"/>
      <c r="AS10" s="205" t="s">
        <v>900</v>
      </c>
    </row>
    <row r="11" spans="1:48" ht="13.5" thickBot="1">
      <c r="A11" s="2" t="s">
        <v>5</v>
      </c>
      <c r="B11" s="10" t="s">
        <v>5</v>
      </c>
      <c r="C11" s="10" t="s">
        <v>5</v>
      </c>
      <c r="D11" s="13" t="s">
        <v>199</v>
      </c>
      <c r="E11" s="10" t="s">
        <v>5</v>
      </c>
      <c r="F11" s="158" t="s">
        <v>5</v>
      </c>
      <c r="G11" s="160" t="s">
        <v>279</v>
      </c>
      <c r="H11" s="16" t="s">
        <v>281</v>
      </c>
      <c r="I11" s="17" t="s">
        <v>287</v>
      </c>
      <c r="J11" s="18" t="s">
        <v>288</v>
      </c>
      <c r="K11" s="161" t="s">
        <v>278</v>
      </c>
      <c r="L11" s="18" t="s">
        <v>288</v>
      </c>
      <c r="M11" s="23"/>
      <c r="O11" s="19" t="s">
        <v>291</v>
      </c>
      <c r="P11" s="19" t="s">
        <v>292</v>
      </c>
      <c r="Q11" s="19" t="s">
        <v>296</v>
      </c>
      <c r="R11" s="19" t="s">
        <v>297</v>
      </c>
      <c r="S11" s="19" t="s">
        <v>298</v>
      </c>
      <c r="T11" s="19" t="s">
        <v>299</v>
      </c>
      <c r="U11" s="19" t="s">
        <v>300</v>
      </c>
      <c r="V11" s="19" t="s">
        <v>301</v>
      </c>
      <c r="W11" s="19" t="s">
        <v>302</v>
      </c>
      <c r="AV11" s="322" t="s">
        <v>331</v>
      </c>
    </row>
    <row r="12" spans="1:48">
      <c r="A12" s="3"/>
      <c r="B12" s="11"/>
      <c r="C12" s="11" t="s">
        <v>38</v>
      </c>
      <c r="D12" s="102" t="s">
        <v>200</v>
      </c>
      <c r="E12" s="103"/>
      <c r="F12" s="103"/>
      <c r="G12" s="103"/>
      <c r="H12" s="26">
        <f>SUM(H13:H25)</f>
        <v>0</v>
      </c>
      <c r="I12" s="26">
        <f>SUM(I13:I25)</f>
        <v>0</v>
      </c>
      <c r="J12" s="26">
        <f>H12+I12</f>
        <v>0</v>
      </c>
      <c r="K12" s="162"/>
      <c r="L12" s="26">
        <f>SUM(L13:L25)</f>
        <v>9.6833953439999991</v>
      </c>
      <c r="O12" s="27">
        <f>IF(P12="PR",J12,SUM(N13:N25))</f>
        <v>0</v>
      </c>
      <c r="P12" s="19" t="s">
        <v>293</v>
      </c>
      <c r="Q12" s="27">
        <f>IF(P12="HS",H12,0)</f>
        <v>0</v>
      </c>
      <c r="R12" s="27">
        <f>IF(P12="HS",I12-O12,0)</f>
        <v>0</v>
      </c>
      <c r="S12" s="27">
        <f>IF(P12="PS",H12,0)</f>
        <v>0</v>
      </c>
      <c r="T12" s="27">
        <f>IF(P12="PS",I12-O12,0)</f>
        <v>0</v>
      </c>
      <c r="U12" s="27">
        <f>IF(P12="MP",H12,0)</f>
        <v>0</v>
      </c>
      <c r="V12" s="27">
        <f>IF(P12="MP",I12-O12,0)</f>
        <v>0</v>
      </c>
      <c r="W12" s="27">
        <f>IF(P12="OM",H12,0)</f>
        <v>0</v>
      </c>
      <c r="X12" s="19"/>
      <c r="AH12" s="27">
        <f>SUM(Y13:Y25)</f>
        <v>0</v>
      </c>
      <c r="AI12" s="27">
        <f>SUM(Z13:Z25)</f>
        <v>0</v>
      </c>
      <c r="AJ12" s="27">
        <f>SUM(AA13:AA25)</f>
        <v>0</v>
      </c>
      <c r="AV12" s="323">
        <f>H12+H26+H30+H66+H264+H276</f>
        <v>0</v>
      </c>
    </row>
    <row r="13" spans="1:48" s="133" customFormat="1" hidden="1">
      <c r="A13" s="109" t="s">
        <v>6</v>
      </c>
      <c r="B13" s="109"/>
      <c r="C13" s="4" t="s">
        <v>613</v>
      </c>
      <c r="D13" s="4" t="s">
        <v>744</v>
      </c>
      <c r="E13" s="109" t="s">
        <v>273</v>
      </c>
      <c r="F13" s="110">
        <v>0</v>
      </c>
      <c r="G13" s="110">
        <v>860</v>
      </c>
      <c r="H13" s="110">
        <f t="shared" ref="H13:H25" si="0">F13*AD13</f>
        <v>0</v>
      </c>
      <c r="I13" s="110">
        <f>J13-H13</f>
        <v>0</v>
      </c>
      <c r="J13" s="110">
        <f t="shared" ref="J13:J25" si="1">F13*G13</f>
        <v>0</v>
      </c>
      <c r="K13" s="163">
        <v>2.7519999999999999E-2</v>
      </c>
      <c r="L13" s="110">
        <f t="shared" ref="L13:L25" si="2">F13*K13</f>
        <v>0</v>
      </c>
      <c r="M13" s="111" t="s">
        <v>6</v>
      </c>
      <c r="N13" s="110">
        <f t="shared" ref="N13:N25" si="3">IF(M13="5",I13,0)</f>
        <v>0</v>
      </c>
      <c r="Y13" s="110">
        <f t="shared" ref="Y13:Y25" si="4">IF(AC13=0,J13,0)</f>
        <v>0</v>
      </c>
      <c r="Z13" s="110">
        <f t="shared" ref="Z13:Z25" si="5">IF(AC13=15,J13,0)</f>
        <v>0</v>
      </c>
      <c r="AA13" s="110">
        <f t="shared" ref="AA13:AA25" si="6">IF(AC13=21,J13,0)</f>
        <v>0</v>
      </c>
      <c r="AC13" s="113">
        <v>15</v>
      </c>
      <c r="AD13" s="113">
        <f>G13*0.81143570536829</f>
        <v>697.83470661672936</v>
      </c>
      <c r="AE13" s="113">
        <f>G13*(1-0.81143570536829)</f>
        <v>162.16529338327058</v>
      </c>
      <c r="AL13" s="113">
        <f t="shared" ref="AL13:AL25" si="7">F13*AD13</f>
        <v>0</v>
      </c>
      <c r="AM13" s="113">
        <f t="shared" ref="AM13:AM25" si="8">F13*AE13</f>
        <v>0</v>
      </c>
      <c r="AN13" s="114" t="s">
        <v>614</v>
      </c>
      <c r="AO13" s="114" t="s">
        <v>321</v>
      </c>
      <c r="AP13" s="134" t="s">
        <v>328</v>
      </c>
      <c r="AR13" s="104" t="s">
        <v>785</v>
      </c>
      <c r="AS13" s="197">
        <v>2.7519999999999999E-2</v>
      </c>
      <c r="AU13" s="286"/>
      <c r="AV13" s="324"/>
    </row>
    <row r="14" spans="1:48" s="133" customFormat="1" hidden="1">
      <c r="A14" s="109" t="s">
        <v>7</v>
      </c>
      <c r="B14" s="109"/>
      <c r="C14" s="109" t="s">
        <v>615</v>
      </c>
      <c r="D14" s="4" t="s">
        <v>745</v>
      </c>
      <c r="E14" s="109" t="s">
        <v>273</v>
      </c>
      <c r="F14" s="110">
        <v>0</v>
      </c>
      <c r="G14" s="110"/>
      <c r="H14" s="110">
        <f t="shared" si="0"/>
        <v>0</v>
      </c>
      <c r="I14" s="110">
        <f>J14-H14</f>
        <v>0</v>
      </c>
      <c r="J14" s="110">
        <f t="shared" si="1"/>
        <v>0</v>
      </c>
      <c r="K14" s="163">
        <v>3.2649999999999998E-2</v>
      </c>
      <c r="L14" s="110">
        <f t="shared" si="2"/>
        <v>0</v>
      </c>
      <c r="M14" s="111" t="s">
        <v>6</v>
      </c>
      <c r="N14" s="110">
        <f t="shared" si="3"/>
        <v>0</v>
      </c>
      <c r="Y14" s="110">
        <f t="shared" si="4"/>
        <v>0</v>
      </c>
      <c r="Z14" s="110">
        <f t="shared" si="5"/>
        <v>0</v>
      </c>
      <c r="AA14" s="110">
        <f t="shared" si="6"/>
        <v>0</v>
      </c>
      <c r="AC14" s="113">
        <v>15</v>
      </c>
      <c r="AD14" s="113">
        <f t="shared" ref="AD14:AD87" si="9">G14*0.81143570536829</f>
        <v>0</v>
      </c>
      <c r="AE14" s="113">
        <f t="shared" ref="AE14:AE87" si="10">G14*(1-0.81143570536829)</f>
        <v>0</v>
      </c>
      <c r="AL14" s="113">
        <f t="shared" si="7"/>
        <v>0</v>
      </c>
      <c r="AM14" s="113">
        <f t="shared" si="8"/>
        <v>0</v>
      </c>
      <c r="AN14" s="114" t="s">
        <v>614</v>
      </c>
      <c r="AO14" s="114" t="s">
        <v>321</v>
      </c>
      <c r="AP14" s="134" t="s">
        <v>328</v>
      </c>
      <c r="AR14" s="104" t="s">
        <v>785</v>
      </c>
      <c r="AS14" s="197">
        <v>3.2649999999999998E-2</v>
      </c>
      <c r="AU14" s="286"/>
      <c r="AV14" s="324"/>
    </row>
    <row r="15" spans="1:48" s="112" customFormat="1" hidden="1">
      <c r="A15" s="109" t="s">
        <v>8</v>
      </c>
      <c r="B15" s="109"/>
      <c r="C15" s="109" t="s">
        <v>616</v>
      </c>
      <c r="D15" s="4" t="s">
        <v>746</v>
      </c>
      <c r="E15" s="109" t="s">
        <v>273</v>
      </c>
      <c r="F15" s="110">
        <v>0</v>
      </c>
      <c r="G15" s="110"/>
      <c r="H15" s="110">
        <f t="shared" si="0"/>
        <v>0</v>
      </c>
      <c r="I15" s="110">
        <f>J15-H15</f>
        <v>0</v>
      </c>
      <c r="J15" s="110">
        <f t="shared" si="1"/>
        <v>0</v>
      </c>
      <c r="K15" s="163">
        <v>2.1409999999999998E-2</v>
      </c>
      <c r="L15" s="110">
        <f t="shared" si="2"/>
        <v>0</v>
      </c>
      <c r="M15" s="111" t="s">
        <v>8</v>
      </c>
      <c r="N15" s="110">
        <f t="shared" si="3"/>
        <v>0</v>
      </c>
      <c r="Y15" s="110">
        <f t="shared" si="4"/>
        <v>0</v>
      </c>
      <c r="Z15" s="110">
        <f t="shared" si="5"/>
        <v>0</v>
      </c>
      <c r="AA15" s="110">
        <f t="shared" si="6"/>
        <v>0</v>
      </c>
      <c r="AC15" s="113">
        <v>15</v>
      </c>
      <c r="AD15" s="113">
        <f t="shared" si="9"/>
        <v>0</v>
      </c>
      <c r="AE15" s="113">
        <f t="shared" si="10"/>
        <v>0</v>
      </c>
      <c r="AL15" s="113">
        <f t="shared" si="7"/>
        <v>0</v>
      </c>
      <c r="AM15" s="113">
        <f t="shared" si="8"/>
        <v>0</v>
      </c>
      <c r="AN15" s="114" t="s">
        <v>614</v>
      </c>
      <c r="AO15" s="114" t="s">
        <v>321</v>
      </c>
      <c r="AP15" s="115" t="s">
        <v>328</v>
      </c>
      <c r="AR15" s="104" t="s">
        <v>785</v>
      </c>
      <c r="AS15" s="197">
        <v>2.1409999999999998E-2</v>
      </c>
      <c r="AU15" s="287"/>
      <c r="AV15" s="324"/>
    </row>
    <row r="16" spans="1:48" s="104" customFormat="1" ht="38.25" hidden="1">
      <c r="A16" s="109" t="s">
        <v>9</v>
      </c>
      <c r="B16" s="4"/>
      <c r="C16" s="4" t="s">
        <v>905</v>
      </c>
      <c r="D16" s="269" t="s">
        <v>1046</v>
      </c>
      <c r="E16" s="4" t="s">
        <v>272</v>
      </c>
      <c r="F16" s="14">
        <v>0</v>
      </c>
      <c r="G16" s="14">
        <v>871</v>
      </c>
      <c r="H16" s="14">
        <f t="shared" si="0"/>
        <v>0</v>
      </c>
      <c r="I16" s="14">
        <f>J16-H16</f>
        <v>0</v>
      </c>
      <c r="J16" s="110">
        <f>F16*G16</f>
        <v>0</v>
      </c>
      <c r="K16" s="164">
        <v>1.8200000000000001E-2</v>
      </c>
      <c r="L16" s="14">
        <f>F16*K16</f>
        <v>0</v>
      </c>
      <c r="M16" s="20" t="s">
        <v>6</v>
      </c>
      <c r="N16" s="14">
        <f t="shared" si="3"/>
        <v>0</v>
      </c>
      <c r="Y16" s="110">
        <f t="shared" si="4"/>
        <v>0</v>
      </c>
      <c r="Z16" s="110">
        <f t="shared" si="5"/>
        <v>0</v>
      </c>
      <c r="AA16" s="110">
        <f t="shared" si="6"/>
        <v>0</v>
      </c>
      <c r="AC16" s="24">
        <v>15</v>
      </c>
      <c r="AD16" s="113">
        <f>G16*0.81143570536829</f>
        <v>706.76049937578057</v>
      </c>
      <c r="AE16" s="113">
        <f>G16*(1-0.81143570536829)</f>
        <v>164.2395006242194</v>
      </c>
      <c r="AL16" s="24">
        <f t="shared" si="7"/>
        <v>0</v>
      </c>
      <c r="AM16" s="24">
        <f t="shared" si="8"/>
        <v>0</v>
      </c>
      <c r="AN16" s="25" t="s">
        <v>303</v>
      </c>
      <c r="AO16" s="25" t="s">
        <v>321</v>
      </c>
      <c r="AP16" s="105" t="s">
        <v>328</v>
      </c>
      <c r="AR16" s="104" t="s">
        <v>785</v>
      </c>
      <c r="AS16" s="197">
        <v>4.6820000000000001E-2</v>
      </c>
      <c r="AU16" s="288"/>
      <c r="AV16" s="322"/>
    </row>
    <row r="17" spans="1:48" s="104" customFormat="1" hidden="1">
      <c r="A17" s="109" t="s">
        <v>10</v>
      </c>
      <c r="B17" s="4"/>
      <c r="C17" s="4" t="s">
        <v>102</v>
      </c>
      <c r="D17" s="146" t="s">
        <v>1113</v>
      </c>
      <c r="E17" s="4" t="s">
        <v>272</v>
      </c>
      <c r="F17" s="14">
        <v>0</v>
      </c>
      <c r="G17" s="14"/>
      <c r="H17" s="14">
        <f t="shared" si="0"/>
        <v>0</v>
      </c>
      <c r="I17" s="14">
        <f t="shared" ref="I17:I25" si="11">J17-H17</f>
        <v>0</v>
      </c>
      <c r="J17" s="110">
        <f t="shared" si="1"/>
        <v>0</v>
      </c>
      <c r="K17" s="164">
        <v>4.6820000000000001E-2</v>
      </c>
      <c r="L17" s="14">
        <f t="shared" si="2"/>
        <v>0</v>
      </c>
      <c r="M17" s="20" t="s">
        <v>6</v>
      </c>
      <c r="N17" s="14">
        <f t="shared" si="3"/>
        <v>0</v>
      </c>
      <c r="Y17" s="110">
        <f t="shared" si="4"/>
        <v>0</v>
      </c>
      <c r="Z17" s="110">
        <f t="shared" si="5"/>
        <v>0</v>
      </c>
      <c r="AA17" s="110">
        <f t="shared" si="6"/>
        <v>0</v>
      </c>
      <c r="AC17" s="24">
        <v>15</v>
      </c>
      <c r="AD17" s="113">
        <f t="shared" si="9"/>
        <v>0</v>
      </c>
      <c r="AE17" s="113">
        <f t="shared" si="10"/>
        <v>0</v>
      </c>
      <c r="AL17" s="24">
        <f t="shared" si="7"/>
        <v>0</v>
      </c>
      <c r="AM17" s="24">
        <f t="shared" si="8"/>
        <v>0</v>
      </c>
      <c r="AN17" s="25" t="s">
        <v>303</v>
      </c>
      <c r="AO17" s="25" t="s">
        <v>321</v>
      </c>
      <c r="AP17" s="105" t="s">
        <v>328</v>
      </c>
      <c r="AR17" s="104" t="s">
        <v>785</v>
      </c>
      <c r="AS17" s="197">
        <v>4.6820000000000001E-2</v>
      </c>
      <c r="AU17" s="288"/>
      <c r="AV17" s="322"/>
    </row>
    <row r="18" spans="1:48">
      <c r="A18" s="109" t="s">
        <v>11</v>
      </c>
      <c r="B18" s="4"/>
      <c r="C18" s="4" t="s">
        <v>102</v>
      </c>
      <c r="D18" s="146" t="s">
        <v>1181</v>
      </c>
      <c r="E18" s="4" t="s">
        <v>272</v>
      </c>
      <c r="F18" s="48">
        <f>F275</f>
        <v>102.11399999999998</v>
      </c>
      <c r="G18" s="14"/>
      <c r="H18" s="14">
        <f t="shared" si="0"/>
        <v>0</v>
      </c>
      <c r="I18" s="14">
        <f>J18-H18</f>
        <v>0</v>
      </c>
      <c r="J18" s="110">
        <f t="shared" si="1"/>
        <v>0</v>
      </c>
      <c r="K18" s="164">
        <v>4.6820000000000001E-2</v>
      </c>
      <c r="L18" s="14">
        <f t="shared" si="2"/>
        <v>4.7809774799999989</v>
      </c>
      <c r="M18" s="20" t="s">
        <v>6</v>
      </c>
      <c r="N18" s="14">
        <f t="shared" si="3"/>
        <v>0</v>
      </c>
      <c r="Y18" s="110">
        <f t="shared" si="4"/>
        <v>0</v>
      </c>
      <c r="Z18" s="110">
        <f t="shared" si="5"/>
        <v>0</v>
      </c>
      <c r="AA18" s="110">
        <f t="shared" si="6"/>
        <v>0</v>
      </c>
      <c r="AC18" s="24">
        <v>15</v>
      </c>
      <c r="AD18" s="113">
        <f t="shared" si="9"/>
        <v>0</v>
      </c>
      <c r="AE18" s="113">
        <f t="shared" si="10"/>
        <v>0</v>
      </c>
      <c r="AL18" s="24">
        <f t="shared" si="7"/>
        <v>0</v>
      </c>
      <c r="AM18" s="24">
        <f t="shared" si="8"/>
        <v>0</v>
      </c>
      <c r="AN18" s="25" t="s">
        <v>303</v>
      </c>
      <c r="AO18" s="25" t="s">
        <v>321</v>
      </c>
      <c r="AP18" s="19" t="s">
        <v>328</v>
      </c>
      <c r="AR18" s="104" t="s">
        <v>785</v>
      </c>
      <c r="AS18" s="197">
        <v>4.6820000000000001E-2</v>
      </c>
      <c r="AV18" s="323">
        <f>I12+I26+I30+I66+I264+I276</f>
        <v>0</v>
      </c>
    </row>
    <row r="19" spans="1:48">
      <c r="A19" s="109" t="s">
        <v>12</v>
      </c>
      <c r="B19" s="4"/>
      <c r="C19" s="4" t="s">
        <v>103</v>
      </c>
      <c r="D19" s="146" t="s">
        <v>991</v>
      </c>
      <c r="E19" s="4" t="s">
        <v>273</v>
      </c>
      <c r="F19" s="14">
        <f>6*5</f>
        <v>30</v>
      </c>
      <c r="G19" s="14"/>
      <c r="H19" s="14">
        <f t="shared" si="0"/>
        <v>0</v>
      </c>
      <c r="I19" s="14">
        <f t="shared" si="11"/>
        <v>0</v>
      </c>
      <c r="J19" s="110">
        <f t="shared" si="1"/>
        <v>0</v>
      </c>
      <c r="K19" s="164">
        <v>1.6000000000000001E-4</v>
      </c>
      <c r="L19" s="14">
        <f t="shared" si="2"/>
        <v>4.8000000000000004E-3</v>
      </c>
      <c r="M19" s="20" t="s">
        <v>6</v>
      </c>
      <c r="N19" s="14">
        <f t="shared" si="3"/>
        <v>0</v>
      </c>
      <c r="Y19" s="110">
        <f t="shared" si="4"/>
        <v>0</v>
      </c>
      <c r="Z19" s="110">
        <f t="shared" si="5"/>
        <v>0</v>
      </c>
      <c r="AA19" s="110">
        <f t="shared" si="6"/>
        <v>0</v>
      </c>
      <c r="AC19" s="24">
        <v>15</v>
      </c>
      <c r="AD19" s="113">
        <f t="shared" si="9"/>
        <v>0</v>
      </c>
      <c r="AE19" s="113">
        <f t="shared" si="10"/>
        <v>0</v>
      </c>
      <c r="AL19" s="24">
        <f t="shared" si="7"/>
        <v>0</v>
      </c>
      <c r="AM19" s="24">
        <f t="shared" si="8"/>
        <v>0</v>
      </c>
      <c r="AN19" s="25" t="s">
        <v>303</v>
      </c>
      <c r="AO19" s="25" t="s">
        <v>321</v>
      </c>
      <c r="AP19" s="19" t="s">
        <v>328</v>
      </c>
      <c r="AR19" s="104" t="s">
        <v>785</v>
      </c>
      <c r="AS19" s="197">
        <v>1.6000000000000001E-4</v>
      </c>
      <c r="AV19" s="322"/>
    </row>
    <row r="20" spans="1:48">
      <c r="A20" s="109" t="s">
        <v>13</v>
      </c>
      <c r="B20" s="5"/>
      <c r="C20" s="5" t="s">
        <v>104</v>
      </c>
      <c r="D20" s="5" t="s">
        <v>1114</v>
      </c>
      <c r="E20" s="5" t="s">
        <v>273</v>
      </c>
      <c r="F20" s="15">
        <f>F19</f>
        <v>30</v>
      </c>
      <c r="G20" s="15"/>
      <c r="H20" s="15">
        <f t="shared" si="0"/>
        <v>0</v>
      </c>
      <c r="I20" s="15">
        <f t="shared" si="11"/>
        <v>0</v>
      </c>
      <c r="J20" s="110">
        <f t="shared" si="1"/>
        <v>0</v>
      </c>
      <c r="K20" s="165">
        <v>0</v>
      </c>
      <c r="L20" s="15">
        <f t="shared" si="2"/>
        <v>0</v>
      </c>
      <c r="M20" s="21" t="s">
        <v>290</v>
      </c>
      <c r="N20" s="15">
        <f t="shared" si="3"/>
        <v>0</v>
      </c>
      <c r="Y20" s="110">
        <f t="shared" si="4"/>
        <v>0</v>
      </c>
      <c r="Z20" s="110">
        <f t="shared" si="5"/>
        <v>0</v>
      </c>
      <c r="AA20" s="110">
        <f t="shared" si="6"/>
        <v>0</v>
      </c>
      <c r="AC20" s="24">
        <v>15</v>
      </c>
      <c r="AD20" s="113">
        <f t="shared" si="9"/>
        <v>0</v>
      </c>
      <c r="AE20" s="113">
        <f t="shared" si="10"/>
        <v>0</v>
      </c>
      <c r="AL20" s="24">
        <f t="shared" si="7"/>
        <v>0</v>
      </c>
      <c r="AM20" s="24">
        <f t="shared" si="8"/>
        <v>0</v>
      </c>
      <c r="AN20" s="25" t="s">
        <v>303</v>
      </c>
      <c r="AO20" s="25" t="s">
        <v>321</v>
      </c>
      <c r="AP20" s="19" t="s">
        <v>328</v>
      </c>
      <c r="AR20" s="104" t="s">
        <v>785</v>
      </c>
      <c r="AS20" s="198">
        <v>0</v>
      </c>
      <c r="AV20" s="322" t="s">
        <v>332</v>
      </c>
    </row>
    <row r="21" spans="1:48" hidden="1">
      <c r="A21" s="109" t="s">
        <v>14</v>
      </c>
      <c r="B21" s="4"/>
      <c r="C21" s="4" t="s">
        <v>105</v>
      </c>
      <c r="D21" s="4" t="s">
        <v>201</v>
      </c>
      <c r="E21" s="4" t="s">
        <v>272</v>
      </c>
      <c r="F21" s="49">
        <v>0</v>
      </c>
      <c r="G21" s="14"/>
      <c r="H21" s="14">
        <f t="shared" si="0"/>
        <v>0</v>
      </c>
      <c r="I21" s="14">
        <f t="shared" si="11"/>
        <v>0</v>
      </c>
      <c r="J21" s="110">
        <f t="shared" si="1"/>
        <v>0</v>
      </c>
      <c r="K21" s="164">
        <v>5.3199999999999997E-2</v>
      </c>
      <c r="L21" s="14">
        <f t="shared" si="2"/>
        <v>0</v>
      </c>
      <c r="M21" s="20" t="s">
        <v>8</v>
      </c>
      <c r="N21" s="14">
        <f t="shared" si="3"/>
        <v>0</v>
      </c>
      <c r="Y21" s="110">
        <f t="shared" si="4"/>
        <v>0</v>
      </c>
      <c r="Z21" s="110">
        <f t="shared" si="5"/>
        <v>0</v>
      </c>
      <c r="AA21" s="110">
        <f t="shared" si="6"/>
        <v>0</v>
      </c>
      <c r="AC21" s="24">
        <v>15</v>
      </c>
      <c r="AD21" s="113">
        <f t="shared" si="9"/>
        <v>0</v>
      </c>
      <c r="AE21" s="113">
        <f t="shared" si="10"/>
        <v>0</v>
      </c>
      <c r="AL21" s="24">
        <f t="shared" si="7"/>
        <v>0</v>
      </c>
      <c r="AM21" s="24">
        <f t="shared" si="8"/>
        <v>0</v>
      </c>
      <c r="AN21" s="25" t="s">
        <v>303</v>
      </c>
      <c r="AO21" s="25" t="s">
        <v>321</v>
      </c>
      <c r="AP21" s="19" t="s">
        <v>328</v>
      </c>
      <c r="AR21" s="104" t="s">
        <v>785</v>
      </c>
      <c r="AS21" s="197">
        <v>5.3199999999999997E-2</v>
      </c>
      <c r="AV21" s="322"/>
    </row>
    <row r="22" spans="1:48" s="104" customFormat="1">
      <c r="A22" s="109" t="s">
        <v>15</v>
      </c>
      <c r="B22" s="4"/>
      <c r="C22" s="4" t="s">
        <v>591</v>
      </c>
      <c r="D22" s="4" t="s">
        <v>1104</v>
      </c>
      <c r="E22" s="4" t="s">
        <v>272</v>
      </c>
      <c r="F22" s="49">
        <f>(0.55*3.05*6*1.3)*5</f>
        <v>65.422499999999999</v>
      </c>
      <c r="G22" s="14"/>
      <c r="H22" s="14">
        <f t="shared" si="0"/>
        <v>0</v>
      </c>
      <c r="I22" s="14">
        <f>J22-H22</f>
        <v>0</v>
      </c>
      <c r="J22" s="110">
        <f t="shared" si="1"/>
        <v>0</v>
      </c>
      <c r="K22" s="164">
        <v>7.0599999999999996E-2</v>
      </c>
      <c r="L22" s="14">
        <f t="shared" si="2"/>
        <v>4.6188284999999993</v>
      </c>
      <c r="M22" s="20" t="s">
        <v>8</v>
      </c>
      <c r="N22" s="14">
        <f t="shared" si="3"/>
        <v>0</v>
      </c>
      <c r="Y22" s="110">
        <f t="shared" si="4"/>
        <v>0</v>
      </c>
      <c r="Z22" s="110">
        <f t="shared" si="5"/>
        <v>0</v>
      </c>
      <c r="AA22" s="110">
        <f t="shared" si="6"/>
        <v>0</v>
      </c>
      <c r="AC22" s="24">
        <v>15</v>
      </c>
      <c r="AD22" s="113">
        <f t="shared" si="9"/>
        <v>0</v>
      </c>
      <c r="AE22" s="113">
        <f t="shared" si="10"/>
        <v>0</v>
      </c>
      <c r="AL22" s="24">
        <f t="shared" si="7"/>
        <v>0</v>
      </c>
      <c r="AM22" s="24">
        <f t="shared" si="8"/>
        <v>0</v>
      </c>
      <c r="AN22" s="25" t="s">
        <v>303</v>
      </c>
      <c r="AO22" s="25" t="s">
        <v>321</v>
      </c>
      <c r="AP22" s="105" t="s">
        <v>328</v>
      </c>
      <c r="AR22" s="104" t="s">
        <v>785</v>
      </c>
      <c r="AS22" s="197">
        <v>7.0599999999999996E-2</v>
      </c>
      <c r="AU22" s="288"/>
      <c r="AV22" s="323">
        <f>H70+H174+H179+H215+H235+H252</f>
        <v>0</v>
      </c>
    </row>
    <row r="23" spans="1:48" ht="25.5">
      <c r="A23" s="109" t="s">
        <v>16</v>
      </c>
      <c r="B23" s="4"/>
      <c r="C23" s="4" t="s">
        <v>1107</v>
      </c>
      <c r="D23" s="135" t="s">
        <v>1106</v>
      </c>
      <c r="E23" s="4" t="s">
        <v>272</v>
      </c>
      <c r="F23" s="14">
        <f>(0.35*0.58*6*2*5)+(F281*0.15*0.1*1.2)</f>
        <v>16.273200000000003</v>
      </c>
      <c r="G23" s="14"/>
      <c r="H23" s="14">
        <f t="shared" si="0"/>
        <v>0</v>
      </c>
      <c r="I23" s="14">
        <f t="shared" si="11"/>
        <v>0</v>
      </c>
      <c r="J23" s="110">
        <f t="shared" si="1"/>
        <v>0</v>
      </c>
      <c r="K23" s="164">
        <v>3.2699999999999999E-3</v>
      </c>
      <c r="L23" s="14">
        <f t="shared" si="2"/>
        <v>5.3213364000000006E-2</v>
      </c>
      <c r="M23" s="20" t="s">
        <v>6</v>
      </c>
      <c r="N23" s="14">
        <f t="shared" si="3"/>
        <v>0</v>
      </c>
      <c r="Y23" s="110">
        <f t="shared" si="4"/>
        <v>0</v>
      </c>
      <c r="Z23" s="110">
        <f t="shared" si="5"/>
        <v>0</v>
      </c>
      <c r="AA23" s="110">
        <f t="shared" si="6"/>
        <v>0</v>
      </c>
      <c r="AC23" s="24">
        <v>15</v>
      </c>
      <c r="AD23" s="113">
        <f t="shared" si="9"/>
        <v>0</v>
      </c>
      <c r="AE23" s="113">
        <f t="shared" si="10"/>
        <v>0</v>
      </c>
      <c r="AL23" s="24">
        <f t="shared" si="7"/>
        <v>0</v>
      </c>
      <c r="AM23" s="24">
        <f t="shared" si="8"/>
        <v>0</v>
      </c>
      <c r="AN23" s="25" t="s">
        <v>303</v>
      </c>
      <c r="AO23" s="25" t="s">
        <v>321</v>
      </c>
      <c r="AP23" s="19" t="s">
        <v>328</v>
      </c>
      <c r="AR23" s="104" t="s">
        <v>785</v>
      </c>
      <c r="AS23" s="197">
        <v>3.2699999999999999E-3</v>
      </c>
      <c r="AV23" s="323">
        <f>I70+I174+I179+I215+I235+I252</f>
        <v>0</v>
      </c>
    </row>
    <row r="24" spans="1:48">
      <c r="A24" s="109" t="s">
        <v>17</v>
      </c>
      <c r="B24" s="4"/>
      <c r="C24" s="4" t="s">
        <v>106</v>
      </c>
      <c r="D24" s="4" t="s">
        <v>1105</v>
      </c>
      <c r="E24" s="4" t="s">
        <v>274</v>
      </c>
      <c r="F24" s="136">
        <f>3.05*2*1.2*6*5</f>
        <v>219.59999999999997</v>
      </c>
      <c r="G24" s="14"/>
      <c r="H24" s="14">
        <f t="shared" si="0"/>
        <v>0</v>
      </c>
      <c r="I24" s="14">
        <f t="shared" si="11"/>
        <v>0</v>
      </c>
      <c r="J24" s="110">
        <f t="shared" si="1"/>
        <v>0</v>
      </c>
      <c r="K24" s="164">
        <v>1.0200000000000001E-3</v>
      </c>
      <c r="L24" s="14">
        <f t="shared" si="2"/>
        <v>0.22399199999999997</v>
      </c>
      <c r="M24" s="20" t="s">
        <v>6</v>
      </c>
      <c r="N24" s="14">
        <f t="shared" si="3"/>
        <v>0</v>
      </c>
      <c r="Y24" s="110">
        <f t="shared" si="4"/>
        <v>0</v>
      </c>
      <c r="Z24" s="110">
        <f t="shared" si="5"/>
        <v>0</v>
      </c>
      <c r="AA24" s="110">
        <f t="shared" si="6"/>
        <v>0</v>
      </c>
      <c r="AC24" s="24">
        <v>15</v>
      </c>
      <c r="AD24" s="113">
        <f t="shared" si="9"/>
        <v>0</v>
      </c>
      <c r="AE24" s="113">
        <f t="shared" si="10"/>
        <v>0</v>
      </c>
      <c r="AL24" s="24">
        <f t="shared" si="7"/>
        <v>0</v>
      </c>
      <c r="AM24" s="24">
        <f t="shared" si="8"/>
        <v>0</v>
      </c>
      <c r="AN24" s="25" t="s">
        <v>303</v>
      </c>
      <c r="AO24" s="25" t="s">
        <v>321</v>
      </c>
      <c r="AP24" s="19" t="s">
        <v>328</v>
      </c>
      <c r="AR24" s="104" t="s">
        <v>785</v>
      </c>
      <c r="AS24" s="197">
        <v>1.0200000000000001E-3</v>
      </c>
    </row>
    <row r="25" spans="1:48">
      <c r="A25" s="109" t="s">
        <v>18</v>
      </c>
      <c r="B25" s="4"/>
      <c r="C25" s="4" t="s">
        <v>107</v>
      </c>
      <c r="D25" s="4" t="s">
        <v>202</v>
      </c>
      <c r="E25" s="4" t="s">
        <v>274</v>
      </c>
      <c r="F25" s="137">
        <f>0.55*1.2*6*5</f>
        <v>19.8</v>
      </c>
      <c r="G25" s="14"/>
      <c r="H25" s="14">
        <f t="shared" si="0"/>
        <v>0</v>
      </c>
      <c r="I25" s="14">
        <f t="shared" si="11"/>
        <v>0</v>
      </c>
      <c r="J25" s="110">
        <f t="shared" si="1"/>
        <v>0</v>
      </c>
      <c r="K25" s="164">
        <v>8.0000000000000007E-5</v>
      </c>
      <c r="L25" s="14">
        <f t="shared" si="2"/>
        <v>1.5840000000000001E-3</v>
      </c>
      <c r="M25" s="20" t="s">
        <v>6</v>
      </c>
      <c r="N25" s="14">
        <f t="shared" si="3"/>
        <v>0</v>
      </c>
      <c r="Y25" s="110">
        <f t="shared" si="4"/>
        <v>0</v>
      </c>
      <c r="Z25" s="110">
        <f t="shared" si="5"/>
        <v>0</v>
      </c>
      <c r="AA25" s="110">
        <f t="shared" si="6"/>
        <v>0</v>
      </c>
      <c r="AC25" s="24">
        <v>15</v>
      </c>
      <c r="AD25" s="113">
        <f t="shared" si="9"/>
        <v>0</v>
      </c>
      <c r="AE25" s="113">
        <f t="shared" si="10"/>
        <v>0</v>
      </c>
      <c r="AL25" s="24">
        <f t="shared" si="7"/>
        <v>0</v>
      </c>
      <c r="AM25" s="24">
        <f t="shared" si="8"/>
        <v>0</v>
      </c>
      <c r="AN25" s="25" t="s">
        <v>303</v>
      </c>
      <c r="AO25" s="25" t="s">
        <v>321</v>
      </c>
      <c r="AP25" s="19" t="s">
        <v>328</v>
      </c>
      <c r="AR25" s="104" t="s">
        <v>785</v>
      </c>
      <c r="AS25" s="197">
        <v>8.0000000000000007E-5</v>
      </c>
    </row>
    <row r="26" spans="1:48" s="112" customFormat="1">
      <c r="A26" s="116"/>
      <c r="B26" s="117"/>
      <c r="C26" s="117" t="s">
        <v>45</v>
      </c>
      <c r="D26" s="150" t="s">
        <v>617</v>
      </c>
      <c r="E26" s="151"/>
      <c r="F26" s="151"/>
      <c r="G26" s="101"/>
      <c r="H26" s="118">
        <f>SUM(H27:H29)</f>
        <v>0</v>
      </c>
      <c r="I26" s="118">
        <f>SUM(I27:I29)</f>
        <v>0</v>
      </c>
      <c r="J26" s="118">
        <f>H26+I26</f>
        <v>0</v>
      </c>
      <c r="K26" s="166"/>
      <c r="L26" s="118">
        <f>SUM(L27:L29)</f>
        <v>0.41481460799999992</v>
      </c>
      <c r="O26" s="118">
        <f>IF(P26="PR",J26,SUM(N27:N29))</f>
        <v>0</v>
      </c>
      <c r="P26" s="115" t="s">
        <v>293</v>
      </c>
      <c r="Q26" s="118">
        <f>IF(P26="HS",H26,0)</f>
        <v>0</v>
      </c>
      <c r="R26" s="118">
        <f>IF(P26="HS",I26-O26,0)</f>
        <v>0</v>
      </c>
      <c r="S26" s="118">
        <f>IF(P26="PS",H26,0)</f>
        <v>0</v>
      </c>
      <c r="T26" s="118">
        <f>IF(P26="PS",I26-O26,0)</f>
        <v>0</v>
      </c>
      <c r="U26" s="118">
        <f>IF(P26="MP",H26,0)</f>
        <v>0</v>
      </c>
      <c r="V26" s="118">
        <f>IF(P26="MP",I26-O26,0)</f>
        <v>0</v>
      </c>
      <c r="W26" s="118">
        <f>IF(P26="OM",H26,0)</f>
        <v>0</v>
      </c>
      <c r="X26" s="115"/>
      <c r="Y26" s="110"/>
      <c r="Z26" s="110"/>
      <c r="AA26" s="110"/>
      <c r="AD26" s="113"/>
      <c r="AE26" s="113"/>
      <c r="AH26" s="118">
        <f>SUM(Y27:Y29)</f>
        <v>0</v>
      </c>
      <c r="AI26" s="118">
        <f>SUM(Z27:Z29)</f>
        <v>0</v>
      </c>
      <c r="AJ26" s="118">
        <f>SUM(AA27:AA29)</f>
        <v>0</v>
      </c>
      <c r="AS26" s="199"/>
      <c r="AU26" s="287"/>
    </row>
    <row r="27" spans="1:48" s="133" customFormat="1" ht="25.5">
      <c r="A27" s="4" t="s">
        <v>19</v>
      </c>
      <c r="B27" s="109"/>
      <c r="C27" s="109" t="s">
        <v>618</v>
      </c>
      <c r="D27" s="135" t="s">
        <v>1109</v>
      </c>
      <c r="E27" s="109" t="s">
        <v>272</v>
      </c>
      <c r="F27" s="110">
        <f>F280</f>
        <v>36.676799999999993</v>
      </c>
      <c r="G27" s="14"/>
      <c r="H27" s="110">
        <f>F27*AD27</f>
        <v>0</v>
      </c>
      <c r="I27" s="110">
        <f>J27-H27</f>
        <v>0</v>
      </c>
      <c r="J27" s="110">
        <f>F27*G27</f>
        <v>0</v>
      </c>
      <c r="K27" s="163">
        <v>1.1310000000000001E-2</v>
      </c>
      <c r="L27" s="110">
        <f>F27*K27</f>
        <v>0.41481460799999992</v>
      </c>
      <c r="M27" s="111" t="s">
        <v>6</v>
      </c>
      <c r="N27" s="110">
        <f>IF(M27="5",I27,0)</f>
        <v>0</v>
      </c>
      <c r="Y27" s="110">
        <f>IF(AC27=0,J27,0)</f>
        <v>0</v>
      </c>
      <c r="Z27" s="110">
        <f>IF(AC27=15,J27,0)</f>
        <v>0</v>
      </c>
      <c r="AA27" s="110">
        <f>IF(AC27=21,J27,0)</f>
        <v>0</v>
      </c>
      <c r="AC27" s="113">
        <v>15</v>
      </c>
      <c r="AD27" s="113">
        <f t="shared" si="9"/>
        <v>0</v>
      </c>
      <c r="AE27" s="113">
        <f t="shared" si="10"/>
        <v>0</v>
      </c>
      <c r="AL27" s="113">
        <f>F27*AD27</f>
        <v>0</v>
      </c>
      <c r="AM27" s="113">
        <f>F27*AE27</f>
        <v>0</v>
      </c>
      <c r="AN27" s="114" t="s">
        <v>619</v>
      </c>
      <c r="AO27" s="114" t="s">
        <v>620</v>
      </c>
      <c r="AP27" s="134" t="s">
        <v>328</v>
      </c>
      <c r="AR27" s="104" t="s">
        <v>785</v>
      </c>
      <c r="AS27" s="197">
        <v>1.1310000000000001E-2</v>
      </c>
      <c r="AU27" s="286"/>
    </row>
    <row r="28" spans="1:48" ht="25.5">
      <c r="A28" s="4" t="s">
        <v>20</v>
      </c>
      <c r="B28" s="4"/>
      <c r="C28" s="4" t="s">
        <v>1110</v>
      </c>
      <c r="D28" s="135" t="s">
        <v>1111</v>
      </c>
      <c r="E28" s="4" t="s">
        <v>907</v>
      </c>
      <c r="F28" s="14">
        <f>12*4</f>
        <v>48</v>
      </c>
      <c r="G28" s="14"/>
      <c r="H28" s="14">
        <f>F28*AD28</f>
        <v>0</v>
      </c>
      <c r="I28" s="14">
        <f>J28-H28</f>
        <v>0</v>
      </c>
      <c r="J28" s="14">
        <f>F28*G28</f>
        <v>0</v>
      </c>
      <c r="K28" s="164">
        <v>0</v>
      </c>
      <c r="L28" s="14">
        <f>F28*K28</f>
        <v>0</v>
      </c>
      <c r="M28" s="20" t="s">
        <v>6</v>
      </c>
      <c r="N28" s="14">
        <f>IF(M28="5",I28,0)</f>
        <v>0</v>
      </c>
      <c r="Y28" s="110">
        <f>IF(AC28=0,J28,0)</f>
        <v>0</v>
      </c>
      <c r="Z28" s="110">
        <f>IF(AC28=15,J28,0)</f>
        <v>0</v>
      </c>
      <c r="AA28" s="110">
        <f>IF(AC28=21,J28,0)</f>
        <v>0</v>
      </c>
      <c r="AC28" s="24">
        <v>15</v>
      </c>
      <c r="AD28" s="113">
        <f t="shared" si="9"/>
        <v>0</v>
      </c>
      <c r="AE28" s="113">
        <f t="shared" si="10"/>
        <v>0</v>
      </c>
      <c r="AL28" s="24">
        <f>F28*AD28</f>
        <v>0</v>
      </c>
      <c r="AM28" s="24">
        <f>F28*AE28</f>
        <v>0</v>
      </c>
      <c r="AN28" s="25" t="s">
        <v>619</v>
      </c>
      <c r="AO28" s="25" t="s">
        <v>620</v>
      </c>
      <c r="AP28" s="19" t="s">
        <v>328</v>
      </c>
      <c r="AS28" s="197">
        <v>0</v>
      </c>
    </row>
    <row r="29" spans="1:48" s="133" customFormat="1" hidden="1">
      <c r="A29" s="4" t="s">
        <v>21</v>
      </c>
      <c r="B29" s="109"/>
      <c r="C29" s="109" t="s">
        <v>621</v>
      </c>
      <c r="D29" s="4" t="s">
        <v>1008</v>
      </c>
      <c r="E29" s="109" t="s">
        <v>272</v>
      </c>
      <c r="F29" s="110">
        <v>0</v>
      </c>
      <c r="G29" s="14"/>
      <c r="H29" s="110">
        <f>F29*AD29</f>
        <v>0</v>
      </c>
      <c r="I29" s="110">
        <f>J29-H29</f>
        <v>0</v>
      </c>
      <c r="J29" s="110">
        <f>F29*G29</f>
        <v>0</v>
      </c>
      <c r="K29" s="163">
        <v>0</v>
      </c>
      <c r="L29" s="110">
        <f>F29*K29</f>
        <v>0</v>
      </c>
      <c r="M29" s="111" t="s">
        <v>6</v>
      </c>
      <c r="N29" s="110">
        <f>IF(M29="5",I29,0)</f>
        <v>0</v>
      </c>
      <c r="Y29" s="110">
        <f>IF(AC29=0,J29,0)</f>
        <v>0</v>
      </c>
      <c r="Z29" s="110">
        <f>IF(AC29=15,J29,0)</f>
        <v>0</v>
      </c>
      <c r="AA29" s="110">
        <f>IF(AC29=21,J29,0)</f>
        <v>0</v>
      </c>
      <c r="AC29" s="113">
        <v>15</v>
      </c>
      <c r="AD29" s="113">
        <f t="shared" si="9"/>
        <v>0</v>
      </c>
      <c r="AE29" s="113">
        <f t="shared" si="10"/>
        <v>0</v>
      </c>
      <c r="AL29" s="113">
        <f>F29*AD29</f>
        <v>0</v>
      </c>
      <c r="AM29" s="113">
        <f>F29*AE29</f>
        <v>0</v>
      </c>
      <c r="AN29" s="114" t="s">
        <v>619</v>
      </c>
      <c r="AO29" s="114" t="s">
        <v>620</v>
      </c>
      <c r="AP29" s="134" t="s">
        <v>328</v>
      </c>
      <c r="AR29" s="104" t="s">
        <v>785</v>
      </c>
      <c r="AS29" s="197">
        <v>0</v>
      </c>
      <c r="AU29" s="286"/>
    </row>
    <row r="30" spans="1:48">
      <c r="A30" s="6"/>
      <c r="B30" s="12"/>
      <c r="C30" s="12" t="s">
        <v>62</v>
      </c>
      <c r="D30" s="100" t="s">
        <v>203</v>
      </c>
      <c r="E30" s="101"/>
      <c r="F30" s="101"/>
      <c r="G30" s="101"/>
      <c r="H30" s="27">
        <f>SUM(H31:H65)</f>
        <v>0</v>
      </c>
      <c r="I30" s="27">
        <f>SUM(I31:I65)</f>
        <v>0</v>
      </c>
      <c r="J30" s="27">
        <f>H30+I30</f>
        <v>0</v>
      </c>
      <c r="K30" s="167"/>
      <c r="L30" s="27">
        <f>SUM(L36:L65)</f>
        <v>4.2109389899999998</v>
      </c>
      <c r="O30" s="27">
        <f>IF(P30="PR",J30,SUM(N36:N65))</f>
        <v>0</v>
      </c>
      <c r="P30" s="19" t="s">
        <v>293</v>
      </c>
      <c r="Q30" s="27">
        <f>IF(P30="HS",H30,0)</f>
        <v>0</v>
      </c>
      <c r="R30" s="27">
        <f>IF(P30="HS",I30-O30,0)</f>
        <v>0</v>
      </c>
      <c r="S30" s="27">
        <f>IF(P30="PS",H30,0)</f>
        <v>0</v>
      </c>
      <c r="T30" s="27">
        <f>IF(P30="PS",I30-O30,0)</f>
        <v>0</v>
      </c>
      <c r="U30" s="27">
        <f>IF(P30="MP",H30,0)</f>
        <v>0</v>
      </c>
      <c r="V30" s="27">
        <f>IF(P30="MP",I30-O30,0)</f>
        <v>0</v>
      </c>
      <c r="W30" s="27">
        <f>IF(P30="OM",H30,0)</f>
        <v>0</v>
      </c>
      <c r="X30" s="19"/>
      <c r="Y30" s="110"/>
      <c r="Z30" s="110"/>
      <c r="AA30" s="110"/>
      <c r="AD30" s="113"/>
      <c r="AE30" s="113"/>
      <c r="AH30" s="27">
        <f>SUM(Y36:Y65)</f>
        <v>0</v>
      </c>
      <c r="AI30" s="27">
        <f>SUM(Z36:Z65)</f>
        <v>0</v>
      </c>
      <c r="AJ30" s="27">
        <f>SUM(AA36:AA65)</f>
        <v>0</v>
      </c>
      <c r="AS30" s="199"/>
    </row>
    <row r="31" spans="1:48" s="138" customFormat="1" hidden="1">
      <c r="A31" s="4" t="s">
        <v>1060</v>
      </c>
      <c r="B31" s="60"/>
      <c r="C31" s="4" t="s">
        <v>1065</v>
      </c>
      <c r="D31" s="4" t="s">
        <v>1070</v>
      </c>
      <c r="E31" s="60" t="s">
        <v>272</v>
      </c>
      <c r="F31" s="61">
        <f>Výměry!D60*0</f>
        <v>0</v>
      </c>
      <c r="G31" s="14"/>
      <c r="H31" s="61">
        <f t="shared" ref="H31:H34" si="12">F31*AD31</f>
        <v>0</v>
      </c>
      <c r="I31" s="61">
        <f t="shared" ref="I31:I34" si="13">J31-H31</f>
        <v>0</v>
      </c>
      <c r="J31" s="61">
        <f t="shared" ref="J31:J34" si="14">F31*G31</f>
        <v>0</v>
      </c>
      <c r="K31" s="168">
        <f t="shared" ref="K31:K34" si="15">K36/20</f>
        <v>1.9775E-5</v>
      </c>
      <c r="L31" s="61">
        <f t="shared" ref="L31:L34" si="16">F31*K31</f>
        <v>0</v>
      </c>
      <c r="M31" s="62" t="s">
        <v>6</v>
      </c>
      <c r="N31" s="61">
        <f t="shared" ref="N31:N34" si="17">IF(M31="5",I31,0)</f>
        <v>0</v>
      </c>
      <c r="Y31" s="110">
        <f t="shared" ref="Y31:Y34" si="18">IF(AC31=0,J31,0)</f>
        <v>0</v>
      </c>
      <c r="Z31" s="110">
        <f t="shared" ref="Z31:Z34" si="19">IF(AC31=15,J31,0)</f>
        <v>0</v>
      </c>
      <c r="AA31" s="110">
        <f t="shared" ref="AA31:AA34" si="20">IF(AC31=21,J31,0)</f>
        <v>0</v>
      </c>
      <c r="AC31" s="64">
        <v>15</v>
      </c>
      <c r="AD31" s="113">
        <f t="shared" ref="AD31:AD34" si="21">G31*0.81143570536829</f>
        <v>0</v>
      </c>
      <c r="AE31" s="113">
        <f t="shared" ref="AE31:AE34" si="22">G31*(1-0.81143570536829)</f>
        <v>0</v>
      </c>
      <c r="AL31" s="64">
        <f t="shared" ref="AL31:AL34" si="23">F31*AD31</f>
        <v>0</v>
      </c>
      <c r="AM31" s="64">
        <f t="shared" ref="AM31:AM34" si="24">F31*AE31</f>
        <v>0</v>
      </c>
      <c r="AN31" s="65" t="s">
        <v>304</v>
      </c>
      <c r="AO31" s="65" t="s">
        <v>322</v>
      </c>
      <c r="AP31" s="139" t="s">
        <v>328</v>
      </c>
      <c r="AR31" s="104" t="s">
        <v>785</v>
      </c>
      <c r="AS31" s="197">
        <f t="shared" ref="AS31:AS34" si="25">AS36/20</f>
        <v>1.9775E-5</v>
      </c>
      <c r="AU31" s="289"/>
    </row>
    <row r="32" spans="1:48" s="138" customFormat="1">
      <c r="A32" s="4" t="s">
        <v>1061</v>
      </c>
      <c r="B32" s="60"/>
      <c r="C32" s="4" t="s">
        <v>1066</v>
      </c>
      <c r="D32" s="4" t="s">
        <v>1122</v>
      </c>
      <c r="E32" s="60" t="s">
        <v>272</v>
      </c>
      <c r="F32" s="61">
        <f>Výměry!D60</f>
        <v>116.38799999999999</v>
      </c>
      <c r="G32" s="14"/>
      <c r="H32" s="61">
        <f t="shared" si="12"/>
        <v>0</v>
      </c>
      <c r="I32" s="61">
        <f t="shared" si="13"/>
        <v>0</v>
      </c>
      <c r="J32" s="61">
        <f t="shared" si="14"/>
        <v>0</v>
      </c>
      <c r="K32" s="168">
        <f t="shared" si="15"/>
        <v>3.9549999999999999E-5</v>
      </c>
      <c r="L32" s="61">
        <f t="shared" si="16"/>
        <v>4.6031453999999996E-3</v>
      </c>
      <c r="M32" s="62" t="s">
        <v>6</v>
      </c>
      <c r="N32" s="61">
        <f t="shared" si="17"/>
        <v>0</v>
      </c>
      <c r="Y32" s="110">
        <f t="shared" si="18"/>
        <v>0</v>
      </c>
      <c r="Z32" s="110">
        <f t="shared" si="19"/>
        <v>0</v>
      </c>
      <c r="AA32" s="110">
        <f t="shared" si="20"/>
        <v>0</v>
      </c>
      <c r="AC32" s="64">
        <v>15</v>
      </c>
      <c r="AD32" s="113">
        <f t="shared" si="21"/>
        <v>0</v>
      </c>
      <c r="AE32" s="113">
        <f t="shared" si="22"/>
        <v>0</v>
      </c>
      <c r="AL32" s="64">
        <f t="shared" si="23"/>
        <v>0</v>
      </c>
      <c r="AM32" s="64">
        <f t="shared" si="24"/>
        <v>0</v>
      </c>
      <c r="AN32" s="65" t="s">
        <v>304</v>
      </c>
      <c r="AO32" s="65" t="s">
        <v>322</v>
      </c>
      <c r="AP32" s="139" t="s">
        <v>328</v>
      </c>
      <c r="AR32" s="104" t="s">
        <v>785</v>
      </c>
      <c r="AS32" s="197">
        <f t="shared" si="25"/>
        <v>3.9549999999999999E-5</v>
      </c>
      <c r="AU32" s="289"/>
    </row>
    <row r="33" spans="1:47" s="138" customFormat="1" hidden="1">
      <c r="A33" s="4" t="s">
        <v>1062</v>
      </c>
      <c r="B33" s="60"/>
      <c r="C33" s="4" t="s">
        <v>1067</v>
      </c>
      <c r="D33" s="4"/>
      <c r="E33" s="60" t="s">
        <v>272</v>
      </c>
      <c r="F33" s="61">
        <v>0</v>
      </c>
      <c r="G33" s="14"/>
      <c r="H33" s="61">
        <f t="shared" si="12"/>
        <v>0</v>
      </c>
      <c r="I33" s="61">
        <f t="shared" si="13"/>
        <v>0</v>
      </c>
      <c r="J33" s="61">
        <f t="shared" si="14"/>
        <v>0</v>
      </c>
      <c r="K33" s="168">
        <f t="shared" si="15"/>
        <v>2.3730000000000002E-4</v>
      </c>
      <c r="L33" s="61">
        <f t="shared" si="16"/>
        <v>0</v>
      </c>
      <c r="M33" s="62" t="s">
        <v>6</v>
      </c>
      <c r="N33" s="61">
        <f t="shared" si="17"/>
        <v>0</v>
      </c>
      <c r="Y33" s="110">
        <f t="shared" si="18"/>
        <v>0</v>
      </c>
      <c r="Z33" s="110">
        <f t="shared" si="19"/>
        <v>0</v>
      </c>
      <c r="AA33" s="110">
        <f t="shared" si="20"/>
        <v>0</v>
      </c>
      <c r="AC33" s="64">
        <v>15</v>
      </c>
      <c r="AD33" s="113">
        <f t="shared" si="21"/>
        <v>0</v>
      </c>
      <c r="AE33" s="113">
        <f t="shared" si="22"/>
        <v>0</v>
      </c>
      <c r="AL33" s="64">
        <f t="shared" si="23"/>
        <v>0</v>
      </c>
      <c r="AM33" s="64">
        <f t="shared" si="24"/>
        <v>0</v>
      </c>
      <c r="AN33" s="65" t="s">
        <v>304</v>
      </c>
      <c r="AO33" s="65" t="s">
        <v>322</v>
      </c>
      <c r="AP33" s="139" t="s">
        <v>328</v>
      </c>
      <c r="AR33" s="104" t="s">
        <v>785</v>
      </c>
      <c r="AS33" s="197">
        <f t="shared" si="25"/>
        <v>2.3730000000000002E-4</v>
      </c>
      <c r="AU33" s="289"/>
    </row>
    <row r="34" spans="1:47" s="138" customFormat="1" hidden="1">
      <c r="A34" s="4" t="s">
        <v>1063</v>
      </c>
      <c r="B34" s="60"/>
      <c r="C34" s="4" t="s">
        <v>1068</v>
      </c>
      <c r="D34" s="4"/>
      <c r="E34" s="60" t="s">
        <v>272</v>
      </c>
      <c r="F34" s="61">
        <v>0</v>
      </c>
      <c r="G34" s="14"/>
      <c r="H34" s="61">
        <f t="shared" si="12"/>
        <v>0</v>
      </c>
      <c r="I34" s="61">
        <f t="shared" si="13"/>
        <v>0</v>
      </c>
      <c r="J34" s="61">
        <f t="shared" si="14"/>
        <v>0</v>
      </c>
      <c r="K34" s="168">
        <f t="shared" si="15"/>
        <v>1.9775000000000001E-4</v>
      </c>
      <c r="L34" s="61">
        <f t="shared" si="16"/>
        <v>0</v>
      </c>
      <c r="M34" s="62" t="s">
        <v>6</v>
      </c>
      <c r="N34" s="61">
        <f t="shared" si="17"/>
        <v>0</v>
      </c>
      <c r="Y34" s="110">
        <f t="shared" si="18"/>
        <v>0</v>
      </c>
      <c r="Z34" s="110">
        <f t="shared" si="19"/>
        <v>0</v>
      </c>
      <c r="AA34" s="110">
        <f t="shared" si="20"/>
        <v>0</v>
      </c>
      <c r="AC34" s="64">
        <v>15</v>
      </c>
      <c r="AD34" s="113">
        <f t="shared" si="21"/>
        <v>0</v>
      </c>
      <c r="AE34" s="113">
        <f t="shared" si="22"/>
        <v>0</v>
      </c>
      <c r="AL34" s="64">
        <f t="shared" si="23"/>
        <v>0</v>
      </c>
      <c r="AM34" s="64">
        <f t="shared" si="24"/>
        <v>0</v>
      </c>
      <c r="AN34" s="65" t="s">
        <v>304</v>
      </c>
      <c r="AO34" s="65" t="s">
        <v>322</v>
      </c>
      <c r="AP34" s="139" t="s">
        <v>328</v>
      </c>
      <c r="AR34" s="104" t="s">
        <v>785</v>
      </c>
      <c r="AS34" s="197">
        <f t="shared" si="25"/>
        <v>1.9775000000000001E-4</v>
      </c>
      <c r="AU34" s="289"/>
    </row>
    <row r="35" spans="1:47" s="138" customFormat="1" hidden="1">
      <c r="A35" s="4" t="s">
        <v>1064</v>
      </c>
      <c r="B35" s="60"/>
      <c r="C35" s="4" t="s">
        <v>1069</v>
      </c>
      <c r="D35" s="4"/>
      <c r="E35" s="60" t="s">
        <v>272</v>
      </c>
      <c r="F35" s="61">
        <v>0</v>
      </c>
      <c r="G35" s="14"/>
      <c r="H35" s="61">
        <f t="shared" ref="H35" si="26">F35*AD35</f>
        <v>0</v>
      </c>
      <c r="I35" s="61">
        <f t="shared" ref="I35" si="27">J35-H35</f>
        <v>0</v>
      </c>
      <c r="J35" s="61">
        <f t="shared" ref="J35" si="28">F35*G35</f>
        <v>0</v>
      </c>
      <c r="K35" s="168">
        <f>K40/20</f>
        <v>3.9550000000000002E-4</v>
      </c>
      <c r="L35" s="61">
        <f t="shared" ref="L35" si="29">F35*K35</f>
        <v>0</v>
      </c>
      <c r="M35" s="62" t="s">
        <v>6</v>
      </c>
      <c r="N35" s="61">
        <f t="shared" ref="N35" si="30">IF(M35="5",I35,0)</f>
        <v>0</v>
      </c>
      <c r="Y35" s="110">
        <f t="shared" ref="Y35" si="31">IF(AC35=0,J35,0)</f>
        <v>0</v>
      </c>
      <c r="Z35" s="110">
        <f t="shared" ref="Z35" si="32">IF(AC35=15,J35,0)</f>
        <v>0</v>
      </c>
      <c r="AA35" s="110">
        <f t="shared" ref="AA35" si="33">IF(AC35=21,J35,0)</f>
        <v>0</v>
      </c>
      <c r="AC35" s="64">
        <v>15</v>
      </c>
      <c r="AD35" s="113">
        <f t="shared" ref="AD35" si="34">G35*0.81143570536829</f>
        <v>0</v>
      </c>
      <c r="AE35" s="113">
        <f t="shared" ref="AE35" si="35">G35*(1-0.81143570536829)</f>
        <v>0</v>
      </c>
      <c r="AL35" s="64">
        <f t="shared" ref="AL35" si="36">F35*AD35</f>
        <v>0</v>
      </c>
      <c r="AM35" s="64">
        <f t="shared" ref="AM35" si="37">F35*AE35</f>
        <v>0</v>
      </c>
      <c r="AN35" s="65" t="s">
        <v>304</v>
      </c>
      <c r="AO35" s="65" t="s">
        <v>322</v>
      </c>
      <c r="AP35" s="139" t="s">
        <v>328</v>
      </c>
      <c r="AR35" s="104" t="s">
        <v>785</v>
      </c>
      <c r="AS35" s="197">
        <f>AS40/20</f>
        <v>3.9550000000000002E-4</v>
      </c>
      <c r="AU35" s="289"/>
    </row>
    <row r="36" spans="1:47" s="138" customFormat="1" hidden="1">
      <c r="A36" s="4" t="s">
        <v>22</v>
      </c>
      <c r="B36" s="60"/>
      <c r="C36" s="4" t="s">
        <v>602</v>
      </c>
      <c r="D36" s="4" t="s">
        <v>1000</v>
      </c>
      <c r="E36" s="60" t="s">
        <v>272</v>
      </c>
      <c r="F36" s="61">
        <v>0</v>
      </c>
      <c r="G36" s="14"/>
      <c r="H36" s="61">
        <f t="shared" ref="H36:H58" si="38">F36*AD36</f>
        <v>0</v>
      </c>
      <c r="I36" s="61">
        <f t="shared" ref="I36:I49" si="39">J36-H36</f>
        <v>0</v>
      </c>
      <c r="J36" s="61">
        <f t="shared" ref="J36:J65" si="40">F36*G36</f>
        <v>0</v>
      </c>
      <c r="K36" s="168">
        <f>K41/20</f>
        <v>3.9550000000000002E-4</v>
      </c>
      <c r="L36" s="61">
        <f t="shared" ref="L36:L58" si="41">F36*K36</f>
        <v>0</v>
      </c>
      <c r="M36" s="62" t="s">
        <v>6</v>
      </c>
      <c r="N36" s="61">
        <f t="shared" ref="N36:N65" si="42">IF(M36="5",I36,0)</f>
        <v>0</v>
      </c>
      <c r="Y36" s="110">
        <f t="shared" ref="Y36:Y65" si="43">IF(AC36=0,J36,0)</f>
        <v>0</v>
      </c>
      <c r="Z36" s="110">
        <f t="shared" ref="Z36:Z65" si="44">IF(AC36=15,J36,0)</f>
        <v>0</v>
      </c>
      <c r="AA36" s="110">
        <f t="shared" ref="AA36:AA65" si="45">IF(AC36=21,J36,0)</f>
        <v>0</v>
      </c>
      <c r="AC36" s="64">
        <v>15</v>
      </c>
      <c r="AD36" s="113">
        <f t="shared" si="9"/>
        <v>0</v>
      </c>
      <c r="AE36" s="113">
        <f t="shared" si="10"/>
        <v>0</v>
      </c>
      <c r="AL36" s="64">
        <f t="shared" ref="AL36:AL65" si="46">F36*AD36</f>
        <v>0</v>
      </c>
      <c r="AM36" s="64">
        <f t="shared" ref="AM36:AM65" si="47">F36*AE36</f>
        <v>0</v>
      </c>
      <c r="AN36" s="65" t="s">
        <v>304</v>
      </c>
      <c r="AO36" s="65" t="s">
        <v>322</v>
      </c>
      <c r="AP36" s="139" t="s">
        <v>328</v>
      </c>
      <c r="AR36" s="104" t="s">
        <v>785</v>
      </c>
      <c r="AS36" s="197">
        <f>AS41/20</f>
        <v>3.9550000000000002E-4</v>
      </c>
      <c r="AU36" s="289"/>
    </row>
    <row r="37" spans="1:47" s="138" customFormat="1" hidden="1">
      <c r="A37" s="4" t="s">
        <v>23</v>
      </c>
      <c r="B37" s="60"/>
      <c r="C37" s="4" t="s">
        <v>603</v>
      </c>
      <c r="D37" s="4" t="s">
        <v>1001</v>
      </c>
      <c r="E37" s="60" t="s">
        <v>272</v>
      </c>
      <c r="F37" s="61">
        <v>0</v>
      </c>
      <c r="G37" s="14"/>
      <c r="H37" s="61">
        <f t="shared" si="38"/>
        <v>0</v>
      </c>
      <c r="I37" s="61">
        <f t="shared" si="39"/>
        <v>0</v>
      </c>
      <c r="J37" s="61">
        <f t="shared" si="40"/>
        <v>0</v>
      </c>
      <c r="K37" s="168">
        <f>K36*2</f>
        <v>7.9100000000000004E-4</v>
      </c>
      <c r="L37" s="61">
        <f t="shared" si="41"/>
        <v>0</v>
      </c>
      <c r="M37" s="62" t="s">
        <v>6</v>
      </c>
      <c r="N37" s="61">
        <f t="shared" si="42"/>
        <v>0</v>
      </c>
      <c r="Y37" s="110">
        <f t="shared" si="43"/>
        <v>0</v>
      </c>
      <c r="Z37" s="110">
        <f t="shared" si="44"/>
        <v>0</v>
      </c>
      <c r="AA37" s="110">
        <f t="shared" si="45"/>
        <v>0</v>
      </c>
      <c r="AC37" s="64">
        <v>15</v>
      </c>
      <c r="AD37" s="113">
        <f t="shared" si="9"/>
        <v>0</v>
      </c>
      <c r="AE37" s="113">
        <f t="shared" si="10"/>
        <v>0</v>
      </c>
      <c r="AL37" s="64">
        <f t="shared" si="46"/>
        <v>0</v>
      </c>
      <c r="AM37" s="64">
        <f t="shared" si="47"/>
        <v>0</v>
      </c>
      <c r="AN37" s="65" t="s">
        <v>304</v>
      </c>
      <c r="AO37" s="65" t="s">
        <v>322</v>
      </c>
      <c r="AP37" s="139" t="s">
        <v>328</v>
      </c>
      <c r="AR37" s="104" t="s">
        <v>785</v>
      </c>
      <c r="AS37" s="197">
        <f>AS36*2</f>
        <v>7.9100000000000004E-4</v>
      </c>
      <c r="AU37" s="289"/>
    </row>
    <row r="38" spans="1:47" s="138" customFormat="1" hidden="1">
      <c r="A38" s="4" t="s">
        <v>24</v>
      </c>
      <c r="B38" s="60"/>
      <c r="C38" s="4" t="s">
        <v>604</v>
      </c>
      <c r="D38" s="146" t="s">
        <v>1002</v>
      </c>
      <c r="E38" s="60" t="s">
        <v>272</v>
      </c>
      <c r="F38" s="61">
        <v>0</v>
      </c>
      <c r="G38" s="14"/>
      <c r="H38" s="61">
        <f t="shared" si="38"/>
        <v>0</v>
      </c>
      <c r="I38" s="61">
        <f t="shared" si="39"/>
        <v>0</v>
      </c>
      <c r="J38" s="61">
        <f t="shared" si="40"/>
        <v>0</v>
      </c>
      <c r="K38" s="168">
        <f>K37*6</f>
        <v>4.7460000000000002E-3</v>
      </c>
      <c r="L38" s="61">
        <f t="shared" si="41"/>
        <v>0</v>
      </c>
      <c r="M38" s="62" t="s">
        <v>6</v>
      </c>
      <c r="N38" s="61">
        <f t="shared" si="42"/>
        <v>0</v>
      </c>
      <c r="Y38" s="110">
        <f t="shared" si="43"/>
        <v>0</v>
      </c>
      <c r="Z38" s="110">
        <f t="shared" si="44"/>
        <v>0</v>
      </c>
      <c r="AA38" s="110">
        <f t="shared" si="45"/>
        <v>0</v>
      </c>
      <c r="AC38" s="64">
        <v>15</v>
      </c>
      <c r="AD38" s="113">
        <f t="shared" si="9"/>
        <v>0</v>
      </c>
      <c r="AE38" s="113">
        <f t="shared" si="10"/>
        <v>0</v>
      </c>
      <c r="AL38" s="64">
        <f t="shared" si="46"/>
        <v>0</v>
      </c>
      <c r="AM38" s="64">
        <f t="shared" si="47"/>
        <v>0</v>
      </c>
      <c r="AN38" s="65" t="s">
        <v>304</v>
      </c>
      <c r="AO38" s="65" t="s">
        <v>322</v>
      </c>
      <c r="AP38" s="139" t="s">
        <v>328</v>
      </c>
      <c r="AR38" s="104" t="s">
        <v>785</v>
      </c>
      <c r="AS38" s="197">
        <f>AS37*6</f>
        <v>4.7460000000000002E-3</v>
      </c>
      <c r="AU38" s="289"/>
    </row>
    <row r="39" spans="1:47" hidden="1">
      <c r="A39" s="4" t="s">
        <v>25</v>
      </c>
      <c r="B39" s="4"/>
      <c r="C39" s="4" t="s">
        <v>465</v>
      </c>
      <c r="D39" s="146" t="s">
        <v>1003</v>
      </c>
      <c r="E39" s="4" t="s">
        <v>272</v>
      </c>
      <c r="F39" s="14">
        <v>0</v>
      </c>
      <c r="G39" s="179"/>
      <c r="H39" s="14">
        <f t="shared" si="38"/>
        <v>0</v>
      </c>
      <c r="I39" s="14">
        <f t="shared" si="39"/>
        <v>0</v>
      </c>
      <c r="J39" s="61">
        <f t="shared" si="40"/>
        <v>0</v>
      </c>
      <c r="K39" s="169">
        <f>K36*10</f>
        <v>3.9550000000000002E-3</v>
      </c>
      <c r="L39" s="14">
        <f t="shared" si="41"/>
        <v>0</v>
      </c>
      <c r="M39" s="20" t="s">
        <v>6</v>
      </c>
      <c r="N39" s="14">
        <f t="shared" si="42"/>
        <v>0</v>
      </c>
      <c r="Y39" s="110">
        <f t="shared" si="43"/>
        <v>0</v>
      </c>
      <c r="Z39" s="110">
        <f t="shared" si="44"/>
        <v>0</v>
      </c>
      <c r="AA39" s="110">
        <f t="shared" si="45"/>
        <v>0</v>
      </c>
      <c r="AC39" s="24">
        <v>15</v>
      </c>
      <c r="AD39" s="113">
        <f t="shared" si="9"/>
        <v>0</v>
      </c>
      <c r="AE39" s="113">
        <f t="shared" si="10"/>
        <v>0</v>
      </c>
      <c r="AL39" s="24">
        <f t="shared" si="46"/>
        <v>0</v>
      </c>
      <c r="AM39" s="24">
        <f t="shared" si="47"/>
        <v>0</v>
      </c>
      <c r="AN39" s="25" t="s">
        <v>304</v>
      </c>
      <c r="AO39" s="25" t="s">
        <v>322</v>
      </c>
      <c r="AP39" s="19" t="s">
        <v>328</v>
      </c>
      <c r="AR39" s="104" t="s">
        <v>785</v>
      </c>
      <c r="AS39" s="200">
        <f>AS36*10</f>
        <v>3.9550000000000002E-3</v>
      </c>
    </row>
    <row r="40" spans="1:47" hidden="1">
      <c r="A40" s="4" t="s">
        <v>26</v>
      </c>
      <c r="B40" s="122"/>
      <c r="C40" s="122" t="s">
        <v>778</v>
      </c>
      <c r="D40" s="4" t="s">
        <v>1050</v>
      </c>
      <c r="E40" s="4" t="s">
        <v>272</v>
      </c>
      <c r="F40" s="14">
        <v>0</v>
      </c>
      <c r="G40" s="14"/>
      <c r="H40" s="14">
        <f t="shared" si="38"/>
        <v>0</v>
      </c>
      <c r="I40" s="14">
        <f>J40-H40</f>
        <v>0</v>
      </c>
      <c r="J40" s="61">
        <f t="shared" si="40"/>
        <v>0</v>
      </c>
      <c r="K40" s="164">
        <v>7.9100000000000004E-3</v>
      </c>
      <c r="L40" s="14">
        <f t="shared" si="41"/>
        <v>0</v>
      </c>
      <c r="M40" s="20" t="s">
        <v>6</v>
      </c>
      <c r="N40" s="14">
        <f t="shared" si="42"/>
        <v>0</v>
      </c>
      <c r="Y40" s="110">
        <f t="shared" si="43"/>
        <v>0</v>
      </c>
      <c r="Z40" s="110">
        <f t="shared" si="44"/>
        <v>0</v>
      </c>
      <c r="AA40" s="110">
        <f t="shared" si="45"/>
        <v>0</v>
      </c>
      <c r="AC40" s="24">
        <v>15</v>
      </c>
      <c r="AD40" s="113">
        <f t="shared" si="9"/>
        <v>0</v>
      </c>
      <c r="AE40" s="113">
        <f t="shared" si="10"/>
        <v>0</v>
      </c>
      <c r="AL40" s="24">
        <f t="shared" si="46"/>
        <v>0</v>
      </c>
      <c r="AM40" s="24">
        <f t="shared" si="47"/>
        <v>0</v>
      </c>
      <c r="AN40" s="25" t="s">
        <v>304</v>
      </c>
      <c r="AO40" s="25" t="s">
        <v>322</v>
      </c>
      <c r="AP40" s="19" t="s">
        <v>328</v>
      </c>
      <c r="AR40" t="s">
        <v>786</v>
      </c>
      <c r="AS40" s="197">
        <v>7.9100000000000004E-3</v>
      </c>
    </row>
    <row r="41" spans="1:47" s="104" customFormat="1">
      <c r="A41" s="4" t="s">
        <v>27</v>
      </c>
      <c r="B41" s="4"/>
      <c r="C41" s="4" t="s">
        <v>112</v>
      </c>
      <c r="D41" s="4" t="s">
        <v>1004</v>
      </c>
      <c r="E41" s="4" t="s">
        <v>272</v>
      </c>
      <c r="F41" s="14">
        <f>Výměry!U60*5</f>
        <v>58.556999999999995</v>
      </c>
      <c r="G41" s="14"/>
      <c r="H41" s="14">
        <f t="shared" si="38"/>
        <v>0</v>
      </c>
      <c r="I41" s="14">
        <f t="shared" si="39"/>
        <v>0</v>
      </c>
      <c r="J41" s="61">
        <f t="shared" si="40"/>
        <v>0</v>
      </c>
      <c r="K41" s="164">
        <v>7.9100000000000004E-3</v>
      </c>
      <c r="L41" s="14">
        <f t="shared" si="41"/>
        <v>0.46318587</v>
      </c>
      <c r="M41" s="20" t="s">
        <v>6</v>
      </c>
      <c r="N41" s="14">
        <f t="shared" si="42"/>
        <v>0</v>
      </c>
      <c r="Y41" s="110">
        <f t="shared" si="43"/>
        <v>0</v>
      </c>
      <c r="Z41" s="110">
        <f t="shared" si="44"/>
        <v>0</v>
      </c>
      <c r="AA41" s="110">
        <f t="shared" si="45"/>
        <v>0</v>
      </c>
      <c r="AC41" s="24">
        <v>15</v>
      </c>
      <c r="AD41" s="113">
        <f t="shared" si="9"/>
        <v>0</v>
      </c>
      <c r="AE41" s="113">
        <f t="shared" si="10"/>
        <v>0</v>
      </c>
      <c r="AL41" s="24">
        <f t="shared" si="46"/>
        <v>0</v>
      </c>
      <c r="AM41" s="24">
        <f t="shared" si="47"/>
        <v>0</v>
      </c>
      <c r="AN41" s="25" t="s">
        <v>304</v>
      </c>
      <c r="AO41" s="25" t="s">
        <v>322</v>
      </c>
      <c r="AP41" s="105" t="s">
        <v>328</v>
      </c>
      <c r="AR41" s="104" t="s">
        <v>787</v>
      </c>
      <c r="AS41" s="197">
        <v>7.9100000000000004E-3</v>
      </c>
      <c r="AU41" s="288"/>
    </row>
    <row r="42" spans="1:47">
      <c r="A42" s="4" t="s">
        <v>28</v>
      </c>
      <c r="B42" s="4"/>
      <c r="C42" s="152" t="s">
        <v>162</v>
      </c>
      <c r="D42" s="4" t="s">
        <v>796</v>
      </c>
      <c r="E42" s="4" t="s">
        <v>272</v>
      </c>
      <c r="F42" s="14">
        <f>F36*0.1+F37*0.5+F38*0.75+F39*1+F40+F41+F65+F43+F44+F48+F49+F50+((F31+F32+F33+F34+F35)*0.75)</f>
        <v>383.74499999999995</v>
      </c>
      <c r="G42" s="14"/>
      <c r="H42" s="14">
        <f t="shared" si="38"/>
        <v>0</v>
      </c>
      <c r="I42" s="14">
        <f t="shared" si="39"/>
        <v>0</v>
      </c>
      <c r="J42" s="61">
        <f t="shared" si="40"/>
        <v>0</v>
      </c>
      <c r="K42" s="164">
        <v>2.1000000000000001E-4</v>
      </c>
      <c r="L42" s="14">
        <f t="shared" si="41"/>
        <v>8.058644999999999E-2</v>
      </c>
      <c r="M42" s="20" t="s">
        <v>6</v>
      </c>
      <c r="N42" s="14">
        <f t="shared" si="42"/>
        <v>0</v>
      </c>
      <c r="Y42" s="110">
        <f t="shared" si="43"/>
        <v>0</v>
      </c>
      <c r="Z42" s="110">
        <f t="shared" si="44"/>
        <v>0</v>
      </c>
      <c r="AA42" s="110">
        <f t="shared" si="45"/>
        <v>0</v>
      </c>
      <c r="AC42" s="24">
        <v>15</v>
      </c>
      <c r="AD42" s="113">
        <f t="shared" si="9"/>
        <v>0</v>
      </c>
      <c r="AE42" s="113">
        <f t="shared" si="10"/>
        <v>0</v>
      </c>
      <c r="AL42" s="24">
        <f t="shared" si="46"/>
        <v>0</v>
      </c>
      <c r="AM42" s="24">
        <f t="shared" si="47"/>
        <v>0</v>
      </c>
      <c r="AN42" s="25" t="s">
        <v>313</v>
      </c>
      <c r="AO42" s="25" t="s">
        <v>326</v>
      </c>
      <c r="AP42" s="19" t="s">
        <v>328</v>
      </c>
      <c r="AR42" t="s">
        <v>785</v>
      </c>
      <c r="AS42" s="197">
        <v>2.1000000000000001E-4</v>
      </c>
      <c r="AU42" s="285" t="s">
        <v>1021</v>
      </c>
    </row>
    <row r="43" spans="1:47" s="143" customFormat="1" hidden="1">
      <c r="A43" s="4" t="s">
        <v>29</v>
      </c>
      <c r="B43" s="122"/>
      <c r="C43" s="122" t="s">
        <v>747</v>
      </c>
      <c r="D43" s="122" t="s">
        <v>748</v>
      </c>
      <c r="E43" s="122" t="s">
        <v>272</v>
      </c>
      <c r="F43" s="123">
        <v>0</v>
      </c>
      <c r="G43" s="14"/>
      <c r="H43" s="123">
        <f t="shared" si="38"/>
        <v>0</v>
      </c>
      <c r="I43" s="123">
        <f t="shared" si="39"/>
        <v>0</v>
      </c>
      <c r="J43" s="61">
        <f t="shared" si="40"/>
        <v>0</v>
      </c>
      <c r="K43" s="170">
        <v>3.3899999999999998E-3</v>
      </c>
      <c r="L43" s="123">
        <f t="shared" si="41"/>
        <v>0</v>
      </c>
      <c r="M43" s="124" t="s">
        <v>6</v>
      </c>
      <c r="N43" s="123">
        <f t="shared" si="42"/>
        <v>0</v>
      </c>
      <c r="Y43" s="110">
        <f t="shared" si="43"/>
        <v>0</v>
      </c>
      <c r="Z43" s="110">
        <f t="shared" si="44"/>
        <v>0</v>
      </c>
      <c r="AA43" s="110">
        <f t="shared" si="45"/>
        <v>0</v>
      </c>
      <c r="AC43" s="126">
        <v>15</v>
      </c>
      <c r="AD43" s="113">
        <f t="shared" si="9"/>
        <v>0</v>
      </c>
      <c r="AE43" s="113">
        <f t="shared" si="10"/>
        <v>0</v>
      </c>
      <c r="AL43" s="126">
        <f t="shared" si="46"/>
        <v>0</v>
      </c>
      <c r="AM43" s="126">
        <f t="shared" si="47"/>
        <v>0</v>
      </c>
      <c r="AN43" s="127" t="s">
        <v>322</v>
      </c>
      <c r="AO43" s="127" t="s">
        <v>322</v>
      </c>
      <c r="AP43" s="144" t="s">
        <v>328</v>
      </c>
      <c r="AS43" s="197">
        <v>3.3899999999999998E-3</v>
      </c>
      <c r="AU43" s="290"/>
    </row>
    <row r="44" spans="1:47" s="143" customFormat="1" hidden="1">
      <c r="A44" s="4" t="s">
        <v>30</v>
      </c>
      <c r="B44" s="122"/>
      <c r="C44" s="122" t="s">
        <v>749</v>
      </c>
      <c r="D44" s="4" t="s">
        <v>797</v>
      </c>
      <c r="E44" s="122" t="s">
        <v>272</v>
      </c>
      <c r="F44" s="123">
        <v>0</v>
      </c>
      <c r="G44" s="14"/>
      <c r="H44" s="123">
        <f t="shared" si="38"/>
        <v>0</v>
      </c>
      <c r="I44" s="123">
        <f t="shared" si="39"/>
        <v>0</v>
      </c>
      <c r="J44" s="61">
        <f t="shared" si="40"/>
        <v>0</v>
      </c>
      <c r="K44" s="170">
        <v>2.7299999999999998E-3</v>
      </c>
      <c r="L44" s="123">
        <f t="shared" si="41"/>
        <v>0</v>
      </c>
      <c r="M44" s="124" t="s">
        <v>6</v>
      </c>
      <c r="N44" s="123">
        <f t="shared" si="42"/>
        <v>0</v>
      </c>
      <c r="Y44" s="110">
        <f t="shared" si="43"/>
        <v>0</v>
      </c>
      <c r="Z44" s="110">
        <f t="shared" si="44"/>
        <v>0</v>
      </c>
      <c r="AA44" s="110">
        <f t="shared" si="45"/>
        <v>0</v>
      </c>
      <c r="AC44" s="126">
        <v>15</v>
      </c>
      <c r="AD44" s="113">
        <f t="shared" si="9"/>
        <v>0</v>
      </c>
      <c r="AE44" s="113">
        <f t="shared" si="10"/>
        <v>0</v>
      </c>
      <c r="AL44" s="126">
        <f t="shared" si="46"/>
        <v>0</v>
      </c>
      <c r="AM44" s="126">
        <f t="shared" si="47"/>
        <v>0</v>
      </c>
      <c r="AN44" s="127" t="s">
        <v>322</v>
      </c>
      <c r="AO44" s="127" t="s">
        <v>322</v>
      </c>
      <c r="AP44" s="144" t="s">
        <v>328</v>
      </c>
      <c r="AS44" s="197">
        <v>2.7299999999999998E-3</v>
      </c>
      <c r="AU44" s="290"/>
    </row>
    <row r="45" spans="1:47" hidden="1">
      <c r="A45" s="4" t="s">
        <v>31</v>
      </c>
      <c r="B45" s="4"/>
      <c r="C45" s="4" t="s">
        <v>848</v>
      </c>
      <c r="D45" s="4" t="s">
        <v>849</v>
      </c>
      <c r="E45" s="4" t="s">
        <v>272</v>
      </c>
      <c r="F45" s="14">
        <v>0</v>
      </c>
      <c r="G45" s="14"/>
      <c r="H45" s="14">
        <f t="shared" si="38"/>
        <v>0</v>
      </c>
      <c r="I45" s="14">
        <f>J45-H45</f>
        <v>0</v>
      </c>
      <c r="J45" s="61">
        <f t="shared" si="40"/>
        <v>0</v>
      </c>
      <c r="K45" s="164">
        <v>1.6000000000000001E-4</v>
      </c>
      <c r="L45" s="14">
        <f t="shared" si="41"/>
        <v>0</v>
      </c>
      <c r="M45" s="20" t="s">
        <v>6</v>
      </c>
      <c r="N45" s="14">
        <f t="shared" si="42"/>
        <v>0</v>
      </c>
      <c r="Y45" s="110">
        <f t="shared" si="43"/>
        <v>0</v>
      </c>
      <c r="Z45" s="110">
        <f t="shared" si="44"/>
        <v>0</v>
      </c>
      <c r="AA45" s="110">
        <f t="shared" si="45"/>
        <v>0</v>
      </c>
      <c r="AC45" s="24">
        <v>15</v>
      </c>
      <c r="AD45" s="113">
        <f t="shared" si="9"/>
        <v>0</v>
      </c>
      <c r="AE45" s="113">
        <f t="shared" si="10"/>
        <v>0</v>
      </c>
      <c r="AL45" s="24">
        <f t="shared" si="46"/>
        <v>0</v>
      </c>
      <c r="AM45" s="24">
        <f t="shared" si="47"/>
        <v>0</v>
      </c>
      <c r="AN45" s="25" t="s">
        <v>322</v>
      </c>
      <c r="AO45" s="25" t="s">
        <v>322</v>
      </c>
      <c r="AP45" s="19" t="s">
        <v>328</v>
      </c>
      <c r="AS45" s="197">
        <v>1.6000000000000001E-4</v>
      </c>
      <c r="AU45" s="285" t="s">
        <v>1022</v>
      </c>
    </row>
    <row r="46" spans="1:47" hidden="1">
      <c r="A46" s="4" t="s">
        <v>32</v>
      </c>
      <c r="B46" s="4"/>
      <c r="C46" s="4" t="s">
        <v>850</v>
      </c>
      <c r="D46" s="4" t="s">
        <v>851</v>
      </c>
      <c r="E46" s="4" t="s">
        <v>272</v>
      </c>
      <c r="F46" s="14">
        <v>0</v>
      </c>
      <c r="G46" s="14"/>
      <c r="H46" s="14">
        <f t="shared" si="38"/>
        <v>0</v>
      </c>
      <c r="I46" s="14">
        <f>J46-H46</f>
        <v>0</v>
      </c>
      <c r="J46" s="61">
        <f t="shared" si="40"/>
        <v>0</v>
      </c>
      <c r="K46" s="164">
        <v>3.2000000000000003E-4</v>
      </c>
      <c r="L46" s="14">
        <f t="shared" si="41"/>
        <v>0</v>
      </c>
      <c r="M46" s="20" t="s">
        <v>6</v>
      </c>
      <c r="N46" s="14">
        <f t="shared" si="42"/>
        <v>0</v>
      </c>
      <c r="Y46" s="110">
        <f t="shared" si="43"/>
        <v>0</v>
      </c>
      <c r="Z46" s="110">
        <f t="shared" si="44"/>
        <v>0</v>
      </c>
      <c r="AA46" s="110">
        <f t="shared" si="45"/>
        <v>0</v>
      </c>
      <c r="AC46" s="24">
        <v>15</v>
      </c>
      <c r="AD46" s="113">
        <f t="shared" si="9"/>
        <v>0</v>
      </c>
      <c r="AE46" s="113">
        <f t="shared" si="10"/>
        <v>0</v>
      </c>
      <c r="AL46" s="24">
        <f t="shared" si="46"/>
        <v>0</v>
      </c>
      <c r="AM46" s="24">
        <f t="shared" si="47"/>
        <v>0</v>
      </c>
      <c r="AN46" s="25" t="s">
        <v>322</v>
      </c>
      <c r="AO46" s="25" t="s">
        <v>322</v>
      </c>
      <c r="AP46" s="19" t="s">
        <v>328</v>
      </c>
      <c r="AS46" s="197">
        <v>3.2000000000000003E-4</v>
      </c>
      <c r="AU46" s="285" t="s">
        <v>1022</v>
      </c>
    </row>
    <row r="47" spans="1:47" hidden="1">
      <c r="A47" s="4" t="s">
        <v>33</v>
      </c>
      <c r="B47" s="4"/>
      <c r="C47" s="4" t="s">
        <v>852</v>
      </c>
      <c r="D47" s="4" t="s">
        <v>853</v>
      </c>
      <c r="E47" s="4" t="s">
        <v>272</v>
      </c>
      <c r="F47" s="14">
        <v>0</v>
      </c>
      <c r="G47" s="14"/>
      <c r="H47" s="14">
        <f t="shared" si="38"/>
        <v>0</v>
      </c>
      <c r="I47" s="14">
        <f>J47-H47</f>
        <v>0</v>
      </c>
      <c r="J47" s="61">
        <f t="shared" si="40"/>
        <v>0</v>
      </c>
      <c r="K47" s="164">
        <v>3.3E-4</v>
      </c>
      <c r="L47" s="14">
        <f t="shared" si="41"/>
        <v>0</v>
      </c>
      <c r="M47" s="20" t="s">
        <v>6</v>
      </c>
      <c r="N47" s="14">
        <f t="shared" si="42"/>
        <v>0</v>
      </c>
      <c r="Y47" s="110">
        <f t="shared" si="43"/>
        <v>0</v>
      </c>
      <c r="Z47" s="110">
        <f t="shared" si="44"/>
        <v>0</v>
      </c>
      <c r="AA47" s="110">
        <f t="shared" si="45"/>
        <v>0</v>
      </c>
      <c r="AC47" s="24">
        <v>15</v>
      </c>
      <c r="AD47" s="113">
        <f t="shared" si="9"/>
        <v>0</v>
      </c>
      <c r="AE47" s="113">
        <f t="shared" si="10"/>
        <v>0</v>
      </c>
      <c r="AL47" s="24">
        <f t="shared" si="46"/>
        <v>0</v>
      </c>
      <c r="AM47" s="24">
        <f t="shared" si="47"/>
        <v>0</v>
      </c>
      <c r="AN47" s="25" t="s">
        <v>322</v>
      </c>
      <c r="AO47" s="25" t="s">
        <v>322</v>
      </c>
      <c r="AP47" s="19" t="s">
        <v>328</v>
      </c>
      <c r="AS47" s="197">
        <v>3.3E-4</v>
      </c>
      <c r="AU47" s="285" t="s">
        <v>1023</v>
      </c>
    </row>
    <row r="48" spans="1:47" s="125" customFormat="1">
      <c r="A48" s="4" t="s">
        <v>413</v>
      </c>
      <c r="B48" s="122"/>
      <c r="C48" s="122" t="s">
        <v>750</v>
      </c>
      <c r="D48" s="122" t="s">
        <v>751</v>
      </c>
      <c r="E48" s="122" t="s">
        <v>272</v>
      </c>
      <c r="F48" s="123">
        <f>Výměry!U60*5</f>
        <v>58.556999999999995</v>
      </c>
      <c r="G48" s="14"/>
      <c r="H48" s="123">
        <f t="shared" si="38"/>
        <v>0</v>
      </c>
      <c r="I48" s="123">
        <f t="shared" si="39"/>
        <v>0</v>
      </c>
      <c r="J48" s="61">
        <f t="shared" si="40"/>
        <v>0</v>
      </c>
      <c r="K48" s="170">
        <v>4.1099999999999999E-3</v>
      </c>
      <c r="L48" s="123">
        <f t="shared" si="41"/>
        <v>0.24066926999999996</v>
      </c>
      <c r="M48" s="124" t="s">
        <v>6</v>
      </c>
      <c r="N48" s="123">
        <f t="shared" si="42"/>
        <v>0</v>
      </c>
      <c r="Y48" s="110">
        <f t="shared" si="43"/>
        <v>0</v>
      </c>
      <c r="Z48" s="110">
        <f t="shared" si="44"/>
        <v>0</v>
      </c>
      <c r="AA48" s="110">
        <f t="shared" si="45"/>
        <v>0</v>
      </c>
      <c r="AC48" s="126">
        <v>15</v>
      </c>
      <c r="AD48" s="113">
        <f t="shared" si="9"/>
        <v>0</v>
      </c>
      <c r="AE48" s="113">
        <f t="shared" si="10"/>
        <v>0</v>
      </c>
      <c r="AL48" s="126">
        <f t="shared" si="46"/>
        <v>0</v>
      </c>
      <c r="AM48" s="126">
        <f t="shared" si="47"/>
        <v>0</v>
      </c>
      <c r="AN48" s="127" t="s">
        <v>304</v>
      </c>
      <c r="AO48" s="127" t="s">
        <v>322</v>
      </c>
      <c r="AP48" s="128" t="s">
        <v>328</v>
      </c>
      <c r="AS48" s="197">
        <v>4.1099999999999999E-3</v>
      </c>
      <c r="AU48" s="291"/>
    </row>
    <row r="49" spans="1:47">
      <c r="A49" s="4" t="s">
        <v>34</v>
      </c>
      <c r="B49" s="4"/>
      <c r="C49" s="4" t="s">
        <v>109</v>
      </c>
      <c r="D49" s="4" t="s">
        <v>204</v>
      </c>
      <c r="E49" s="4" t="s">
        <v>272</v>
      </c>
      <c r="F49" s="49">
        <f>(Výměry!D9+Výměry!D10)*5</f>
        <v>179.33999999999997</v>
      </c>
      <c r="G49" s="14"/>
      <c r="H49" s="14">
        <f t="shared" si="38"/>
        <v>0</v>
      </c>
      <c r="I49" s="14">
        <f t="shared" si="39"/>
        <v>0</v>
      </c>
      <c r="J49" s="61">
        <f t="shared" si="40"/>
        <v>0</v>
      </c>
      <c r="K49" s="164">
        <v>3.6099999999999999E-3</v>
      </c>
      <c r="L49" s="14">
        <f t="shared" si="41"/>
        <v>0.64741739999999992</v>
      </c>
      <c r="M49" s="20" t="s">
        <v>6</v>
      </c>
      <c r="N49" s="14">
        <f t="shared" si="42"/>
        <v>0</v>
      </c>
      <c r="Y49" s="110">
        <f t="shared" si="43"/>
        <v>0</v>
      </c>
      <c r="Z49" s="110">
        <f t="shared" si="44"/>
        <v>0</v>
      </c>
      <c r="AA49" s="110">
        <f t="shared" si="45"/>
        <v>0</v>
      </c>
      <c r="AC49" s="24">
        <v>15</v>
      </c>
      <c r="AD49" s="113">
        <f t="shared" si="9"/>
        <v>0</v>
      </c>
      <c r="AE49" s="113">
        <f t="shared" si="10"/>
        <v>0</v>
      </c>
      <c r="AL49" s="24">
        <f t="shared" si="46"/>
        <v>0</v>
      </c>
      <c r="AM49" s="24">
        <f t="shared" si="47"/>
        <v>0</v>
      </c>
      <c r="AN49" s="25" t="s">
        <v>304</v>
      </c>
      <c r="AO49" s="25" t="s">
        <v>322</v>
      </c>
      <c r="AP49" s="19" t="s">
        <v>328</v>
      </c>
      <c r="AR49" s="104" t="s">
        <v>787</v>
      </c>
      <c r="AS49" s="197">
        <v>3.6099999999999999E-3</v>
      </c>
    </row>
    <row r="50" spans="1:47" hidden="1">
      <c r="A50" s="4" t="s">
        <v>35</v>
      </c>
      <c r="B50" s="4"/>
      <c r="C50" s="4" t="s">
        <v>108</v>
      </c>
      <c r="D50" s="4" t="s">
        <v>1024</v>
      </c>
      <c r="E50" s="4" t="s">
        <v>272</v>
      </c>
      <c r="F50" s="14">
        <v>0</v>
      </c>
      <c r="G50" s="14"/>
      <c r="H50" s="14">
        <f t="shared" si="38"/>
        <v>0</v>
      </c>
      <c r="I50" s="14">
        <f t="shared" ref="I50:I65" si="48">J50-H50</f>
        <v>0</v>
      </c>
      <c r="J50" s="61">
        <f t="shared" si="40"/>
        <v>0</v>
      </c>
      <c r="K50" s="164">
        <v>3.8289999999999998E-2</v>
      </c>
      <c r="L50" s="14">
        <f t="shared" si="41"/>
        <v>0</v>
      </c>
      <c r="M50" s="20" t="s">
        <v>6</v>
      </c>
      <c r="N50" s="14">
        <f t="shared" si="42"/>
        <v>0</v>
      </c>
      <c r="Y50" s="110">
        <f t="shared" si="43"/>
        <v>0</v>
      </c>
      <c r="Z50" s="110">
        <f t="shared" si="44"/>
        <v>0</v>
      </c>
      <c r="AA50" s="110">
        <f t="shared" si="45"/>
        <v>0</v>
      </c>
      <c r="AC50" s="24">
        <v>15</v>
      </c>
      <c r="AD50" s="113">
        <f t="shared" si="9"/>
        <v>0</v>
      </c>
      <c r="AE50" s="113">
        <f t="shared" si="10"/>
        <v>0</v>
      </c>
      <c r="AL50" s="24">
        <f t="shared" si="46"/>
        <v>0</v>
      </c>
      <c r="AM50" s="24">
        <f t="shared" si="47"/>
        <v>0</v>
      </c>
      <c r="AN50" s="25" t="s">
        <v>304</v>
      </c>
      <c r="AO50" s="25" t="s">
        <v>322</v>
      </c>
      <c r="AP50" s="19" t="s">
        <v>328</v>
      </c>
      <c r="AQ50" t="s">
        <v>429</v>
      </c>
      <c r="AR50" s="104" t="s">
        <v>787</v>
      </c>
      <c r="AS50" s="197">
        <v>3.8289999999999998E-2</v>
      </c>
    </row>
    <row r="51" spans="1:47" s="104" customFormat="1">
      <c r="A51" s="4" t="s">
        <v>36</v>
      </c>
      <c r="B51" s="4"/>
      <c r="C51" s="4" t="s">
        <v>375</v>
      </c>
      <c r="D51" s="146" t="s">
        <v>1123</v>
      </c>
      <c r="E51" s="4" t="s">
        <v>274</v>
      </c>
      <c r="F51" s="179">
        <f>F281</f>
        <v>227.40000000000003</v>
      </c>
      <c r="G51" s="14"/>
      <c r="H51" s="14">
        <f t="shared" si="38"/>
        <v>0</v>
      </c>
      <c r="I51" s="14">
        <f t="shared" si="48"/>
        <v>0</v>
      </c>
      <c r="J51" s="61">
        <f t="shared" si="40"/>
        <v>0</v>
      </c>
      <c r="K51" s="164">
        <v>6.7999999999999996E-3</v>
      </c>
      <c r="L51" s="14">
        <f t="shared" si="41"/>
        <v>1.5463200000000001</v>
      </c>
      <c r="M51" s="20" t="s">
        <v>6</v>
      </c>
      <c r="N51" s="14">
        <f t="shared" si="42"/>
        <v>0</v>
      </c>
      <c r="Y51" s="110">
        <f t="shared" si="43"/>
        <v>0</v>
      </c>
      <c r="Z51" s="110">
        <f t="shared" si="44"/>
        <v>0</v>
      </c>
      <c r="AA51" s="110">
        <f t="shared" si="45"/>
        <v>0</v>
      </c>
      <c r="AC51" s="24">
        <v>15</v>
      </c>
      <c r="AD51" s="113">
        <f t="shared" si="9"/>
        <v>0</v>
      </c>
      <c r="AE51" s="113">
        <f t="shared" si="10"/>
        <v>0</v>
      </c>
      <c r="AL51" s="24">
        <f t="shared" si="46"/>
        <v>0</v>
      </c>
      <c r="AM51" s="24">
        <f t="shared" si="47"/>
        <v>0</v>
      </c>
      <c r="AN51" s="25" t="s">
        <v>304</v>
      </c>
      <c r="AO51" s="25" t="s">
        <v>322</v>
      </c>
      <c r="AP51" s="105" t="s">
        <v>328</v>
      </c>
      <c r="AQ51" s="104" t="s">
        <v>425</v>
      </c>
      <c r="AR51" s="104" t="s">
        <v>785</v>
      </c>
      <c r="AS51" s="197">
        <v>6.8000000000000005E-2</v>
      </c>
      <c r="AU51" s="288"/>
    </row>
    <row r="52" spans="1:47" s="104" customFormat="1" hidden="1">
      <c r="A52" s="4" t="s">
        <v>37</v>
      </c>
      <c r="B52" s="4"/>
      <c r="C52" s="4" t="s">
        <v>458</v>
      </c>
      <c r="D52" s="4" t="s">
        <v>459</v>
      </c>
      <c r="E52" s="4" t="s">
        <v>274</v>
      </c>
      <c r="F52" s="14">
        <f>F284+F281*0</f>
        <v>0</v>
      </c>
      <c r="G52" s="14"/>
      <c r="H52" s="14">
        <f t="shared" si="38"/>
        <v>0</v>
      </c>
      <c r="I52" s="14">
        <f t="shared" si="48"/>
        <v>0</v>
      </c>
      <c r="J52" s="61">
        <f t="shared" si="40"/>
        <v>0</v>
      </c>
      <c r="K52" s="164">
        <v>1.56E-3</v>
      </c>
      <c r="L52" s="14">
        <f t="shared" si="41"/>
        <v>0</v>
      </c>
      <c r="M52" s="20" t="s">
        <v>6</v>
      </c>
      <c r="N52" s="14">
        <f t="shared" si="42"/>
        <v>0</v>
      </c>
      <c r="Y52" s="110">
        <f t="shared" si="43"/>
        <v>0</v>
      </c>
      <c r="Z52" s="110">
        <f t="shared" si="44"/>
        <v>0</v>
      </c>
      <c r="AA52" s="110">
        <f t="shared" si="45"/>
        <v>0</v>
      </c>
      <c r="AC52" s="24">
        <v>15</v>
      </c>
      <c r="AD52" s="113">
        <f t="shared" si="9"/>
        <v>0</v>
      </c>
      <c r="AE52" s="113">
        <f t="shared" si="10"/>
        <v>0</v>
      </c>
      <c r="AL52" s="24">
        <f t="shared" si="46"/>
        <v>0</v>
      </c>
      <c r="AM52" s="24">
        <f t="shared" si="47"/>
        <v>0</v>
      </c>
      <c r="AN52" s="25" t="s">
        <v>304</v>
      </c>
      <c r="AO52" s="25" t="s">
        <v>322</v>
      </c>
      <c r="AP52" s="105" t="s">
        <v>328</v>
      </c>
      <c r="AR52" s="104" t="s">
        <v>785</v>
      </c>
      <c r="AS52" s="197">
        <v>1.56E-3</v>
      </c>
      <c r="AU52" s="288"/>
    </row>
    <row r="53" spans="1:47" hidden="1">
      <c r="A53" s="4" t="s">
        <v>38</v>
      </c>
      <c r="B53" s="4"/>
      <c r="C53" s="4" t="s">
        <v>460</v>
      </c>
      <c r="D53" s="4" t="s">
        <v>1005</v>
      </c>
      <c r="E53" s="4" t="s">
        <v>274</v>
      </c>
      <c r="F53" s="14">
        <f>(F282+((2.6+1.34)*12.64))*0</f>
        <v>0</v>
      </c>
      <c r="G53" s="14"/>
      <c r="H53" s="14">
        <f t="shared" si="38"/>
        <v>0</v>
      </c>
      <c r="I53" s="14">
        <f t="shared" si="48"/>
        <v>0</v>
      </c>
      <c r="J53" s="61">
        <f t="shared" si="40"/>
        <v>0</v>
      </c>
      <c r="K53" s="164">
        <v>4.3299999999999996E-3</v>
      </c>
      <c r="L53" s="14">
        <f t="shared" si="41"/>
        <v>0</v>
      </c>
      <c r="M53" s="20" t="s">
        <v>6</v>
      </c>
      <c r="N53" s="14">
        <f t="shared" si="42"/>
        <v>0</v>
      </c>
      <c r="Y53" s="110">
        <f t="shared" si="43"/>
        <v>0</v>
      </c>
      <c r="Z53" s="110">
        <f t="shared" si="44"/>
        <v>0</v>
      </c>
      <c r="AA53" s="110">
        <f t="shared" si="45"/>
        <v>0</v>
      </c>
      <c r="AC53" s="24">
        <v>15</v>
      </c>
      <c r="AD53" s="113">
        <f t="shared" si="9"/>
        <v>0</v>
      </c>
      <c r="AE53" s="113">
        <f t="shared" si="10"/>
        <v>0</v>
      </c>
      <c r="AL53" s="24">
        <f t="shared" si="46"/>
        <v>0</v>
      </c>
      <c r="AM53" s="24">
        <f t="shared" si="47"/>
        <v>0</v>
      </c>
      <c r="AN53" s="25" t="s">
        <v>304</v>
      </c>
      <c r="AO53" s="25" t="s">
        <v>322</v>
      </c>
      <c r="AP53" s="19" t="s">
        <v>328</v>
      </c>
      <c r="AR53" s="104" t="s">
        <v>785</v>
      </c>
      <c r="AS53" s="197">
        <v>4.3299999999999996E-3</v>
      </c>
    </row>
    <row r="54" spans="1:47" hidden="1">
      <c r="A54" s="4" t="s">
        <v>39</v>
      </c>
      <c r="B54" s="4"/>
      <c r="C54" s="4" t="s">
        <v>110</v>
      </c>
      <c r="D54" s="4" t="s">
        <v>1006</v>
      </c>
      <c r="E54" s="4" t="s">
        <v>274</v>
      </c>
      <c r="F54" s="49">
        <v>0</v>
      </c>
      <c r="G54" s="14"/>
      <c r="H54" s="14">
        <f t="shared" si="38"/>
        <v>0</v>
      </c>
      <c r="I54" s="14">
        <f t="shared" si="48"/>
        <v>0</v>
      </c>
      <c r="J54" s="61">
        <f t="shared" si="40"/>
        <v>0</v>
      </c>
      <c r="K54" s="164">
        <v>2.3800000000000002E-3</v>
      </c>
      <c r="L54" s="14">
        <f t="shared" si="41"/>
        <v>0</v>
      </c>
      <c r="M54" s="20" t="s">
        <v>6</v>
      </c>
      <c r="N54" s="14">
        <f t="shared" si="42"/>
        <v>0</v>
      </c>
      <c r="Y54" s="110">
        <f t="shared" si="43"/>
        <v>0</v>
      </c>
      <c r="Z54" s="110">
        <f t="shared" si="44"/>
        <v>0</v>
      </c>
      <c r="AA54" s="110">
        <f t="shared" si="45"/>
        <v>0</v>
      </c>
      <c r="AC54" s="24">
        <v>15</v>
      </c>
      <c r="AD54" s="113">
        <f t="shared" si="9"/>
        <v>0</v>
      </c>
      <c r="AE54" s="113">
        <f t="shared" si="10"/>
        <v>0</v>
      </c>
      <c r="AL54" s="24">
        <f t="shared" si="46"/>
        <v>0</v>
      </c>
      <c r="AM54" s="24">
        <f t="shared" si="47"/>
        <v>0</v>
      </c>
      <c r="AN54" s="25" t="s">
        <v>304</v>
      </c>
      <c r="AO54" s="25" t="s">
        <v>322</v>
      </c>
      <c r="AP54" s="19" t="s">
        <v>328</v>
      </c>
      <c r="AR54" s="104" t="s">
        <v>785</v>
      </c>
      <c r="AS54" s="197">
        <v>2.3800000000000002E-3</v>
      </c>
    </row>
    <row r="55" spans="1:47" hidden="1">
      <c r="A55" s="4" t="s">
        <v>40</v>
      </c>
      <c r="B55" s="4"/>
      <c r="C55" s="4" t="s">
        <v>111</v>
      </c>
      <c r="D55" s="4" t="s">
        <v>1007</v>
      </c>
      <c r="E55" s="4" t="s">
        <v>273</v>
      </c>
      <c r="F55" s="14">
        <v>0</v>
      </c>
      <c r="G55" s="14"/>
      <c r="H55" s="14">
        <f t="shared" si="38"/>
        <v>0</v>
      </c>
      <c r="I55" s="14">
        <f t="shared" si="48"/>
        <v>0</v>
      </c>
      <c r="J55" s="61">
        <f t="shared" si="40"/>
        <v>0</v>
      </c>
      <c r="K55" s="164">
        <v>6.8500000000000002E-3</v>
      </c>
      <c r="L55" s="14">
        <f t="shared" si="41"/>
        <v>0</v>
      </c>
      <c r="M55" s="20" t="s">
        <v>6</v>
      </c>
      <c r="N55" s="14">
        <f t="shared" si="42"/>
        <v>0</v>
      </c>
      <c r="Y55" s="110">
        <f t="shared" si="43"/>
        <v>0</v>
      </c>
      <c r="Z55" s="110">
        <f t="shared" si="44"/>
        <v>0</v>
      </c>
      <c r="AA55" s="110">
        <f t="shared" si="45"/>
        <v>0</v>
      </c>
      <c r="AC55" s="24">
        <v>15</v>
      </c>
      <c r="AD55" s="113">
        <f t="shared" si="9"/>
        <v>0</v>
      </c>
      <c r="AE55" s="113">
        <f t="shared" si="10"/>
        <v>0</v>
      </c>
      <c r="AL55" s="24">
        <f t="shared" si="46"/>
        <v>0</v>
      </c>
      <c r="AM55" s="24">
        <f t="shared" si="47"/>
        <v>0</v>
      </c>
      <c r="AN55" s="25" t="s">
        <v>304</v>
      </c>
      <c r="AO55" s="25" t="s">
        <v>322</v>
      </c>
      <c r="AP55" s="19" t="s">
        <v>328</v>
      </c>
      <c r="AR55" s="104" t="s">
        <v>785</v>
      </c>
      <c r="AS55" s="197">
        <v>6.8500000000000002E-3</v>
      </c>
    </row>
    <row r="56" spans="1:47">
      <c r="A56" s="4" t="s">
        <v>41</v>
      </c>
      <c r="B56" s="4"/>
      <c r="C56" s="4" t="s">
        <v>406</v>
      </c>
      <c r="D56" s="4" t="s">
        <v>407</v>
      </c>
      <c r="E56" s="4" t="s">
        <v>273</v>
      </c>
      <c r="F56" s="14">
        <f>12*3*5</f>
        <v>180</v>
      </c>
      <c r="G56" s="14"/>
      <c r="H56" s="14">
        <f t="shared" si="38"/>
        <v>0</v>
      </c>
      <c r="I56" s="14">
        <f t="shared" si="48"/>
        <v>0</v>
      </c>
      <c r="J56" s="61">
        <f t="shared" si="40"/>
        <v>0</v>
      </c>
      <c r="K56" s="164">
        <v>3.2000000000000002E-3</v>
      </c>
      <c r="L56" s="14">
        <f t="shared" si="41"/>
        <v>0.57600000000000007</v>
      </c>
      <c r="M56" s="20" t="s">
        <v>6</v>
      </c>
      <c r="N56" s="14">
        <f t="shared" si="42"/>
        <v>0</v>
      </c>
      <c r="Y56" s="110">
        <f t="shared" si="43"/>
        <v>0</v>
      </c>
      <c r="Z56" s="110">
        <f t="shared" si="44"/>
        <v>0</v>
      </c>
      <c r="AA56" s="110">
        <f t="shared" si="45"/>
        <v>0</v>
      </c>
      <c r="AC56" s="24">
        <v>15</v>
      </c>
      <c r="AD56" s="113">
        <f t="shared" si="9"/>
        <v>0</v>
      </c>
      <c r="AE56" s="113">
        <f t="shared" si="10"/>
        <v>0</v>
      </c>
      <c r="AL56" s="24">
        <f t="shared" si="46"/>
        <v>0</v>
      </c>
      <c r="AM56" s="24">
        <f t="shared" si="47"/>
        <v>0</v>
      </c>
      <c r="AN56" s="25" t="s">
        <v>304</v>
      </c>
      <c r="AO56" s="25" t="s">
        <v>322</v>
      </c>
      <c r="AP56" s="19" t="s">
        <v>328</v>
      </c>
      <c r="AQ56" t="s">
        <v>430</v>
      </c>
      <c r="AR56" s="104" t="s">
        <v>785</v>
      </c>
      <c r="AS56" s="197">
        <v>3.2000000000000002E-3</v>
      </c>
    </row>
    <row r="57" spans="1:47">
      <c r="A57" s="4" t="s">
        <v>42</v>
      </c>
      <c r="B57" s="4"/>
      <c r="C57" s="4" t="s">
        <v>376</v>
      </c>
      <c r="D57" s="4" t="s">
        <v>1126</v>
      </c>
      <c r="E57" s="4" t="s">
        <v>272</v>
      </c>
      <c r="F57" s="14">
        <f>F254*4</f>
        <v>1641.9</v>
      </c>
      <c r="G57" s="14"/>
      <c r="H57" s="14">
        <f t="shared" si="38"/>
        <v>0</v>
      </c>
      <c r="I57" s="14">
        <f t="shared" si="48"/>
        <v>0</v>
      </c>
      <c r="J57" s="61">
        <f t="shared" si="40"/>
        <v>0</v>
      </c>
      <c r="K57" s="164">
        <v>4.0000000000000002E-4</v>
      </c>
      <c r="L57" s="14">
        <f t="shared" si="41"/>
        <v>0.65676000000000012</v>
      </c>
      <c r="M57" s="20" t="s">
        <v>6</v>
      </c>
      <c r="N57" s="14">
        <f t="shared" si="42"/>
        <v>0</v>
      </c>
      <c r="Y57" s="110">
        <f t="shared" si="43"/>
        <v>0</v>
      </c>
      <c r="Z57" s="110">
        <f t="shared" si="44"/>
        <v>0</v>
      </c>
      <c r="AA57" s="110">
        <f t="shared" si="45"/>
        <v>0</v>
      </c>
      <c r="AC57" s="24">
        <v>15</v>
      </c>
      <c r="AD57" s="113">
        <f t="shared" si="9"/>
        <v>0</v>
      </c>
      <c r="AE57" s="113">
        <f t="shared" si="10"/>
        <v>0</v>
      </c>
      <c r="AL57" s="24">
        <f t="shared" si="46"/>
        <v>0</v>
      </c>
      <c r="AM57" s="24">
        <f t="shared" si="47"/>
        <v>0</v>
      </c>
      <c r="AN57" s="25" t="s">
        <v>304</v>
      </c>
      <c r="AO57" s="25" t="s">
        <v>322</v>
      </c>
      <c r="AP57" s="19" t="s">
        <v>328</v>
      </c>
      <c r="AR57" s="104" t="s">
        <v>785</v>
      </c>
      <c r="AS57" s="197">
        <v>4.0000000000000002E-4</v>
      </c>
    </row>
    <row r="58" spans="1:47" hidden="1">
      <c r="A58" s="4" t="s">
        <v>43</v>
      </c>
      <c r="B58" s="4"/>
      <c r="C58" s="4" t="s">
        <v>377</v>
      </c>
      <c r="D58" s="4" t="s">
        <v>378</v>
      </c>
      <c r="E58" s="4" t="s">
        <v>273</v>
      </c>
      <c r="F58" s="14">
        <v>0</v>
      </c>
      <c r="G58" s="14"/>
      <c r="H58" s="14">
        <f t="shared" si="38"/>
        <v>0</v>
      </c>
      <c r="I58" s="14">
        <f>J58-H58</f>
        <v>0</v>
      </c>
      <c r="J58" s="61">
        <f t="shared" si="40"/>
        <v>0</v>
      </c>
      <c r="K58" s="164">
        <v>0</v>
      </c>
      <c r="L58" s="14">
        <f t="shared" si="41"/>
        <v>0</v>
      </c>
      <c r="M58" s="20" t="s">
        <v>6</v>
      </c>
      <c r="N58" s="14">
        <f t="shared" si="42"/>
        <v>0</v>
      </c>
      <c r="Y58" s="110">
        <f t="shared" si="43"/>
        <v>0</v>
      </c>
      <c r="Z58" s="110">
        <f t="shared" si="44"/>
        <v>0</v>
      </c>
      <c r="AA58" s="110">
        <f t="shared" si="45"/>
        <v>0</v>
      </c>
      <c r="AC58" s="24">
        <v>15</v>
      </c>
      <c r="AD58" s="113">
        <f t="shared" si="9"/>
        <v>0</v>
      </c>
      <c r="AE58" s="113">
        <f t="shared" si="10"/>
        <v>0</v>
      </c>
      <c r="AL58" s="24">
        <f t="shared" si="46"/>
        <v>0</v>
      </c>
      <c r="AM58" s="24">
        <f t="shared" si="47"/>
        <v>0</v>
      </c>
      <c r="AN58" s="25" t="s">
        <v>379</v>
      </c>
      <c r="AO58" s="25" t="s">
        <v>322</v>
      </c>
      <c r="AP58" s="19" t="s">
        <v>328</v>
      </c>
      <c r="AR58" s="104" t="s">
        <v>785</v>
      </c>
      <c r="AS58" s="197">
        <v>0</v>
      </c>
    </row>
    <row r="59" spans="1:47" s="58" customFormat="1" hidden="1">
      <c r="A59" s="4" t="s">
        <v>44</v>
      </c>
      <c r="B59" s="5"/>
      <c r="C59" s="5" t="s">
        <v>381</v>
      </c>
      <c r="D59" s="5" t="s">
        <v>1016</v>
      </c>
      <c r="E59" s="5" t="s">
        <v>273</v>
      </c>
      <c r="F59" s="15">
        <v>0</v>
      </c>
      <c r="G59" s="15"/>
      <c r="H59" s="15">
        <f t="shared" ref="H59" si="49">F59*AD59</f>
        <v>0</v>
      </c>
      <c r="I59" s="15">
        <f>J59-H59</f>
        <v>0</v>
      </c>
      <c r="J59" s="61">
        <f t="shared" ref="J59" si="50">F59*G59</f>
        <v>0</v>
      </c>
      <c r="K59" s="165">
        <v>1.072E-2</v>
      </c>
      <c r="L59" s="15">
        <f t="shared" ref="L59" si="51">F59*K59</f>
        <v>0</v>
      </c>
      <c r="M59" s="21" t="s">
        <v>290</v>
      </c>
      <c r="N59" s="15">
        <f t="shared" ref="N59" si="52">IF(M59="5",I59,0)</f>
        <v>0</v>
      </c>
      <c r="Y59" s="110">
        <f t="shared" ref="Y59" si="53">IF(AC59=0,J59,0)</f>
        <v>0</v>
      </c>
      <c r="Z59" s="110">
        <f t="shared" ref="Z59" si="54">IF(AC59=15,J59,0)</f>
        <v>0</v>
      </c>
      <c r="AA59" s="110">
        <f t="shared" ref="AA59" si="55">IF(AC59=21,J59,0)</f>
        <v>0</v>
      </c>
      <c r="AC59" s="24">
        <v>15</v>
      </c>
      <c r="AD59" s="113">
        <f t="shared" ref="AD59" si="56">G59*0.81143570536829</f>
        <v>0</v>
      </c>
      <c r="AE59" s="113">
        <f t="shared" ref="AE59" si="57">G59*(1-0.81143570536829)</f>
        <v>0</v>
      </c>
      <c r="AL59" s="24">
        <f t="shared" ref="AL59" si="58">F59*AD59</f>
        <v>0</v>
      </c>
      <c r="AM59" s="24">
        <f t="shared" ref="AM59" si="59">F59*AE59</f>
        <v>0</v>
      </c>
      <c r="AN59" s="25" t="s">
        <v>379</v>
      </c>
      <c r="AO59" s="25" t="s">
        <v>322</v>
      </c>
      <c r="AP59" s="19" t="s">
        <v>328</v>
      </c>
      <c r="AR59" s="104" t="s">
        <v>785</v>
      </c>
      <c r="AS59" s="198">
        <v>1.072E-2</v>
      </c>
      <c r="AU59" s="292"/>
    </row>
    <row r="60" spans="1:47" hidden="1">
      <c r="A60" s="4" t="s">
        <v>1009</v>
      </c>
      <c r="B60" s="4"/>
      <c r="C60" s="5" t="s">
        <v>1012</v>
      </c>
      <c r="D60" s="5" t="s">
        <v>1017</v>
      </c>
      <c r="E60" s="5" t="s">
        <v>273</v>
      </c>
      <c r="F60" s="15">
        <v>0</v>
      </c>
      <c r="G60" s="15"/>
      <c r="H60" s="15">
        <f t="shared" ref="H60:H62" si="60">F60*AD60</f>
        <v>0</v>
      </c>
      <c r="I60" s="15">
        <f t="shared" ref="I60:I62" si="61">J60-H60</f>
        <v>0</v>
      </c>
      <c r="J60" s="61">
        <f t="shared" ref="J60:J62" si="62">F60*G60</f>
        <v>0</v>
      </c>
      <c r="K60" s="165">
        <v>1.0107200000000001</v>
      </c>
      <c r="L60" s="15">
        <f t="shared" ref="L60:L62" si="63">F60*K60</f>
        <v>0</v>
      </c>
      <c r="M60" s="21" t="s">
        <v>6</v>
      </c>
      <c r="N60" s="15">
        <f t="shared" ref="N60:N62" si="64">IF(M60="5",I60,0)</f>
        <v>0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110">
        <f t="shared" ref="Y60:Y62" si="65">IF(AC60=0,J60,0)</f>
        <v>0</v>
      </c>
      <c r="Z60" s="110">
        <f t="shared" ref="Z60:Z62" si="66">IF(AC60=15,J60,0)</f>
        <v>0</v>
      </c>
      <c r="AA60" s="110">
        <f t="shared" ref="AA60:AA62" si="67">IF(AC60=21,J60,0)</f>
        <v>0</v>
      </c>
      <c r="AB60" s="58"/>
      <c r="AC60" s="24">
        <v>16</v>
      </c>
      <c r="AD60" s="113">
        <f t="shared" ref="AD60:AD62" si="68">G60*0.81143570536829</f>
        <v>0</v>
      </c>
      <c r="AE60" s="113">
        <f t="shared" ref="AE60:AE62" si="69">G60*(1-0.81143570536829)</f>
        <v>0</v>
      </c>
      <c r="AF60" s="58"/>
      <c r="AG60" s="58"/>
      <c r="AH60" s="58"/>
      <c r="AI60" s="58"/>
      <c r="AJ60" s="58"/>
      <c r="AK60" s="58"/>
      <c r="AL60" s="24">
        <f t="shared" ref="AL60:AL62" si="70">F60*AD60</f>
        <v>0</v>
      </c>
      <c r="AM60" s="24">
        <f t="shared" ref="AM60:AM62" si="71">F60*AE60</f>
        <v>0</v>
      </c>
      <c r="AN60" s="25" t="s">
        <v>379</v>
      </c>
      <c r="AO60" s="25" t="s">
        <v>322</v>
      </c>
      <c r="AP60" s="19" t="s">
        <v>328</v>
      </c>
      <c r="AQ60" s="58"/>
      <c r="AR60" s="104" t="s">
        <v>785</v>
      </c>
      <c r="AS60" s="198">
        <v>1.0107200000000001</v>
      </c>
    </row>
    <row r="61" spans="1:47" hidden="1">
      <c r="A61" s="4" t="s">
        <v>1010</v>
      </c>
      <c r="B61" s="4"/>
      <c r="C61" s="5" t="s">
        <v>1013</v>
      </c>
      <c r="D61" s="5" t="s">
        <v>1018</v>
      </c>
      <c r="E61" s="5" t="s">
        <v>273</v>
      </c>
      <c r="F61" s="15">
        <v>0</v>
      </c>
      <c r="G61" s="15"/>
      <c r="H61" s="15">
        <f t="shared" si="60"/>
        <v>0</v>
      </c>
      <c r="I61" s="15">
        <f t="shared" si="61"/>
        <v>0</v>
      </c>
      <c r="J61" s="61">
        <f t="shared" si="62"/>
        <v>0</v>
      </c>
      <c r="K61" s="165">
        <v>2.0107200000000001</v>
      </c>
      <c r="L61" s="15">
        <f t="shared" si="63"/>
        <v>0</v>
      </c>
      <c r="M61" s="21" t="s">
        <v>7</v>
      </c>
      <c r="N61" s="15">
        <f t="shared" si="64"/>
        <v>0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110">
        <f t="shared" si="65"/>
        <v>0</v>
      </c>
      <c r="Z61" s="110">
        <f t="shared" si="66"/>
        <v>0</v>
      </c>
      <c r="AA61" s="110">
        <f t="shared" si="67"/>
        <v>0</v>
      </c>
      <c r="AB61" s="58"/>
      <c r="AC61" s="24">
        <v>17</v>
      </c>
      <c r="AD61" s="113">
        <f t="shared" si="68"/>
        <v>0</v>
      </c>
      <c r="AE61" s="113">
        <f t="shared" si="69"/>
        <v>0</v>
      </c>
      <c r="AF61" s="58"/>
      <c r="AG61" s="58"/>
      <c r="AH61" s="58"/>
      <c r="AI61" s="58"/>
      <c r="AJ61" s="58"/>
      <c r="AK61" s="58"/>
      <c r="AL61" s="24">
        <f t="shared" si="70"/>
        <v>0</v>
      </c>
      <c r="AM61" s="24">
        <f t="shared" si="71"/>
        <v>0</v>
      </c>
      <c r="AN61" s="25" t="s">
        <v>379</v>
      </c>
      <c r="AO61" s="25" t="s">
        <v>322</v>
      </c>
      <c r="AP61" s="19" t="s">
        <v>328</v>
      </c>
      <c r="AQ61" s="58"/>
      <c r="AR61" s="104" t="s">
        <v>785</v>
      </c>
      <c r="AS61" s="198">
        <v>2.0107200000000001</v>
      </c>
    </row>
    <row r="62" spans="1:47" s="58" customFormat="1" hidden="1">
      <c r="A62" s="4" t="s">
        <v>1011</v>
      </c>
      <c r="B62" s="5"/>
      <c r="C62" s="5" t="s">
        <v>1014</v>
      </c>
      <c r="D62" s="5" t="s">
        <v>1015</v>
      </c>
      <c r="E62" s="5" t="s">
        <v>273</v>
      </c>
      <c r="F62" s="15">
        <v>0</v>
      </c>
      <c r="G62" s="15"/>
      <c r="H62" s="15">
        <f t="shared" si="60"/>
        <v>0</v>
      </c>
      <c r="I62" s="15">
        <f t="shared" si="61"/>
        <v>0</v>
      </c>
      <c r="J62" s="61">
        <f t="shared" si="62"/>
        <v>0</v>
      </c>
      <c r="K62" s="165">
        <v>3.0107200000000001</v>
      </c>
      <c r="L62" s="15">
        <f t="shared" si="63"/>
        <v>0</v>
      </c>
      <c r="M62" s="21" t="s">
        <v>8</v>
      </c>
      <c r="N62" s="15">
        <f t="shared" si="64"/>
        <v>0</v>
      </c>
      <c r="Y62" s="110">
        <f t="shared" si="65"/>
        <v>0</v>
      </c>
      <c r="Z62" s="110">
        <f t="shared" si="66"/>
        <v>0</v>
      </c>
      <c r="AA62" s="110">
        <f t="shared" si="67"/>
        <v>0</v>
      </c>
      <c r="AC62" s="24">
        <v>18</v>
      </c>
      <c r="AD62" s="113">
        <f t="shared" si="68"/>
        <v>0</v>
      </c>
      <c r="AE62" s="113">
        <f t="shared" si="69"/>
        <v>0</v>
      </c>
      <c r="AL62" s="24">
        <f t="shared" si="70"/>
        <v>0</v>
      </c>
      <c r="AM62" s="24">
        <f t="shared" si="71"/>
        <v>0</v>
      </c>
      <c r="AN62" s="25" t="s">
        <v>379</v>
      </c>
      <c r="AO62" s="25" t="s">
        <v>322</v>
      </c>
      <c r="AP62" s="19" t="s">
        <v>328</v>
      </c>
      <c r="AR62" s="104" t="s">
        <v>785</v>
      </c>
      <c r="AS62" s="198">
        <v>3.0107200000000001</v>
      </c>
      <c r="AU62" s="292"/>
    </row>
    <row r="63" spans="1:47" s="45" customFormat="1" hidden="1">
      <c r="A63" s="4" t="s">
        <v>45</v>
      </c>
      <c r="B63" s="46"/>
      <c r="C63" s="146" t="s">
        <v>1019</v>
      </c>
      <c r="D63" s="140" t="s">
        <v>404</v>
      </c>
      <c r="E63" s="47" t="s">
        <v>273</v>
      </c>
      <c r="F63" s="49">
        <v>0</v>
      </c>
      <c r="G63" s="48"/>
      <c r="H63" s="48">
        <f>IF(B63="MAT",0,F63*G63)</f>
        <v>0</v>
      </c>
      <c r="I63" s="48">
        <f>IF(B63="MAT",F63*G63,0)</f>
        <v>0</v>
      </c>
      <c r="J63" s="61">
        <f t="shared" si="40"/>
        <v>0</v>
      </c>
      <c r="K63" s="171">
        <v>0.18859999999999999</v>
      </c>
      <c r="L63" s="49">
        <f>K63*F63</f>
        <v>0</v>
      </c>
      <c r="M63" s="49">
        <v>1</v>
      </c>
      <c r="N63" s="14">
        <f t="shared" si="42"/>
        <v>0</v>
      </c>
      <c r="Y63" s="110">
        <f t="shared" si="43"/>
        <v>0</v>
      </c>
      <c r="Z63" s="110">
        <f t="shared" si="44"/>
        <v>0</v>
      </c>
      <c r="AA63" s="110">
        <f t="shared" si="45"/>
        <v>0</v>
      </c>
      <c r="AC63" s="24">
        <v>15</v>
      </c>
      <c r="AD63" s="113">
        <f t="shared" si="9"/>
        <v>0</v>
      </c>
      <c r="AE63" s="113">
        <f t="shared" si="10"/>
        <v>0</v>
      </c>
      <c r="AL63" s="24">
        <f t="shared" si="46"/>
        <v>0</v>
      </c>
      <c r="AM63" s="24">
        <f t="shared" si="47"/>
        <v>0</v>
      </c>
      <c r="AN63" s="25" t="s">
        <v>379</v>
      </c>
      <c r="AO63" s="25" t="s">
        <v>322</v>
      </c>
      <c r="AP63" s="19" t="s">
        <v>328</v>
      </c>
      <c r="AR63" s="104" t="s">
        <v>785</v>
      </c>
      <c r="AS63" s="201">
        <v>0.18859999999999999</v>
      </c>
      <c r="AU63" s="293"/>
    </row>
    <row r="64" spans="1:47" hidden="1">
      <c r="A64" s="4" t="s">
        <v>46</v>
      </c>
      <c r="B64" s="4"/>
      <c r="C64" s="4" t="s">
        <v>148</v>
      </c>
      <c r="D64" s="4" t="s">
        <v>795</v>
      </c>
      <c r="E64" s="4" t="s">
        <v>274</v>
      </c>
      <c r="F64" s="14">
        <v>0</v>
      </c>
      <c r="G64" s="14"/>
      <c r="H64" s="14">
        <f>F64*AD64</f>
        <v>0</v>
      </c>
      <c r="I64" s="14">
        <f>J64-H64</f>
        <v>0</v>
      </c>
      <c r="J64" s="61">
        <f t="shared" si="40"/>
        <v>0</v>
      </c>
      <c r="K64" s="164">
        <v>4.0000000000000003E-5</v>
      </c>
      <c r="L64" s="14">
        <f>F64*K64</f>
        <v>0</v>
      </c>
      <c r="M64" s="20" t="s">
        <v>6</v>
      </c>
      <c r="N64" s="14">
        <f t="shared" si="42"/>
        <v>0</v>
      </c>
      <c r="Y64" s="110">
        <f t="shared" si="43"/>
        <v>0</v>
      </c>
      <c r="Z64" s="110">
        <f t="shared" si="44"/>
        <v>0</v>
      </c>
      <c r="AA64" s="110">
        <f t="shared" si="45"/>
        <v>0</v>
      </c>
      <c r="AC64" s="24">
        <v>15</v>
      </c>
      <c r="AD64" s="113">
        <f t="shared" si="9"/>
        <v>0</v>
      </c>
      <c r="AE64" s="113">
        <f t="shared" si="10"/>
        <v>0</v>
      </c>
      <c r="AL64" s="24">
        <f t="shared" si="46"/>
        <v>0</v>
      </c>
      <c r="AM64" s="24">
        <f t="shared" si="47"/>
        <v>0</v>
      </c>
      <c r="AN64" s="25" t="s">
        <v>310</v>
      </c>
      <c r="AO64" s="25" t="s">
        <v>325</v>
      </c>
      <c r="AP64" s="19" t="s">
        <v>328</v>
      </c>
      <c r="AS64" s="197">
        <v>4.0000000000000003E-5</v>
      </c>
    </row>
    <row r="65" spans="1:47" s="104" customFormat="1" hidden="1">
      <c r="A65" s="4" t="s">
        <v>47</v>
      </c>
      <c r="B65" s="4"/>
      <c r="C65" s="4" t="s">
        <v>873</v>
      </c>
      <c r="D65" s="4" t="s">
        <v>874</v>
      </c>
      <c r="E65" s="4" t="s">
        <v>272</v>
      </c>
      <c r="F65" s="14">
        <v>0</v>
      </c>
      <c r="G65" s="14"/>
      <c r="H65" s="14">
        <f>F65*AD65</f>
        <v>0</v>
      </c>
      <c r="I65" s="14">
        <f t="shared" si="48"/>
        <v>0</v>
      </c>
      <c r="J65" s="61">
        <f t="shared" si="40"/>
        <v>0</v>
      </c>
      <c r="K65" s="164">
        <v>6.5799999999999999E-3</v>
      </c>
      <c r="L65" s="14">
        <f>F65*K65</f>
        <v>0</v>
      </c>
      <c r="M65" s="20" t="s">
        <v>6</v>
      </c>
      <c r="N65" s="14">
        <f t="shared" si="42"/>
        <v>0</v>
      </c>
      <c r="Y65" s="110">
        <f t="shared" si="43"/>
        <v>0</v>
      </c>
      <c r="Z65" s="110">
        <f t="shared" si="44"/>
        <v>0</v>
      </c>
      <c r="AA65" s="110">
        <f t="shared" si="45"/>
        <v>0</v>
      </c>
      <c r="AC65" s="24">
        <v>15</v>
      </c>
      <c r="AD65" s="113">
        <f t="shared" si="9"/>
        <v>0</v>
      </c>
      <c r="AE65" s="113">
        <f t="shared" si="10"/>
        <v>0</v>
      </c>
      <c r="AL65" s="24">
        <f t="shared" si="46"/>
        <v>0</v>
      </c>
      <c r="AM65" s="24">
        <f t="shared" si="47"/>
        <v>0</v>
      </c>
      <c r="AN65" s="25" t="s">
        <v>304</v>
      </c>
      <c r="AO65" s="25" t="s">
        <v>322</v>
      </c>
      <c r="AP65" s="105" t="s">
        <v>328</v>
      </c>
      <c r="AR65" s="104" t="s">
        <v>785</v>
      </c>
      <c r="AS65" s="197">
        <v>6.5799999999999999E-3</v>
      </c>
      <c r="AU65" s="288"/>
    </row>
    <row r="66" spans="1:47">
      <c r="A66" s="6"/>
      <c r="B66" s="12"/>
      <c r="C66" s="12" t="s">
        <v>63</v>
      </c>
      <c r="D66" s="100" t="s">
        <v>205</v>
      </c>
      <c r="E66" s="101"/>
      <c r="F66" s="101"/>
      <c r="G66" s="101"/>
      <c r="H66" s="27">
        <f>SUM(H67:H69)</f>
        <v>0</v>
      </c>
      <c r="I66" s="27">
        <f>SUM(I67:I69)</f>
        <v>0</v>
      </c>
      <c r="J66" s="27">
        <f>H66+I66</f>
        <v>0</v>
      </c>
      <c r="K66" s="167"/>
      <c r="L66" s="27">
        <f>SUM(L67:L69)</f>
        <v>1.1787749999999999</v>
      </c>
      <c r="O66" s="27">
        <f>IF(P66="PR",J66,SUM(N67:N69))</f>
        <v>0</v>
      </c>
      <c r="P66" s="19" t="s">
        <v>293</v>
      </c>
      <c r="Q66" s="27">
        <f>IF(P66="HS",H66,0)</f>
        <v>0</v>
      </c>
      <c r="R66" s="27">
        <f>IF(P66="HS",I66-O66,0)</f>
        <v>0</v>
      </c>
      <c r="S66" s="27">
        <f>IF(P66="PS",H66,0)</f>
        <v>0</v>
      </c>
      <c r="T66" s="27">
        <f>IF(P66="PS",I66-O66,0)</f>
        <v>0</v>
      </c>
      <c r="U66" s="27">
        <f>IF(P66="MP",H66,0)</f>
        <v>0</v>
      </c>
      <c r="V66" s="27">
        <f>IF(P66="MP",I66-O66,0)</f>
        <v>0</v>
      </c>
      <c r="W66" s="27">
        <f>IF(P66="OM",H66,0)</f>
        <v>0</v>
      </c>
      <c r="X66" s="19"/>
      <c r="Y66" s="110"/>
      <c r="Z66" s="110"/>
      <c r="AA66" s="110"/>
      <c r="AD66" s="113"/>
      <c r="AE66" s="113"/>
      <c r="AH66" s="27">
        <f>SUM(Y67:Y69)</f>
        <v>0</v>
      </c>
      <c r="AI66" s="27">
        <f>SUM(Z67:Z69)</f>
        <v>0</v>
      </c>
      <c r="AJ66" s="27">
        <f>SUM(AA67:AA69)</f>
        <v>0</v>
      </c>
      <c r="AS66" s="199"/>
    </row>
    <row r="67" spans="1:47" s="104" customFormat="1" hidden="1">
      <c r="A67" s="4" t="s">
        <v>48</v>
      </c>
      <c r="B67" s="4"/>
      <c r="C67" s="4" t="s">
        <v>841</v>
      </c>
      <c r="D67" s="4" t="s">
        <v>1071</v>
      </c>
      <c r="E67" s="4" t="s">
        <v>272</v>
      </c>
      <c r="F67" s="14">
        <f>Výměry!U60*2*0</f>
        <v>0</v>
      </c>
      <c r="G67" s="14"/>
      <c r="H67" s="14">
        <f>F67*AD67</f>
        <v>0</v>
      </c>
      <c r="I67" s="14">
        <f>J67-H67</f>
        <v>0</v>
      </c>
      <c r="J67" s="14">
        <f>F67*G67</f>
        <v>0</v>
      </c>
      <c r="K67" s="164">
        <v>3.15E-3</v>
      </c>
      <c r="L67" s="14">
        <f>F67*K67</f>
        <v>0</v>
      </c>
      <c r="M67" s="20" t="s">
        <v>6</v>
      </c>
      <c r="N67" s="14">
        <f>IF(M67="5",I67,0)</f>
        <v>0</v>
      </c>
      <c r="Y67" s="110">
        <f>IF(AC67=0,J67,0)</f>
        <v>0</v>
      </c>
      <c r="Z67" s="110">
        <f>IF(AC67=15,J67,0)</f>
        <v>0</v>
      </c>
      <c r="AA67" s="110">
        <f>IF(AC67=21,J67,0)</f>
        <v>0</v>
      </c>
      <c r="AC67" s="24">
        <v>15</v>
      </c>
      <c r="AD67" s="113">
        <f t="shared" si="9"/>
        <v>0</v>
      </c>
      <c r="AE67" s="113">
        <f t="shared" si="10"/>
        <v>0</v>
      </c>
      <c r="AL67" s="24">
        <f>F67*AD67</f>
        <v>0</v>
      </c>
      <c r="AM67" s="24">
        <f>F67*AE67</f>
        <v>0</v>
      </c>
      <c r="AN67" s="25" t="s">
        <v>305</v>
      </c>
      <c r="AO67" s="25" t="s">
        <v>322</v>
      </c>
      <c r="AP67" s="105" t="s">
        <v>328</v>
      </c>
      <c r="AR67" s="104" t="s">
        <v>785</v>
      </c>
      <c r="AS67" s="197">
        <v>3.15E-3</v>
      </c>
      <c r="AU67" s="288"/>
    </row>
    <row r="68" spans="1:47" s="125" customFormat="1" ht="25.5">
      <c r="A68" s="4" t="s">
        <v>49</v>
      </c>
      <c r="B68" s="122"/>
      <c r="C68" s="4" t="s">
        <v>1115</v>
      </c>
      <c r="D68" s="135" t="s">
        <v>1116</v>
      </c>
      <c r="E68" s="4" t="s">
        <v>272</v>
      </c>
      <c r="F68" s="123">
        <f>(0.75*0.62*1.3)*6*5</f>
        <v>18.134999999999998</v>
      </c>
      <c r="G68" s="123"/>
      <c r="H68" s="123">
        <f>F68*AD68</f>
        <v>0</v>
      </c>
      <c r="I68" s="123">
        <f>J68-H68</f>
        <v>0</v>
      </c>
      <c r="J68" s="123">
        <f>F68*G68</f>
        <v>0</v>
      </c>
      <c r="K68" s="170">
        <v>6.5000000000000002E-2</v>
      </c>
      <c r="L68" s="123">
        <f>F68*K68</f>
        <v>1.1787749999999999</v>
      </c>
      <c r="M68" s="124" t="s">
        <v>6</v>
      </c>
      <c r="N68" s="123">
        <f>IF(M68="5",I68,0)</f>
        <v>0</v>
      </c>
      <c r="Y68" s="110">
        <f>IF(AC68=0,J68,0)</f>
        <v>0</v>
      </c>
      <c r="Z68" s="110">
        <f>IF(AC68=15,J68,0)</f>
        <v>0</v>
      </c>
      <c r="AA68" s="110">
        <f>IF(AC68=21,J68,0)</f>
        <v>0</v>
      </c>
      <c r="AC68" s="126">
        <v>15</v>
      </c>
      <c r="AD68" s="113">
        <f t="shared" si="9"/>
        <v>0</v>
      </c>
      <c r="AE68" s="113">
        <f t="shared" si="10"/>
        <v>0</v>
      </c>
      <c r="AL68" s="126">
        <f>F68*AD68</f>
        <v>0</v>
      </c>
      <c r="AM68" s="126">
        <f>F68*AE68</f>
        <v>0</v>
      </c>
      <c r="AN68" s="127" t="s">
        <v>305</v>
      </c>
      <c r="AO68" s="127" t="s">
        <v>322</v>
      </c>
      <c r="AP68" s="128" t="s">
        <v>328</v>
      </c>
      <c r="AR68" t="s">
        <v>788</v>
      </c>
      <c r="AS68" s="197">
        <v>0.105</v>
      </c>
      <c r="AU68" s="291"/>
    </row>
    <row r="69" spans="1:47" s="104" customFormat="1" hidden="1">
      <c r="A69" s="4" t="s">
        <v>50</v>
      </c>
      <c r="B69" s="4"/>
      <c r="C69" s="4" t="s">
        <v>113</v>
      </c>
      <c r="D69" s="146" t="s">
        <v>1072</v>
      </c>
      <c r="E69" s="4" t="s">
        <v>272</v>
      </c>
      <c r="F69" s="14">
        <f>Výměry!P24*0</f>
        <v>0</v>
      </c>
      <c r="G69" s="14">
        <v>281.3</v>
      </c>
      <c r="H69" s="14">
        <f>F69*AD69</f>
        <v>0</v>
      </c>
      <c r="I69" s="14">
        <f>J69-H69</f>
        <v>0</v>
      </c>
      <c r="J69" s="14">
        <f>F69*G69</f>
        <v>0</v>
      </c>
      <c r="K69" s="164">
        <v>3.15E-3</v>
      </c>
      <c r="L69" s="14">
        <f>F69*K69</f>
        <v>0</v>
      </c>
      <c r="M69" s="20" t="s">
        <v>6</v>
      </c>
      <c r="N69" s="14">
        <f>IF(M69="5",I69,0)</f>
        <v>0</v>
      </c>
      <c r="Y69" s="110">
        <f>IF(AC69=0,J69,0)</f>
        <v>0</v>
      </c>
      <c r="Z69" s="110">
        <f>IF(AC69=15,J69,0)</f>
        <v>0</v>
      </c>
      <c r="AA69" s="110">
        <f>IF(AC69=21,J69,0)</f>
        <v>0</v>
      </c>
      <c r="AC69" s="24">
        <v>15</v>
      </c>
      <c r="AD69" s="113">
        <f t="shared" si="9"/>
        <v>228.25686392009999</v>
      </c>
      <c r="AE69" s="113">
        <f t="shared" si="10"/>
        <v>53.043136079900023</v>
      </c>
      <c r="AL69" s="24">
        <f>F69*AD69</f>
        <v>0</v>
      </c>
      <c r="AM69" s="24">
        <f>F69*AE69</f>
        <v>0</v>
      </c>
      <c r="AN69" s="25" t="s">
        <v>305</v>
      </c>
      <c r="AO69" s="25" t="s">
        <v>322</v>
      </c>
      <c r="AP69" s="105" t="s">
        <v>328</v>
      </c>
      <c r="AR69" s="104" t="s">
        <v>785</v>
      </c>
      <c r="AS69" s="197">
        <v>3.15E-3</v>
      </c>
      <c r="AU69" s="288"/>
    </row>
    <row r="70" spans="1:47">
      <c r="A70" s="6"/>
      <c r="B70" s="12"/>
      <c r="C70" s="12" t="s">
        <v>114</v>
      </c>
      <c r="D70" s="100" t="s">
        <v>206</v>
      </c>
      <c r="E70" s="101"/>
      <c r="F70" s="101"/>
      <c r="G70" s="101"/>
      <c r="H70" s="27">
        <f>SUM(H71:H71)</f>
        <v>0</v>
      </c>
      <c r="I70" s="27">
        <f>SUM(I71:I71)</f>
        <v>0</v>
      </c>
      <c r="J70" s="27">
        <f>H70+I70</f>
        <v>0</v>
      </c>
      <c r="K70" s="167"/>
      <c r="L70" s="27">
        <f>SUM(L71:L71)</f>
        <v>0</v>
      </c>
      <c r="O70" s="27">
        <f>IF(P70="PR",J70,SUM(N71:N71))</f>
        <v>0</v>
      </c>
      <c r="P70" s="19" t="s">
        <v>294</v>
      </c>
      <c r="Q70" s="27">
        <f>IF(P70="HS",H70,0)</f>
        <v>0</v>
      </c>
      <c r="R70" s="27">
        <f>IF(P70="HS",I70-O70,0)</f>
        <v>0</v>
      </c>
      <c r="S70" s="27">
        <f>IF(P70="PS",H70,0)</f>
        <v>0</v>
      </c>
      <c r="T70" s="27">
        <f>IF(P70="PS",I70-O70,0)</f>
        <v>0</v>
      </c>
      <c r="U70" s="27">
        <f>IF(P70="MP",H70,0)</f>
        <v>0</v>
      </c>
      <c r="V70" s="27">
        <f>IF(P70="MP",I70-O70,0)</f>
        <v>0</v>
      </c>
      <c r="W70" s="27">
        <f>IF(P70="OM",H70,0)</f>
        <v>0</v>
      </c>
      <c r="X70" s="19"/>
      <c r="Y70" s="110"/>
      <c r="Z70" s="110"/>
      <c r="AA70" s="110"/>
      <c r="AD70" s="113"/>
      <c r="AE70" s="113"/>
      <c r="AH70" s="27">
        <f>SUM(Y71:Y71)</f>
        <v>0</v>
      </c>
      <c r="AI70" s="27">
        <f>SUM(Z71:Z71)</f>
        <v>0</v>
      </c>
      <c r="AJ70" s="27">
        <f>SUM(AA71:AA71)</f>
        <v>0</v>
      </c>
      <c r="AS70" s="199"/>
    </row>
    <row r="71" spans="1:47" ht="38.25">
      <c r="A71" s="318" t="s">
        <v>51</v>
      </c>
      <c r="B71" s="318"/>
      <c r="C71" s="318"/>
      <c r="D71" s="317" t="s">
        <v>1180</v>
      </c>
      <c r="E71" s="318" t="s">
        <v>372</v>
      </c>
      <c r="F71" s="319">
        <v>1</v>
      </c>
      <c r="G71" s="320">
        <f>ZTI!G3</f>
        <v>0</v>
      </c>
      <c r="H71" s="319">
        <f>F71*AD71</f>
        <v>0</v>
      </c>
      <c r="I71" s="319">
        <f>J71-H71</f>
        <v>0</v>
      </c>
      <c r="J71" s="319">
        <f>F71*G71</f>
        <v>0</v>
      </c>
      <c r="K71" s="321">
        <v>0</v>
      </c>
      <c r="L71" s="319">
        <v>0</v>
      </c>
      <c r="M71" s="20" t="s">
        <v>6</v>
      </c>
      <c r="N71" s="14">
        <f>IF(M71="5",I71,0)</f>
        <v>0</v>
      </c>
      <c r="Y71" s="110">
        <f>IF(AC71=0,J71,0)</f>
        <v>0</v>
      </c>
      <c r="Z71" s="110">
        <f>IF(AC71=15,J71,0)</f>
        <v>0</v>
      </c>
      <c r="AA71" s="110">
        <f>IF(AC71=21,J71,0)</f>
        <v>0</v>
      </c>
      <c r="AC71" s="24">
        <v>15</v>
      </c>
      <c r="AD71" s="113">
        <f t="shared" si="9"/>
        <v>0</v>
      </c>
      <c r="AE71" s="113">
        <f t="shared" si="10"/>
        <v>0</v>
      </c>
      <c r="AL71" s="24">
        <f>F71*AD71</f>
        <v>0</v>
      </c>
      <c r="AM71" s="24">
        <f>F71*AE71</f>
        <v>0</v>
      </c>
      <c r="AN71" s="25" t="s">
        <v>306</v>
      </c>
      <c r="AO71" s="25" t="s">
        <v>323</v>
      </c>
      <c r="AP71" s="19" t="s">
        <v>328</v>
      </c>
      <c r="AR71" t="s">
        <v>786</v>
      </c>
      <c r="AS71" s="197">
        <v>0.1351</v>
      </c>
    </row>
    <row r="72" spans="1:47" hidden="1">
      <c r="A72" s="6"/>
      <c r="B72" s="12"/>
      <c r="C72" s="12" t="s">
        <v>115</v>
      </c>
      <c r="D72" s="100" t="s">
        <v>207</v>
      </c>
      <c r="E72" s="101"/>
      <c r="F72" s="101"/>
      <c r="G72" s="101"/>
      <c r="H72" s="27">
        <f>SUM(H73:H125)</f>
        <v>0</v>
      </c>
      <c r="I72" s="27">
        <f>SUM(I73:I125)</f>
        <v>0</v>
      </c>
      <c r="J72" s="27">
        <f>H72+I72</f>
        <v>0</v>
      </c>
      <c r="K72" s="167"/>
      <c r="L72" s="27">
        <f>SUM(L73:L124)</f>
        <v>0</v>
      </c>
      <c r="O72" s="27">
        <f>IF(P72="PR",J72,SUM(N73:N125))</f>
        <v>0</v>
      </c>
      <c r="P72" s="19" t="s">
        <v>294</v>
      </c>
      <c r="Q72" s="27">
        <f>IF(P72="HS",H72,0)</f>
        <v>0</v>
      </c>
      <c r="R72" s="27">
        <f>IF(P72="HS",I72-O72,0)</f>
        <v>0</v>
      </c>
      <c r="S72" s="27">
        <f>IF(P72="PS",H72,0)</f>
        <v>0</v>
      </c>
      <c r="T72" s="27">
        <f>IF(P72="PS",I72-O72,0)</f>
        <v>0</v>
      </c>
      <c r="U72" s="27">
        <f>IF(P72="MP",H72,0)</f>
        <v>0</v>
      </c>
      <c r="V72" s="27">
        <f>IF(P72="MP",I72-O72,0)</f>
        <v>0</v>
      </c>
      <c r="W72" s="27">
        <f>IF(P72="OM",H72,0)</f>
        <v>0</v>
      </c>
      <c r="X72" s="19"/>
      <c r="Y72" s="110"/>
      <c r="Z72" s="110"/>
      <c r="AA72" s="110"/>
      <c r="AD72" s="113"/>
      <c r="AE72" s="113"/>
      <c r="AH72" s="27">
        <f>SUM(Y73:Y125)</f>
        <v>0</v>
      </c>
      <c r="AI72" s="27">
        <f>SUM(Z73:Z125)</f>
        <v>0</v>
      </c>
      <c r="AJ72" s="27">
        <f>SUM(AA73:AA125)</f>
        <v>0</v>
      </c>
      <c r="AS72" s="199"/>
    </row>
    <row r="73" spans="1:47" hidden="1">
      <c r="A73" s="4" t="s">
        <v>52</v>
      </c>
      <c r="B73" s="4"/>
      <c r="C73" s="4" t="s">
        <v>128</v>
      </c>
      <c r="D73" s="4" t="s">
        <v>213</v>
      </c>
      <c r="E73" s="4" t="s">
        <v>275</v>
      </c>
      <c r="F73" s="14">
        <v>0</v>
      </c>
      <c r="G73" s="14">
        <v>168</v>
      </c>
      <c r="H73" s="14">
        <f t="shared" ref="H73:H104" si="72">F73*AD73</f>
        <v>0</v>
      </c>
      <c r="I73" s="14">
        <f t="shared" ref="I73:I89" si="73">J73-H73</f>
        <v>0</v>
      </c>
      <c r="J73" s="14">
        <f t="shared" ref="J73:J105" si="74">F73*G73</f>
        <v>0</v>
      </c>
      <c r="K73" s="164">
        <v>3.1E-2</v>
      </c>
      <c r="L73" s="14">
        <f t="shared" ref="L73:L105" si="75">F73*K73</f>
        <v>0</v>
      </c>
      <c r="M73" s="20" t="s">
        <v>6</v>
      </c>
      <c r="N73" s="14">
        <f t="shared" ref="N73:N112" si="76">IF(M73="5",I73,0)</f>
        <v>0</v>
      </c>
      <c r="Y73" s="110">
        <f t="shared" ref="Y73:Y104" si="77">IF(AC73=0,J73,0)</f>
        <v>0</v>
      </c>
      <c r="Z73" s="110">
        <f t="shared" ref="Z73:Z104" si="78">IF(AC73=15,J73,0)</f>
        <v>0</v>
      </c>
      <c r="AA73" s="110">
        <f t="shared" ref="AA73:AA104" si="79">IF(AC73=21,J73,0)</f>
        <v>0</v>
      </c>
      <c r="AC73" s="24">
        <v>15</v>
      </c>
      <c r="AD73" s="113">
        <f t="shared" si="9"/>
        <v>136.32119850187271</v>
      </c>
      <c r="AE73" s="113">
        <f t="shared" si="10"/>
        <v>31.678801498127278</v>
      </c>
      <c r="AL73" s="24">
        <f t="shared" ref="AL73:AL104" si="80">F73*AD73</f>
        <v>0</v>
      </c>
      <c r="AM73" s="24">
        <f t="shared" ref="AM73:AM104" si="81">F73*AE73</f>
        <v>0</v>
      </c>
      <c r="AN73" s="25" t="s">
        <v>307</v>
      </c>
      <c r="AO73" s="25" t="s">
        <v>323</v>
      </c>
      <c r="AP73" s="19" t="s">
        <v>328</v>
      </c>
      <c r="AR73" s="104" t="s">
        <v>787</v>
      </c>
      <c r="AS73" s="197">
        <v>3.1E-2</v>
      </c>
    </row>
    <row r="74" spans="1:47" hidden="1">
      <c r="A74" s="4" t="s">
        <v>53</v>
      </c>
      <c r="B74" s="4"/>
      <c r="C74" s="4" t="s">
        <v>116</v>
      </c>
      <c r="D74" s="4" t="s">
        <v>992</v>
      </c>
      <c r="E74" s="4" t="s">
        <v>275</v>
      </c>
      <c r="F74" s="14">
        <v>0</v>
      </c>
      <c r="G74" s="14">
        <v>3607</v>
      </c>
      <c r="H74" s="14">
        <f t="shared" si="72"/>
        <v>0</v>
      </c>
      <c r="I74" s="14">
        <f t="shared" si="73"/>
        <v>0</v>
      </c>
      <c r="J74" s="14">
        <f t="shared" si="74"/>
        <v>0</v>
      </c>
      <c r="K74" s="164">
        <v>3.1220000000000001E-2</v>
      </c>
      <c r="L74" s="14">
        <f t="shared" si="75"/>
        <v>0</v>
      </c>
      <c r="M74" s="20" t="s">
        <v>6</v>
      </c>
      <c r="N74" s="14">
        <f t="shared" si="76"/>
        <v>0</v>
      </c>
      <c r="Y74" s="110">
        <f t="shared" si="77"/>
        <v>0</v>
      </c>
      <c r="Z74" s="110">
        <f t="shared" si="78"/>
        <v>0</v>
      </c>
      <c r="AA74" s="110">
        <f t="shared" si="79"/>
        <v>0</v>
      </c>
      <c r="AC74" s="24">
        <v>15</v>
      </c>
      <c r="AD74" s="113">
        <f t="shared" si="9"/>
        <v>2926.8485892634221</v>
      </c>
      <c r="AE74" s="113">
        <f t="shared" si="10"/>
        <v>680.15141073657787</v>
      </c>
      <c r="AL74" s="24">
        <f t="shared" si="80"/>
        <v>0</v>
      </c>
      <c r="AM74" s="24">
        <f t="shared" si="81"/>
        <v>0</v>
      </c>
      <c r="AN74" s="25" t="s">
        <v>307</v>
      </c>
      <c r="AO74" s="25" t="s">
        <v>323</v>
      </c>
      <c r="AP74" s="19" t="s">
        <v>328</v>
      </c>
      <c r="AR74" s="104" t="s">
        <v>785</v>
      </c>
      <c r="AS74" s="197">
        <v>3.1220000000000001E-2</v>
      </c>
    </row>
    <row r="75" spans="1:47" s="112" customFormat="1" hidden="1">
      <c r="A75" s="4" t="s">
        <v>54</v>
      </c>
      <c r="B75" s="119"/>
      <c r="C75" s="119" t="s">
        <v>683</v>
      </c>
      <c r="D75" s="5" t="s">
        <v>993</v>
      </c>
      <c r="E75" s="119" t="s">
        <v>273</v>
      </c>
      <c r="F75" s="15">
        <v>0</v>
      </c>
      <c r="G75" s="15">
        <v>1520</v>
      </c>
      <c r="H75" s="120">
        <f t="shared" si="72"/>
        <v>0</v>
      </c>
      <c r="I75" s="120">
        <f t="shared" si="73"/>
        <v>0</v>
      </c>
      <c r="J75" s="14">
        <f t="shared" si="74"/>
        <v>0</v>
      </c>
      <c r="K75" s="172">
        <v>1.2800000000000001E-3</v>
      </c>
      <c r="L75" s="120">
        <f t="shared" si="75"/>
        <v>0</v>
      </c>
      <c r="M75" s="121" t="s">
        <v>290</v>
      </c>
      <c r="N75" s="120">
        <f t="shared" si="76"/>
        <v>0</v>
      </c>
      <c r="Y75" s="110">
        <f t="shared" si="77"/>
        <v>0</v>
      </c>
      <c r="Z75" s="110">
        <f t="shared" si="78"/>
        <v>0</v>
      </c>
      <c r="AA75" s="110">
        <f t="shared" si="79"/>
        <v>0</v>
      </c>
      <c r="AC75" s="113">
        <v>15</v>
      </c>
      <c r="AD75" s="113">
        <f t="shared" si="9"/>
        <v>1233.3822721598008</v>
      </c>
      <c r="AE75" s="113">
        <f t="shared" si="10"/>
        <v>286.61772784019917</v>
      </c>
      <c r="AL75" s="113">
        <f t="shared" si="80"/>
        <v>0</v>
      </c>
      <c r="AM75" s="113">
        <f t="shared" si="81"/>
        <v>0</v>
      </c>
      <c r="AN75" s="114" t="s">
        <v>682</v>
      </c>
      <c r="AO75" s="114" t="s">
        <v>328</v>
      </c>
      <c r="AP75" s="115" t="s">
        <v>328</v>
      </c>
      <c r="AR75" s="104" t="s">
        <v>787</v>
      </c>
      <c r="AS75" s="198">
        <v>1.2800000000000001E-3</v>
      </c>
      <c r="AU75" s="287"/>
    </row>
    <row r="76" spans="1:47" hidden="1">
      <c r="A76" s="4" t="s">
        <v>55</v>
      </c>
      <c r="B76" s="4"/>
      <c r="C76" s="4" t="s">
        <v>913</v>
      </c>
      <c r="D76" s="191" t="s">
        <v>914</v>
      </c>
      <c r="E76" s="4" t="s">
        <v>275</v>
      </c>
      <c r="F76" s="14">
        <v>0</v>
      </c>
      <c r="G76" s="14"/>
      <c r="H76" s="14">
        <f t="shared" si="72"/>
        <v>0</v>
      </c>
      <c r="I76" s="14">
        <f>J76-H76</f>
        <v>0</v>
      </c>
      <c r="J76" s="14">
        <f>F76*G76</f>
        <v>0</v>
      </c>
      <c r="K76" s="164">
        <v>3.1220000000000001E-2</v>
      </c>
      <c r="L76" s="14">
        <f>F76*K76</f>
        <v>0</v>
      </c>
      <c r="M76" s="20" t="s">
        <v>6</v>
      </c>
      <c r="N76" s="14">
        <f t="shared" si="76"/>
        <v>0</v>
      </c>
      <c r="Y76" s="110">
        <f t="shared" si="77"/>
        <v>0</v>
      </c>
      <c r="Z76" s="110">
        <f t="shared" si="78"/>
        <v>0</v>
      </c>
      <c r="AA76" s="110">
        <f t="shared" si="79"/>
        <v>0</v>
      </c>
      <c r="AC76" s="24">
        <v>15</v>
      </c>
      <c r="AD76" s="113">
        <f>G76*0.81143570536829</f>
        <v>0</v>
      </c>
      <c r="AE76" s="113">
        <f>G76*(1-0.81143570536829)</f>
        <v>0</v>
      </c>
      <c r="AL76" s="24">
        <f t="shared" si="80"/>
        <v>0</v>
      </c>
      <c r="AM76" s="24">
        <f t="shared" si="81"/>
        <v>0</v>
      </c>
      <c r="AN76" s="25" t="s">
        <v>307</v>
      </c>
      <c r="AO76" s="25" t="s">
        <v>323</v>
      </c>
      <c r="AP76" s="19" t="s">
        <v>328</v>
      </c>
      <c r="AR76" s="104" t="s">
        <v>785</v>
      </c>
      <c r="AS76" s="197">
        <v>3.1220000000000001E-2</v>
      </c>
    </row>
    <row r="77" spans="1:47" hidden="1">
      <c r="A77" s="4" t="s">
        <v>56</v>
      </c>
      <c r="B77" s="4"/>
      <c r="C77" s="4" t="s">
        <v>119</v>
      </c>
      <c r="D77" s="4" t="s">
        <v>208</v>
      </c>
      <c r="E77" s="4" t="s">
        <v>275</v>
      </c>
      <c r="F77" s="14">
        <v>0</v>
      </c>
      <c r="G77" s="179">
        <v>97.9</v>
      </c>
      <c r="H77" s="14">
        <f t="shared" si="72"/>
        <v>0</v>
      </c>
      <c r="I77" s="14">
        <f t="shared" si="73"/>
        <v>0</v>
      </c>
      <c r="J77" s="14">
        <f t="shared" si="74"/>
        <v>0</v>
      </c>
      <c r="K77" s="164">
        <v>1.9460000000000002E-2</v>
      </c>
      <c r="L77" s="14">
        <f t="shared" si="75"/>
        <v>0</v>
      </c>
      <c r="M77" s="20" t="s">
        <v>6</v>
      </c>
      <c r="N77" s="14">
        <f t="shared" si="76"/>
        <v>0</v>
      </c>
      <c r="Y77" s="110">
        <f t="shared" si="77"/>
        <v>0</v>
      </c>
      <c r="Z77" s="110">
        <f t="shared" si="78"/>
        <v>0</v>
      </c>
      <c r="AA77" s="110">
        <f t="shared" si="79"/>
        <v>0</v>
      </c>
      <c r="AC77" s="24">
        <v>15</v>
      </c>
      <c r="AD77" s="113">
        <f t="shared" si="9"/>
        <v>79.4395555555556</v>
      </c>
      <c r="AE77" s="113">
        <f t="shared" si="10"/>
        <v>18.460444444444409</v>
      </c>
      <c r="AL77" s="24">
        <f t="shared" si="80"/>
        <v>0</v>
      </c>
      <c r="AM77" s="24">
        <f t="shared" si="81"/>
        <v>0</v>
      </c>
      <c r="AN77" s="25" t="s">
        <v>307</v>
      </c>
      <c r="AO77" s="25" t="s">
        <v>323</v>
      </c>
      <c r="AP77" s="19" t="s">
        <v>328</v>
      </c>
      <c r="AR77" s="104" t="s">
        <v>787</v>
      </c>
      <c r="AS77" s="197">
        <v>1.9460000000000002E-2</v>
      </c>
    </row>
    <row r="78" spans="1:47" hidden="1">
      <c r="A78" s="4" t="s">
        <v>57</v>
      </c>
      <c r="B78" s="4"/>
      <c r="C78" s="4" t="s">
        <v>117</v>
      </c>
      <c r="D78" s="4" t="s">
        <v>987</v>
      </c>
      <c r="E78" s="4" t="s">
        <v>275</v>
      </c>
      <c r="F78" s="14">
        <v>0</v>
      </c>
      <c r="G78" s="179">
        <v>1592</v>
      </c>
      <c r="H78" s="14">
        <f t="shared" si="72"/>
        <v>0</v>
      </c>
      <c r="I78" s="14">
        <f t="shared" si="73"/>
        <v>0</v>
      </c>
      <c r="J78" s="14">
        <f t="shared" si="74"/>
        <v>0</v>
      </c>
      <c r="K78" s="164">
        <v>1.7010000000000001E-2</v>
      </c>
      <c r="L78" s="14">
        <f t="shared" si="75"/>
        <v>0</v>
      </c>
      <c r="M78" s="20" t="s">
        <v>6</v>
      </c>
      <c r="N78" s="14">
        <f t="shared" si="76"/>
        <v>0</v>
      </c>
      <c r="Y78" s="110">
        <f t="shared" si="77"/>
        <v>0</v>
      </c>
      <c r="Z78" s="110">
        <f t="shared" si="78"/>
        <v>0</v>
      </c>
      <c r="AA78" s="110">
        <f t="shared" si="79"/>
        <v>0</v>
      </c>
      <c r="AC78" s="24">
        <v>15</v>
      </c>
      <c r="AD78" s="113">
        <f t="shared" si="9"/>
        <v>1291.8056429463177</v>
      </c>
      <c r="AE78" s="113">
        <f t="shared" si="10"/>
        <v>300.19435705368227</v>
      </c>
      <c r="AL78" s="24">
        <f t="shared" si="80"/>
        <v>0</v>
      </c>
      <c r="AM78" s="24">
        <f t="shared" si="81"/>
        <v>0</v>
      </c>
      <c r="AN78" s="25" t="s">
        <v>307</v>
      </c>
      <c r="AO78" s="25" t="s">
        <v>323</v>
      </c>
      <c r="AP78" s="19" t="s">
        <v>328</v>
      </c>
      <c r="AR78" s="104" t="s">
        <v>785</v>
      </c>
      <c r="AS78" s="197">
        <v>1.7010000000000001E-2</v>
      </c>
    </row>
    <row r="79" spans="1:47" hidden="1">
      <c r="A79" s="4" t="s">
        <v>466</v>
      </c>
      <c r="B79" s="4"/>
      <c r="C79" s="4" t="s">
        <v>117</v>
      </c>
      <c r="D79" s="4" t="s">
        <v>986</v>
      </c>
      <c r="E79" s="4" t="s">
        <v>275</v>
      </c>
      <c r="F79" s="14">
        <v>0</v>
      </c>
      <c r="G79" s="179">
        <v>1592</v>
      </c>
      <c r="H79" s="14">
        <f t="shared" si="72"/>
        <v>0</v>
      </c>
      <c r="I79" s="14">
        <f>J79-H79</f>
        <v>0</v>
      </c>
      <c r="J79" s="14">
        <f t="shared" si="74"/>
        <v>0</v>
      </c>
      <c r="K79" s="164">
        <v>1.7010000000000001E-2</v>
      </c>
      <c r="L79" s="14">
        <f t="shared" si="75"/>
        <v>0</v>
      </c>
      <c r="M79" s="20" t="s">
        <v>6</v>
      </c>
      <c r="N79" s="14">
        <f t="shared" si="76"/>
        <v>0</v>
      </c>
      <c r="Y79" s="110">
        <f t="shared" si="77"/>
        <v>0</v>
      </c>
      <c r="Z79" s="110">
        <f t="shared" si="78"/>
        <v>0</v>
      </c>
      <c r="AA79" s="110">
        <f t="shared" si="79"/>
        <v>0</v>
      </c>
      <c r="AC79" s="24">
        <v>15</v>
      </c>
      <c r="AD79" s="113">
        <f t="shared" si="9"/>
        <v>1291.8056429463177</v>
      </c>
      <c r="AE79" s="113">
        <f t="shared" si="10"/>
        <v>300.19435705368227</v>
      </c>
      <c r="AL79" s="24">
        <f t="shared" si="80"/>
        <v>0</v>
      </c>
      <c r="AM79" s="24">
        <f t="shared" si="81"/>
        <v>0</v>
      </c>
      <c r="AN79" s="25" t="s">
        <v>307</v>
      </c>
      <c r="AO79" s="25" t="s">
        <v>323</v>
      </c>
      <c r="AP79" s="19" t="s">
        <v>328</v>
      </c>
      <c r="AR79" s="104" t="s">
        <v>785</v>
      </c>
      <c r="AS79" s="197">
        <v>1.7010000000000001E-2</v>
      </c>
    </row>
    <row r="80" spans="1:47" s="133" customFormat="1" hidden="1">
      <c r="A80" s="4" t="s">
        <v>467</v>
      </c>
      <c r="B80" s="109"/>
      <c r="C80" s="109" t="s">
        <v>622</v>
      </c>
      <c r="D80" s="109" t="s">
        <v>623</v>
      </c>
      <c r="E80" s="109" t="s">
        <v>275</v>
      </c>
      <c r="F80" s="14">
        <v>0</v>
      </c>
      <c r="G80" s="247"/>
      <c r="H80" s="110">
        <f t="shared" si="72"/>
        <v>0</v>
      </c>
      <c r="I80" s="110">
        <f t="shared" si="73"/>
        <v>0</v>
      </c>
      <c r="J80" s="14">
        <f t="shared" si="74"/>
        <v>0</v>
      </c>
      <c r="K80" s="163">
        <v>4.4999999999999998E-2</v>
      </c>
      <c r="L80" s="110">
        <f t="shared" si="75"/>
        <v>0</v>
      </c>
      <c r="M80" s="111" t="s">
        <v>6</v>
      </c>
      <c r="N80" s="110">
        <f t="shared" si="76"/>
        <v>0</v>
      </c>
      <c r="Y80" s="110">
        <f t="shared" si="77"/>
        <v>0</v>
      </c>
      <c r="Z80" s="110">
        <f t="shared" si="78"/>
        <v>0</v>
      </c>
      <c r="AA80" s="110">
        <f t="shared" si="79"/>
        <v>0</v>
      </c>
      <c r="AC80" s="113">
        <v>15</v>
      </c>
      <c r="AD80" s="113">
        <f t="shared" si="9"/>
        <v>0</v>
      </c>
      <c r="AE80" s="113">
        <f t="shared" si="10"/>
        <v>0</v>
      </c>
      <c r="AL80" s="113">
        <f t="shared" si="80"/>
        <v>0</v>
      </c>
      <c r="AM80" s="113">
        <f t="shared" si="81"/>
        <v>0</v>
      </c>
      <c r="AN80" s="114" t="s">
        <v>307</v>
      </c>
      <c r="AO80" s="114" t="s">
        <v>323</v>
      </c>
      <c r="AP80" s="134" t="s">
        <v>328</v>
      </c>
      <c r="AR80" s="104" t="s">
        <v>785</v>
      </c>
      <c r="AS80" s="197">
        <v>4.4999999999999998E-2</v>
      </c>
      <c r="AU80" s="286"/>
    </row>
    <row r="81" spans="1:47" hidden="1">
      <c r="A81" s="4" t="s">
        <v>468</v>
      </c>
      <c r="B81" s="4"/>
      <c r="C81" s="4" t="s">
        <v>593</v>
      </c>
      <c r="D81" s="4" t="s">
        <v>594</v>
      </c>
      <c r="E81" s="4" t="s">
        <v>273</v>
      </c>
      <c r="F81" s="14">
        <v>0</v>
      </c>
      <c r="G81" s="179">
        <v>369.5</v>
      </c>
      <c r="H81" s="14">
        <f t="shared" si="72"/>
        <v>0</v>
      </c>
      <c r="I81" s="14">
        <f t="shared" si="73"/>
        <v>0</v>
      </c>
      <c r="J81" s="14">
        <f t="shared" si="74"/>
        <v>0</v>
      </c>
      <c r="K81" s="164">
        <v>2.2000000000000001E-4</v>
      </c>
      <c r="L81" s="14">
        <f t="shared" si="75"/>
        <v>0</v>
      </c>
      <c r="M81" s="20" t="s">
        <v>6</v>
      </c>
      <c r="N81" s="14">
        <f t="shared" si="76"/>
        <v>0</v>
      </c>
      <c r="Y81" s="110">
        <f t="shared" si="77"/>
        <v>0</v>
      </c>
      <c r="Z81" s="110">
        <f t="shared" si="78"/>
        <v>0</v>
      </c>
      <c r="AA81" s="110">
        <f t="shared" si="79"/>
        <v>0</v>
      </c>
      <c r="AC81" s="24">
        <v>15</v>
      </c>
      <c r="AD81" s="113">
        <f t="shared" si="9"/>
        <v>299.82549313358317</v>
      </c>
      <c r="AE81" s="113">
        <f t="shared" si="10"/>
        <v>69.674506866416834</v>
      </c>
      <c r="AL81" s="24">
        <f t="shared" si="80"/>
        <v>0</v>
      </c>
      <c r="AM81" s="24">
        <f t="shared" si="81"/>
        <v>0</v>
      </c>
      <c r="AN81" s="25" t="s">
        <v>307</v>
      </c>
      <c r="AO81" s="25" t="s">
        <v>323</v>
      </c>
      <c r="AP81" s="19" t="s">
        <v>328</v>
      </c>
      <c r="AR81" s="104" t="s">
        <v>787</v>
      </c>
      <c r="AS81" s="197">
        <v>2.2000000000000001E-4</v>
      </c>
    </row>
    <row r="82" spans="1:47" s="104" customFormat="1" hidden="1">
      <c r="A82" s="4" t="s">
        <v>58</v>
      </c>
      <c r="B82" s="4"/>
      <c r="C82" s="4" t="s">
        <v>125</v>
      </c>
      <c r="D82" s="4" t="s">
        <v>210</v>
      </c>
      <c r="E82" s="4" t="s">
        <v>273</v>
      </c>
      <c r="F82" s="14">
        <v>0</v>
      </c>
      <c r="G82" s="179"/>
      <c r="H82" s="14">
        <f t="shared" si="72"/>
        <v>0</v>
      </c>
      <c r="I82" s="14">
        <f t="shared" si="73"/>
        <v>0</v>
      </c>
      <c r="J82" s="14">
        <f t="shared" si="74"/>
        <v>0</v>
      </c>
      <c r="K82" s="164">
        <v>4.0999999999999999E-4</v>
      </c>
      <c r="L82" s="14">
        <f t="shared" si="75"/>
        <v>0</v>
      </c>
      <c r="M82" s="20" t="s">
        <v>6</v>
      </c>
      <c r="N82" s="14">
        <f t="shared" si="76"/>
        <v>0</v>
      </c>
      <c r="Y82" s="110">
        <f t="shared" si="77"/>
        <v>0</v>
      </c>
      <c r="Z82" s="110">
        <f t="shared" si="78"/>
        <v>0</v>
      </c>
      <c r="AA82" s="110">
        <f t="shared" si="79"/>
        <v>0</v>
      </c>
      <c r="AC82" s="24">
        <v>15</v>
      </c>
      <c r="AD82" s="113">
        <f t="shared" si="9"/>
        <v>0</v>
      </c>
      <c r="AE82" s="113">
        <f t="shared" si="10"/>
        <v>0</v>
      </c>
      <c r="AL82" s="24">
        <f t="shared" si="80"/>
        <v>0</v>
      </c>
      <c r="AM82" s="24">
        <f t="shared" si="81"/>
        <v>0</v>
      </c>
      <c r="AN82" s="25" t="s">
        <v>307</v>
      </c>
      <c r="AO82" s="25" t="s">
        <v>323</v>
      </c>
      <c r="AP82" s="105" t="s">
        <v>328</v>
      </c>
      <c r="AR82" s="104" t="s">
        <v>787</v>
      </c>
      <c r="AS82" s="197">
        <v>4.0999999999999999E-4</v>
      </c>
      <c r="AU82" s="288"/>
    </row>
    <row r="83" spans="1:47" s="112" customFormat="1" hidden="1">
      <c r="A83" s="4" t="s">
        <v>59</v>
      </c>
      <c r="B83" s="109"/>
      <c r="C83" s="4" t="s">
        <v>780</v>
      </c>
      <c r="D83" s="4" t="s">
        <v>779</v>
      </c>
      <c r="E83" s="109" t="s">
        <v>275</v>
      </c>
      <c r="F83" s="14">
        <v>0</v>
      </c>
      <c r="G83" s="179">
        <v>766</v>
      </c>
      <c r="H83" s="110">
        <f t="shared" si="72"/>
        <v>0</v>
      </c>
      <c r="I83" s="110">
        <f t="shared" si="73"/>
        <v>0</v>
      </c>
      <c r="J83" s="14">
        <f t="shared" si="74"/>
        <v>0</v>
      </c>
      <c r="K83" s="163">
        <v>0.01</v>
      </c>
      <c r="L83" s="110">
        <f t="shared" si="75"/>
        <v>0</v>
      </c>
      <c r="M83" s="111" t="s">
        <v>6</v>
      </c>
      <c r="N83" s="110">
        <f t="shared" si="76"/>
        <v>0</v>
      </c>
      <c r="Y83" s="110">
        <f t="shared" si="77"/>
        <v>0</v>
      </c>
      <c r="Z83" s="110">
        <f t="shared" si="78"/>
        <v>0</v>
      </c>
      <c r="AA83" s="110">
        <f t="shared" si="79"/>
        <v>0</v>
      </c>
      <c r="AC83" s="113">
        <v>15</v>
      </c>
      <c r="AD83" s="113">
        <f t="shared" si="9"/>
        <v>621.55975031211017</v>
      </c>
      <c r="AE83" s="113">
        <f t="shared" si="10"/>
        <v>144.44024968788986</v>
      </c>
      <c r="AL83" s="113">
        <f t="shared" si="80"/>
        <v>0</v>
      </c>
      <c r="AM83" s="113">
        <f t="shared" si="81"/>
        <v>0</v>
      </c>
      <c r="AN83" s="114" t="s">
        <v>307</v>
      </c>
      <c r="AO83" s="114" t="s">
        <v>323</v>
      </c>
      <c r="AP83" s="115" t="s">
        <v>328</v>
      </c>
      <c r="AR83" t="s">
        <v>785</v>
      </c>
      <c r="AS83" s="197">
        <v>0.01</v>
      </c>
      <c r="AU83" s="287"/>
    </row>
    <row r="84" spans="1:47" hidden="1">
      <c r="A84" s="4" t="s">
        <v>60</v>
      </c>
      <c r="B84" s="4"/>
      <c r="C84" s="122" t="s">
        <v>124</v>
      </c>
      <c r="D84" s="122" t="s">
        <v>760</v>
      </c>
      <c r="E84" s="122" t="s">
        <v>273</v>
      </c>
      <c r="F84" s="14">
        <v>0</v>
      </c>
      <c r="G84" s="179">
        <v>104.5</v>
      </c>
      <c r="H84" s="14">
        <f t="shared" si="72"/>
        <v>0</v>
      </c>
      <c r="I84" s="14">
        <f>J84-H84</f>
        <v>0</v>
      </c>
      <c r="J84" s="14">
        <f t="shared" si="74"/>
        <v>0</v>
      </c>
      <c r="K84" s="164">
        <v>2.2499999999999998E-3</v>
      </c>
      <c r="L84" s="14">
        <f t="shared" si="75"/>
        <v>0</v>
      </c>
      <c r="M84" s="20" t="s">
        <v>6</v>
      </c>
      <c r="N84" s="14">
        <f t="shared" si="76"/>
        <v>0</v>
      </c>
      <c r="Y84" s="110">
        <f t="shared" si="77"/>
        <v>0</v>
      </c>
      <c r="Z84" s="110">
        <f t="shared" si="78"/>
        <v>0</v>
      </c>
      <c r="AA84" s="110">
        <f t="shared" si="79"/>
        <v>0</v>
      </c>
      <c r="AC84" s="24">
        <v>15</v>
      </c>
      <c r="AD84" s="113">
        <f t="shared" si="9"/>
        <v>84.795031210986309</v>
      </c>
      <c r="AE84" s="113">
        <f t="shared" si="10"/>
        <v>19.704968789013694</v>
      </c>
      <c r="AL84" s="24">
        <f t="shared" si="80"/>
        <v>0</v>
      </c>
      <c r="AM84" s="24">
        <f t="shared" si="81"/>
        <v>0</v>
      </c>
      <c r="AN84" s="25" t="s">
        <v>307</v>
      </c>
      <c r="AO84" s="25" t="s">
        <v>323</v>
      </c>
      <c r="AP84" s="19" t="s">
        <v>328</v>
      </c>
      <c r="AR84" s="104" t="s">
        <v>791</v>
      </c>
      <c r="AS84" s="197">
        <v>2.2499999999999998E-3</v>
      </c>
    </row>
    <row r="85" spans="1:47" hidden="1">
      <c r="A85" s="4" t="s">
        <v>61</v>
      </c>
      <c r="B85" s="4"/>
      <c r="C85" s="4" t="s">
        <v>122</v>
      </c>
      <c r="D85" s="4" t="s">
        <v>1048</v>
      </c>
      <c r="E85" s="4" t="s">
        <v>273</v>
      </c>
      <c r="F85" s="14">
        <v>0</v>
      </c>
      <c r="G85" s="179">
        <v>1912</v>
      </c>
      <c r="H85" s="14">
        <f t="shared" si="72"/>
        <v>0</v>
      </c>
      <c r="I85" s="14">
        <f t="shared" si="73"/>
        <v>0</v>
      </c>
      <c r="J85" s="14">
        <f t="shared" si="74"/>
        <v>0</v>
      </c>
      <c r="K85" s="164">
        <v>8.5000000000000006E-3</v>
      </c>
      <c r="L85" s="14">
        <f t="shared" si="75"/>
        <v>0</v>
      </c>
      <c r="M85" s="20" t="s">
        <v>6</v>
      </c>
      <c r="N85" s="14">
        <f t="shared" si="76"/>
        <v>0</v>
      </c>
      <c r="Y85" s="110">
        <f t="shared" si="77"/>
        <v>0</v>
      </c>
      <c r="Z85" s="110">
        <f t="shared" si="78"/>
        <v>0</v>
      </c>
      <c r="AA85" s="110">
        <f t="shared" si="79"/>
        <v>0</v>
      </c>
      <c r="AC85" s="24">
        <v>15</v>
      </c>
      <c r="AD85" s="113">
        <f t="shared" si="9"/>
        <v>1551.4650686641705</v>
      </c>
      <c r="AE85" s="113">
        <f t="shared" si="10"/>
        <v>360.53493133582947</v>
      </c>
      <c r="AL85" s="24">
        <f t="shared" si="80"/>
        <v>0</v>
      </c>
      <c r="AM85" s="24">
        <f t="shared" si="81"/>
        <v>0</v>
      </c>
      <c r="AN85" s="25" t="s">
        <v>307</v>
      </c>
      <c r="AO85" s="25" t="s">
        <v>323</v>
      </c>
      <c r="AP85" s="19" t="s">
        <v>328</v>
      </c>
      <c r="AR85" s="104" t="s">
        <v>787</v>
      </c>
      <c r="AS85" s="197">
        <v>8.5000000000000006E-3</v>
      </c>
    </row>
    <row r="86" spans="1:47" s="112" customFormat="1" hidden="1">
      <c r="A86" s="4" t="s">
        <v>62</v>
      </c>
      <c r="B86" s="109"/>
      <c r="C86" s="122" t="s">
        <v>626</v>
      </c>
      <c r="D86" s="122" t="s">
        <v>758</v>
      </c>
      <c r="E86" s="122" t="s">
        <v>273</v>
      </c>
      <c r="F86" s="14">
        <v>0</v>
      </c>
      <c r="G86" s="179">
        <v>151</v>
      </c>
      <c r="H86" s="110">
        <f t="shared" si="72"/>
        <v>0</v>
      </c>
      <c r="I86" s="110">
        <f t="shared" si="73"/>
        <v>0</v>
      </c>
      <c r="J86" s="14">
        <f t="shared" si="74"/>
        <v>0</v>
      </c>
      <c r="K86" s="163">
        <v>4.0000000000000003E-5</v>
      </c>
      <c r="L86" s="110">
        <f t="shared" si="75"/>
        <v>0</v>
      </c>
      <c r="M86" s="111" t="s">
        <v>6</v>
      </c>
      <c r="N86" s="110">
        <f t="shared" si="76"/>
        <v>0</v>
      </c>
      <c r="Y86" s="110">
        <f t="shared" si="77"/>
        <v>0</v>
      </c>
      <c r="Z86" s="110">
        <f t="shared" si="78"/>
        <v>0</v>
      </c>
      <c r="AA86" s="110">
        <f t="shared" si="79"/>
        <v>0</v>
      </c>
      <c r="AC86" s="113">
        <v>15</v>
      </c>
      <c r="AD86" s="113">
        <f t="shared" si="9"/>
        <v>122.52679151061179</v>
      </c>
      <c r="AE86" s="113">
        <f t="shared" si="10"/>
        <v>28.473208489388206</v>
      </c>
      <c r="AL86" s="113">
        <f t="shared" si="80"/>
        <v>0</v>
      </c>
      <c r="AM86" s="113">
        <f t="shared" si="81"/>
        <v>0</v>
      </c>
      <c r="AN86" s="114" t="s">
        <v>307</v>
      </c>
      <c r="AO86" s="114" t="s">
        <v>323</v>
      </c>
      <c r="AP86" s="115" t="s">
        <v>328</v>
      </c>
      <c r="AR86" t="s">
        <v>792</v>
      </c>
      <c r="AS86" s="197">
        <v>4.0000000000000003E-5</v>
      </c>
      <c r="AU86" s="287"/>
    </row>
    <row r="87" spans="1:47" hidden="1">
      <c r="A87" s="4" t="s">
        <v>469</v>
      </c>
      <c r="B87" s="4"/>
      <c r="C87" s="4" t="s">
        <v>120</v>
      </c>
      <c r="D87" s="4" t="s">
        <v>209</v>
      </c>
      <c r="E87" s="4" t="s">
        <v>275</v>
      </c>
      <c r="F87" s="14">
        <v>0</v>
      </c>
      <c r="G87" s="179">
        <v>130</v>
      </c>
      <c r="H87" s="14">
        <f t="shared" si="72"/>
        <v>0</v>
      </c>
      <c r="I87" s="14">
        <f t="shared" si="73"/>
        <v>0</v>
      </c>
      <c r="J87" s="14">
        <f t="shared" si="74"/>
        <v>0</v>
      </c>
      <c r="K87" s="164">
        <v>3.2899999999999999E-2</v>
      </c>
      <c r="L87" s="14">
        <f t="shared" si="75"/>
        <v>0</v>
      </c>
      <c r="M87" s="20" t="s">
        <v>6</v>
      </c>
      <c r="N87" s="14">
        <f t="shared" si="76"/>
        <v>0</v>
      </c>
      <c r="Y87" s="110">
        <f t="shared" si="77"/>
        <v>0</v>
      </c>
      <c r="Z87" s="110">
        <f t="shared" si="78"/>
        <v>0</v>
      </c>
      <c r="AA87" s="110">
        <f t="shared" si="79"/>
        <v>0</v>
      </c>
      <c r="AC87" s="24">
        <v>15</v>
      </c>
      <c r="AD87" s="113">
        <f t="shared" si="9"/>
        <v>105.4866416978777</v>
      </c>
      <c r="AE87" s="113">
        <f t="shared" si="10"/>
        <v>24.513358302122299</v>
      </c>
      <c r="AL87" s="24">
        <f t="shared" si="80"/>
        <v>0</v>
      </c>
      <c r="AM87" s="24">
        <f t="shared" si="81"/>
        <v>0</v>
      </c>
      <c r="AN87" s="25" t="s">
        <v>307</v>
      </c>
      <c r="AO87" s="25" t="s">
        <v>323</v>
      </c>
      <c r="AP87" s="19" t="s">
        <v>328</v>
      </c>
      <c r="AR87" s="104" t="s">
        <v>787</v>
      </c>
      <c r="AS87" s="197">
        <v>3.2899999999999999E-2</v>
      </c>
    </row>
    <row r="88" spans="1:47" s="141" customFormat="1" hidden="1">
      <c r="A88" s="4" t="s">
        <v>63</v>
      </c>
      <c r="B88" s="106"/>
      <c r="C88" s="106" t="s">
        <v>118</v>
      </c>
      <c r="D88" s="106" t="s">
        <v>1039</v>
      </c>
      <c r="E88" s="106" t="s">
        <v>275</v>
      </c>
      <c r="F88" s="107">
        <v>0</v>
      </c>
      <c r="G88" s="179">
        <v>3168</v>
      </c>
      <c r="H88" s="107">
        <f t="shared" si="72"/>
        <v>0</v>
      </c>
      <c r="I88" s="107">
        <f t="shared" si="73"/>
        <v>0</v>
      </c>
      <c r="J88" s="14">
        <f t="shared" si="74"/>
        <v>0</v>
      </c>
      <c r="K88" s="173">
        <v>4.6780000000000002E-2</v>
      </c>
      <c r="L88" s="107">
        <f t="shared" si="75"/>
        <v>0</v>
      </c>
      <c r="M88" s="108" t="s">
        <v>6</v>
      </c>
      <c r="N88" s="107">
        <f t="shared" si="76"/>
        <v>0</v>
      </c>
      <c r="Y88" s="110">
        <f t="shared" si="77"/>
        <v>0</v>
      </c>
      <c r="Z88" s="110">
        <f t="shared" si="78"/>
        <v>0</v>
      </c>
      <c r="AA88" s="110">
        <f t="shared" si="79"/>
        <v>0</v>
      </c>
      <c r="AC88" s="107">
        <v>15</v>
      </c>
      <c r="AD88" s="113">
        <f t="shared" ref="AD88:AD151" si="82">G88*0.81143570536829</f>
        <v>2570.6283146067426</v>
      </c>
      <c r="AE88" s="113">
        <f t="shared" ref="AE88:AE151" si="83">G88*(1-0.81143570536829)</f>
        <v>597.37168539325728</v>
      </c>
      <c r="AL88" s="107">
        <f t="shared" si="80"/>
        <v>0</v>
      </c>
      <c r="AM88" s="107">
        <f t="shared" si="81"/>
        <v>0</v>
      </c>
      <c r="AN88" s="108" t="s">
        <v>307</v>
      </c>
      <c r="AO88" s="108" t="s">
        <v>323</v>
      </c>
      <c r="AP88" s="142" t="s">
        <v>328</v>
      </c>
      <c r="AR88" s="104" t="s">
        <v>787</v>
      </c>
      <c r="AS88" s="202">
        <v>4.6780000000000002E-2</v>
      </c>
      <c r="AU88" s="294"/>
    </row>
    <row r="89" spans="1:47" s="141" customFormat="1" hidden="1">
      <c r="A89" s="4" t="s">
        <v>470</v>
      </c>
      <c r="B89" s="106"/>
      <c r="C89" s="106" t="s">
        <v>121</v>
      </c>
      <c r="D89" s="106" t="s">
        <v>1073</v>
      </c>
      <c r="E89" s="106" t="s">
        <v>275</v>
      </c>
      <c r="F89" s="107">
        <v>0</v>
      </c>
      <c r="G89" s="179">
        <v>4950</v>
      </c>
      <c r="H89" s="107">
        <f t="shared" si="72"/>
        <v>0</v>
      </c>
      <c r="I89" s="107">
        <f t="shared" si="73"/>
        <v>0</v>
      </c>
      <c r="J89" s="14">
        <f t="shared" si="74"/>
        <v>0</v>
      </c>
      <c r="K89" s="173">
        <v>4.7050000000000002E-2</v>
      </c>
      <c r="L89" s="107">
        <f t="shared" si="75"/>
        <v>0</v>
      </c>
      <c r="M89" s="108" t="s">
        <v>6</v>
      </c>
      <c r="N89" s="107">
        <f t="shared" si="76"/>
        <v>0</v>
      </c>
      <c r="Y89" s="110">
        <f t="shared" si="77"/>
        <v>0</v>
      </c>
      <c r="Z89" s="110">
        <f t="shared" si="78"/>
        <v>0</v>
      </c>
      <c r="AA89" s="110">
        <f t="shared" si="79"/>
        <v>0</v>
      </c>
      <c r="AC89" s="107">
        <v>15</v>
      </c>
      <c r="AD89" s="113">
        <f t="shared" si="82"/>
        <v>4016.6067415730354</v>
      </c>
      <c r="AE89" s="113">
        <f t="shared" si="83"/>
        <v>933.39325842696439</v>
      </c>
      <c r="AL89" s="107">
        <f t="shared" si="80"/>
        <v>0</v>
      </c>
      <c r="AM89" s="107">
        <f t="shared" si="81"/>
        <v>0</v>
      </c>
      <c r="AN89" s="108" t="s">
        <v>307</v>
      </c>
      <c r="AO89" s="108" t="s">
        <v>323</v>
      </c>
      <c r="AP89" s="142" t="s">
        <v>328</v>
      </c>
      <c r="AR89" s="104" t="s">
        <v>787</v>
      </c>
      <c r="AS89" s="202">
        <v>4.7050000000000002E-2</v>
      </c>
      <c r="AU89" s="294"/>
    </row>
    <row r="90" spans="1:47" s="133" customFormat="1" hidden="1">
      <c r="A90" s="4" t="s">
        <v>64</v>
      </c>
      <c r="B90" s="119"/>
      <c r="C90" s="119" t="s">
        <v>684</v>
      </c>
      <c r="D90" s="119" t="s">
        <v>685</v>
      </c>
      <c r="E90" s="119" t="s">
        <v>686</v>
      </c>
      <c r="F90" s="15">
        <v>0</v>
      </c>
      <c r="G90" s="179">
        <v>368.23</v>
      </c>
      <c r="H90" s="120">
        <f t="shared" si="72"/>
        <v>0</v>
      </c>
      <c r="I90" s="120">
        <f t="shared" ref="I90:I109" si="84">J90-H90</f>
        <v>0</v>
      </c>
      <c r="J90" s="14">
        <f t="shared" si="74"/>
        <v>0</v>
      </c>
      <c r="K90" s="172">
        <v>4.1999999999999997E-3</v>
      </c>
      <c r="L90" s="120">
        <f t="shared" si="75"/>
        <v>0</v>
      </c>
      <c r="M90" s="121" t="s">
        <v>290</v>
      </c>
      <c r="N90" s="120">
        <f t="shared" si="76"/>
        <v>0</v>
      </c>
      <c r="Y90" s="110">
        <f t="shared" si="77"/>
        <v>0</v>
      </c>
      <c r="Z90" s="110">
        <f t="shared" si="78"/>
        <v>0</v>
      </c>
      <c r="AA90" s="110">
        <f t="shared" si="79"/>
        <v>0</v>
      </c>
      <c r="AC90" s="113">
        <v>15</v>
      </c>
      <c r="AD90" s="113">
        <f t="shared" si="82"/>
        <v>298.79496978776547</v>
      </c>
      <c r="AE90" s="113">
        <f t="shared" si="83"/>
        <v>69.435030212234565</v>
      </c>
      <c r="AL90" s="113">
        <f t="shared" si="80"/>
        <v>0</v>
      </c>
      <c r="AM90" s="113">
        <f t="shared" si="81"/>
        <v>0</v>
      </c>
      <c r="AN90" s="114" t="s">
        <v>682</v>
      </c>
      <c r="AO90" s="114" t="s">
        <v>328</v>
      </c>
      <c r="AP90" s="134" t="s">
        <v>328</v>
      </c>
      <c r="AR90" s="104" t="s">
        <v>787</v>
      </c>
      <c r="AS90" s="198">
        <v>4.1999999999999997E-3</v>
      </c>
      <c r="AU90" s="286"/>
    </row>
    <row r="91" spans="1:47" s="104" customFormat="1" hidden="1">
      <c r="A91" s="4" t="s">
        <v>471</v>
      </c>
      <c r="B91" s="4"/>
      <c r="C91" s="4" t="s">
        <v>127</v>
      </c>
      <c r="D91" s="4" t="s">
        <v>212</v>
      </c>
      <c r="E91" s="4" t="s">
        <v>273</v>
      </c>
      <c r="F91" s="14">
        <v>0</v>
      </c>
      <c r="G91" s="179">
        <v>308</v>
      </c>
      <c r="H91" s="14">
        <f t="shared" si="72"/>
        <v>0</v>
      </c>
      <c r="I91" s="14">
        <f t="shared" si="84"/>
        <v>0</v>
      </c>
      <c r="J91" s="14">
        <f t="shared" si="74"/>
        <v>0</v>
      </c>
      <c r="K91" s="164">
        <v>9.0000000000000006E-5</v>
      </c>
      <c r="L91" s="14">
        <f t="shared" si="75"/>
        <v>0</v>
      </c>
      <c r="M91" s="20" t="s">
        <v>6</v>
      </c>
      <c r="N91" s="14">
        <f t="shared" si="76"/>
        <v>0</v>
      </c>
      <c r="Y91" s="110">
        <f t="shared" si="77"/>
        <v>0</v>
      </c>
      <c r="Z91" s="110">
        <f t="shared" si="78"/>
        <v>0</v>
      </c>
      <c r="AA91" s="110">
        <f t="shared" si="79"/>
        <v>0</v>
      </c>
      <c r="AC91" s="24">
        <v>15</v>
      </c>
      <c r="AD91" s="113">
        <f t="shared" si="82"/>
        <v>249.92219725343332</v>
      </c>
      <c r="AE91" s="113">
        <f t="shared" si="83"/>
        <v>58.077802746566675</v>
      </c>
      <c r="AL91" s="24">
        <f t="shared" si="80"/>
        <v>0</v>
      </c>
      <c r="AM91" s="24">
        <f t="shared" si="81"/>
        <v>0</v>
      </c>
      <c r="AN91" s="25" t="s">
        <v>307</v>
      </c>
      <c r="AO91" s="25" t="s">
        <v>323</v>
      </c>
      <c r="AP91" s="105" t="s">
        <v>328</v>
      </c>
      <c r="AR91" s="104" t="s">
        <v>787</v>
      </c>
      <c r="AS91" s="197">
        <v>9.0000000000000006E-5</v>
      </c>
      <c r="AU91" s="288"/>
    </row>
    <row r="92" spans="1:47" s="138" customFormat="1" hidden="1">
      <c r="A92" s="4" t="s">
        <v>65</v>
      </c>
      <c r="B92" s="60"/>
      <c r="C92" s="122" t="s">
        <v>563</v>
      </c>
      <c r="D92" s="122" t="s">
        <v>762</v>
      </c>
      <c r="E92" s="122" t="s">
        <v>275</v>
      </c>
      <c r="F92" s="14">
        <v>0</v>
      </c>
      <c r="G92" s="179">
        <v>2108</v>
      </c>
      <c r="H92" s="61">
        <f t="shared" si="72"/>
        <v>0</v>
      </c>
      <c r="I92" s="61">
        <f t="shared" si="84"/>
        <v>0</v>
      </c>
      <c r="J92" s="14">
        <f t="shared" si="74"/>
        <v>0</v>
      </c>
      <c r="K92" s="168">
        <v>6.2E-4</v>
      </c>
      <c r="L92" s="61">
        <f t="shared" si="75"/>
        <v>0</v>
      </c>
      <c r="M92" s="62" t="s">
        <v>6</v>
      </c>
      <c r="N92" s="61">
        <f t="shared" si="76"/>
        <v>0</v>
      </c>
      <c r="Y92" s="110">
        <f t="shared" si="77"/>
        <v>0</v>
      </c>
      <c r="Z92" s="110">
        <f t="shared" si="78"/>
        <v>0</v>
      </c>
      <c r="AA92" s="110">
        <f t="shared" si="79"/>
        <v>0</v>
      </c>
      <c r="AC92" s="64">
        <v>15</v>
      </c>
      <c r="AD92" s="113">
        <f t="shared" si="82"/>
        <v>1710.5064669163553</v>
      </c>
      <c r="AE92" s="113">
        <f t="shared" si="83"/>
        <v>397.49353308364465</v>
      </c>
      <c r="AL92" s="64">
        <f t="shared" si="80"/>
        <v>0</v>
      </c>
      <c r="AM92" s="64">
        <f t="shared" si="81"/>
        <v>0</v>
      </c>
      <c r="AN92" s="65" t="s">
        <v>307</v>
      </c>
      <c r="AO92" s="65" t="s">
        <v>323</v>
      </c>
      <c r="AP92" s="139" t="s">
        <v>328</v>
      </c>
      <c r="AR92" t="s">
        <v>790</v>
      </c>
      <c r="AS92" s="197">
        <v>6.2E-4</v>
      </c>
      <c r="AU92" s="289"/>
    </row>
    <row r="93" spans="1:47" s="104" customFormat="1" hidden="1">
      <c r="A93" s="4" t="s">
        <v>66</v>
      </c>
      <c r="B93" s="4"/>
      <c r="C93" s="4" t="s">
        <v>124</v>
      </c>
      <c r="D93" s="4" t="s">
        <v>994</v>
      </c>
      <c r="E93" s="4" t="s">
        <v>273</v>
      </c>
      <c r="F93" s="14">
        <v>0</v>
      </c>
      <c r="G93" s="179">
        <v>104.5</v>
      </c>
      <c r="H93" s="14">
        <f t="shared" si="72"/>
        <v>0</v>
      </c>
      <c r="I93" s="14">
        <f t="shared" si="84"/>
        <v>0</v>
      </c>
      <c r="J93" s="14">
        <f t="shared" si="74"/>
        <v>0</v>
      </c>
      <c r="K93" s="164">
        <v>2.2499999999999998E-3</v>
      </c>
      <c r="L93" s="14">
        <f t="shared" si="75"/>
        <v>0</v>
      </c>
      <c r="M93" s="20" t="s">
        <v>6</v>
      </c>
      <c r="N93" s="14">
        <f t="shared" si="76"/>
        <v>0</v>
      </c>
      <c r="Y93" s="110">
        <f t="shared" si="77"/>
        <v>0</v>
      </c>
      <c r="Z93" s="110">
        <f t="shared" si="78"/>
        <v>0</v>
      </c>
      <c r="AA93" s="110">
        <f t="shared" si="79"/>
        <v>0</v>
      </c>
      <c r="AC93" s="24">
        <v>15</v>
      </c>
      <c r="AD93" s="113">
        <f t="shared" si="82"/>
        <v>84.795031210986309</v>
      </c>
      <c r="AE93" s="113">
        <f t="shared" si="83"/>
        <v>19.704968789013694</v>
      </c>
      <c r="AL93" s="24">
        <f t="shared" si="80"/>
        <v>0</v>
      </c>
      <c r="AM93" s="24">
        <f t="shared" si="81"/>
        <v>0</v>
      </c>
      <c r="AN93" s="25" t="s">
        <v>307</v>
      </c>
      <c r="AO93" s="25" t="s">
        <v>323</v>
      </c>
      <c r="AP93" s="105" t="s">
        <v>328</v>
      </c>
      <c r="AR93" s="104" t="s">
        <v>785</v>
      </c>
      <c r="AS93" s="197">
        <v>2.2499999999999998E-3</v>
      </c>
      <c r="AU93" s="288"/>
    </row>
    <row r="94" spans="1:47" s="104" customFormat="1" hidden="1">
      <c r="A94" s="4" t="s">
        <v>67</v>
      </c>
      <c r="B94" s="4"/>
      <c r="C94" s="4" t="s">
        <v>123</v>
      </c>
      <c r="D94" s="4" t="s">
        <v>875</v>
      </c>
      <c r="E94" s="4" t="s">
        <v>275</v>
      </c>
      <c r="F94" s="14">
        <v>0</v>
      </c>
      <c r="G94" s="179">
        <v>2692</v>
      </c>
      <c r="H94" s="14">
        <f t="shared" si="72"/>
        <v>0</v>
      </c>
      <c r="I94" s="14">
        <f t="shared" si="84"/>
        <v>0</v>
      </c>
      <c r="J94" s="14">
        <f t="shared" si="74"/>
        <v>0</v>
      </c>
      <c r="K94" s="164">
        <v>1.5299999999999999E-3</v>
      </c>
      <c r="L94" s="14">
        <f t="shared" si="75"/>
        <v>0</v>
      </c>
      <c r="M94" s="20" t="s">
        <v>6</v>
      </c>
      <c r="N94" s="14">
        <f t="shared" si="76"/>
        <v>0</v>
      </c>
      <c r="Y94" s="110">
        <f t="shared" si="77"/>
        <v>0</v>
      </c>
      <c r="Z94" s="110">
        <f t="shared" si="78"/>
        <v>0</v>
      </c>
      <c r="AA94" s="110">
        <f t="shared" si="79"/>
        <v>0</v>
      </c>
      <c r="AC94" s="24">
        <v>15</v>
      </c>
      <c r="AD94" s="113">
        <f t="shared" si="82"/>
        <v>2184.3849188514369</v>
      </c>
      <c r="AE94" s="113">
        <f t="shared" si="83"/>
        <v>507.61508114856326</v>
      </c>
      <c r="AL94" s="24">
        <f t="shared" si="80"/>
        <v>0</v>
      </c>
      <c r="AM94" s="24">
        <f t="shared" si="81"/>
        <v>0</v>
      </c>
      <c r="AN94" s="25" t="s">
        <v>307</v>
      </c>
      <c r="AO94" s="25" t="s">
        <v>323</v>
      </c>
      <c r="AP94" s="105" t="s">
        <v>328</v>
      </c>
      <c r="AR94" s="104" t="s">
        <v>785</v>
      </c>
      <c r="AS94" s="197">
        <v>1.5299999999999999E-3</v>
      </c>
      <c r="AU94" s="288"/>
    </row>
    <row r="95" spans="1:47" s="133" customFormat="1" hidden="1">
      <c r="A95" s="4" t="s">
        <v>472</v>
      </c>
      <c r="B95" s="109"/>
      <c r="C95" s="109" t="s">
        <v>626</v>
      </c>
      <c r="D95" s="4" t="s">
        <v>781</v>
      </c>
      <c r="E95" s="109" t="s">
        <v>273</v>
      </c>
      <c r="F95" s="14">
        <v>0</v>
      </c>
      <c r="G95" s="179">
        <v>151</v>
      </c>
      <c r="H95" s="110">
        <f t="shared" si="72"/>
        <v>0</v>
      </c>
      <c r="I95" s="110">
        <f t="shared" si="84"/>
        <v>0</v>
      </c>
      <c r="J95" s="14">
        <f t="shared" si="74"/>
        <v>0</v>
      </c>
      <c r="K95" s="163">
        <v>4.0000000000000002E-4</v>
      </c>
      <c r="L95" s="110">
        <f t="shared" si="75"/>
        <v>0</v>
      </c>
      <c r="M95" s="111" t="s">
        <v>6</v>
      </c>
      <c r="N95" s="110">
        <f t="shared" si="76"/>
        <v>0</v>
      </c>
      <c r="Y95" s="110">
        <f t="shared" si="77"/>
        <v>0</v>
      </c>
      <c r="Z95" s="110">
        <f t="shared" si="78"/>
        <v>0</v>
      </c>
      <c r="AA95" s="110">
        <f t="shared" si="79"/>
        <v>0</v>
      </c>
      <c r="AC95" s="113">
        <v>15</v>
      </c>
      <c r="AD95" s="113">
        <f t="shared" si="82"/>
        <v>122.52679151061179</v>
      </c>
      <c r="AE95" s="113">
        <f t="shared" si="83"/>
        <v>28.473208489388206</v>
      </c>
      <c r="AL95" s="113">
        <f t="shared" si="80"/>
        <v>0</v>
      </c>
      <c r="AM95" s="113">
        <f t="shared" si="81"/>
        <v>0</v>
      </c>
      <c r="AN95" s="114" t="s">
        <v>307</v>
      </c>
      <c r="AO95" s="114" t="s">
        <v>323</v>
      </c>
      <c r="AP95" s="134" t="s">
        <v>328</v>
      </c>
      <c r="AR95" s="104" t="s">
        <v>785</v>
      </c>
      <c r="AS95" s="197">
        <v>4.0000000000000002E-4</v>
      </c>
      <c r="AU95" s="286"/>
    </row>
    <row r="96" spans="1:47" s="138" customFormat="1" hidden="1">
      <c r="A96" s="4" t="s">
        <v>68</v>
      </c>
      <c r="B96" s="96"/>
      <c r="C96" s="96" t="s">
        <v>569</v>
      </c>
      <c r="D96" s="5" t="s">
        <v>1047</v>
      </c>
      <c r="E96" s="96" t="s">
        <v>273</v>
      </c>
      <c r="F96" s="15">
        <v>0</v>
      </c>
      <c r="G96" s="179">
        <v>3650</v>
      </c>
      <c r="H96" s="97">
        <f t="shared" si="72"/>
        <v>0</v>
      </c>
      <c r="I96" s="97">
        <f t="shared" si="84"/>
        <v>0</v>
      </c>
      <c r="J96" s="14">
        <f t="shared" si="74"/>
        <v>0</v>
      </c>
      <c r="K96" s="174">
        <v>3.95E-2</v>
      </c>
      <c r="L96" s="97">
        <f t="shared" si="75"/>
        <v>0</v>
      </c>
      <c r="M96" s="98" t="s">
        <v>290</v>
      </c>
      <c r="N96" s="97">
        <f t="shared" si="76"/>
        <v>0</v>
      </c>
      <c r="Y96" s="110">
        <f t="shared" si="77"/>
        <v>0</v>
      </c>
      <c r="Z96" s="110">
        <f t="shared" si="78"/>
        <v>0</v>
      </c>
      <c r="AA96" s="110">
        <f t="shared" si="79"/>
        <v>0</v>
      </c>
      <c r="AC96" s="64">
        <v>15</v>
      </c>
      <c r="AD96" s="113">
        <f t="shared" si="82"/>
        <v>2961.7403245942587</v>
      </c>
      <c r="AE96" s="113">
        <f t="shared" si="83"/>
        <v>688.2596754057414</v>
      </c>
      <c r="AL96" s="64">
        <f t="shared" si="80"/>
        <v>0</v>
      </c>
      <c r="AM96" s="64">
        <f t="shared" si="81"/>
        <v>0</v>
      </c>
      <c r="AN96" s="65" t="s">
        <v>307</v>
      </c>
      <c r="AO96" s="65" t="s">
        <v>323</v>
      </c>
      <c r="AP96" s="139" t="s">
        <v>328</v>
      </c>
      <c r="AR96" s="104" t="s">
        <v>785</v>
      </c>
      <c r="AS96" s="198">
        <v>3.95E-2</v>
      </c>
      <c r="AU96" s="289"/>
    </row>
    <row r="97" spans="1:47" s="138" customFormat="1" hidden="1">
      <c r="A97" s="4" t="s">
        <v>69</v>
      </c>
      <c r="B97" s="96"/>
      <c r="C97" s="96" t="s">
        <v>569</v>
      </c>
      <c r="D97" s="5" t="s">
        <v>898</v>
      </c>
      <c r="E97" s="96" t="s">
        <v>273</v>
      </c>
      <c r="F97" s="15">
        <v>0</v>
      </c>
      <c r="G97" s="179"/>
      <c r="H97" s="97">
        <f t="shared" si="72"/>
        <v>0</v>
      </c>
      <c r="I97" s="97">
        <f t="shared" si="84"/>
        <v>0</v>
      </c>
      <c r="J97" s="14">
        <f t="shared" si="74"/>
        <v>0</v>
      </c>
      <c r="K97" s="174">
        <v>3.6999999999999998E-2</v>
      </c>
      <c r="L97" s="97">
        <f t="shared" si="75"/>
        <v>0</v>
      </c>
      <c r="M97" s="98" t="s">
        <v>290</v>
      </c>
      <c r="N97" s="97">
        <f t="shared" si="76"/>
        <v>0</v>
      </c>
      <c r="Y97" s="110">
        <f t="shared" si="77"/>
        <v>0</v>
      </c>
      <c r="Z97" s="110">
        <f t="shared" si="78"/>
        <v>0</v>
      </c>
      <c r="AA97" s="110">
        <f t="shared" si="79"/>
        <v>0</v>
      </c>
      <c r="AC97" s="64">
        <v>15</v>
      </c>
      <c r="AD97" s="113">
        <f t="shared" si="82"/>
        <v>0</v>
      </c>
      <c r="AE97" s="113">
        <f t="shared" si="83"/>
        <v>0</v>
      </c>
      <c r="AL97" s="64">
        <f t="shared" si="80"/>
        <v>0</v>
      </c>
      <c r="AM97" s="64">
        <f t="shared" si="81"/>
        <v>0</v>
      </c>
      <c r="AN97" s="65" t="s">
        <v>307</v>
      </c>
      <c r="AO97" s="65" t="s">
        <v>323</v>
      </c>
      <c r="AP97" s="139" t="s">
        <v>328</v>
      </c>
      <c r="AR97" s="104" t="s">
        <v>785</v>
      </c>
      <c r="AS97" s="198">
        <v>3.6999999999999998E-2</v>
      </c>
      <c r="AU97" s="289"/>
    </row>
    <row r="98" spans="1:47" s="138" customFormat="1" hidden="1">
      <c r="A98" s="4" t="s">
        <v>70</v>
      </c>
      <c r="B98" s="96"/>
      <c r="C98" s="96" t="s">
        <v>569</v>
      </c>
      <c r="D98" s="5" t="s">
        <v>988</v>
      </c>
      <c r="E98" s="96" t="s">
        <v>273</v>
      </c>
      <c r="F98" s="15">
        <v>0</v>
      </c>
      <c r="G98" s="179">
        <v>3573</v>
      </c>
      <c r="H98" s="97">
        <f t="shared" si="72"/>
        <v>0</v>
      </c>
      <c r="I98" s="97">
        <f t="shared" si="84"/>
        <v>0</v>
      </c>
      <c r="J98" s="14">
        <f t="shared" si="74"/>
        <v>0</v>
      </c>
      <c r="K98" s="174">
        <v>4.5130000000000003E-2</v>
      </c>
      <c r="L98" s="97">
        <f t="shared" si="75"/>
        <v>0</v>
      </c>
      <c r="M98" s="98" t="s">
        <v>290</v>
      </c>
      <c r="N98" s="97">
        <f t="shared" si="76"/>
        <v>0</v>
      </c>
      <c r="Y98" s="110">
        <f t="shared" si="77"/>
        <v>0</v>
      </c>
      <c r="Z98" s="110">
        <f t="shared" si="78"/>
        <v>0</v>
      </c>
      <c r="AA98" s="110">
        <f t="shared" si="79"/>
        <v>0</v>
      </c>
      <c r="AC98" s="64">
        <v>15</v>
      </c>
      <c r="AD98" s="113">
        <f t="shared" si="82"/>
        <v>2899.2597752809002</v>
      </c>
      <c r="AE98" s="113">
        <f t="shared" si="83"/>
        <v>673.74022471909973</v>
      </c>
      <c r="AL98" s="64">
        <f t="shared" si="80"/>
        <v>0</v>
      </c>
      <c r="AM98" s="64">
        <f t="shared" si="81"/>
        <v>0</v>
      </c>
      <c r="AN98" s="65" t="s">
        <v>307</v>
      </c>
      <c r="AO98" s="65" t="s">
        <v>323</v>
      </c>
      <c r="AP98" s="139" t="s">
        <v>328</v>
      </c>
      <c r="AR98" s="104" t="s">
        <v>785</v>
      </c>
      <c r="AS98" s="198">
        <v>4.5130000000000003E-2</v>
      </c>
      <c r="AU98" s="289"/>
    </row>
    <row r="99" spans="1:47" s="138" customFormat="1" hidden="1">
      <c r="A99" s="4" t="s">
        <v>71</v>
      </c>
      <c r="B99" s="60"/>
      <c r="C99" s="60" t="s">
        <v>567</v>
      </c>
      <c r="D99" s="60" t="s">
        <v>568</v>
      </c>
      <c r="E99" s="60" t="s">
        <v>273</v>
      </c>
      <c r="F99" s="14">
        <v>0</v>
      </c>
      <c r="G99" s="179">
        <v>699</v>
      </c>
      <c r="H99" s="61">
        <f t="shared" si="72"/>
        <v>0</v>
      </c>
      <c r="I99" s="61">
        <f t="shared" si="84"/>
        <v>0</v>
      </c>
      <c r="J99" s="14">
        <f t="shared" si="74"/>
        <v>0</v>
      </c>
      <c r="K99" s="168">
        <v>2.7999999999999998E-4</v>
      </c>
      <c r="L99" s="61">
        <f t="shared" si="75"/>
        <v>0</v>
      </c>
      <c r="M99" s="62" t="s">
        <v>6</v>
      </c>
      <c r="N99" s="61">
        <f t="shared" si="76"/>
        <v>0</v>
      </c>
      <c r="Y99" s="110">
        <f t="shared" si="77"/>
        <v>0</v>
      </c>
      <c r="Z99" s="110">
        <f t="shared" si="78"/>
        <v>0</v>
      </c>
      <c r="AA99" s="110">
        <f t="shared" si="79"/>
        <v>0</v>
      </c>
      <c r="AC99" s="64">
        <v>15</v>
      </c>
      <c r="AD99" s="113">
        <f t="shared" si="82"/>
        <v>567.1935580524347</v>
      </c>
      <c r="AE99" s="113">
        <f t="shared" si="83"/>
        <v>131.80644194756528</v>
      </c>
      <c r="AL99" s="64">
        <f t="shared" si="80"/>
        <v>0</v>
      </c>
      <c r="AM99" s="64">
        <f t="shared" si="81"/>
        <v>0</v>
      </c>
      <c r="AN99" s="65" t="s">
        <v>307</v>
      </c>
      <c r="AO99" s="65" t="s">
        <v>323</v>
      </c>
      <c r="AP99" s="139" t="s">
        <v>328</v>
      </c>
      <c r="AR99" s="104" t="s">
        <v>785</v>
      </c>
      <c r="AS99" s="197">
        <v>2.7999999999999998E-4</v>
      </c>
      <c r="AU99" s="289"/>
    </row>
    <row r="100" spans="1:47" s="138" customFormat="1" hidden="1">
      <c r="A100" s="4" t="s">
        <v>72</v>
      </c>
      <c r="B100" s="60"/>
      <c r="C100" s="60" t="s">
        <v>563</v>
      </c>
      <c r="D100" s="60" t="s">
        <v>564</v>
      </c>
      <c r="E100" s="60" t="s">
        <v>275</v>
      </c>
      <c r="F100" s="14">
        <v>0</v>
      </c>
      <c r="G100" s="179">
        <v>1945</v>
      </c>
      <c r="H100" s="61">
        <f t="shared" si="72"/>
        <v>0</v>
      </c>
      <c r="I100" s="61">
        <f t="shared" si="84"/>
        <v>0</v>
      </c>
      <c r="J100" s="14">
        <f t="shared" si="74"/>
        <v>0</v>
      </c>
      <c r="K100" s="168">
        <v>6.2E-4</v>
      </c>
      <c r="L100" s="61">
        <f t="shared" si="75"/>
        <v>0</v>
      </c>
      <c r="M100" s="62" t="s">
        <v>6</v>
      </c>
      <c r="N100" s="61">
        <f t="shared" si="76"/>
        <v>0</v>
      </c>
      <c r="Y100" s="110">
        <f t="shared" si="77"/>
        <v>0</v>
      </c>
      <c r="Z100" s="110">
        <f t="shared" si="78"/>
        <v>0</v>
      </c>
      <c r="AA100" s="110">
        <f t="shared" si="79"/>
        <v>0</v>
      </c>
      <c r="AC100" s="64">
        <v>15</v>
      </c>
      <c r="AD100" s="113">
        <f t="shared" si="82"/>
        <v>1578.242446941324</v>
      </c>
      <c r="AE100" s="113">
        <f t="shared" si="83"/>
        <v>366.75755305867591</v>
      </c>
      <c r="AL100" s="64">
        <f t="shared" si="80"/>
        <v>0</v>
      </c>
      <c r="AM100" s="64">
        <f t="shared" si="81"/>
        <v>0</v>
      </c>
      <c r="AN100" s="65" t="s">
        <v>307</v>
      </c>
      <c r="AO100" s="65" t="s">
        <v>323</v>
      </c>
      <c r="AP100" s="139" t="s">
        <v>328</v>
      </c>
      <c r="AR100" s="104" t="s">
        <v>785</v>
      </c>
      <c r="AS100" s="197">
        <v>6.2E-4</v>
      </c>
      <c r="AU100" s="289"/>
    </row>
    <row r="101" spans="1:47" s="138" customFormat="1" hidden="1">
      <c r="A101" s="4" t="s">
        <v>73</v>
      </c>
      <c r="B101" s="60"/>
      <c r="C101" s="60" t="s">
        <v>565</v>
      </c>
      <c r="D101" s="60" t="s">
        <v>566</v>
      </c>
      <c r="E101" s="60" t="s">
        <v>275</v>
      </c>
      <c r="F101" s="14">
        <v>0</v>
      </c>
      <c r="G101" s="179"/>
      <c r="H101" s="61">
        <f t="shared" si="72"/>
        <v>0</v>
      </c>
      <c r="I101" s="61">
        <f t="shared" si="84"/>
        <v>0</v>
      </c>
      <c r="J101" s="14">
        <f t="shared" si="74"/>
        <v>0</v>
      </c>
      <c r="K101" s="168">
        <v>1.7000000000000001E-4</v>
      </c>
      <c r="L101" s="61">
        <f t="shared" si="75"/>
        <v>0</v>
      </c>
      <c r="M101" s="62" t="s">
        <v>6</v>
      </c>
      <c r="N101" s="61">
        <f t="shared" si="76"/>
        <v>0</v>
      </c>
      <c r="Y101" s="110">
        <f t="shared" si="77"/>
        <v>0</v>
      </c>
      <c r="Z101" s="110">
        <f t="shared" si="78"/>
        <v>0</v>
      </c>
      <c r="AA101" s="110">
        <f t="shared" si="79"/>
        <v>0</v>
      </c>
      <c r="AC101" s="64">
        <v>15</v>
      </c>
      <c r="AD101" s="113">
        <f t="shared" si="82"/>
        <v>0</v>
      </c>
      <c r="AE101" s="113">
        <f t="shared" si="83"/>
        <v>0</v>
      </c>
      <c r="AL101" s="64">
        <f t="shared" si="80"/>
        <v>0</v>
      </c>
      <c r="AM101" s="64">
        <f t="shared" si="81"/>
        <v>0</v>
      </c>
      <c r="AN101" s="65" t="s">
        <v>307</v>
      </c>
      <c r="AO101" s="65" t="s">
        <v>323</v>
      </c>
      <c r="AP101" s="139" t="s">
        <v>328</v>
      </c>
      <c r="AR101" s="104" t="s">
        <v>785</v>
      </c>
      <c r="AS101" s="197">
        <v>1.7000000000000001E-4</v>
      </c>
      <c r="AU101" s="289"/>
    </row>
    <row r="102" spans="1:47" s="99" customFormat="1" hidden="1">
      <c r="A102" s="4" t="s">
        <v>74</v>
      </c>
      <c r="B102" s="96"/>
      <c r="C102" s="96" t="s">
        <v>570</v>
      </c>
      <c r="D102" s="5" t="s">
        <v>571</v>
      </c>
      <c r="E102" s="96" t="s">
        <v>273</v>
      </c>
      <c r="F102" s="15">
        <v>0</v>
      </c>
      <c r="G102" s="179"/>
      <c r="H102" s="97">
        <f t="shared" si="72"/>
        <v>0</v>
      </c>
      <c r="I102" s="97">
        <f t="shared" si="84"/>
        <v>0</v>
      </c>
      <c r="J102" s="14">
        <f t="shared" si="74"/>
        <v>0</v>
      </c>
      <c r="K102" s="174">
        <v>1.6E-2</v>
      </c>
      <c r="L102" s="97">
        <f t="shared" si="75"/>
        <v>0</v>
      </c>
      <c r="M102" s="98" t="s">
        <v>290</v>
      </c>
      <c r="N102" s="97">
        <f t="shared" si="76"/>
        <v>0</v>
      </c>
      <c r="Y102" s="110">
        <f t="shared" si="77"/>
        <v>0</v>
      </c>
      <c r="Z102" s="110">
        <f t="shared" si="78"/>
        <v>0</v>
      </c>
      <c r="AA102" s="110">
        <f t="shared" si="79"/>
        <v>0</v>
      </c>
      <c r="AC102" s="64">
        <v>15</v>
      </c>
      <c r="AD102" s="113">
        <f t="shared" si="82"/>
        <v>0</v>
      </c>
      <c r="AE102" s="113">
        <f t="shared" si="83"/>
        <v>0</v>
      </c>
      <c r="AL102" s="64">
        <f t="shared" si="80"/>
        <v>0</v>
      </c>
      <c r="AM102" s="64">
        <f t="shared" si="81"/>
        <v>0</v>
      </c>
      <c r="AN102" s="65" t="s">
        <v>307</v>
      </c>
      <c r="AO102" s="65" t="s">
        <v>323</v>
      </c>
      <c r="AP102" s="66" t="s">
        <v>328</v>
      </c>
      <c r="AR102" s="104" t="s">
        <v>785</v>
      </c>
      <c r="AS102" s="198">
        <v>1.6E-2</v>
      </c>
      <c r="AU102" s="295"/>
    </row>
    <row r="103" spans="1:47" s="99" customFormat="1" hidden="1">
      <c r="A103" s="4" t="s">
        <v>75</v>
      </c>
      <c r="B103" s="96"/>
      <c r="C103" s="96"/>
      <c r="D103" s="5" t="s">
        <v>1049</v>
      </c>
      <c r="E103" s="96" t="s">
        <v>273</v>
      </c>
      <c r="F103" s="15">
        <v>0</v>
      </c>
      <c r="G103" s="179">
        <v>7105</v>
      </c>
      <c r="H103" s="97">
        <f t="shared" si="72"/>
        <v>0</v>
      </c>
      <c r="I103" s="97">
        <f t="shared" si="84"/>
        <v>0</v>
      </c>
      <c r="J103" s="14">
        <f t="shared" si="74"/>
        <v>0</v>
      </c>
      <c r="K103" s="174">
        <v>1.6E-2</v>
      </c>
      <c r="L103" s="97">
        <f t="shared" si="75"/>
        <v>0</v>
      </c>
      <c r="M103" s="98" t="s">
        <v>290</v>
      </c>
      <c r="N103" s="97">
        <f t="shared" si="76"/>
        <v>0</v>
      </c>
      <c r="Y103" s="110">
        <f t="shared" si="77"/>
        <v>0</v>
      </c>
      <c r="Z103" s="110">
        <f t="shared" si="78"/>
        <v>0</v>
      </c>
      <c r="AA103" s="110">
        <f t="shared" si="79"/>
        <v>0</v>
      </c>
      <c r="AC103" s="64">
        <v>15</v>
      </c>
      <c r="AD103" s="113">
        <f t="shared" si="82"/>
        <v>5765.2506866417007</v>
      </c>
      <c r="AE103" s="113">
        <f t="shared" si="83"/>
        <v>1339.7493133582993</v>
      </c>
      <c r="AL103" s="64">
        <f t="shared" si="80"/>
        <v>0</v>
      </c>
      <c r="AM103" s="64">
        <f t="shared" si="81"/>
        <v>0</v>
      </c>
      <c r="AN103" s="65" t="s">
        <v>307</v>
      </c>
      <c r="AO103" s="65" t="s">
        <v>323</v>
      </c>
      <c r="AP103" s="66" t="s">
        <v>328</v>
      </c>
      <c r="AR103" s="104" t="s">
        <v>785</v>
      </c>
      <c r="AS103" s="198">
        <v>1.6E-2</v>
      </c>
      <c r="AU103" s="295"/>
    </row>
    <row r="104" spans="1:47" s="112" customFormat="1" hidden="1">
      <c r="A104" s="4" t="s">
        <v>897</v>
      </c>
      <c r="B104" s="109"/>
      <c r="C104" s="109"/>
      <c r="D104" s="5" t="s">
        <v>876</v>
      </c>
      <c r="E104" s="96" t="s">
        <v>273</v>
      </c>
      <c r="F104" s="14">
        <v>0</v>
      </c>
      <c r="G104" s="179">
        <v>7109</v>
      </c>
      <c r="H104" s="110">
        <f t="shared" si="72"/>
        <v>0</v>
      </c>
      <c r="I104" s="110">
        <f t="shared" si="84"/>
        <v>0</v>
      </c>
      <c r="J104" s="14">
        <f t="shared" si="74"/>
        <v>0</v>
      </c>
      <c r="K104" s="163">
        <v>2.0000000000000001E-4</v>
      </c>
      <c r="L104" s="110">
        <f t="shared" si="75"/>
        <v>0</v>
      </c>
      <c r="M104" s="111" t="s">
        <v>6</v>
      </c>
      <c r="N104" s="110">
        <f t="shared" si="76"/>
        <v>0</v>
      </c>
      <c r="Y104" s="110">
        <f t="shared" si="77"/>
        <v>0</v>
      </c>
      <c r="Z104" s="110">
        <f t="shared" si="78"/>
        <v>0</v>
      </c>
      <c r="AA104" s="110">
        <f t="shared" si="79"/>
        <v>0</v>
      </c>
      <c r="AC104" s="113">
        <v>15</v>
      </c>
      <c r="AD104" s="113">
        <f t="shared" si="82"/>
        <v>5768.4964294631736</v>
      </c>
      <c r="AE104" s="113">
        <f t="shared" si="83"/>
        <v>1340.5035705368264</v>
      </c>
      <c r="AL104" s="113">
        <f t="shared" si="80"/>
        <v>0</v>
      </c>
      <c r="AM104" s="113">
        <f t="shared" si="81"/>
        <v>0</v>
      </c>
      <c r="AN104" s="114" t="s">
        <v>307</v>
      </c>
      <c r="AO104" s="114" t="s">
        <v>323</v>
      </c>
      <c r="AP104" s="115" t="s">
        <v>328</v>
      </c>
      <c r="AR104" s="104" t="s">
        <v>785</v>
      </c>
      <c r="AS104" s="197">
        <v>2.0000000000000001E-4</v>
      </c>
      <c r="AU104" s="287"/>
    </row>
    <row r="105" spans="1:47" s="112" customFormat="1" hidden="1">
      <c r="A105" s="4" t="s">
        <v>76</v>
      </c>
      <c r="B105" s="109"/>
      <c r="C105" s="109" t="s">
        <v>624</v>
      </c>
      <c r="D105" s="109" t="s">
        <v>625</v>
      </c>
      <c r="E105" s="109" t="s">
        <v>275</v>
      </c>
      <c r="F105" s="14">
        <v>0</v>
      </c>
      <c r="G105" s="179">
        <v>1640</v>
      </c>
      <c r="H105" s="110">
        <f t="shared" ref="H105:H125" si="85">F105*AD105</f>
        <v>0</v>
      </c>
      <c r="I105" s="110">
        <f t="shared" si="84"/>
        <v>0</v>
      </c>
      <c r="J105" s="14">
        <f t="shared" si="74"/>
        <v>0</v>
      </c>
      <c r="K105" s="163">
        <v>2.0000000000000001E-4</v>
      </c>
      <c r="L105" s="110">
        <f t="shared" si="75"/>
        <v>0</v>
      </c>
      <c r="M105" s="111" t="s">
        <v>6</v>
      </c>
      <c r="N105" s="110">
        <f t="shared" si="76"/>
        <v>0</v>
      </c>
      <c r="Y105" s="110">
        <f t="shared" ref="Y105:Y125" si="86">IF(AC105=0,J105,0)</f>
        <v>0</v>
      </c>
      <c r="Z105" s="110">
        <f t="shared" ref="Z105:Z125" si="87">IF(AC105=15,J105,0)</f>
        <v>0</v>
      </c>
      <c r="AA105" s="110">
        <f t="shared" ref="AA105:AA125" si="88">IF(AC105=21,J105,0)</f>
        <v>0</v>
      </c>
      <c r="AC105" s="113">
        <v>15</v>
      </c>
      <c r="AD105" s="113">
        <f t="shared" si="82"/>
        <v>1330.7545568039957</v>
      </c>
      <c r="AE105" s="113">
        <f t="shared" si="83"/>
        <v>309.24544319600437</v>
      </c>
      <c r="AL105" s="113">
        <f t="shared" ref="AL105:AL125" si="89">F105*AD105</f>
        <v>0</v>
      </c>
      <c r="AM105" s="113">
        <f t="shared" ref="AM105:AM125" si="90">F105*AE105</f>
        <v>0</v>
      </c>
      <c r="AN105" s="114" t="s">
        <v>307</v>
      </c>
      <c r="AO105" s="114" t="s">
        <v>323</v>
      </c>
      <c r="AP105" s="115" t="s">
        <v>328</v>
      </c>
      <c r="AR105" s="104" t="s">
        <v>785</v>
      </c>
      <c r="AS105" s="197">
        <v>2.0000000000000001E-4</v>
      </c>
      <c r="AU105" s="287"/>
    </row>
    <row r="106" spans="1:47" s="104" customFormat="1" hidden="1">
      <c r="A106" s="4" t="s">
        <v>77</v>
      </c>
      <c r="B106" s="122"/>
      <c r="C106" s="122" t="s">
        <v>123</v>
      </c>
      <c r="D106" s="4" t="s">
        <v>985</v>
      </c>
      <c r="E106" s="122" t="s">
        <v>275</v>
      </c>
      <c r="F106" s="14">
        <v>0</v>
      </c>
      <c r="G106" s="179">
        <v>2540</v>
      </c>
      <c r="H106" s="14">
        <f t="shared" si="85"/>
        <v>0</v>
      </c>
      <c r="I106" s="14">
        <f t="shared" si="84"/>
        <v>0</v>
      </c>
      <c r="J106" s="14">
        <f t="shared" ref="J106:J125" si="91">F106*G106</f>
        <v>0</v>
      </c>
      <c r="K106" s="164">
        <v>1.5299999999999999E-3</v>
      </c>
      <c r="L106" s="14">
        <f t="shared" ref="L106:L124" si="92">F106*K106</f>
        <v>0</v>
      </c>
      <c r="M106" s="20" t="s">
        <v>6</v>
      </c>
      <c r="N106" s="14">
        <f t="shared" si="76"/>
        <v>0</v>
      </c>
      <c r="Y106" s="110">
        <f t="shared" si="86"/>
        <v>0</v>
      </c>
      <c r="Z106" s="110">
        <f t="shared" si="87"/>
        <v>0</v>
      </c>
      <c r="AA106" s="110">
        <f t="shared" si="88"/>
        <v>0</v>
      </c>
      <c r="AC106" s="24">
        <v>15</v>
      </c>
      <c r="AD106" s="113">
        <f t="shared" si="82"/>
        <v>2061.0466916354567</v>
      </c>
      <c r="AE106" s="113">
        <f t="shared" si="83"/>
        <v>478.95330836454337</v>
      </c>
      <c r="AL106" s="24">
        <f t="shared" si="89"/>
        <v>0</v>
      </c>
      <c r="AM106" s="24">
        <f t="shared" si="90"/>
        <v>0</v>
      </c>
      <c r="AN106" s="25" t="s">
        <v>307</v>
      </c>
      <c r="AO106" s="25" t="s">
        <v>323</v>
      </c>
      <c r="AP106" s="105" t="s">
        <v>328</v>
      </c>
      <c r="AR106" t="s">
        <v>793</v>
      </c>
      <c r="AS106" s="197">
        <v>1.5299999999999999E-3</v>
      </c>
      <c r="AU106" s="288"/>
    </row>
    <row r="107" spans="1:47" s="133" customFormat="1" hidden="1">
      <c r="A107" s="4" t="s">
        <v>78</v>
      </c>
      <c r="B107" s="122"/>
      <c r="C107" s="122" t="s">
        <v>626</v>
      </c>
      <c r="D107" s="122" t="s">
        <v>782</v>
      </c>
      <c r="E107" s="122" t="s">
        <v>273</v>
      </c>
      <c r="F107" s="14">
        <v>0</v>
      </c>
      <c r="G107" s="179">
        <v>470</v>
      </c>
      <c r="H107" s="110">
        <f t="shared" si="85"/>
        <v>0</v>
      </c>
      <c r="I107" s="110">
        <f t="shared" si="84"/>
        <v>0</v>
      </c>
      <c r="J107" s="14">
        <f t="shared" si="91"/>
        <v>0</v>
      </c>
      <c r="K107" s="163">
        <v>4.0000000000000003E-5</v>
      </c>
      <c r="L107" s="110">
        <f t="shared" si="92"/>
        <v>0</v>
      </c>
      <c r="M107" s="111" t="s">
        <v>6</v>
      </c>
      <c r="N107" s="110">
        <f t="shared" si="76"/>
        <v>0</v>
      </c>
      <c r="Y107" s="110">
        <f t="shared" si="86"/>
        <v>0</v>
      </c>
      <c r="Z107" s="110">
        <f t="shared" si="87"/>
        <v>0</v>
      </c>
      <c r="AA107" s="110">
        <f t="shared" si="88"/>
        <v>0</v>
      </c>
      <c r="AC107" s="113">
        <v>15</v>
      </c>
      <c r="AD107" s="113">
        <f t="shared" si="82"/>
        <v>381.37478152309632</v>
      </c>
      <c r="AE107" s="113">
        <f t="shared" si="83"/>
        <v>88.625218476903697</v>
      </c>
      <c r="AL107" s="113">
        <f t="shared" si="89"/>
        <v>0</v>
      </c>
      <c r="AM107" s="113">
        <f t="shared" si="90"/>
        <v>0</v>
      </c>
      <c r="AN107" s="114" t="s">
        <v>307</v>
      </c>
      <c r="AO107" s="114" t="s">
        <v>323</v>
      </c>
      <c r="AP107" s="134" t="s">
        <v>328</v>
      </c>
      <c r="AR107" t="s">
        <v>792</v>
      </c>
      <c r="AS107" s="197">
        <v>4.0000000000000003E-5</v>
      </c>
      <c r="AU107" s="286"/>
    </row>
    <row r="108" spans="1:47" hidden="1">
      <c r="A108" s="4" t="s">
        <v>804</v>
      </c>
      <c r="B108" s="122"/>
      <c r="C108" s="122" t="s">
        <v>124</v>
      </c>
      <c r="D108" s="122" t="s">
        <v>761</v>
      </c>
      <c r="E108" s="122" t="s">
        <v>273</v>
      </c>
      <c r="F108" s="14">
        <v>0</v>
      </c>
      <c r="G108" s="179"/>
      <c r="H108" s="14">
        <f t="shared" si="85"/>
        <v>0</v>
      </c>
      <c r="I108" s="14">
        <f t="shared" si="84"/>
        <v>0</v>
      </c>
      <c r="J108" s="14">
        <f t="shared" si="91"/>
        <v>0</v>
      </c>
      <c r="K108" s="164">
        <v>2.2499999999999998E-3</v>
      </c>
      <c r="L108" s="14">
        <f t="shared" si="92"/>
        <v>0</v>
      </c>
      <c r="M108" s="20" t="s">
        <v>6</v>
      </c>
      <c r="N108" s="14">
        <f t="shared" si="76"/>
        <v>0</v>
      </c>
      <c r="Y108" s="110">
        <f t="shared" si="86"/>
        <v>0</v>
      </c>
      <c r="Z108" s="110">
        <f t="shared" si="87"/>
        <v>0</v>
      </c>
      <c r="AA108" s="110">
        <f t="shared" si="88"/>
        <v>0</v>
      </c>
      <c r="AC108" s="24">
        <v>15</v>
      </c>
      <c r="AD108" s="113">
        <f t="shared" si="82"/>
        <v>0</v>
      </c>
      <c r="AE108" s="113">
        <f t="shared" si="83"/>
        <v>0</v>
      </c>
      <c r="AL108" s="24">
        <f t="shared" si="89"/>
        <v>0</v>
      </c>
      <c r="AM108" s="24">
        <f t="shared" si="90"/>
        <v>0</v>
      </c>
      <c r="AN108" s="25" t="s">
        <v>307</v>
      </c>
      <c r="AO108" s="25" t="s">
        <v>323</v>
      </c>
      <c r="AP108" s="19" t="s">
        <v>328</v>
      </c>
      <c r="AR108" t="s">
        <v>794</v>
      </c>
      <c r="AS108" s="197">
        <v>2.2499999999999998E-3</v>
      </c>
    </row>
    <row r="109" spans="1:47" s="133" customFormat="1" hidden="1">
      <c r="A109" s="4" t="s">
        <v>79</v>
      </c>
      <c r="B109" s="119"/>
      <c r="C109" s="119" t="s">
        <v>680</v>
      </c>
      <c r="D109" s="119" t="s">
        <v>681</v>
      </c>
      <c r="E109" s="119" t="s">
        <v>273</v>
      </c>
      <c r="F109" s="15">
        <v>0</v>
      </c>
      <c r="G109" s="179"/>
      <c r="H109" s="120">
        <f t="shared" si="85"/>
        <v>0</v>
      </c>
      <c r="I109" s="120">
        <f t="shared" si="84"/>
        <v>0</v>
      </c>
      <c r="J109" s="14">
        <f t="shared" si="91"/>
        <v>0</v>
      </c>
      <c r="K109" s="172">
        <v>0</v>
      </c>
      <c r="L109" s="120">
        <f t="shared" si="92"/>
        <v>0</v>
      </c>
      <c r="M109" s="121" t="s">
        <v>290</v>
      </c>
      <c r="N109" s="120">
        <f t="shared" si="76"/>
        <v>0</v>
      </c>
      <c r="Y109" s="110">
        <f t="shared" si="86"/>
        <v>0</v>
      </c>
      <c r="Z109" s="110">
        <f t="shared" si="87"/>
        <v>0</v>
      </c>
      <c r="AA109" s="110">
        <f t="shared" si="88"/>
        <v>0</v>
      </c>
      <c r="AC109" s="113">
        <v>15</v>
      </c>
      <c r="AD109" s="113">
        <f t="shared" si="82"/>
        <v>0</v>
      </c>
      <c r="AE109" s="113">
        <f t="shared" si="83"/>
        <v>0</v>
      </c>
      <c r="AL109" s="113">
        <f t="shared" si="89"/>
        <v>0</v>
      </c>
      <c r="AM109" s="113">
        <f t="shared" si="90"/>
        <v>0</v>
      </c>
      <c r="AN109" s="114" t="s">
        <v>682</v>
      </c>
      <c r="AO109" s="114" t="s">
        <v>328</v>
      </c>
      <c r="AP109" s="134" t="s">
        <v>328</v>
      </c>
      <c r="AR109" s="104" t="s">
        <v>785</v>
      </c>
      <c r="AS109" s="198">
        <v>0</v>
      </c>
      <c r="AU109" s="286"/>
    </row>
    <row r="110" spans="1:47" s="112" customFormat="1" hidden="1">
      <c r="A110" s="4" t="s">
        <v>80</v>
      </c>
      <c r="B110" s="122"/>
      <c r="C110" s="122" t="s">
        <v>626</v>
      </c>
      <c r="D110" s="122" t="s">
        <v>759</v>
      </c>
      <c r="E110" s="122" t="s">
        <v>273</v>
      </c>
      <c r="F110" s="14">
        <v>0</v>
      </c>
      <c r="G110" s="179"/>
      <c r="H110" s="110">
        <f t="shared" si="85"/>
        <v>0</v>
      </c>
      <c r="I110" s="110">
        <f t="shared" ref="I110:I119" si="93">J110-H110</f>
        <v>0</v>
      </c>
      <c r="J110" s="14">
        <f t="shared" si="91"/>
        <v>0</v>
      </c>
      <c r="K110" s="163">
        <v>4.0000000000000003E-5</v>
      </c>
      <c r="L110" s="110">
        <f t="shared" si="92"/>
        <v>0</v>
      </c>
      <c r="M110" s="111" t="s">
        <v>6</v>
      </c>
      <c r="N110" s="110">
        <f t="shared" si="76"/>
        <v>0</v>
      </c>
      <c r="Y110" s="110">
        <f t="shared" si="86"/>
        <v>0</v>
      </c>
      <c r="Z110" s="110">
        <f t="shared" si="87"/>
        <v>0</v>
      </c>
      <c r="AA110" s="110">
        <f t="shared" si="88"/>
        <v>0</v>
      </c>
      <c r="AC110" s="113">
        <v>15</v>
      </c>
      <c r="AD110" s="113">
        <f t="shared" si="82"/>
        <v>0</v>
      </c>
      <c r="AE110" s="113">
        <f t="shared" si="83"/>
        <v>0</v>
      </c>
      <c r="AL110" s="113">
        <f t="shared" si="89"/>
        <v>0</v>
      </c>
      <c r="AM110" s="113">
        <f t="shared" si="90"/>
        <v>0</v>
      </c>
      <c r="AN110" s="114" t="s">
        <v>307</v>
      </c>
      <c r="AO110" s="114" t="s">
        <v>323</v>
      </c>
      <c r="AP110" s="115" t="s">
        <v>328</v>
      </c>
      <c r="AR110" t="s">
        <v>792</v>
      </c>
      <c r="AS110" s="197">
        <v>4.0000000000000003E-5</v>
      </c>
      <c r="AU110" s="287"/>
    </row>
    <row r="111" spans="1:47" hidden="1">
      <c r="A111" s="4" t="s">
        <v>81</v>
      </c>
      <c r="B111" s="4"/>
      <c r="C111" s="4" t="s">
        <v>126</v>
      </c>
      <c r="D111" s="4" t="s">
        <v>211</v>
      </c>
      <c r="E111" s="4" t="s">
        <v>273</v>
      </c>
      <c r="F111" s="14">
        <v>0</v>
      </c>
      <c r="G111" s="179">
        <v>952</v>
      </c>
      <c r="H111" s="14">
        <f t="shared" si="85"/>
        <v>0</v>
      </c>
      <c r="I111" s="14">
        <f t="shared" si="93"/>
        <v>0</v>
      </c>
      <c r="J111" s="14">
        <f t="shared" si="91"/>
        <v>0</v>
      </c>
      <c r="K111" s="164">
        <v>7.2999999999999996E-4</v>
      </c>
      <c r="L111" s="14">
        <f t="shared" si="92"/>
        <v>0</v>
      </c>
      <c r="M111" s="20" t="s">
        <v>6</v>
      </c>
      <c r="N111" s="14">
        <f t="shared" si="76"/>
        <v>0</v>
      </c>
      <c r="Y111" s="110">
        <f t="shared" si="86"/>
        <v>0</v>
      </c>
      <c r="Z111" s="110">
        <f t="shared" si="87"/>
        <v>0</v>
      </c>
      <c r="AA111" s="110">
        <f t="shared" si="88"/>
        <v>0</v>
      </c>
      <c r="AC111" s="24">
        <v>15</v>
      </c>
      <c r="AD111" s="113">
        <f t="shared" si="82"/>
        <v>772.48679151061208</v>
      </c>
      <c r="AE111" s="113">
        <f t="shared" si="83"/>
        <v>179.51320848938789</v>
      </c>
      <c r="AL111" s="24">
        <f t="shared" si="89"/>
        <v>0</v>
      </c>
      <c r="AM111" s="24">
        <f t="shared" si="90"/>
        <v>0</v>
      </c>
      <c r="AN111" s="25" t="s">
        <v>307</v>
      </c>
      <c r="AO111" s="25" t="s">
        <v>323</v>
      </c>
      <c r="AP111" s="19" t="s">
        <v>328</v>
      </c>
      <c r="AR111" t="s">
        <v>785</v>
      </c>
      <c r="AS111" s="197">
        <v>7.2999999999999996E-4</v>
      </c>
    </row>
    <row r="112" spans="1:47" hidden="1">
      <c r="A112" s="4" t="s">
        <v>473</v>
      </c>
      <c r="B112" s="4"/>
      <c r="C112" s="4" t="s">
        <v>389</v>
      </c>
      <c r="D112" s="4" t="s">
        <v>390</v>
      </c>
      <c r="E112" s="4" t="s">
        <v>275</v>
      </c>
      <c r="F112" s="14">
        <v>0</v>
      </c>
      <c r="G112" s="179">
        <v>224.5</v>
      </c>
      <c r="H112" s="14">
        <f t="shared" si="85"/>
        <v>0</v>
      </c>
      <c r="I112" s="14">
        <f t="shared" si="93"/>
        <v>0</v>
      </c>
      <c r="J112" s="14">
        <f t="shared" si="91"/>
        <v>0</v>
      </c>
      <c r="K112" s="164">
        <v>2.4000000000000001E-4</v>
      </c>
      <c r="L112" s="14">
        <f t="shared" si="92"/>
        <v>0</v>
      </c>
      <c r="M112" s="20" t="s">
        <v>6</v>
      </c>
      <c r="N112" s="14">
        <f t="shared" si="76"/>
        <v>0</v>
      </c>
      <c r="Y112" s="110">
        <f t="shared" si="86"/>
        <v>0</v>
      </c>
      <c r="Z112" s="110">
        <f t="shared" si="87"/>
        <v>0</v>
      </c>
      <c r="AA112" s="110">
        <f t="shared" si="88"/>
        <v>0</v>
      </c>
      <c r="AC112" s="24">
        <v>15</v>
      </c>
      <c r="AD112" s="113">
        <f t="shared" si="82"/>
        <v>182.1673158551811</v>
      </c>
      <c r="AE112" s="113">
        <f t="shared" si="83"/>
        <v>42.332684144818892</v>
      </c>
      <c r="AL112" s="24">
        <f t="shared" si="89"/>
        <v>0</v>
      </c>
      <c r="AM112" s="24">
        <f t="shared" si="90"/>
        <v>0</v>
      </c>
      <c r="AN112" s="25" t="s">
        <v>307</v>
      </c>
      <c r="AO112" s="25" t="s">
        <v>323</v>
      </c>
      <c r="AP112" s="19" t="s">
        <v>328</v>
      </c>
      <c r="AR112" t="s">
        <v>785</v>
      </c>
      <c r="AS112" s="197">
        <v>2.4000000000000001E-4</v>
      </c>
    </row>
    <row r="113" spans="1:47" hidden="1">
      <c r="A113" s="4" t="s">
        <v>82</v>
      </c>
      <c r="B113" s="4"/>
      <c r="C113" s="4" t="s">
        <v>391</v>
      </c>
      <c r="D113" s="4" t="s">
        <v>392</v>
      </c>
      <c r="E113" s="4" t="s">
        <v>275</v>
      </c>
      <c r="F113" s="14">
        <v>0</v>
      </c>
      <c r="G113" s="179">
        <v>246.5</v>
      </c>
      <c r="H113" s="14">
        <f t="shared" si="85"/>
        <v>0</v>
      </c>
      <c r="I113" s="14">
        <f t="shared" si="93"/>
        <v>0</v>
      </c>
      <c r="J113" s="14">
        <f t="shared" si="91"/>
        <v>0</v>
      </c>
      <c r="K113" s="164">
        <v>2.4000000000000001E-4</v>
      </c>
      <c r="L113" s="14">
        <f t="shared" si="92"/>
        <v>0</v>
      </c>
      <c r="M113" s="20" t="s">
        <v>6</v>
      </c>
      <c r="N113" s="14">
        <f>IF(M113="5",I114,0)</f>
        <v>0</v>
      </c>
      <c r="Y113" s="110">
        <f t="shared" si="86"/>
        <v>0</v>
      </c>
      <c r="Z113" s="110">
        <f t="shared" si="87"/>
        <v>0</v>
      </c>
      <c r="AA113" s="110">
        <f t="shared" si="88"/>
        <v>0</v>
      </c>
      <c r="AC113" s="24">
        <v>15</v>
      </c>
      <c r="AD113" s="113">
        <f t="shared" si="82"/>
        <v>200.01890137328348</v>
      </c>
      <c r="AE113" s="113">
        <f t="shared" si="83"/>
        <v>46.481098626716509</v>
      </c>
      <c r="AL113" s="24">
        <f t="shared" si="89"/>
        <v>0</v>
      </c>
      <c r="AM113" s="24">
        <f t="shared" si="90"/>
        <v>0</v>
      </c>
      <c r="AN113" s="25" t="s">
        <v>307</v>
      </c>
      <c r="AO113" s="25" t="s">
        <v>323</v>
      </c>
      <c r="AP113" s="19" t="s">
        <v>328</v>
      </c>
      <c r="AR113" t="s">
        <v>785</v>
      </c>
      <c r="AS113" s="197">
        <v>2.4000000000000001E-4</v>
      </c>
    </row>
    <row r="114" spans="1:47" hidden="1">
      <c r="A114" s="4" t="s">
        <v>83</v>
      </c>
      <c r="B114" s="4"/>
      <c r="C114" s="4" t="s">
        <v>752</v>
      </c>
      <c r="D114" s="4" t="s">
        <v>753</v>
      </c>
      <c r="E114" s="4" t="s">
        <v>275</v>
      </c>
      <c r="F114" s="14">
        <v>0</v>
      </c>
      <c r="G114" s="179">
        <v>463</v>
      </c>
      <c r="H114" s="14">
        <f t="shared" si="85"/>
        <v>0</v>
      </c>
      <c r="I114" s="14">
        <f t="shared" si="93"/>
        <v>0</v>
      </c>
      <c r="J114" s="14">
        <f t="shared" si="91"/>
        <v>0</v>
      </c>
      <c r="K114" s="164">
        <v>3.4000000000000002E-4</v>
      </c>
      <c r="L114" s="14">
        <f t="shared" si="92"/>
        <v>0</v>
      </c>
      <c r="M114" s="20" t="s">
        <v>6</v>
      </c>
      <c r="N114" s="14">
        <f>IF(M114="5",I115,0)</f>
        <v>0</v>
      </c>
      <c r="Y114" s="110">
        <f t="shared" si="86"/>
        <v>0</v>
      </c>
      <c r="Z114" s="110">
        <f t="shared" si="87"/>
        <v>0</v>
      </c>
      <c r="AA114" s="110">
        <f t="shared" si="88"/>
        <v>0</v>
      </c>
      <c r="AC114" s="24">
        <v>15</v>
      </c>
      <c r="AD114" s="113">
        <f t="shared" si="82"/>
        <v>375.6947315855183</v>
      </c>
      <c r="AE114" s="113">
        <f t="shared" si="83"/>
        <v>87.305268414481716</v>
      </c>
      <c r="AL114" s="24">
        <f t="shared" si="89"/>
        <v>0</v>
      </c>
      <c r="AM114" s="24">
        <f t="shared" si="90"/>
        <v>0</v>
      </c>
      <c r="AN114" s="25" t="s">
        <v>307</v>
      </c>
      <c r="AO114" s="25" t="s">
        <v>323</v>
      </c>
      <c r="AP114" s="19" t="s">
        <v>328</v>
      </c>
      <c r="AR114" t="s">
        <v>785</v>
      </c>
      <c r="AS114" s="197">
        <v>3.4000000000000002E-4</v>
      </c>
    </row>
    <row r="115" spans="1:47" s="133" customFormat="1" hidden="1">
      <c r="A115" s="4" t="s">
        <v>84</v>
      </c>
      <c r="B115" s="109"/>
      <c r="C115" s="109" t="s">
        <v>627</v>
      </c>
      <c r="D115" s="109" t="s">
        <v>628</v>
      </c>
      <c r="E115" s="109" t="s">
        <v>275</v>
      </c>
      <c r="F115" s="14">
        <v>0</v>
      </c>
      <c r="G115" s="179"/>
      <c r="H115" s="110">
        <f t="shared" si="85"/>
        <v>0</v>
      </c>
      <c r="I115" s="110">
        <f t="shared" si="93"/>
        <v>0</v>
      </c>
      <c r="J115" s="14">
        <f t="shared" si="91"/>
        <v>0</v>
      </c>
      <c r="K115" s="163">
        <v>1.2999999999999999E-3</v>
      </c>
      <c r="L115" s="110">
        <f t="shared" si="92"/>
        <v>0</v>
      </c>
      <c r="M115" s="111" t="s">
        <v>6</v>
      </c>
      <c r="N115" s="110">
        <f t="shared" ref="N115:N124" si="94">IF(M115="5",I115,0)</f>
        <v>0</v>
      </c>
      <c r="Y115" s="110">
        <f t="shared" si="86"/>
        <v>0</v>
      </c>
      <c r="Z115" s="110">
        <f t="shared" si="87"/>
        <v>0</v>
      </c>
      <c r="AA115" s="110">
        <f t="shared" si="88"/>
        <v>0</v>
      </c>
      <c r="AC115" s="113">
        <v>15</v>
      </c>
      <c r="AD115" s="113">
        <f t="shared" si="82"/>
        <v>0</v>
      </c>
      <c r="AE115" s="113">
        <f t="shared" si="83"/>
        <v>0</v>
      </c>
      <c r="AL115" s="113">
        <f t="shared" si="89"/>
        <v>0</v>
      </c>
      <c r="AM115" s="113">
        <f t="shared" si="90"/>
        <v>0</v>
      </c>
      <c r="AN115" s="114" t="s">
        <v>307</v>
      </c>
      <c r="AO115" s="114" t="s">
        <v>323</v>
      </c>
      <c r="AP115" s="134" t="s">
        <v>328</v>
      </c>
      <c r="AR115" t="s">
        <v>785</v>
      </c>
      <c r="AS115" s="197">
        <v>1.2999999999999999E-3</v>
      </c>
      <c r="AU115" s="286"/>
    </row>
    <row r="116" spans="1:47" s="133" customFormat="1" hidden="1">
      <c r="A116" s="4" t="s">
        <v>85</v>
      </c>
      <c r="B116" s="109"/>
      <c r="C116" s="109" t="s">
        <v>629</v>
      </c>
      <c r="D116" s="109" t="s">
        <v>630</v>
      </c>
      <c r="E116" s="109" t="s">
        <v>275</v>
      </c>
      <c r="F116" s="14">
        <v>0</v>
      </c>
      <c r="G116" s="179"/>
      <c r="H116" s="110">
        <f t="shared" si="85"/>
        <v>0</v>
      </c>
      <c r="I116" s="110">
        <f t="shared" si="93"/>
        <v>0</v>
      </c>
      <c r="J116" s="14">
        <f t="shared" si="91"/>
        <v>0</v>
      </c>
      <c r="K116" s="163">
        <v>1.5E-3</v>
      </c>
      <c r="L116" s="110">
        <f t="shared" si="92"/>
        <v>0</v>
      </c>
      <c r="M116" s="111" t="s">
        <v>6</v>
      </c>
      <c r="N116" s="110">
        <f t="shared" si="94"/>
        <v>0</v>
      </c>
      <c r="Y116" s="110">
        <f t="shared" si="86"/>
        <v>0</v>
      </c>
      <c r="Z116" s="110">
        <f t="shared" si="87"/>
        <v>0</v>
      </c>
      <c r="AA116" s="110">
        <f t="shared" si="88"/>
        <v>0</v>
      </c>
      <c r="AC116" s="113">
        <v>15</v>
      </c>
      <c r="AD116" s="113">
        <f t="shared" si="82"/>
        <v>0</v>
      </c>
      <c r="AE116" s="113">
        <f t="shared" si="83"/>
        <v>0</v>
      </c>
      <c r="AL116" s="113">
        <f t="shared" si="89"/>
        <v>0</v>
      </c>
      <c r="AM116" s="113">
        <f t="shared" si="90"/>
        <v>0</v>
      </c>
      <c r="AN116" s="114" t="s">
        <v>307</v>
      </c>
      <c r="AO116" s="114" t="s">
        <v>323</v>
      </c>
      <c r="AP116" s="134" t="s">
        <v>328</v>
      </c>
      <c r="AR116" t="s">
        <v>785</v>
      </c>
      <c r="AS116" s="197">
        <v>1.5E-3</v>
      </c>
      <c r="AU116" s="286"/>
    </row>
    <row r="117" spans="1:47" s="133" customFormat="1" hidden="1">
      <c r="A117" s="4" t="s">
        <v>86</v>
      </c>
      <c r="B117" s="109"/>
      <c r="C117" s="109" t="s">
        <v>631</v>
      </c>
      <c r="D117" s="109" t="s">
        <v>632</v>
      </c>
      <c r="E117" s="109" t="s">
        <v>275</v>
      </c>
      <c r="F117" s="14">
        <v>0</v>
      </c>
      <c r="G117" s="179"/>
      <c r="H117" s="110">
        <f t="shared" si="85"/>
        <v>0</v>
      </c>
      <c r="I117" s="110">
        <f t="shared" si="93"/>
        <v>0</v>
      </c>
      <c r="J117" s="14">
        <f t="shared" si="91"/>
        <v>0</v>
      </c>
      <c r="K117" s="163">
        <v>2.3E-3</v>
      </c>
      <c r="L117" s="110">
        <f t="shared" si="92"/>
        <v>0</v>
      </c>
      <c r="M117" s="111" t="s">
        <v>6</v>
      </c>
      <c r="N117" s="110">
        <f t="shared" si="94"/>
        <v>0</v>
      </c>
      <c r="Y117" s="110">
        <f t="shared" si="86"/>
        <v>0</v>
      </c>
      <c r="Z117" s="110">
        <f t="shared" si="87"/>
        <v>0</v>
      </c>
      <c r="AA117" s="110">
        <f t="shared" si="88"/>
        <v>0</v>
      </c>
      <c r="AC117" s="113">
        <v>15</v>
      </c>
      <c r="AD117" s="113">
        <f t="shared" si="82"/>
        <v>0</v>
      </c>
      <c r="AE117" s="113">
        <f t="shared" si="83"/>
        <v>0</v>
      </c>
      <c r="AL117" s="113">
        <f t="shared" si="89"/>
        <v>0</v>
      </c>
      <c r="AM117" s="113">
        <f t="shared" si="90"/>
        <v>0</v>
      </c>
      <c r="AN117" s="114" t="s">
        <v>307</v>
      </c>
      <c r="AO117" s="114" t="s">
        <v>323</v>
      </c>
      <c r="AP117" s="134" t="s">
        <v>328</v>
      </c>
      <c r="AR117" t="s">
        <v>785</v>
      </c>
      <c r="AS117" s="197">
        <v>2.3E-3</v>
      </c>
      <c r="AU117" s="286"/>
    </row>
    <row r="118" spans="1:47" s="133" customFormat="1" hidden="1">
      <c r="A118" s="4" t="s">
        <v>87</v>
      </c>
      <c r="B118" s="109"/>
      <c r="C118" s="109" t="s">
        <v>633</v>
      </c>
      <c r="D118" s="109" t="s">
        <v>634</v>
      </c>
      <c r="E118" s="109" t="s">
        <v>275</v>
      </c>
      <c r="F118" s="14">
        <v>0</v>
      </c>
      <c r="G118" s="179"/>
      <c r="H118" s="110">
        <f t="shared" si="85"/>
        <v>0</v>
      </c>
      <c r="I118" s="110">
        <f t="shared" si="93"/>
        <v>0</v>
      </c>
      <c r="J118" s="14">
        <f t="shared" si="91"/>
        <v>0</v>
      </c>
      <c r="K118" s="163">
        <v>2.3E-3</v>
      </c>
      <c r="L118" s="110">
        <f t="shared" si="92"/>
        <v>0</v>
      </c>
      <c r="M118" s="111" t="s">
        <v>6</v>
      </c>
      <c r="N118" s="110">
        <f t="shared" si="94"/>
        <v>0</v>
      </c>
      <c r="Y118" s="110">
        <f t="shared" si="86"/>
        <v>0</v>
      </c>
      <c r="Z118" s="110">
        <f t="shared" si="87"/>
        <v>0</v>
      </c>
      <c r="AA118" s="110">
        <f t="shared" si="88"/>
        <v>0</v>
      </c>
      <c r="AC118" s="113">
        <v>15</v>
      </c>
      <c r="AD118" s="113">
        <f t="shared" si="82"/>
        <v>0</v>
      </c>
      <c r="AE118" s="113">
        <f t="shared" si="83"/>
        <v>0</v>
      </c>
      <c r="AL118" s="113">
        <f t="shared" si="89"/>
        <v>0</v>
      </c>
      <c r="AM118" s="113">
        <f t="shared" si="90"/>
        <v>0</v>
      </c>
      <c r="AN118" s="114" t="s">
        <v>307</v>
      </c>
      <c r="AO118" s="114" t="s">
        <v>323</v>
      </c>
      <c r="AP118" s="134" t="s">
        <v>328</v>
      </c>
      <c r="AR118" t="s">
        <v>785</v>
      </c>
      <c r="AS118" s="197">
        <v>2.3E-3</v>
      </c>
      <c r="AU118" s="286"/>
    </row>
    <row r="119" spans="1:47" s="133" customFormat="1" hidden="1">
      <c r="A119" s="4" t="s">
        <v>88</v>
      </c>
      <c r="B119" s="109"/>
      <c r="C119" s="109" t="s">
        <v>635</v>
      </c>
      <c r="D119" s="109" t="s">
        <v>636</v>
      </c>
      <c r="E119" s="109" t="s">
        <v>275</v>
      </c>
      <c r="F119" s="14">
        <v>0</v>
      </c>
      <c r="G119" s="179"/>
      <c r="H119" s="110">
        <f t="shared" si="85"/>
        <v>0</v>
      </c>
      <c r="I119" s="110">
        <f t="shared" si="93"/>
        <v>0</v>
      </c>
      <c r="J119" s="14">
        <f t="shared" si="91"/>
        <v>0</v>
      </c>
      <c r="K119" s="163">
        <v>1E-3</v>
      </c>
      <c r="L119" s="110">
        <f t="shared" si="92"/>
        <v>0</v>
      </c>
      <c r="M119" s="111" t="s">
        <v>6</v>
      </c>
      <c r="N119" s="110">
        <f t="shared" si="94"/>
        <v>0</v>
      </c>
      <c r="Y119" s="110">
        <f t="shared" si="86"/>
        <v>0</v>
      </c>
      <c r="Z119" s="110">
        <f t="shared" si="87"/>
        <v>0</v>
      </c>
      <c r="AA119" s="110">
        <f t="shared" si="88"/>
        <v>0</v>
      </c>
      <c r="AC119" s="113">
        <v>15</v>
      </c>
      <c r="AD119" s="113">
        <f t="shared" si="82"/>
        <v>0</v>
      </c>
      <c r="AE119" s="113">
        <f t="shared" si="83"/>
        <v>0</v>
      </c>
      <c r="AL119" s="113">
        <f t="shared" si="89"/>
        <v>0</v>
      </c>
      <c r="AM119" s="113">
        <f t="shared" si="90"/>
        <v>0</v>
      </c>
      <c r="AN119" s="114" t="s">
        <v>307</v>
      </c>
      <c r="AO119" s="114" t="s">
        <v>323</v>
      </c>
      <c r="AP119" s="134" t="s">
        <v>328</v>
      </c>
      <c r="AR119" t="s">
        <v>785</v>
      </c>
      <c r="AS119" s="197">
        <v>1E-3</v>
      </c>
      <c r="AU119" s="286"/>
    </row>
    <row r="120" spans="1:47" s="133" customFormat="1" hidden="1">
      <c r="A120" s="4" t="s">
        <v>89</v>
      </c>
      <c r="B120" s="119"/>
      <c r="C120" s="119" t="s">
        <v>687</v>
      </c>
      <c r="D120" s="119" t="s">
        <v>688</v>
      </c>
      <c r="E120" s="119" t="s">
        <v>273</v>
      </c>
      <c r="F120" s="15">
        <v>0</v>
      </c>
      <c r="G120" s="179"/>
      <c r="H120" s="120">
        <f t="shared" si="85"/>
        <v>0</v>
      </c>
      <c r="I120" s="120">
        <f t="shared" ref="I120:I125" si="95">J120-H120</f>
        <v>0</v>
      </c>
      <c r="J120" s="14">
        <f t="shared" si="91"/>
        <v>0</v>
      </c>
      <c r="K120" s="172">
        <v>4.0000000000000001E-3</v>
      </c>
      <c r="L120" s="120">
        <f t="shared" si="92"/>
        <v>0</v>
      </c>
      <c r="M120" s="121" t="s">
        <v>290</v>
      </c>
      <c r="N120" s="120">
        <f t="shared" si="94"/>
        <v>0</v>
      </c>
      <c r="Y120" s="110">
        <f t="shared" si="86"/>
        <v>0</v>
      </c>
      <c r="Z120" s="110">
        <f t="shared" si="87"/>
        <v>0</v>
      </c>
      <c r="AA120" s="110">
        <f t="shared" si="88"/>
        <v>0</v>
      </c>
      <c r="AC120" s="113">
        <v>15</v>
      </c>
      <c r="AD120" s="113">
        <f t="shared" si="82"/>
        <v>0</v>
      </c>
      <c r="AE120" s="113">
        <f t="shared" si="83"/>
        <v>0</v>
      </c>
      <c r="AL120" s="113">
        <f t="shared" si="89"/>
        <v>0</v>
      </c>
      <c r="AM120" s="113">
        <f t="shared" si="90"/>
        <v>0</v>
      </c>
      <c r="AN120" s="114" t="s">
        <v>682</v>
      </c>
      <c r="AO120" s="114" t="s">
        <v>328</v>
      </c>
      <c r="AP120" s="134" t="s">
        <v>328</v>
      </c>
      <c r="AR120" t="s">
        <v>785</v>
      </c>
      <c r="AS120" s="198">
        <v>4.0000000000000001E-3</v>
      </c>
      <c r="AU120" s="286"/>
    </row>
    <row r="121" spans="1:47" s="138" customFormat="1" hidden="1">
      <c r="A121" s="4" t="s">
        <v>90</v>
      </c>
      <c r="B121" s="60"/>
      <c r="C121" s="60" t="s">
        <v>572</v>
      </c>
      <c r="D121" s="60" t="s">
        <v>573</v>
      </c>
      <c r="E121" s="60" t="s">
        <v>273</v>
      </c>
      <c r="F121" s="14">
        <v>0</v>
      </c>
      <c r="G121" s="179"/>
      <c r="H121" s="61">
        <f t="shared" si="85"/>
        <v>0</v>
      </c>
      <c r="I121" s="61">
        <f t="shared" si="95"/>
        <v>0</v>
      </c>
      <c r="J121" s="14">
        <f t="shared" si="91"/>
        <v>0</v>
      </c>
      <c r="K121" s="168">
        <v>1.66E-2</v>
      </c>
      <c r="L121" s="61">
        <f t="shared" si="92"/>
        <v>0</v>
      </c>
      <c r="M121" s="62" t="s">
        <v>6</v>
      </c>
      <c r="N121" s="61">
        <f t="shared" si="94"/>
        <v>0</v>
      </c>
      <c r="Y121" s="110">
        <f t="shared" si="86"/>
        <v>0</v>
      </c>
      <c r="Z121" s="110">
        <f t="shared" si="87"/>
        <v>0</v>
      </c>
      <c r="AA121" s="110">
        <f t="shared" si="88"/>
        <v>0</v>
      </c>
      <c r="AC121" s="64">
        <v>15</v>
      </c>
      <c r="AD121" s="113">
        <f t="shared" si="82"/>
        <v>0</v>
      </c>
      <c r="AE121" s="113">
        <f t="shared" si="83"/>
        <v>0</v>
      </c>
      <c r="AL121" s="64">
        <f t="shared" si="89"/>
        <v>0</v>
      </c>
      <c r="AM121" s="64">
        <f t="shared" si="90"/>
        <v>0</v>
      </c>
      <c r="AN121" s="65" t="s">
        <v>574</v>
      </c>
      <c r="AO121" s="65" t="s">
        <v>400</v>
      </c>
      <c r="AP121" s="139" t="s">
        <v>328</v>
      </c>
      <c r="AR121" t="s">
        <v>785</v>
      </c>
      <c r="AS121" s="197">
        <v>1.66E-2</v>
      </c>
      <c r="AU121" s="289"/>
    </row>
    <row r="122" spans="1:47" s="104" customFormat="1" hidden="1">
      <c r="A122" s="4" t="s">
        <v>91</v>
      </c>
      <c r="B122" s="4"/>
      <c r="C122" s="4" t="s">
        <v>129</v>
      </c>
      <c r="D122" s="4" t="s">
        <v>984</v>
      </c>
      <c r="E122" s="4" t="s">
        <v>273</v>
      </c>
      <c r="F122" s="14">
        <v>0</v>
      </c>
      <c r="G122" s="179">
        <v>534</v>
      </c>
      <c r="H122" s="14">
        <f t="shared" si="85"/>
        <v>0</v>
      </c>
      <c r="I122" s="14">
        <f t="shared" si="95"/>
        <v>0</v>
      </c>
      <c r="J122" s="14">
        <f t="shared" si="91"/>
        <v>0</v>
      </c>
      <c r="K122" s="164">
        <v>8.0000000000000004E-4</v>
      </c>
      <c r="L122" s="14">
        <f t="shared" si="92"/>
        <v>0</v>
      </c>
      <c r="M122" s="20" t="s">
        <v>6</v>
      </c>
      <c r="N122" s="14">
        <f t="shared" si="94"/>
        <v>0</v>
      </c>
      <c r="Y122" s="110">
        <f t="shared" si="86"/>
        <v>0</v>
      </c>
      <c r="Z122" s="110">
        <f t="shared" si="87"/>
        <v>0</v>
      </c>
      <c r="AA122" s="110">
        <f t="shared" si="88"/>
        <v>0</v>
      </c>
      <c r="AC122" s="24">
        <v>15</v>
      </c>
      <c r="AD122" s="113">
        <f t="shared" si="82"/>
        <v>433.30666666666684</v>
      </c>
      <c r="AE122" s="113">
        <f t="shared" si="83"/>
        <v>100.69333333333313</v>
      </c>
      <c r="AL122" s="24">
        <f t="shared" si="89"/>
        <v>0</v>
      </c>
      <c r="AM122" s="24">
        <f t="shared" si="90"/>
        <v>0</v>
      </c>
      <c r="AN122" s="25" t="s">
        <v>307</v>
      </c>
      <c r="AO122" s="25" t="s">
        <v>323</v>
      </c>
      <c r="AP122" s="105" t="s">
        <v>328</v>
      </c>
      <c r="AR122" t="s">
        <v>785</v>
      </c>
      <c r="AS122" s="197">
        <v>8.0000000000000004E-4</v>
      </c>
      <c r="AU122" s="288"/>
    </row>
    <row r="123" spans="1:47" s="104" customFormat="1" hidden="1">
      <c r="A123" s="4" t="s">
        <v>92</v>
      </c>
      <c r="B123" s="4"/>
      <c r="C123" s="4" t="s">
        <v>178</v>
      </c>
      <c r="D123" s="4" t="s">
        <v>248</v>
      </c>
      <c r="E123" s="4" t="s">
        <v>273</v>
      </c>
      <c r="F123" s="14">
        <v>0</v>
      </c>
      <c r="G123" s="179">
        <v>109</v>
      </c>
      <c r="H123" s="14">
        <f t="shared" si="85"/>
        <v>0</v>
      </c>
      <c r="I123" s="14">
        <f t="shared" si="95"/>
        <v>0</v>
      </c>
      <c r="J123" s="14">
        <f t="shared" si="91"/>
        <v>0</v>
      </c>
      <c r="K123" s="164">
        <v>2.0000000000000001E-4</v>
      </c>
      <c r="L123" s="14">
        <f t="shared" si="92"/>
        <v>0</v>
      </c>
      <c r="M123" s="20" t="s">
        <v>6</v>
      </c>
      <c r="N123" s="14">
        <f t="shared" si="94"/>
        <v>0</v>
      </c>
      <c r="Y123" s="110">
        <f t="shared" si="86"/>
        <v>0</v>
      </c>
      <c r="Z123" s="110">
        <f t="shared" si="87"/>
        <v>0</v>
      </c>
      <c r="AA123" s="110">
        <f t="shared" si="88"/>
        <v>0</v>
      </c>
      <c r="AC123" s="24">
        <v>15</v>
      </c>
      <c r="AD123" s="113">
        <f t="shared" si="82"/>
        <v>88.446491885143615</v>
      </c>
      <c r="AE123" s="113">
        <f t="shared" si="83"/>
        <v>20.553508114856388</v>
      </c>
      <c r="AL123" s="24">
        <f t="shared" si="89"/>
        <v>0</v>
      </c>
      <c r="AM123" s="24">
        <f t="shared" si="90"/>
        <v>0</v>
      </c>
      <c r="AN123" s="25" t="s">
        <v>316</v>
      </c>
      <c r="AO123" s="25" t="s">
        <v>327</v>
      </c>
      <c r="AP123" s="105" t="s">
        <v>328</v>
      </c>
      <c r="AR123" s="104" t="s">
        <v>787</v>
      </c>
      <c r="AS123" s="197">
        <v>2.0000000000000001E-4</v>
      </c>
      <c r="AU123" s="288"/>
    </row>
    <row r="124" spans="1:47" s="104" customFormat="1" hidden="1">
      <c r="A124" s="4" t="s">
        <v>93</v>
      </c>
      <c r="B124" s="5"/>
      <c r="C124" s="5" t="s">
        <v>179</v>
      </c>
      <c r="D124" s="5" t="s">
        <v>249</v>
      </c>
      <c r="E124" s="5" t="s">
        <v>273</v>
      </c>
      <c r="F124" s="15">
        <v>0</v>
      </c>
      <c r="G124" s="179">
        <v>204.3</v>
      </c>
      <c r="H124" s="15">
        <f t="shared" si="85"/>
        <v>0</v>
      </c>
      <c r="I124" s="15">
        <f t="shared" si="95"/>
        <v>0</v>
      </c>
      <c r="J124" s="14">
        <f t="shared" si="91"/>
        <v>0</v>
      </c>
      <c r="K124" s="165">
        <v>4.0000000000000002E-4</v>
      </c>
      <c r="L124" s="15">
        <f t="shared" si="92"/>
        <v>0</v>
      </c>
      <c r="M124" s="21" t="s">
        <v>290</v>
      </c>
      <c r="N124" s="15">
        <f t="shared" si="94"/>
        <v>0</v>
      </c>
      <c r="Y124" s="110">
        <f t="shared" si="86"/>
        <v>0</v>
      </c>
      <c r="Z124" s="110">
        <f t="shared" si="87"/>
        <v>0</v>
      </c>
      <c r="AA124" s="110">
        <f t="shared" si="88"/>
        <v>0</v>
      </c>
      <c r="AC124" s="24">
        <v>15</v>
      </c>
      <c r="AD124" s="113">
        <f t="shared" si="82"/>
        <v>165.77631460674166</v>
      </c>
      <c r="AE124" s="113">
        <f t="shared" si="83"/>
        <v>38.523685393258354</v>
      </c>
      <c r="AL124" s="24">
        <f t="shared" si="89"/>
        <v>0</v>
      </c>
      <c r="AM124" s="24">
        <f t="shared" si="90"/>
        <v>0</v>
      </c>
      <c r="AN124" s="25" t="s">
        <v>316</v>
      </c>
      <c r="AO124" s="25" t="s">
        <v>327</v>
      </c>
      <c r="AP124" s="105" t="s">
        <v>328</v>
      </c>
      <c r="AR124" s="104" t="s">
        <v>787</v>
      </c>
      <c r="AS124" s="198">
        <v>4.0000000000000002E-4</v>
      </c>
      <c r="AU124" s="288"/>
    </row>
    <row r="125" spans="1:47" s="112" customFormat="1" hidden="1">
      <c r="A125" s="4" t="s">
        <v>94</v>
      </c>
      <c r="B125" s="109"/>
      <c r="C125" s="4" t="s">
        <v>872</v>
      </c>
      <c r="D125" s="109" t="s">
        <v>664</v>
      </c>
      <c r="E125" s="4" t="s">
        <v>484</v>
      </c>
      <c r="F125" s="110">
        <v>6.1</v>
      </c>
      <c r="G125" s="14">
        <f>(J73+J74+J75+J76+J77+J78+J79+J80+J81+J82+J83+J84+J85+J86+J87+J88+J89+J90+J91+J92+J93+J94+J95+J96+J97+J98+J99+J100+J101+J102+J103+J104+J105+J106+J107+J108+J109+J110+J111+J112+J113+J114+J115+J116+J118+J117+J119+J120+J121+J122+J123+J124)/100</f>
        <v>0</v>
      </c>
      <c r="H125" s="110">
        <f t="shared" si="85"/>
        <v>0</v>
      </c>
      <c r="I125" s="110">
        <f t="shared" si="95"/>
        <v>0</v>
      </c>
      <c r="J125" s="14">
        <f t="shared" si="91"/>
        <v>0</v>
      </c>
      <c r="K125" s="163"/>
      <c r="L125" s="110"/>
      <c r="M125" s="111" t="s">
        <v>10</v>
      </c>
      <c r="N125" s="110">
        <f>IF(M125="5",J125,0)</f>
        <v>0</v>
      </c>
      <c r="Y125" s="110">
        <f t="shared" si="86"/>
        <v>0</v>
      </c>
      <c r="Z125" s="110">
        <f t="shared" si="87"/>
        <v>0</v>
      </c>
      <c r="AA125" s="110">
        <f t="shared" si="88"/>
        <v>0</v>
      </c>
      <c r="AC125" s="113">
        <v>15</v>
      </c>
      <c r="AD125" s="113">
        <f>G125*0.81143570536829</f>
        <v>0</v>
      </c>
      <c r="AE125" s="113">
        <f t="shared" si="83"/>
        <v>0</v>
      </c>
      <c r="AL125" s="113">
        <f t="shared" si="89"/>
        <v>0</v>
      </c>
      <c r="AM125" s="113">
        <f t="shared" si="90"/>
        <v>0</v>
      </c>
      <c r="AN125" s="114" t="s">
        <v>665</v>
      </c>
      <c r="AO125" s="114" t="s">
        <v>327</v>
      </c>
      <c r="AP125" s="115" t="s">
        <v>328</v>
      </c>
      <c r="AR125" t="s">
        <v>785</v>
      </c>
      <c r="AS125" s="197"/>
      <c r="AU125" s="287"/>
    </row>
    <row r="126" spans="1:47" s="112" customFormat="1" hidden="1">
      <c r="A126" s="116"/>
      <c r="B126" s="117"/>
      <c r="C126" s="117" t="s">
        <v>637</v>
      </c>
      <c r="D126" s="150" t="s">
        <v>638</v>
      </c>
      <c r="E126" s="151"/>
      <c r="F126" s="151"/>
      <c r="G126" s="151"/>
      <c r="H126" s="118">
        <f>SUM(H127:H128)</f>
        <v>0</v>
      </c>
      <c r="I126" s="118">
        <f>SUM(I127:I128)</f>
        <v>0</v>
      </c>
      <c r="J126" s="118">
        <f>H126+I126</f>
        <v>0</v>
      </c>
      <c r="K126" s="166"/>
      <c r="L126" s="118">
        <f>SUM(L127:L127)</f>
        <v>0</v>
      </c>
      <c r="O126" s="118">
        <f>IF(P126="PR",J126,SUM(N127:N127))</f>
        <v>0</v>
      </c>
      <c r="P126" s="115" t="s">
        <v>294</v>
      </c>
      <c r="Q126" s="118">
        <f>IF(P126="HS",H126,0)</f>
        <v>0</v>
      </c>
      <c r="R126" s="118">
        <f>IF(P126="HS",I126-O126,0)</f>
        <v>0</v>
      </c>
      <c r="S126" s="118">
        <f>IF(P126="PS",H126,0)</f>
        <v>0</v>
      </c>
      <c r="T126" s="118">
        <f>IF(P126="PS",I126-O126,0)</f>
        <v>0</v>
      </c>
      <c r="U126" s="118">
        <f>IF(P126="MP",H126,0)</f>
        <v>0</v>
      </c>
      <c r="V126" s="118">
        <f>IF(P126="MP",I126-O126,0)</f>
        <v>0</v>
      </c>
      <c r="W126" s="118">
        <f>IF(P126="OM",H126,0)</f>
        <v>0</v>
      </c>
      <c r="X126" s="115"/>
      <c r="Y126" s="110"/>
      <c r="Z126" s="110"/>
      <c r="AA126" s="110"/>
      <c r="AD126" s="113"/>
      <c r="AE126" s="113"/>
      <c r="AH126" s="118">
        <f>SUM(Y127:Y127)</f>
        <v>0</v>
      </c>
      <c r="AI126" s="118">
        <f>SUM(Z127:Z127)</f>
        <v>0</v>
      </c>
      <c r="AJ126" s="118">
        <f>SUM(AA127:AA127)</f>
        <v>0</v>
      </c>
      <c r="AS126" s="199"/>
      <c r="AU126" s="287"/>
    </row>
    <row r="127" spans="1:47" s="112" customFormat="1" hidden="1">
      <c r="A127" s="4" t="s">
        <v>95</v>
      </c>
      <c r="B127" s="109"/>
      <c r="C127" s="109" t="s">
        <v>639</v>
      </c>
      <c r="D127" s="146" t="s">
        <v>1043</v>
      </c>
      <c r="E127" s="146" t="s">
        <v>275</v>
      </c>
      <c r="F127" s="110">
        <v>0</v>
      </c>
      <c r="G127" s="110">
        <v>623</v>
      </c>
      <c r="H127" s="110">
        <f>F127*AD127</f>
        <v>0</v>
      </c>
      <c r="I127" s="110">
        <f>J127-H127</f>
        <v>0</v>
      </c>
      <c r="J127" s="110">
        <f>F127*G127</f>
        <v>0</v>
      </c>
      <c r="K127" s="163">
        <v>2.3400000000000001E-3</v>
      </c>
      <c r="L127" s="110">
        <f>F127*K127</f>
        <v>0</v>
      </c>
      <c r="M127" s="111" t="s">
        <v>6</v>
      </c>
      <c r="N127" s="110">
        <f>IF(M127="5",I127,0)</f>
        <v>0</v>
      </c>
      <c r="Y127" s="110">
        <f>IF(AC127=0,J127,0)</f>
        <v>0</v>
      </c>
      <c r="Z127" s="110">
        <f>IF(AC127=15,J127,0)</f>
        <v>0</v>
      </c>
      <c r="AA127" s="110">
        <f>IF(AC127=21,J127,0)</f>
        <v>0</v>
      </c>
      <c r="AC127" s="113">
        <v>15</v>
      </c>
      <c r="AD127" s="113">
        <f t="shared" si="82"/>
        <v>505.52444444444467</v>
      </c>
      <c r="AE127" s="113">
        <f t="shared" si="83"/>
        <v>117.47555555555532</v>
      </c>
      <c r="AL127" s="113">
        <f>F127*AD127</f>
        <v>0</v>
      </c>
      <c r="AM127" s="113">
        <f>F127*AE127</f>
        <v>0</v>
      </c>
      <c r="AN127" s="114" t="s">
        <v>640</v>
      </c>
      <c r="AO127" s="114" t="s">
        <v>400</v>
      </c>
      <c r="AP127" s="115" t="s">
        <v>328</v>
      </c>
      <c r="AR127" t="s">
        <v>785</v>
      </c>
      <c r="AS127" s="197">
        <v>2.3400000000000001E-3</v>
      </c>
      <c r="AU127" s="287"/>
    </row>
    <row r="128" spans="1:47" s="112" customFormat="1" hidden="1">
      <c r="A128" s="4" t="s">
        <v>96</v>
      </c>
      <c r="B128" s="109"/>
      <c r="C128" s="4" t="s">
        <v>906</v>
      </c>
      <c r="D128" s="4" t="s">
        <v>1020</v>
      </c>
      <c r="E128" s="146" t="s">
        <v>907</v>
      </c>
      <c r="F128" s="110">
        <v>0</v>
      </c>
      <c r="G128" s="110">
        <v>715</v>
      </c>
      <c r="H128" s="110">
        <f>F128*AD128</f>
        <v>0</v>
      </c>
      <c r="I128" s="110">
        <f>J128-H128</f>
        <v>0</v>
      </c>
      <c r="J128" s="110">
        <f>F128*G128</f>
        <v>0</v>
      </c>
      <c r="K128" s="163">
        <v>1.8000000000000001E-4</v>
      </c>
      <c r="L128" s="110">
        <f>F128*K128</f>
        <v>0</v>
      </c>
      <c r="M128" s="111" t="s">
        <v>6</v>
      </c>
      <c r="N128" s="110">
        <f>IF(M128="5",I128,0)</f>
        <v>0</v>
      </c>
      <c r="Y128" s="110">
        <f>IF(AC128=0,J128,0)</f>
        <v>0</v>
      </c>
      <c r="Z128" s="110">
        <f>IF(AC128=15,J128,0)</f>
        <v>0</v>
      </c>
      <c r="AA128" s="110">
        <f>IF(AC128=21,J128,0)</f>
        <v>0</v>
      </c>
      <c r="AC128" s="113">
        <v>15</v>
      </c>
      <c r="AD128" s="113">
        <f>G128*0.81143570536829</f>
        <v>580.17652933832733</v>
      </c>
      <c r="AE128" s="113">
        <f>G128*(1-0.81143570536829)</f>
        <v>134.82347066167264</v>
      </c>
      <c r="AL128" s="113">
        <f>F128*AD128</f>
        <v>0</v>
      </c>
      <c r="AM128" s="113">
        <f>F128*AE128</f>
        <v>0</v>
      </c>
      <c r="AN128" s="114" t="s">
        <v>640</v>
      </c>
      <c r="AO128" s="114" t="s">
        <v>400</v>
      </c>
      <c r="AP128" s="115" t="s">
        <v>328</v>
      </c>
      <c r="AR128" t="s">
        <v>785</v>
      </c>
      <c r="AS128" s="197">
        <v>2.3400000000000001E-3</v>
      </c>
      <c r="AU128" s="287"/>
    </row>
    <row r="129" spans="1:47" s="112" customFormat="1" hidden="1">
      <c r="A129" s="116"/>
      <c r="B129" s="117"/>
      <c r="C129" s="117" t="s">
        <v>641</v>
      </c>
      <c r="D129" s="150" t="s">
        <v>642</v>
      </c>
      <c r="E129" s="151"/>
      <c r="F129" s="151"/>
      <c r="G129" s="151"/>
      <c r="H129" s="118">
        <f>SUM(H130:H134)</f>
        <v>0</v>
      </c>
      <c r="I129" s="118">
        <f>SUM(I130:I134)</f>
        <v>0</v>
      </c>
      <c r="J129" s="118">
        <f>H129+I129</f>
        <v>0</v>
      </c>
      <c r="K129" s="166"/>
      <c r="L129" s="118">
        <f>SUM(L130:L133)</f>
        <v>0</v>
      </c>
      <c r="O129" s="118">
        <f>IF(P129="PR",J129,SUM(N130:N134))</f>
        <v>0</v>
      </c>
      <c r="P129" s="115" t="s">
        <v>294</v>
      </c>
      <c r="Q129" s="118">
        <f>IF(P129="HS",H129,0)</f>
        <v>0</v>
      </c>
      <c r="R129" s="118">
        <f>IF(P129="HS",I129-O129,0)</f>
        <v>0</v>
      </c>
      <c r="S129" s="118">
        <f>IF(P129="PS",H129,0)</f>
        <v>0</v>
      </c>
      <c r="T129" s="118">
        <f>IF(P129="PS",I129-O129,0)</f>
        <v>0</v>
      </c>
      <c r="U129" s="118">
        <f>IF(P129="MP",H129,0)</f>
        <v>0</v>
      </c>
      <c r="V129" s="118">
        <f>IF(P129="MP",I129-O129,0)</f>
        <v>0</v>
      </c>
      <c r="W129" s="118">
        <f>IF(P129="OM",H129,0)</f>
        <v>0</v>
      </c>
      <c r="X129" s="115"/>
      <c r="Y129" s="110"/>
      <c r="Z129" s="110"/>
      <c r="AA129" s="110"/>
      <c r="AD129" s="113"/>
      <c r="AE129" s="113"/>
      <c r="AH129" s="118">
        <f>SUM(Y130:Y134)</f>
        <v>0</v>
      </c>
      <c r="AI129" s="118">
        <f>SUM(Z130:Z134)</f>
        <v>0</v>
      </c>
      <c r="AJ129" s="118">
        <f>SUM(AA130:AA134)</f>
        <v>0</v>
      </c>
      <c r="AS129" s="199"/>
      <c r="AU129" s="287"/>
    </row>
    <row r="130" spans="1:47" s="133" customFormat="1" hidden="1">
      <c r="A130" s="4" t="s">
        <v>97</v>
      </c>
      <c r="B130" s="109"/>
      <c r="C130" s="109" t="s">
        <v>643</v>
      </c>
      <c r="D130" s="109" t="s">
        <v>644</v>
      </c>
      <c r="E130" s="109" t="s">
        <v>273</v>
      </c>
      <c r="F130" s="110">
        <v>0</v>
      </c>
      <c r="G130" s="110">
        <v>346</v>
      </c>
      <c r="H130" s="110">
        <f>F130*AD130</f>
        <v>0</v>
      </c>
      <c r="I130" s="110">
        <f>J130-H130</f>
        <v>0</v>
      </c>
      <c r="J130" s="110">
        <f>F130*G130</f>
        <v>0</v>
      </c>
      <c r="K130" s="163">
        <v>0</v>
      </c>
      <c r="L130" s="110">
        <f>F130*K130</f>
        <v>0</v>
      </c>
      <c r="M130" s="111" t="s">
        <v>6</v>
      </c>
      <c r="N130" s="110">
        <f>IF(M130="5",I130,0)</f>
        <v>0</v>
      </c>
      <c r="Y130" s="110">
        <f>IF(AC130=0,J130,0)</f>
        <v>0</v>
      </c>
      <c r="Z130" s="110">
        <f>IF(AC130=15,J130,0)</f>
        <v>0</v>
      </c>
      <c r="AA130" s="110">
        <f>IF(AC130=21,J130,0)</f>
        <v>0</v>
      </c>
      <c r="AC130" s="113">
        <v>15</v>
      </c>
      <c r="AD130" s="113">
        <f t="shared" si="82"/>
        <v>280.75675405742834</v>
      </c>
      <c r="AE130" s="113">
        <f t="shared" si="83"/>
        <v>65.243245942571647</v>
      </c>
      <c r="AL130" s="113">
        <f>F130*AD130</f>
        <v>0</v>
      </c>
      <c r="AM130" s="113">
        <f>F130*AE130</f>
        <v>0</v>
      </c>
      <c r="AN130" s="114" t="s">
        <v>574</v>
      </c>
      <c r="AO130" s="114" t="s">
        <v>400</v>
      </c>
      <c r="AP130" s="134" t="s">
        <v>328</v>
      </c>
      <c r="AR130" t="s">
        <v>785</v>
      </c>
      <c r="AS130" s="197">
        <v>0</v>
      </c>
      <c r="AU130" s="286"/>
    </row>
    <row r="131" spans="1:47" s="133" customFormat="1" hidden="1">
      <c r="A131" s="4" t="s">
        <v>98</v>
      </c>
      <c r="B131" s="109"/>
      <c r="C131" s="109" t="s">
        <v>645</v>
      </c>
      <c r="D131" s="109" t="s">
        <v>646</v>
      </c>
      <c r="E131" s="109" t="s">
        <v>273</v>
      </c>
      <c r="F131" s="110">
        <v>0</v>
      </c>
      <c r="G131" s="110">
        <v>127</v>
      </c>
      <c r="H131" s="110">
        <f>F131*AD131</f>
        <v>0</v>
      </c>
      <c r="I131" s="110">
        <f>J131-H131</f>
        <v>0</v>
      </c>
      <c r="J131" s="110">
        <f>F131*G131</f>
        <v>0</v>
      </c>
      <c r="K131" s="163">
        <v>1.24E-2</v>
      </c>
      <c r="L131" s="110">
        <f>F131*K131</f>
        <v>0</v>
      </c>
      <c r="M131" s="111" t="s">
        <v>6</v>
      </c>
      <c r="N131" s="110">
        <f>IF(M131="5",I131,0)</f>
        <v>0</v>
      </c>
      <c r="Y131" s="110">
        <f>IF(AC131=0,J131,0)</f>
        <v>0</v>
      </c>
      <c r="Z131" s="110">
        <f>IF(AC131=15,J131,0)</f>
        <v>0</v>
      </c>
      <c r="AA131" s="110">
        <f>IF(AC131=21,J131,0)</f>
        <v>0</v>
      </c>
      <c r="AC131" s="113">
        <v>15</v>
      </c>
      <c r="AD131" s="113">
        <f t="shared" si="82"/>
        <v>103.05233458177283</v>
      </c>
      <c r="AE131" s="113">
        <f t="shared" si="83"/>
        <v>23.947665418227167</v>
      </c>
      <c r="AL131" s="113">
        <f>F131*AD131</f>
        <v>0</v>
      </c>
      <c r="AM131" s="113">
        <f>F131*AE131</f>
        <v>0</v>
      </c>
      <c r="AN131" s="114" t="s">
        <v>574</v>
      </c>
      <c r="AO131" s="114" t="s">
        <v>400</v>
      </c>
      <c r="AP131" s="134" t="s">
        <v>328</v>
      </c>
      <c r="AR131" t="s">
        <v>785</v>
      </c>
      <c r="AS131" s="197">
        <v>1.24E-2</v>
      </c>
      <c r="AU131" s="286"/>
    </row>
    <row r="132" spans="1:47" s="133" customFormat="1" ht="25.5" hidden="1">
      <c r="A132" s="4" t="s">
        <v>414</v>
      </c>
      <c r="B132" s="109"/>
      <c r="C132" s="4" t="s">
        <v>1025</v>
      </c>
      <c r="D132" s="135" t="s">
        <v>1074</v>
      </c>
      <c r="E132" s="4" t="s">
        <v>799</v>
      </c>
      <c r="F132" s="110">
        <v>0</v>
      </c>
      <c r="G132" s="110">
        <v>7900</v>
      </c>
      <c r="H132" s="110">
        <f>F132*AD132</f>
        <v>0</v>
      </c>
      <c r="I132" s="110">
        <f>J132-H132</f>
        <v>0</v>
      </c>
      <c r="J132" s="110">
        <f>F132*G132</f>
        <v>0</v>
      </c>
      <c r="K132" s="163"/>
      <c r="L132" s="110"/>
      <c r="M132" s="20" t="s">
        <v>6</v>
      </c>
      <c r="N132" s="110">
        <f>IF(M132="5",I132,0)</f>
        <v>0</v>
      </c>
      <c r="Y132" s="110">
        <f>IF(AC132=0,J132,0)</f>
        <v>0</v>
      </c>
      <c r="Z132" s="110">
        <f>IF(AC132=15,J132,0)</f>
        <v>0</v>
      </c>
      <c r="AA132" s="110">
        <f>IF(AC132=21,J132,0)</f>
        <v>0</v>
      </c>
      <c r="AC132" s="113">
        <v>15</v>
      </c>
      <c r="AD132" s="113">
        <f t="shared" si="82"/>
        <v>6410.3420724094913</v>
      </c>
      <c r="AE132" s="113">
        <f t="shared" si="83"/>
        <v>1489.657927590509</v>
      </c>
      <c r="AL132" s="113">
        <f>F132*AD132</f>
        <v>0</v>
      </c>
      <c r="AM132" s="113">
        <f>F132*AE132</f>
        <v>0</v>
      </c>
      <c r="AN132" s="114" t="s">
        <v>574</v>
      </c>
      <c r="AO132" s="114" t="s">
        <v>400</v>
      </c>
      <c r="AP132" s="134" t="s">
        <v>328</v>
      </c>
      <c r="AR132" t="s">
        <v>785</v>
      </c>
      <c r="AS132" s="197"/>
      <c r="AU132" s="286"/>
    </row>
    <row r="133" spans="1:47" s="133" customFormat="1" hidden="1">
      <c r="A133" s="4" t="s">
        <v>415</v>
      </c>
      <c r="B133" s="119"/>
      <c r="C133" s="119" t="s">
        <v>691</v>
      </c>
      <c r="D133" s="119" t="s">
        <v>692</v>
      </c>
      <c r="E133" s="119" t="s">
        <v>273</v>
      </c>
      <c r="F133" s="120">
        <v>0</v>
      </c>
      <c r="G133" s="120">
        <v>2891</v>
      </c>
      <c r="H133" s="120">
        <f>F133*AD133</f>
        <v>0</v>
      </c>
      <c r="I133" s="120">
        <f>J133-H133</f>
        <v>0</v>
      </c>
      <c r="J133" s="120">
        <f>F133*G133</f>
        <v>0</v>
      </c>
      <c r="K133" s="172">
        <v>1.2500000000000001E-2</v>
      </c>
      <c r="L133" s="120">
        <f>F133*K133</f>
        <v>0</v>
      </c>
      <c r="M133" s="121" t="s">
        <v>290</v>
      </c>
      <c r="N133" s="120">
        <f>IF(M133="5",I133,0)</f>
        <v>0</v>
      </c>
      <c r="Y133" s="110">
        <f>IF(AC133=0,J133,0)</f>
        <v>0</v>
      </c>
      <c r="Z133" s="110">
        <f>IF(AC133=15,J133,0)</f>
        <v>0</v>
      </c>
      <c r="AA133" s="110">
        <f>IF(AC133=21,J133,0)</f>
        <v>0</v>
      </c>
      <c r="AC133" s="113">
        <v>15</v>
      </c>
      <c r="AD133" s="113">
        <f t="shared" si="82"/>
        <v>2345.8606242197266</v>
      </c>
      <c r="AE133" s="113">
        <f t="shared" si="83"/>
        <v>545.13937578027355</v>
      </c>
      <c r="AL133" s="113">
        <f>F133*AD133</f>
        <v>0</v>
      </c>
      <c r="AM133" s="113">
        <f>F133*AE133</f>
        <v>0</v>
      </c>
      <c r="AN133" s="114" t="s">
        <v>682</v>
      </c>
      <c r="AO133" s="114" t="s">
        <v>328</v>
      </c>
      <c r="AP133" s="134" t="s">
        <v>328</v>
      </c>
      <c r="AR133" t="s">
        <v>785</v>
      </c>
      <c r="AS133" s="198">
        <v>1.2500000000000001E-2</v>
      </c>
      <c r="AU133" s="286"/>
    </row>
    <row r="134" spans="1:47" s="133" customFormat="1" hidden="1">
      <c r="A134" s="4" t="s">
        <v>416</v>
      </c>
      <c r="B134" s="109"/>
      <c r="C134" s="4" t="s">
        <v>695</v>
      </c>
      <c r="D134" s="109" t="s">
        <v>666</v>
      </c>
      <c r="E134" s="4" t="s">
        <v>484</v>
      </c>
      <c r="F134" s="110">
        <v>2.9</v>
      </c>
      <c r="G134" s="110">
        <f>(J130+J131+J132+J133)/100</f>
        <v>0</v>
      </c>
      <c r="H134" s="110">
        <f>F134*AD134</f>
        <v>0</v>
      </c>
      <c r="I134" s="110">
        <f>J134-H134</f>
        <v>0</v>
      </c>
      <c r="J134" s="110">
        <f>F134*G134</f>
        <v>0</v>
      </c>
      <c r="K134" s="163"/>
      <c r="L134" s="110"/>
      <c r="M134" s="111" t="s">
        <v>10</v>
      </c>
      <c r="N134" s="110">
        <f>IF(M134="5",J134,0)</f>
        <v>0</v>
      </c>
      <c r="Y134" s="110">
        <f>IF(AC134=0,J134,0)</f>
        <v>0</v>
      </c>
      <c r="Z134" s="110">
        <f>IF(AC134=15,J134,0)</f>
        <v>0</v>
      </c>
      <c r="AA134" s="110">
        <f>IF(AC134=21,J134,0)</f>
        <v>0</v>
      </c>
      <c r="AC134" s="113">
        <v>15</v>
      </c>
      <c r="AD134" s="113">
        <f t="shared" si="82"/>
        <v>0</v>
      </c>
      <c r="AE134" s="113">
        <f t="shared" si="83"/>
        <v>0</v>
      </c>
      <c r="AL134" s="113">
        <f>F134*AD134</f>
        <v>0</v>
      </c>
      <c r="AM134" s="113">
        <f>F134*AE134</f>
        <v>0</v>
      </c>
      <c r="AN134" s="114" t="s">
        <v>667</v>
      </c>
      <c r="AO134" s="114" t="s">
        <v>327</v>
      </c>
      <c r="AP134" s="134" t="s">
        <v>328</v>
      </c>
      <c r="AR134" t="s">
        <v>785</v>
      </c>
      <c r="AS134" s="197"/>
      <c r="AU134" s="286"/>
    </row>
    <row r="135" spans="1:47" hidden="1">
      <c r="A135" s="6"/>
      <c r="B135" s="12"/>
      <c r="C135" s="12" t="s">
        <v>130</v>
      </c>
      <c r="D135" s="100" t="s">
        <v>214</v>
      </c>
      <c r="E135" s="101"/>
      <c r="F135" s="101"/>
      <c r="G135" s="101"/>
      <c r="H135" s="27">
        <f>SUM(H136:H173)</f>
        <v>0</v>
      </c>
      <c r="I135" s="27">
        <f>SUM(I136:I173)</f>
        <v>0</v>
      </c>
      <c r="J135" s="27">
        <f>H135+I135</f>
        <v>0</v>
      </c>
      <c r="K135" s="167"/>
      <c r="L135" s="27">
        <f>SUM(L136:L172)</f>
        <v>0</v>
      </c>
      <c r="O135" s="27">
        <f>IF(P135="PR",J135,SUM(N136:N173))</f>
        <v>0</v>
      </c>
      <c r="P135" s="19" t="s">
        <v>294</v>
      </c>
      <c r="Q135" s="27">
        <f>IF(P135="HS",H135,0)</f>
        <v>0</v>
      </c>
      <c r="R135" s="27">
        <f>IF(P135="HS",I135-O135,0)</f>
        <v>0</v>
      </c>
      <c r="S135" s="27">
        <f>IF(P135="PS",H135,0)</f>
        <v>0</v>
      </c>
      <c r="T135" s="27">
        <f>IF(P135="PS",I135-O135,0)</f>
        <v>0</v>
      </c>
      <c r="U135" s="27">
        <f>IF(P135="MP",H135,0)</f>
        <v>0</v>
      </c>
      <c r="V135" s="27">
        <f>IF(P135="MP",I135-O135,0)</f>
        <v>0</v>
      </c>
      <c r="W135" s="27">
        <f>IF(P135="OM",H135,0)</f>
        <v>0</v>
      </c>
      <c r="X135" s="19"/>
      <c r="Y135" s="110"/>
      <c r="Z135" s="110"/>
      <c r="AA135" s="110"/>
      <c r="AD135" s="113"/>
      <c r="AE135" s="113"/>
      <c r="AH135" s="27">
        <f>SUM(Y136:Y173)</f>
        <v>0</v>
      </c>
      <c r="AI135" s="27">
        <f>SUM(Z136:Z173)</f>
        <v>0</v>
      </c>
      <c r="AJ135" s="27">
        <f>SUM(AA136:AA173)</f>
        <v>0</v>
      </c>
      <c r="AS135" s="199"/>
    </row>
    <row r="136" spans="1:47" s="104" customFormat="1" hidden="1">
      <c r="A136" s="4" t="s">
        <v>805</v>
      </c>
      <c r="B136" s="5"/>
      <c r="C136" s="5" t="s">
        <v>453</v>
      </c>
      <c r="D136" s="5" t="s">
        <v>454</v>
      </c>
      <c r="E136" s="5" t="s">
        <v>273</v>
      </c>
      <c r="F136" s="15">
        <v>0</v>
      </c>
      <c r="G136" s="15">
        <v>1724</v>
      </c>
      <c r="H136" s="15">
        <f t="shared" ref="H136:H173" si="96">F136*AD136</f>
        <v>0</v>
      </c>
      <c r="I136" s="15">
        <f t="shared" ref="I136:I152" si="97">J136-H136</f>
        <v>0</v>
      </c>
      <c r="J136" s="15">
        <f t="shared" ref="J136:J173" si="98">F136*G136</f>
        <v>0</v>
      </c>
      <c r="K136" s="165">
        <v>2.1499999999999998E-2</v>
      </c>
      <c r="L136" s="15">
        <f t="shared" ref="L136:L172" si="99">F136*K136</f>
        <v>0</v>
      </c>
      <c r="M136" s="21" t="s">
        <v>290</v>
      </c>
      <c r="N136" s="15">
        <f t="shared" ref="N136:N172" si="100">IF(M136="5",I136,0)</f>
        <v>0</v>
      </c>
      <c r="Y136" s="110">
        <f t="shared" ref="Y136:Y173" si="101">IF(AC136=0,J136,0)</f>
        <v>0</v>
      </c>
      <c r="Z136" s="110">
        <f t="shared" ref="Z136:Z173" si="102">IF(AC136=15,J136,0)</f>
        <v>0</v>
      </c>
      <c r="AA136" s="110">
        <f t="shared" ref="AA136:AA173" si="103">IF(AC136=21,J136,0)</f>
        <v>0</v>
      </c>
      <c r="AC136" s="24">
        <v>15</v>
      </c>
      <c r="AD136" s="113">
        <f t="shared" si="82"/>
        <v>1398.9151560549319</v>
      </c>
      <c r="AE136" s="113">
        <f t="shared" si="83"/>
        <v>325.08484394506803</v>
      </c>
      <c r="AL136" s="24">
        <f t="shared" ref="AL136:AL173" si="104">F136*AD136</f>
        <v>0</v>
      </c>
      <c r="AM136" s="24">
        <f t="shared" ref="AM136:AM173" si="105">F136*AE136</f>
        <v>0</v>
      </c>
      <c r="AN136" s="25" t="s">
        <v>308</v>
      </c>
      <c r="AO136" s="25" t="s">
        <v>324</v>
      </c>
      <c r="AP136" s="105" t="s">
        <v>328</v>
      </c>
      <c r="AR136" s="104" t="s">
        <v>787</v>
      </c>
      <c r="AS136" s="198">
        <v>2.1499999999999998E-2</v>
      </c>
      <c r="AU136" s="288"/>
    </row>
    <row r="137" spans="1:47" s="125" customFormat="1" hidden="1">
      <c r="A137" s="4" t="s">
        <v>417</v>
      </c>
      <c r="B137" s="4"/>
      <c r="C137" s="5" t="s">
        <v>763</v>
      </c>
      <c r="D137" s="301" t="s">
        <v>1076</v>
      </c>
      <c r="E137" s="5" t="s">
        <v>273</v>
      </c>
      <c r="F137" s="15">
        <v>0</v>
      </c>
      <c r="G137" s="15">
        <v>7360</v>
      </c>
      <c r="H137" s="131">
        <f t="shared" si="96"/>
        <v>0</v>
      </c>
      <c r="I137" s="131">
        <f t="shared" si="97"/>
        <v>0</v>
      </c>
      <c r="J137" s="15">
        <f t="shared" si="98"/>
        <v>0</v>
      </c>
      <c r="K137" s="175">
        <v>2.4E-2</v>
      </c>
      <c r="L137" s="131">
        <f t="shared" si="99"/>
        <v>0</v>
      </c>
      <c r="M137" s="132" t="s">
        <v>290</v>
      </c>
      <c r="N137" s="131">
        <f t="shared" si="100"/>
        <v>0</v>
      </c>
      <c r="Y137" s="110">
        <f t="shared" si="101"/>
        <v>0</v>
      </c>
      <c r="Z137" s="110">
        <f t="shared" si="102"/>
        <v>0</v>
      </c>
      <c r="AA137" s="110">
        <f t="shared" si="103"/>
        <v>0</v>
      </c>
      <c r="AC137" s="126">
        <v>15</v>
      </c>
      <c r="AD137" s="113">
        <f t="shared" si="82"/>
        <v>5972.1667915106145</v>
      </c>
      <c r="AE137" s="113">
        <f t="shared" si="83"/>
        <v>1387.8332084893855</v>
      </c>
      <c r="AL137" s="126">
        <f t="shared" si="104"/>
        <v>0</v>
      </c>
      <c r="AM137" s="126">
        <f t="shared" si="105"/>
        <v>0</v>
      </c>
      <c r="AN137" s="127" t="s">
        <v>682</v>
      </c>
      <c r="AO137" s="127" t="s">
        <v>764</v>
      </c>
      <c r="AP137" s="128" t="s">
        <v>328</v>
      </c>
      <c r="AS137" s="198">
        <v>2.4E-2</v>
      </c>
      <c r="AU137" s="291"/>
    </row>
    <row r="138" spans="1:47" s="104" customFormat="1" hidden="1">
      <c r="A138" s="4" t="s">
        <v>418</v>
      </c>
      <c r="B138" s="5"/>
      <c r="C138" s="5" t="s">
        <v>455</v>
      </c>
      <c r="D138" s="5" t="s">
        <v>456</v>
      </c>
      <c r="E138" s="5" t="s">
        <v>273</v>
      </c>
      <c r="F138" s="15">
        <v>0</v>
      </c>
      <c r="G138" s="15">
        <v>1720</v>
      </c>
      <c r="H138" s="15">
        <f t="shared" si="96"/>
        <v>0</v>
      </c>
      <c r="I138" s="15">
        <f t="shared" si="97"/>
        <v>0</v>
      </c>
      <c r="J138" s="15">
        <f t="shared" si="98"/>
        <v>0</v>
      </c>
      <c r="K138" s="165">
        <v>1.7000000000000001E-2</v>
      </c>
      <c r="L138" s="15">
        <f t="shared" si="99"/>
        <v>0</v>
      </c>
      <c r="M138" s="21" t="s">
        <v>290</v>
      </c>
      <c r="N138" s="15">
        <f t="shared" si="100"/>
        <v>0</v>
      </c>
      <c r="Y138" s="110">
        <f t="shared" si="101"/>
        <v>0</v>
      </c>
      <c r="Z138" s="110">
        <f t="shared" si="102"/>
        <v>0</v>
      </c>
      <c r="AA138" s="110">
        <f t="shared" si="103"/>
        <v>0</v>
      </c>
      <c r="AC138" s="24">
        <v>15</v>
      </c>
      <c r="AD138" s="113">
        <f t="shared" si="82"/>
        <v>1395.6694132334587</v>
      </c>
      <c r="AE138" s="113">
        <f t="shared" si="83"/>
        <v>324.33058676654116</v>
      </c>
      <c r="AL138" s="24">
        <f t="shared" si="104"/>
        <v>0</v>
      </c>
      <c r="AM138" s="24">
        <f t="shared" si="105"/>
        <v>0</v>
      </c>
      <c r="AN138" s="25" t="s">
        <v>308</v>
      </c>
      <c r="AO138" s="25" t="s">
        <v>324</v>
      </c>
      <c r="AP138" s="105" t="s">
        <v>328</v>
      </c>
      <c r="AR138" s="104" t="s">
        <v>785</v>
      </c>
      <c r="AS138" s="198">
        <v>1.7000000000000001E-2</v>
      </c>
      <c r="AU138" s="288"/>
    </row>
    <row r="139" spans="1:47" hidden="1">
      <c r="A139" s="4" t="s">
        <v>419</v>
      </c>
      <c r="B139" s="5"/>
      <c r="C139" s="5" t="s">
        <v>457</v>
      </c>
      <c r="D139" s="301" t="s">
        <v>1075</v>
      </c>
      <c r="E139" s="5" t="s">
        <v>273</v>
      </c>
      <c r="F139" s="15">
        <v>0</v>
      </c>
      <c r="G139" s="15">
        <v>6730</v>
      </c>
      <c r="H139" s="15">
        <f t="shared" si="96"/>
        <v>0</v>
      </c>
      <c r="I139" s="15">
        <f t="shared" si="97"/>
        <v>0</v>
      </c>
      <c r="J139" s="15">
        <f t="shared" si="98"/>
        <v>0</v>
      </c>
      <c r="K139" s="165">
        <v>1.9E-2</v>
      </c>
      <c r="L139" s="15">
        <f t="shared" si="99"/>
        <v>0</v>
      </c>
      <c r="M139" s="21" t="s">
        <v>290</v>
      </c>
      <c r="N139" s="15">
        <f t="shared" si="100"/>
        <v>0</v>
      </c>
      <c r="Y139" s="110">
        <f t="shared" si="101"/>
        <v>0</v>
      </c>
      <c r="Z139" s="110">
        <f t="shared" si="102"/>
        <v>0</v>
      </c>
      <c r="AA139" s="110">
        <f t="shared" si="103"/>
        <v>0</v>
      </c>
      <c r="AC139" s="24">
        <v>15</v>
      </c>
      <c r="AD139" s="113">
        <f t="shared" si="82"/>
        <v>5460.9622971285917</v>
      </c>
      <c r="AE139" s="113">
        <f t="shared" si="83"/>
        <v>1269.0377028714081</v>
      </c>
      <c r="AL139" s="24">
        <f t="shared" si="104"/>
        <v>0</v>
      </c>
      <c r="AM139" s="24">
        <f t="shared" si="105"/>
        <v>0</v>
      </c>
      <c r="AN139" s="25" t="s">
        <v>308</v>
      </c>
      <c r="AO139" s="25" t="s">
        <v>324</v>
      </c>
      <c r="AP139" s="19" t="s">
        <v>328</v>
      </c>
      <c r="AR139" t="s">
        <v>785</v>
      </c>
      <c r="AS139" s="198">
        <v>1.9E-2</v>
      </c>
    </row>
    <row r="140" spans="1:47" s="143" customFormat="1" hidden="1">
      <c r="A140" s="4" t="s">
        <v>420</v>
      </c>
      <c r="B140" s="4"/>
      <c r="C140" s="5" t="s">
        <v>765</v>
      </c>
      <c r="D140" s="5" t="s">
        <v>766</v>
      </c>
      <c r="E140" s="5" t="s">
        <v>273</v>
      </c>
      <c r="F140" s="15">
        <v>0</v>
      </c>
      <c r="G140" s="15"/>
      <c r="H140" s="131">
        <f t="shared" si="96"/>
        <v>0</v>
      </c>
      <c r="I140" s="131">
        <f t="shared" si="97"/>
        <v>0</v>
      </c>
      <c r="J140" s="15">
        <f t="shared" si="98"/>
        <v>0</v>
      </c>
      <c r="K140" s="175">
        <v>2.1499999999999998E-2</v>
      </c>
      <c r="L140" s="131">
        <f t="shared" si="99"/>
        <v>0</v>
      </c>
      <c r="M140" s="132" t="s">
        <v>290</v>
      </c>
      <c r="N140" s="131">
        <f t="shared" si="100"/>
        <v>0</v>
      </c>
      <c r="Y140" s="110">
        <f t="shared" si="101"/>
        <v>0</v>
      </c>
      <c r="Z140" s="110">
        <f t="shared" si="102"/>
        <v>0</v>
      </c>
      <c r="AA140" s="110">
        <f t="shared" si="103"/>
        <v>0</v>
      </c>
      <c r="AC140" s="126">
        <v>15</v>
      </c>
      <c r="AD140" s="113">
        <f t="shared" si="82"/>
        <v>0</v>
      </c>
      <c r="AE140" s="113">
        <f t="shared" si="83"/>
        <v>0</v>
      </c>
      <c r="AL140" s="126">
        <f t="shared" si="104"/>
        <v>0</v>
      </c>
      <c r="AM140" s="126">
        <f t="shared" si="105"/>
        <v>0</v>
      </c>
      <c r="AN140" s="127" t="s">
        <v>682</v>
      </c>
      <c r="AO140" s="127" t="s">
        <v>764</v>
      </c>
      <c r="AP140" s="144" t="s">
        <v>328</v>
      </c>
      <c r="AS140" s="198">
        <v>2.1499999999999998E-2</v>
      </c>
      <c r="AU140" s="290"/>
    </row>
    <row r="141" spans="1:47" hidden="1">
      <c r="A141" s="4" t="s">
        <v>421</v>
      </c>
      <c r="B141" s="4"/>
      <c r="C141" s="4" t="s">
        <v>180</v>
      </c>
      <c r="D141" s="4" t="s">
        <v>251</v>
      </c>
      <c r="E141" s="4" t="s">
        <v>273</v>
      </c>
      <c r="F141" s="14">
        <v>0</v>
      </c>
      <c r="G141" s="14"/>
      <c r="H141" s="14">
        <f t="shared" si="96"/>
        <v>0</v>
      </c>
      <c r="I141" s="14">
        <f>J141-H141</f>
        <v>0</v>
      </c>
      <c r="J141" s="15">
        <f t="shared" si="98"/>
        <v>0</v>
      </c>
      <c r="K141" s="164">
        <v>0</v>
      </c>
      <c r="L141" s="14">
        <f t="shared" si="99"/>
        <v>0</v>
      </c>
      <c r="M141" s="20" t="s">
        <v>6</v>
      </c>
      <c r="N141" s="14">
        <f t="shared" si="100"/>
        <v>0</v>
      </c>
      <c r="Y141" s="110">
        <f t="shared" si="101"/>
        <v>0</v>
      </c>
      <c r="Z141" s="110">
        <f t="shared" si="102"/>
        <v>0</v>
      </c>
      <c r="AA141" s="110">
        <f t="shared" si="103"/>
        <v>0</v>
      </c>
      <c r="AC141" s="24">
        <v>15</v>
      </c>
      <c r="AD141" s="113">
        <f t="shared" si="82"/>
        <v>0</v>
      </c>
      <c r="AE141" s="113">
        <f t="shared" si="83"/>
        <v>0</v>
      </c>
      <c r="AL141" s="24">
        <f t="shared" si="104"/>
        <v>0</v>
      </c>
      <c r="AM141" s="24">
        <f t="shared" si="105"/>
        <v>0</v>
      </c>
      <c r="AN141" s="25" t="s">
        <v>317</v>
      </c>
      <c r="AO141" s="25" t="s">
        <v>327</v>
      </c>
      <c r="AP141" s="19" t="s">
        <v>328</v>
      </c>
      <c r="AR141" s="104" t="s">
        <v>789</v>
      </c>
      <c r="AS141" s="197">
        <v>0</v>
      </c>
    </row>
    <row r="142" spans="1:47" hidden="1">
      <c r="A142" s="4" t="s">
        <v>386</v>
      </c>
      <c r="B142" s="4"/>
      <c r="C142" s="4" t="s">
        <v>180</v>
      </c>
      <c r="D142" s="146" t="s">
        <v>1077</v>
      </c>
      <c r="E142" s="4" t="s">
        <v>273</v>
      </c>
      <c r="F142" s="14">
        <v>0</v>
      </c>
      <c r="G142" s="14">
        <v>130</v>
      </c>
      <c r="H142" s="14">
        <f t="shared" si="96"/>
        <v>0</v>
      </c>
      <c r="I142" s="14">
        <f>J142-H142</f>
        <v>0</v>
      </c>
      <c r="J142" s="15">
        <f t="shared" si="98"/>
        <v>0</v>
      </c>
      <c r="K142" s="164">
        <v>1.2E-2</v>
      </c>
      <c r="L142" s="14">
        <f t="shared" si="99"/>
        <v>0</v>
      </c>
      <c r="M142" s="20" t="s">
        <v>6</v>
      </c>
      <c r="N142" s="14">
        <f t="shared" si="100"/>
        <v>0</v>
      </c>
      <c r="Y142" s="110">
        <f t="shared" si="101"/>
        <v>0</v>
      </c>
      <c r="Z142" s="110">
        <f t="shared" si="102"/>
        <v>0</v>
      </c>
      <c r="AA142" s="110">
        <f t="shared" si="103"/>
        <v>0</v>
      </c>
      <c r="AC142" s="24">
        <v>15</v>
      </c>
      <c r="AD142" s="113">
        <f t="shared" si="82"/>
        <v>105.4866416978777</v>
      </c>
      <c r="AE142" s="113">
        <f t="shared" si="83"/>
        <v>24.513358302122299</v>
      </c>
      <c r="AL142" s="24">
        <f t="shared" si="104"/>
        <v>0</v>
      </c>
      <c r="AM142" s="24">
        <f t="shared" si="105"/>
        <v>0</v>
      </c>
      <c r="AN142" s="25" t="s">
        <v>308</v>
      </c>
      <c r="AO142" s="25" t="s">
        <v>324</v>
      </c>
      <c r="AP142" s="19" t="s">
        <v>328</v>
      </c>
      <c r="AR142" t="s">
        <v>785</v>
      </c>
      <c r="AS142" s="197">
        <v>1.2E-2</v>
      </c>
    </row>
    <row r="143" spans="1:47" hidden="1">
      <c r="A143" s="4" t="s">
        <v>380</v>
      </c>
      <c r="B143" s="4"/>
      <c r="C143" s="4" t="s">
        <v>131</v>
      </c>
      <c r="D143" s="4" t="s">
        <v>215</v>
      </c>
      <c r="E143" s="4" t="s">
        <v>273</v>
      </c>
      <c r="F143" s="14">
        <v>0</v>
      </c>
      <c r="G143" s="14">
        <v>326</v>
      </c>
      <c r="H143" s="14">
        <f t="shared" si="96"/>
        <v>0</v>
      </c>
      <c r="I143" s="14">
        <f t="shared" si="97"/>
        <v>0</v>
      </c>
      <c r="J143" s="15">
        <f t="shared" si="98"/>
        <v>0</v>
      </c>
      <c r="K143" s="164">
        <v>0</v>
      </c>
      <c r="L143" s="14">
        <f t="shared" si="99"/>
        <v>0</v>
      </c>
      <c r="M143" s="20" t="s">
        <v>6</v>
      </c>
      <c r="N143" s="14">
        <f t="shared" si="100"/>
        <v>0</v>
      </c>
      <c r="Y143" s="110">
        <f t="shared" si="101"/>
        <v>0</v>
      </c>
      <c r="Z143" s="110">
        <f t="shared" si="102"/>
        <v>0</v>
      </c>
      <c r="AA143" s="110">
        <f t="shared" si="103"/>
        <v>0</v>
      </c>
      <c r="AC143" s="24">
        <v>15</v>
      </c>
      <c r="AD143" s="113">
        <f t="shared" si="82"/>
        <v>264.52803995006252</v>
      </c>
      <c r="AE143" s="113">
        <f t="shared" si="83"/>
        <v>61.471960049937458</v>
      </c>
      <c r="AL143" s="24">
        <f t="shared" si="104"/>
        <v>0</v>
      </c>
      <c r="AM143" s="24">
        <f t="shared" si="105"/>
        <v>0</v>
      </c>
      <c r="AN143" s="25" t="s">
        <v>308</v>
      </c>
      <c r="AO143" s="25" t="s">
        <v>324</v>
      </c>
      <c r="AP143" s="19" t="s">
        <v>328</v>
      </c>
      <c r="AR143" t="s">
        <v>785</v>
      </c>
      <c r="AS143" s="197">
        <v>0</v>
      </c>
    </row>
    <row r="144" spans="1:47" hidden="1">
      <c r="A144" s="4" t="s">
        <v>422</v>
      </c>
      <c r="B144" s="5"/>
      <c r="C144" s="5" t="s">
        <v>136</v>
      </c>
      <c r="D144" s="5" t="s">
        <v>219</v>
      </c>
      <c r="E144" s="5" t="s">
        <v>273</v>
      </c>
      <c r="F144" s="15">
        <v>0</v>
      </c>
      <c r="G144" s="15">
        <v>412</v>
      </c>
      <c r="H144" s="15">
        <f t="shared" si="96"/>
        <v>0</v>
      </c>
      <c r="I144" s="15">
        <f t="shared" si="97"/>
        <v>0</v>
      </c>
      <c r="J144" s="15">
        <f t="shared" si="98"/>
        <v>0</v>
      </c>
      <c r="K144" s="165">
        <v>7.5000000000000002E-4</v>
      </c>
      <c r="L144" s="15">
        <f t="shared" si="99"/>
        <v>0</v>
      </c>
      <c r="M144" s="21" t="s">
        <v>290</v>
      </c>
      <c r="N144" s="15">
        <f t="shared" si="100"/>
        <v>0</v>
      </c>
      <c r="Y144" s="110">
        <f t="shared" si="101"/>
        <v>0</v>
      </c>
      <c r="Z144" s="110">
        <f t="shared" si="102"/>
        <v>0</v>
      </c>
      <c r="AA144" s="110">
        <f t="shared" si="103"/>
        <v>0</v>
      </c>
      <c r="AC144" s="24">
        <v>15</v>
      </c>
      <c r="AD144" s="113">
        <f t="shared" si="82"/>
        <v>334.31151061173551</v>
      </c>
      <c r="AE144" s="113">
        <f t="shared" si="83"/>
        <v>77.688489388264514</v>
      </c>
      <c r="AL144" s="24">
        <f t="shared" si="104"/>
        <v>0</v>
      </c>
      <c r="AM144" s="24">
        <f t="shared" si="105"/>
        <v>0</v>
      </c>
      <c r="AN144" s="25" t="s">
        <v>308</v>
      </c>
      <c r="AO144" s="25" t="s">
        <v>324</v>
      </c>
      <c r="AP144" s="19" t="s">
        <v>328</v>
      </c>
      <c r="AR144" t="s">
        <v>785</v>
      </c>
      <c r="AS144" s="198">
        <v>7.5000000000000002E-4</v>
      </c>
    </row>
    <row r="145" spans="1:47" hidden="1">
      <c r="A145" s="4" t="s">
        <v>423</v>
      </c>
      <c r="B145" s="5"/>
      <c r="C145" s="5" t="s">
        <v>137</v>
      </c>
      <c r="D145" s="5" t="s">
        <v>1026</v>
      </c>
      <c r="E145" s="5" t="s">
        <v>273</v>
      </c>
      <c r="F145" s="15">
        <v>0</v>
      </c>
      <c r="G145" s="15">
        <v>671.3</v>
      </c>
      <c r="H145" s="15">
        <f t="shared" si="96"/>
        <v>0</v>
      </c>
      <c r="I145" s="15">
        <f t="shared" si="97"/>
        <v>0</v>
      </c>
      <c r="J145" s="15">
        <f t="shared" si="98"/>
        <v>0</v>
      </c>
      <c r="K145" s="165">
        <v>7.5000000000000002E-4</v>
      </c>
      <c r="L145" s="15">
        <f t="shared" si="99"/>
        <v>0</v>
      </c>
      <c r="M145" s="21" t="s">
        <v>290</v>
      </c>
      <c r="N145" s="15">
        <f t="shared" si="100"/>
        <v>0</v>
      </c>
      <c r="Y145" s="110">
        <f t="shared" si="101"/>
        <v>0</v>
      </c>
      <c r="Z145" s="110">
        <f t="shared" si="102"/>
        <v>0</v>
      </c>
      <c r="AA145" s="110">
        <f t="shared" si="103"/>
        <v>0</v>
      </c>
      <c r="AC145" s="24">
        <v>15</v>
      </c>
      <c r="AD145" s="113">
        <f t="shared" si="82"/>
        <v>544.71678901373309</v>
      </c>
      <c r="AE145" s="113">
        <f t="shared" si="83"/>
        <v>126.58321098626691</v>
      </c>
      <c r="AL145" s="24">
        <f t="shared" si="104"/>
        <v>0</v>
      </c>
      <c r="AM145" s="24">
        <f t="shared" si="105"/>
        <v>0</v>
      </c>
      <c r="AN145" s="25" t="s">
        <v>308</v>
      </c>
      <c r="AO145" s="25" t="s">
        <v>324</v>
      </c>
      <c r="AP145" s="19" t="s">
        <v>328</v>
      </c>
      <c r="AR145" t="s">
        <v>785</v>
      </c>
      <c r="AS145" s="198">
        <v>7.5000000000000002E-4</v>
      </c>
    </row>
    <row r="146" spans="1:47" s="112" customFormat="1" hidden="1">
      <c r="A146" s="4" t="s">
        <v>474</v>
      </c>
      <c r="B146" s="109"/>
      <c r="C146" s="109" t="s">
        <v>134</v>
      </c>
      <c r="D146" s="109" t="s">
        <v>217</v>
      </c>
      <c r="E146" s="109" t="s">
        <v>273</v>
      </c>
      <c r="F146" s="14">
        <f>F144+F145</f>
        <v>0</v>
      </c>
      <c r="G146" s="14">
        <v>249</v>
      </c>
      <c r="H146" s="110">
        <f t="shared" si="96"/>
        <v>0</v>
      </c>
      <c r="I146" s="110">
        <f t="shared" si="97"/>
        <v>0</v>
      </c>
      <c r="J146" s="15">
        <f t="shared" si="98"/>
        <v>0</v>
      </c>
      <c r="K146" s="163">
        <v>0</v>
      </c>
      <c r="L146" s="110">
        <f t="shared" si="99"/>
        <v>0</v>
      </c>
      <c r="M146" s="111" t="s">
        <v>6</v>
      </c>
      <c r="N146" s="110">
        <f t="shared" si="100"/>
        <v>0</v>
      </c>
      <c r="Y146" s="110">
        <f t="shared" si="101"/>
        <v>0</v>
      </c>
      <c r="Z146" s="110">
        <f t="shared" si="102"/>
        <v>0</v>
      </c>
      <c r="AA146" s="110">
        <f t="shared" si="103"/>
        <v>0</v>
      </c>
      <c r="AC146" s="113">
        <v>15</v>
      </c>
      <c r="AD146" s="113">
        <f t="shared" si="82"/>
        <v>202.04749063670423</v>
      </c>
      <c r="AE146" s="113">
        <f t="shared" si="83"/>
        <v>46.952509363295789</v>
      </c>
      <c r="AL146" s="113">
        <f t="shared" si="104"/>
        <v>0</v>
      </c>
      <c r="AM146" s="113">
        <f t="shared" si="105"/>
        <v>0</v>
      </c>
      <c r="AN146" s="114" t="s">
        <v>308</v>
      </c>
      <c r="AO146" s="114" t="s">
        <v>324</v>
      </c>
      <c r="AP146" s="115" t="s">
        <v>328</v>
      </c>
      <c r="AR146" t="s">
        <v>785</v>
      </c>
      <c r="AS146" s="197">
        <v>0</v>
      </c>
      <c r="AU146" s="287"/>
    </row>
    <row r="147" spans="1:47" ht="51" hidden="1">
      <c r="A147" s="4" t="s">
        <v>475</v>
      </c>
      <c r="B147" s="5"/>
      <c r="C147" s="5" t="s">
        <v>562</v>
      </c>
      <c r="D147" s="269" t="s">
        <v>1078</v>
      </c>
      <c r="E147" s="5" t="s">
        <v>273</v>
      </c>
      <c r="F147" s="15">
        <v>0</v>
      </c>
      <c r="G147" s="14">
        <f>19740+2610+741</f>
        <v>23091</v>
      </c>
      <c r="H147" s="15">
        <f t="shared" si="96"/>
        <v>0</v>
      </c>
      <c r="I147" s="15">
        <f t="shared" si="97"/>
        <v>0</v>
      </c>
      <c r="J147" s="15">
        <f t="shared" si="98"/>
        <v>0</v>
      </c>
      <c r="K147" s="165">
        <v>2.5999999999999999E-2</v>
      </c>
      <c r="L147" s="15">
        <f t="shared" si="99"/>
        <v>0</v>
      </c>
      <c r="M147" s="21" t="s">
        <v>290</v>
      </c>
      <c r="N147" s="15">
        <f t="shared" si="100"/>
        <v>0</v>
      </c>
      <c r="Y147" s="110">
        <f t="shared" si="101"/>
        <v>0</v>
      </c>
      <c r="Z147" s="110">
        <f t="shared" si="102"/>
        <v>0</v>
      </c>
      <c r="AA147" s="110">
        <f t="shared" si="103"/>
        <v>0</v>
      </c>
      <c r="AC147" s="24">
        <v>15</v>
      </c>
      <c r="AD147" s="113">
        <f t="shared" si="82"/>
        <v>18736.861872659185</v>
      </c>
      <c r="AE147" s="113">
        <f t="shared" si="83"/>
        <v>4354.1381273408151</v>
      </c>
      <c r="AL147" s="24">
        <f t="shared" si="104"/>
        <v>0</v>
      </c>
      <c r="AM147" s="24">
        <f t="shared" si="105"/>
        <v>0</v>
      </c>
      <c r="AN147" s="25" t="s">
        <v>308</v>
      </c>
      <c r="AO147" s="25" t="s">
        <v>324</v>
      </c>
      <c r="AP147" s="19" t="s">
        <v>328</v>
      </c>
      <c r="AR147" t="s">
        <v>785</v>
      </c>
      <c r="AS147" s="198">
        <v>2.5999999999999999E-2</v>
      </c>
    </row>
    <row r="148" spans="1:47" hidden="1">
      <c r="A148" s="4" t="s">
        <v>442</v>
      </c>
      <c r="B148" s="4"/>
      <c r="C148" s="4" t="s">
        <v>132</v>
      </c>
      <c r="D148" s="4" t="s">
        <v>1079</v>
      </c>
      <c r="E148" s="4" t="s">
        <v>273</v>
      </c>
      <c r="F148" s="14">
        <v>0</v>
      </c>
      <c r="G148" s="14">
        <v>732</v>
      </c>
      <c r="H148" s="14">
        <f t="shared" si="96"/>
        <v>0</v>
      </c>
      <c r="I148" s="14">
        <f t="shared" si="97"/>
        <v>0</v>
      </c>
      <c r="J148" s="15">
        <f t="shared" si="98"/>
        <v>0</v>
      </c>
      <c r="K148" s="164">
        <v>0</v>
      </c>
      <c r="L148" s="14">
        <f t="shared" si="99"/>
        <v>0</v>
      </c>
      <c r="M148" s="20" t="s">
        <v>6</v>
      </c>
      <c r="N148" s="14">
        <f t="shared" si="100"/>
        <v>0</v>
      </c>
      <c r="Y148" s="110">
        <f t="shared" si="101"/>
        <v>0</v>
      </c>
      <c r="Z148" s="110">
        <f t="shared" si="102"/>
        <v>0</v>
      </c>
      <c r="AA148" s="110">
        <f t="shared" si="103"/>
        <v>0</v>
      </c>
      <c r="AC148" s="24">
        <v>15</v>
      </c>
      <c r="AD148" s="113">
        <f t="shared" si="82"/>
        <v>593.97093632958831</v>
      </c>
      <c r="AE148" s="113">
        <f t="shared" si="83"/>
        <v>138.02906367041172</v>
      </c>
      <c r="AL148" s="24">
        <f t="shared" si="104"/>
        <v>0</v>
      </c>
      <c r="AM148" s="24">
        <f t="shared" si="105"/>
        <v>0</v>
      </c>
      <c r="AN148" s="25" t="s">
        <v>308</v>
      </c>
      <c r="AO148" s="25" t="s">
        <v>324</v>
      </c>
      <c r="AP148" s="19" t="s">
        <v>328</v>
      </c>
      <c r="AR148" t="s">
        <v>785</v>
      </c>
      <c r="AS148" s="197">
        <v>0</v>
      </c>
    </row>
    <row r="149" spans="1:47" hidden="1">
      <c r="A149" s="4" t="s">
        <v>476</v>
      </c>
      <c r="B149" s="5"/>
      <c r="C149" s="5" t="s">
        <v>135</v>
      </c>
      <c r="D149" s="5" t="s">
        <v>218</v>
      </c>
      <c r="E149" s="5" t="s">
        <v>273</v>
      </c>
      <c r="F149" s="15">
        <v>0</v>
      </c>
      <c r="G149" s="14">
        <v>2510</v>
      </c>
      <c r="H149" s="15">
        <f t="shared" si="96"/>
        <v>0</v>
      </c>
      <c r="I149" s="15">
        <f t="shared" si="97"/>
        <v>0</v>
      </c>
      <c r="J149" s="15">
        <f t="shared" si="98"/>
        <v>0</v>
      </c>
      <c r="K149" s="165">
        <v>1.5E-3</v>
      </c>
      <c r="L149" s="15">
        <f t="shared" si="99"/>
        <v>0</v>
      </c>
      <c r="M149" s="21" t="s">
        <v>290</v>
      </c>
      <c r="N149" s="15">
        <f t="shared" si="100"/>
        <v>0</v>
      </c>
      <c r="Y149" s="110">
        <f t="shared" si="101"/>
        <v>0</v>
      </c>
      <c r="Z149" s="110">
        <f t="shared" si="102"/>
        <v>0</v>
      </c>
      <c r="AA149" s="110">
        <f t="shared" si="103"/>
        <v>0</v>
      </c>
      <c r="AC149" s="24">
        <v>15</v>
      </c>
      <c r="AD149" s="113">
        <f t="shared" si="82"/>
        <v>2036.7036204744079</v>
      </c>
      <c r="AE149" s="113">
        <f t="shared" si="83"/>
        <v>473.29637952559204</v>
      </c>
      <c r="AL149" s="24">
        <f t="shared" si="104"/>
        <v>0</v>
      </c>
      <c r="AM149" s="24">
        <f t="shared" si="105"/>
        <v>0</v>
      </c>
      <c r="AN149" s="25" t="s">
        <v>308</v>
      </c>
      <c r="AO149" s="25" t="s">
        <v>324</v>
      </c>
      <c r="AP149" s="19" t="s">
        <v>328</v>
      </c>
      <c r="AR149" t="s">
        <v>785</v>
      </c>
      <c r="AS149" s="198">
        <v>1.5E-3</v>
      </c>
    </row>
    <row r="150" spans="1:47" s="112" customFormat="1" hidden="1">
      <c r="A150" s="4" t="s">
        <v>439</v>
      </c>
      <c r="B150" s="109"/>
      <c r="C150" s="109" t="s">
        <v>134</v>
      </c>
      <c r="D150" s="109" t="s">
        <v>217</v>
      </c>
      <c r="E150" s="109" t="s">
        <v>273</v>
      </c>
      <c r="F150" s="14">
        <v>0</v>
      </c>
      <c r="G150" s="14">
        <v>650</v>
      </c>
      <c r="H150" s="110">
        <f t="shared" si="96"/>
        <v>0</v>
      </c>
      <c r="I150" s="110">
        <f t="shared" si="97"/>
        <v>0</v>
      </c>
      <c r="J150" s="15">
        <f t="shared" si="98"/>
        <v>0</v>
      </c>
      <c r="K150" s="163">
        <v>0</v>
      </c>
      <c r="L150" s="110">
        <f t="shared" si="99"/>
        <v>0</v>
      </c>
      <c r="M150" s="111" t="s">
        <v>6</v>
      </c>
      <c r="N150" s="110">
        <f t="shared" si="100"/>
        <v>0</v>
      </c>
      <c r="Y150" s="110">
        <f t="shared" si="101"/>
        <v>0</v>
      </c>
      <c r="Z150" s="110">
        <f t="shared" si="102"/>
        <v>0</v>
      </c>
      <c r="AA150" s="110">
        <f t="shared" si="103"/>
        <v>0</v>
      </c>
      <c r="AC150" s="113">
        <v>15</v>
      </c>
      <c r="AD150" s="113">
        <f t="shared" si="82"/>
        <v>527.43320848938856</v>
      </c>
      <c r="AE150" s="113">
        <f t="shared" si="83"/>
        <v>122.56679151061149</v>
      </c>
      <c r="AL150" s="113">
        <f t="shared" si="104"/>
        <v>0</v>
      </c>
      <c r="AM150" s="113">
        <f t="shared" si="105"/>
        <v>0</v>
      </c>
      <c r="AN150" s="114" t="s">
        <v>308</v>
      </c>
      <c r="AO150" s="114" t="s">
        <v>324</v>
      </c>
      <c r="AP150" s="115" t="s">
        <v>328</v>
      </c>
      <c r="AR150" t="s">
        <v>785</v>
      </c>
      <c r="AS150" s="197">
        <v>0</v>
      </c>
      <c r="AU150" s="287"/>
    </row>
    <row r="151" spans="1:47" s="147" customFormat="1" hidden="1">
      <c r="A151" s="4" t="s">
        <v>477</v>
      </c>
      <c r="B151" s="119"/>
      <c r="C151" s="119" t="s">
        <v>693</v>
      </c>
      <c r="D151" s="119" t="s">
        <v>694</v>
      </c>
      <c r="E151" s="119" t="s">
        <v>273</v>
      </c>
      <c r="F151" s="120">
        <v>0</v>
      </c>
      <c r="G151" s="120"/>
      <c r="H151" s="120">
        <f t="shared" si="96"/>
        <v>0</v>
      </c>
      <c r="I151" s="120">
        <f t="shared" si="97"/>
        <v>0</v>
      </c>
      <c r="J151" s="15">
        <f t="shared" si="98"/>
        <v>0</v>
      </c>
      <c r="K151" s="172">
        <v>1.4999999999999999E-2</v>
      </c>
      <c r="L151" s="120">
        <f t="shared" si="99"/>
        <v>0</v>
      </c>
      <c r="M151" s="121" t="s">
        <v>290</v>
      </c>
      <c r="N151" s="120">
        <f t="shared" si="100"/>
        <v>0</v>
      </c>
      <c r="Y151" s="110">
        <f t="shared" si="101"/>
        <v>0</v>
      </c>
      <c r="Z151" s="110">
        <f t="shared" si="102"/>
        <v>0</v>
      </c>
      <c r="AA151" s="110">
        <f t="shared" si="103"/>
        <v>0</v>
      </c>
      <c r="AC151" s="113">
        <v>15</v>
      </c>
      <c r="AD151" s="113">
        <f t="shared" si="82"/>
        <v>0</v>
      </c>
      <c r="AE151" s="113">
        <f t="shared" si="83"/>
        <v>0</v>
      </c>
      <c r="AL151" s="113">
        <f t="shared" si="104"/>
        <v>0</v>
      </c>
      <c r="AM151" s="113">
        <f t="shared" si="105"/>
        <v>0</v>
      </c>
      <c r="AN151" s="114" t="s">
        <v>682</v>
      </c>
      <c r="AO151" s="114" t="s">
        <v>328</v>
      </c>
      <c r="AP151" s="134" t="s">
        <v>328</v>
      </c>
      <c r="AR151" s="148" t="s">
        <v>785</v>
      </c>
      <c r="AS151" s="198">
        <v>1.4999999999999999E-2</v>
      </c>
      <c r="AU151" s="296"/>
    </row>
    <row r="152" spans="1:47" s="133" customFormat="1" hidden="1">
      <c r="A152" s="4" t="s">
        <v>478</v>
      </c>
      <c r="B152" s="109"/>
      <c r="C152" s="109" t="s">
        <v>647</v>
      </c>
      <c r="D152" s="109" t="s">
        <v>648</v>
      </c>
      <c r="E152" s="109" t="s">
        <v>273</v>
      </c>
      <c r="F152" s="110">
        <v>0</v>
      </c>
      <c r="G152" s="110"/>
      <c r="H152" s="110">
        <f t="shared" si="96"/>
        <v>0</v>
      </c>
      <c r="I152" s="110">
        <f t="shared" si="97"/>
        <v>0</v>
      </c>
      <c r="J152" s="15">
        <f t="shared" si="98"/>
        <v>0</v>
      </c>
      <c r="K152" s="163">
        <v>0</v>
      </c>
      <c r="L152" s="110">
        <f t="shared" si="99"/>
        <v>0</v>
      </c>
      <c r="M152" s="111" t="s">
        <v>6</v>
      </c>
      <c r="N152" s="110">
        <f t="shared" si="100"/>
        <v>0</v>
      </c>
      <c r="Y152" s="110">
        <f t="shared" si="101"/>
        <v>0</v>
      </c>
      <c r="Z152" s="110">
        <f t="shared" si="102"/>
        <v>0</v>
      </c>
      <c r="AA152" s="110">
        <f t="shared" si="103"/>
        <v>0</v>
      </c>
      <c r="AC152" s="113">
        <v>15</v>
      </c>
      <c r="AD152" s="113">
        <f t="shared" ref="AD152:AD219" si="106">G152*0.81143570536829</f>
        <v>0</v>
      </c>
      <c r="AE152" s="113">
        <f t="shared" ref="AE152:AE219" si="107">G152*(1-0.81143570536829)</f>
        <v>0</v>
      </c>
      <c r="AL152" s="113">
        <f t="shared" si="104"/>
        <v>0</v>
      </c>
      <c r="AM152" s="113">
        <f t="shared" si="105"/>
        <v>0</v>
      </c>
      <c r="AN152" s="114" t="s">
        <v>308</v>
      </c>
      <c r="AO152" s="114" t="s">
        <v>324</v>
      </c>
      <c r="AP152" s="134" t="s">
        <v>328</v>
      </c>
      <c r="AR152" s="104" t="s">
        <v>785</v>
      </c>
      <c r="AS152" s="197">
        <v>0</v>
      </c>
      <c r="AU152" s="286"/>
    </row>
    <row r="153" spans="1:47" s="104" customFormat="1" hidden="1">
      <c r="A153" s="4" t="s">
        <v>479</v>
      </c>
      <c r="B153" s="4"/>
      <c r="C153" s="4" t="s">
        <v>133</v>
      </c>
      <c r="D153" s="4" t="s">
        <v>216</v>
      </c>
      <c r="E153" s="4" t="s">
        <v>273</v>
      </c>
      <c r="F153" s="14">
        <v>0</v>
      </c>
      <c r="G153" s="14"/>
      <c r="H153" s="14">
        <f t="shared" si="96"/>
        <v>0</v>
      </c>
      <c r="I153" s="14">
        <f>J153-H153</f>
        <v>0</v>
      </c>
      <c r="J153" s="15">
        <f t="shared" si="98"/>
        <v>0</v>
      </c>
      <c r="K153" s="164">
        <v>6.0999999999999997E-4</v>
      </c>
      <c r="L153" s="14">
        <f t="shared" si="99"/>
        <v>0</v>
      </c>
      <c r="M153" s="20" t="s">
        <v>6</v>
      </c>
      <c r="N153" s="14">
        <f t="shared" si="100"/>
        <v>0</v>
      </c>
      <c r="Y153" s="110">
        <f t="shared" si="101"/>
        <v>0</v>
      </c>
      <c r="Z153" s="110">
        <f t="shared" si="102"/>
        <v>0</v>
      </c>
      <c r="AA153" s="110">
        <f t="shared" si="103"/>
        <v>0</v>
      </c>
      <c r="AC153" s="24">
        <v>15</v>
      </c>
      <c r="AD153" s="113">
        <f t="shared" si="106"/>
        <v>0</v>
      </c>
      <c r="AE153" s="113">
        <f t="shared" si="107"/>
        <v>0</v>
      </c>
      <c r="AL153" s="24">
        <f t="shared" si="104"/>
        <v>0</v>
      </c>
      <c r="AM153" s="24">
        <f t="shared" si="105"/>
        <v>0</v>
      </c>
      <c r="AN153" s="25" t="s">
        <v>308</v>
      </c>
      <c r="AO153" s="25" t="s">
        <v>324</v>
      </c>
      <c r="AP153" s="105" t="s">
        <v>328</v>
      </c>
      <c r="AR153" s="104" t="s">
        <v>785</v>
      </c>
      <c r="AS153" s="197">
        <v>6.0999999999999997E-4</v>
      </c>
      <c r="AU153" s="288"/>
    </row>
    <row r="154" spans="1:47" hidden="1">
      <c r="A154" s="4" t="s">
        <v>480</v>
      </c>
      <c r="B154" s="4"/>
      <c r="C154" s="4" t="s">
        <v>382</v>
      </c>
      <c r="D154" s="4" t="s">
        <v>383</v>
      </c>
      <c r="E154" s="4" t="s">
        <v>273</v>
      </c>
      <c r="F154" s="14">
        <v>0</v>
      </c>
      <c r="G154" s="14">
        <v>36.5</v>
      </c>
      <c r="H154" s="14">
        <f t="shared" si="96"/>
        <v>0</v>
      </c>
      <c r="I154" s="14">
        <f t="shared" ref="I154:I162" si="108">J154-H154</f>
        <v>0</v>
      </c>
      <c r="J154" s="15">
        <f t="shared" si="98"/>
        <v>0</v>
      </c>
      <c r="K154" s="164">
        <v>1.8E-3</v>
      </c>
      <c r="L154" s="14">
        <f t="shared" si="99"/>
        <v>0</v>
      </c>
      <c r="M154" s="20" t="s">
        <v>6</v>
      </c>
      <c r="N154" s="14">
        <f t="shared" si="100"/>
        <v>0</v>
      </c>
      <c r="Y154" s="110">
        <f t="shared" si="101"/>
        <v>0</v>
      </c>
      <c r="Z154" s="110">
        <f t="shared" si="102"/>
        <v>0</v>
      </c>
      <c r="AA154" s="110">
        <f t="shared" si="103"/>
        <v>0</v>
      </c>
      <c r="AC154" s="24">
        <v>15</v>
      </c>
      <c r="AD154" s="113">
        <f t="shared" si="106"/>
        <v>29.617403245942587</v>
      </c>
      <c r="AE154" s="113">
        <f t="shared" si="107"/>
        <v>6.8825967540574142</v>
      </c>
      <c r="AL154" s="24">
        <f t="shared" si="104"/>
        <v>0</v>
      </c>
      <c r="AM154" s="24">
        <f t="shared" si="105"/>
        <v>0</v>
      </c>
      <c r="AN154" s="25" t="s">
        <v>308</v>
      </c>
      <c r="AO154" s="25" t="s">
        <v>324</v>
      </c>
      <c r="AP154" s="19" t="s">
        <v>328</v>
      </c>
      <c r="AR154" t="s">
        <v>785</v>
      </c>
      <c r="AS154" s="197">
        <v>1.8E-3</v>
      </c>
    </row>
    <row r="155" spans="1:47" hidden="1">
      <c r="A155" s="4" t="s">
        <v>481</v>
      </c>
      <c r="B155" s="4"/>
      <c r="C155" s="4" t="s">
        <v>856</v>
      </c>
      <c r="D155" s="4" t="s">
        <v>857</v>
      </c>
      <c r="E155" s="4" t="s">
        <v>273</v>
      </c>
      <c r="F155" s="14">
        <v>0</v>
      </c>
      <c r="G155" s="14"/>
      <c r="H155" s="14">
        <f t="shared" si="96"/>
        <v>0</v>
      </c>
      <c r="I155" s="14">
        <f>J155-H155</f>
        <v>0</v>
      </c>
      <c r="J155" s="15">
        <f t="shared" si="98"/>
        <v>0</v>
      </c>
      <c r="K155" s="164">
        <v>2.2300000000000002E-3</v>
      </c>
      <c r="L155" s="14">
        <f t="shared" si="99"/>
        <v>0</v>
      </c>
      <c r="M155" s="20" t="s">
        <v>6</v>
      </c>
      <c r="N155" s="14">
        <f t="shared" si="100"/>
        <v>0</v>
      </c>
      <c r="Y155" s="110">
        <f t="shared" si="101"/>
        <v>0</v>
      </c>
      <c r="Z155" s="110">
        <f t="shared" si="102"/>
        <v>0</v>
      </c>
      <c r="AA155" s="110">
        <f t="shared" si="103"/>
        <v>0</v>
      </c>
      <c r="AC155" s="24">
        <v>15</v>
      </c>
      <c r="AD155" s="113">
        <f t="shared" si="106"/>
        <v>0</v>
      </c>
      <c r="AE155" s="113">
        <f t="shared" si="107"/>
        <v>0</v>
      </c>
      <c r="AL155" s="24">
        <f t="shared" si="104"/>
        <v>0</v>
      </c>
      <c r="AM155" s="24">
        <f t="shared" si="105"/>
        <v>0</v>
      </c>
      <c r="AN155" s="25" t="s">
        <v>308</v>
      </c>
      <c r="AO155" s="25" t="s">
        <v>324</v>
      </c>
      <c r="AP155" s="19" t="s">
        <v>328</v>
      </c>
      <c r="AS155" s="197">
        <v>2.2300000000000002E-3</v>
      </c>
    </row>
    <row r="156" spans="1:47" hidden="1">
      <c r="A156" s="4" t="s">
        <v>580</v>
      </c>
      <c r="B156" s="4"/>
      <c r="C156" s="4" t="s">
        <v>854</v>
      </c>
      <c r="D156" s="4" t="s">
        <v>855</v>
      </c>
      <c r="E156" s="4" t="s">
        <v>273</v>
      </c>
      <c r="F156" s="14">
        <v>0</v>
      </c>
      <c r="G156" s="14"/>
      <c r="H156" s="14">
        <f t="shared" si="96"/>
        <v>0</v>
      </c>
      <c r="I156" s="14">
        <f t="shared" si="108"/>
        <v>0</v>
      </c>
      <c r="J156" s="15">
        <f t="shared" si="98"/>
        <v>0</v>
      </c>
      <c r="K156" s="164">
        <v>1E-4</v>
      </c>
      <c r="L156" s="14">
        <f t="shared" si="99"/>
        <v>0</v>
      </c>
      <c r="M156" s="20" t="s">
        <v>6</v>
      </c>
      <c r="N156" s="14">
        <f t="shared" si="100"/>
        <v>0</v>
      </c>
      <c r="Y156" s="110">
        <f t="shared" si="101"/>
        <v>0</v>
      </c>
      <c r="Z156" s="110">
        <f t="shared" si="102"/>
        <v>0</v>
      </c>
      <c r="AA156" s="110">
        <f t="shared" si="103"/>
        <v>0</v>
      </c>
      <c r="AC156" s="24">
        <v>15</v>
      </c>
      <c r="AD156" s="113">
        <f t="shared" si="106"/>
        <v>0</v>
      </c>
      <c r="AE156" s="113">
        <f t="shared" si="107"/>
        <v>0</v>
      </c>
      <c r="AL156" s="24">
        <f t="shared" si="104"/>
        <v>0</v>
      </c>
      <c r="AM156" s="24">
        <f t="shared" si="105"/>
        <v>0</v>
      </c>
      <c r="AN156" s="25" t="s">
        <v>308</v>
      </c>
      <c r="AO156" s="25" t="s">
        <v>324</v>
      </c>
      <c r="AP156" s="19" t="s">
        <v>328</v>
      </c>
      <c r="AS156" s="197">
        <v>1E-4</v>
      </c>
    </row>
    <row r="157" spans="1:47" hidden="1">
      <c r="A157" s="4" t="s">
        <v>581</v>
      </c>
      <c r="B157" s="4"/>
      <c r="C157" s="4" t="s">
        <v>862</v>
      </c>
      <c r="D157" s="4" t="s">
        <v>863</v>
      </c>
      <c r="E157" s="4" t="s">
        <v>273</v>
      </c>
      <c r="F157" s="14">
        <v>0</v>
      </c>
      <c r="G157" s="14">
        <v>51.3</v>
      </c>
      <c r="H157" s="14">
        <f t="shared" si="96"/>
        <v>0</v>
      </c>
      <c r="I157" s="14">
        <f t="shared" si="108"/>
        <v>0</v>
      </c>
      <c r="J157" s="15">
        <f t="shared" si="98"/>
        <v>0</v>
      </c>
      <c r="K157" s="164">
        <v>1.1E-4</v>
      </c>
      <c r="L157" s="14">
        <f t="shared" si="99"/>
        <v>0</v>
      </c>
      <c r="M157" s="20" t="s">
        <v>6</v>
      </c>
      <c r="N157" s="14">
        <f t="shared" si="100"/>
        <v>0</v>
      </c>
      <c r="Y157" s="110">
        <f t="shared" si="101"/>
        <v>0</v>
      </c>
      <c r="Z157" s="110">
        <f t="shared" si="102"/>
        <v>0</v>
      </c>
      <c r="AA157" s="110">
        <f t="shared" si="103"/>
        <v>0</v>
      </c>
      <c r="AC157" s="24">
        <v>15</v>
      </c>
      <c r="AD157" s="113">
        <f t="shared" si="106"/>
        <v>41.626651685393277</v>
      </c>
      <c r="AE157" s="113">
        <f t="shared" si="107"/>
        <v>9.6733483146067218</v>
      </c>
      <c r="AL157" s="24">
        <f t="shared" si="104"/>
        <v>0</v>
      </c>
      <c r="AM157" s="24">
        <f t="shared" si="105"/>
        <v>0</v>
      </c>
      <c r="AN157" s="25" t="s">
        <v>308</v>
      </c>
      <c r="AO157" s="25" t="s">
        <v>324</v>
      </c>
      <c r="AP157" s="19" t="s">
        <v>328</v>
      </c>
      <c r="AS157" s="197">
        <v>1.1E-4</v>
      </c>
    </row>
    <row r="158" spans="1:47" hidden="1">
      <c r="A158" s="4" t="s">
        <v>582</v>
      </c>
      <c r="B158" s="4"/>
      <c r="C158" s="4" t="s">
        <v>384</v>
      </c>
      <c r="D158" s="4" t="s">
        <v>385</v>
      </c>
      <c r="E158" s="4" t="s">
        <v>273</v>
      </c>
      <c r="F158" s="14">
        <v>0</v>
      </c>
      <c r="G158" s="179">
        <v>91.4</v>
      </c>
      <c r="H158" s="14">
        <f t="shared" si="96"/>
        <v>0</v>
      </c>
      <c r="I158" s="14">
        <f t="shared" si="108"/>
        <v>0</v>
      </c>
      <c r="J158" s="15">
        <f t="shared" si="98"/>
        <v>0</v>
      </c>
      <c r="K158" s="164">
        <v>1.0000000000000001E-5</v>
      </c>
      <c r="L158" s="14">
        <f t="shared" si="99"/>
        <v>0</v>
      </c>
      <c r="M158" s="20" t="s">
        <v>6</v>
      </c>
      <c r="N158" s="14">
        <f t="shared" si="100"/>
        <v>0</v>
      </c>
      <c r="Y158" s="110">
        <f t="shared" si="101"/>
        <v>0</v>
      </c>
      <c r="Z158" s="110">
        <f t="shared" si="102"/>
        <v>0</v>
      </c>
      <c r="AA158" s="110">
        <f t="shared" si="103"/>
        <v>0</v>
      </c>
      <c r="AC158" s="24">
        <v>15</v>
      </c>
      <c r="AD158" s="113">
        <f t="shared" si="106"/>
        <v>74.165223470661715</v>
      </c>
      <c r="AE158" s="113">
        <f t="shared" si="107"/>
        <v>17.234776529338294</v>
      </c>
      <c r="AL158" s="24">
        <f t="shared" si="104"/>
        <v>0</v>
      </c>
      <c r="AM158" s="24">
        <f t="shared" si="105"/>
        <v>0</v>
      </c>
      <c r="AN158" s="25" t="s">
        <v>308</v>
      </c>
      <c r="AO158" s="25" t="s">
        <v>324</v>
      </c>
      <c r="AP158" s="19" t="s">
        <v>328</v>
      </c>
      <c r="AR158" t="s">
        <v>785</v>
      </c>
      <c r="AS158" s="197">
        <v>1.0000000000000001E-5</v>
      </c>
    </row>
    <row r="159" spans="1:47" hidden="1">
      <c r="A159" s="4" t="s">
        <v>583</v>
      </c>
      <c r="B159" s="4"/>
      <c r="C159" s="4" t="s">
        <v>858</v>
      </c>
      <c r="D159" s="4" t="s">
        <v>859</v>
      </c>
      <c r="E159" s="4" t="s">
        <v>273</v>
      </c>
      <c r="F159" s="14">
        <v>0</v>
      </c>
      <c r="G159" s="179"/>
      <c r="H159" s="14">
        <f t="shared" si="96"/>
        <v>0</v>
      </c>
      <c r="I159" s="14">
        <f>J159-H159</f>
        <v>0</v>
      </c>
      <c r="J159" s="15">
        <f t="shared" si="98"/>
        <v>0</v>
      </c>
      <c r="K159" s="164">
        <v>2.0000000000000002E-5</v>
      </c>
      <c r="L159" s="14">
        <f t="shared" si="99"/>
        <v>0</v>
      </c>
      <c r="M159" s="20" t="s">
        <v>6</v>
      </c>
      <c r="N159" s="14">
        <f t="shared" si="100"/>
        <v>0</v>
      </c>
      <c r="Y159" s="110">
        <f t="shared" si="101"/>
        <v>0</v>
      </c>
      <c r="Z159" s="110">
        <f t="shared" si="102"/>
        <v>0</v>
      </c>
      <c r="AA159" s="110">
        <f t="shared" si="103"/>
        <v>0</v>
      </c>
      <c r="AC159" s="24">
        <v>15</v>
      </c>
      <c r="AD159" s="113">
        <f t="shared" si="106"/>
        <v>0</v>
      </c>
      <c r="AE159" s="113">
        <f t="shared" si="107"/>
        <v>0</v>
      </c>
      <c r="AL159" s="24">
        <f t="shared" si="104"/>
        <v>0</v>
      </c>
      <c r="AM159" s="24">
        <f t="shared" si="105"/>
        <v>0</v>
      </c>
      <c r="AN159" s="25" t="s">
        <v>308</v>
      </c>
      <c r="AO159" s="25" t="s">
        <v>324</v>
      </c>
      <c r="AP159" s="19" t="s">
        <v>328</v>
      </c>
      <c r="AS159" s="197">
        <v>2.0000000000000002E-5</v>
      </c>
    </row>
    <row r="160" spans="1:47" hidden="1">
      <c r="A160" s="4" t="s">
        <v>584</v>
      </c>
      <c r="B160" s="5"/>
      <c r="C160" s="5" t="s">
        <v>387</v>
      </c>
      <c r="D160" s="5" t="s">
        <v>388</v>
      </c>
      <c r="E160" s="5" t="s">
        <v>273</v>
      </c>
      <c r="F160" s="15">
        <v>0</v>
      </c>
      <c r="G160" s="179">
        <v>236</v>
      </c>
      <c r="H160" s="15">
        <f t="shared" si="96"/>
        <v>0</v>
      </c>
      <c r="I160" s="15">
        <f t="shared" si="108"/>
        <v>0</v>
      </c>
      <c r="J160" s="15">
        <f t="shared" si="98"/>
        <v>0</v>
      </c>
      <c r="K160" s="165">
        <v>1.81E-3</v>
      </c>
      <c r="L160" s="15">
        <f t="shared" si="99"/>
        <v>0</v>
      </c>
      <c r="M160" s="21" t="s">
        <v>290</v>
      </c>
      <c r="N160" s="15">
        <f t="shared" si="100"/>
        <v>0</v>
      </c>
      <c r="Y160" s="110">
        <f t="shared" si="101"/>
        <v>0</v>
      </c>
      <c r="Z160" s="110">
        <f t="shared" si="102"/>
        <v>0</v>
      </c>
      <c r="AA160" s="110">
        <f t="shared" si="103"/>
        <v>0</v>
      </c>
      <c r="AC160" s="24">
        <v>15</v>
      </c>
      <c r="AD160" s="113">
        <f t="shared" si="106"/>
        <v>191.49882646691646</v>
      </c>
      <c r="AE160" s="113">
        <f t="shared" si="107"/>
        <v>44.501173533083559</v>
      </c>
      <c r="AL160" s="24">
        <f t="shared" si="104"/>
        <v>0</v>
      </c>
      <c r="AM160" s="24">
        <f t="shared" si="105"/>
        <v>0</v>
      </c>
      <c r="AN160" s="25" t="s">
        <v>308</v>
      </c>
      <c r="AO160" s="25" t="s">
        <v>324</v>
      </c>
      <c r="AP160" s="19" t="s">
        <v>328</v>
      </c>
      <c r="AR160" t="s">
        <v>785</v>
      </c>
      <c r="AS160" s="198">
        <v>1.81E-3</v>
      </c>
    </row>
    <row r="161" spans="1:47" s="58" customFormat="1" hidden="1">
      <c r="A161" s="4" t="s">
        <v>585</v>
      </c>
      <c r="B161" s="5"/>
      <c r="C161" s="5" t="s">
        <v>860</v>
      </c>
      <c r="D161" s="5" t="s">
        <v>861</v>
      </c>
      <c r="E161" s="5" t="s">
        <v>273</v>
      </c>
      <c r="F161" s="15">
        <v>0</v>
      </c>
      <c r="G161" s="15"/>
      <c r="H161" s="15">
        <f t="shared" si="96"/>
        <v>0</v>
      </c>
      <c r="I161" s="15">
        <f>J161-H161</f>
        <v>0</v>
      </c>
      <c r="J161" s="15">
        <f t="shared" si="98"/>
        <v>0</v>
      </c>
      <c r="K161" s="165">
        <v>2.9099999999999998E-3</v>
      </c>
      <c r="L161" s="15">
        <f t="shared" si="99"/>
        <v>0</v>
      </c>
      <c r="M161" s="21" t="s">
        <v>290</v>
      </c>
      <c r="N161" s="15">
        <f t="shared" si="100"/>
        <v>0</v>
      </c>
      <c r="Y161" s="110">
        <f t="shared" si="101"/>
        <v>0</v>
      </c>
      <c r="Z161" s="110">
        <f t="shared" si="102"/>
        <v>0</v>
      </c>
      <c r="AA161" s="110">
        <f t="shared" si="103"/>
        <v>0</v>
      </c>
      <c r="AC161" s="24">
        <v>15</v>
      </c>
      <c r="AD161" s="113">
        <f t="shared" si="106"/>
        <v>0</v>
      </c>
      <c r="AE161" s="113">
        <f t="shared" si="107"/>
        <v>0</v>
      </c>
      <c r="AL161" s="24">
        <f t="shared" si="104"/>
        <v>0</v>
      </c>
      <c r="AM161" s="24">
        <f t="shared" si="105"/>
        <v>0</v>
      </c>
      <c r="AN161" s="25" t="s">
        <v>682</v>
      </c>
      <c r="AO161" s="25" t="s">
        <v>764</v>
      </c>
      <c r="AP161" s="19" t="s">
        <v>328</v>
      </c>
      <c r="AS161" s="198">
        <v>2.9099999999999998E-3</v>
      </c>
      <c r="AU161" s="292"/>
    </row>
    <row r="162" spans="1:47" hidden="1">
      <c r="A162" s="4" t="s">
        <v>586</v>
      </c>
      <c r="B162" s="4"/>
      <c r="C162" s="4" t="s">
        <v>150</v>
      </c>
      <c r="D162" s="4" t="s">
        <v>230</v>
      </c>
      <c r="E162" s="4" t="s">
        <v>274</v>
      </c>
      <c r="F162" s="14">
        <v>0</v>
      </c>
      <c r="G162" s="14">
        <v>512</v>
      </c>
      <c r="H162" s="14">
        <f t="shared" si="96"/>
        <v>0</v>
      </c>
      <c r="I162" s="14">
        <f t="shared" si="108"/>
        <v>0</v>
      </c>
      <c r="J162" s="15">
        <f t="shared" si="98"/>
        <v>0</v>
      </c>
      <c r="K162" s="164">
        <v>7.1000000000000002E-4</v>
      </c>
      <c r="L162" s="14">
        <f t="shared" si="99"/>
        <v>0</v>
      </c>
      <c r="M162" s="20" t="s">
        <v>6</v>
      </c>
      <c r="N162" s="14">
        <f t="shared" si="100"/>
        <v>0</v>
      </c>
      <c r="Y162" s="110">
        <f t="shared" si="101"/>
        <v>0</v>
      </c>
      <c r="Z162" s="110">
        <f t="shared" si="102"/>
        <v>0</v>
      </c>
      <c r="AA162" s="110">
        <f t="shared" si="103"/>
        <v>0</v>
      </c>
      <c r="AC162" s="24">
        <v>15</v>
      </c>
      <c r="AD162" s="113">
        <f t="shared" si="106"/>
        <v>415.45508114856449</v>
      </c>
      <c r="AE162" s="113">
        <f t="shared" si="107"/>
        <v>96.544918851435511</v>
      </c>
      <c r="AL162" s="24">
        <f t="shared" si="104"/>
        <v>0</v>
      </c>
      <c r="AM162" s="24">
        <f t="shared" si="105"/>
        <v>0</v>
      </c>
      <c r="AN162" s="25" t="s">
        <v>311</v>
      </c>
      <c r="AO162" s="25" t="s">
        <v>325</v>
      </c>
      <c r="AP162" s="19" t="s">
        <v>328</v>
      </c>
      <c r="AR162" t="s">
        <v>785</v>
      </c>
      <c r="AS162" s="197">
        <v>7.1000000000000002E-4</v>
      </c>
    </row>
    <row r="163" spans="1:47" s="63" customFormat="1" hidden="1">
      <c r="A163" s="4" t="s">
        <v>587</v>
      </c>
      <c r="B163" s="60"/>
      <c r="C163" s="60" t="s">
        <v>575</v>
      </c>
      <c r="D163" s="4" t="s">
        <v>1037</v>
      </c>
      <c r="E163" s="60" t="s">
        <v>273</v>
      </c>
      <c r="F163" s="14">
        <v>0</v>
      </c>
      <c r="G163" s="14">
        <v>2630</v>
      </c>
      <c r="H163" s="61">
        <f t="shared" si="96"/>
        <v>0</v>
      </c>
      <c r="I163" s="61">
        <f t="shared" ref="I163:I173" si="109">J163-H163</f>
        <v>0</v>
      </c>
      <c r="J163" s="15">
        <f t="shared" si="98"/>
        <v>0</v>
      </c>
      <c r="K163" s="168">
        <v>0.17399999999999999</v>
      </c>
      <c r="L163" s="61">
        <f t="shared" si="99"/>
        <v>0</v>
      </c>
      <c r="M163" s="62" t="s">
        <v>6</v>
      </c>
      <c r="N163" s="61">
        <f t="shared" si="100"/>
        <v>0</v>
      </c>
      <c r="Y163" s="110">
        <f t="shared" si="101"/>
        <v>0</v>
      </c>
      <c r="Z163" s="110">
        <f t="shared" si="102"/>
        <v>0</v>
      </c>
      <c r="AA163" s="110">
        <f t="shared" si="103"/>
        <v>0</v>
      </c>
      <c r="AC163" s="64">
        <v>15</v>
      </c>
      <c r="AD163" s="113">
        <f t="shared" si="106"/>
        <v>2134.0759051186028</v>
      </c>
      <c r="AE163" s="113">
        <f t="shared" si="107"/>
        <v>495.92409488139725</v>
      </c>
      <c r="AL163" s="64">
        <f t="shared" si="104"/>
        <v>0</v>
      </c>
      <c r="AM163" s="64">
        <f t="shared" si="105"/>
        <v>0</v>
      </c>
      <c r="AN163" s="65" t="s">
        <v>308</v>
      </c>
      <c r="AO163" s="65" t="s">
        <v>324</v>
      </c>
      <c r="AP163" s="66" t="s">
        <v>328</v>
      </c>
      <c r="AR163" t="s">
        <v>785</v>
      </c>
      <c r="AS163" s="197">
        <v>0.17399999999999999</v>
      </c>
      <c r="AU163" s="297"/>
    </row>
    <row r="164" spans="1:47" ht="25.5" hidden="1">
      <c r="A164" s="4" t="s">
        <v>588</v>
      </c>
      <c r="B164" s="4"/>
      <c r="C164" s="4"/>
      <c r="D164" s="269" t="s">
        <v>1080</v>
      </c>
      <c r="E164" s="4" t="s">
        <v>273</v>
      </c>
      <c r="F164" s="14">
        <v>0</v>
      </c>
      <c r="G164" s="179">
        <v>18750</v>
      </c>
      <c r="H164" s="14">
        <f t="shared" si="96"/>
        <v>0</v>
      </c>
      <c r="I164" s="14">
        <f t="shared" si="109"/>
        <v>0</v>
      </c>
      <c r="J164" s="15">
        <f t="shared" si="98"/>
        <v>0</v>
      </c>
      <c r="K164" s="164">
        <v>0.221</v>
      </c>
      <c r="L164" s="14">
        <f t="shared" si="99"/>
        <v>0</v>
      </c>
      <c r="M164" s="20" t="s">
        <v>6</v>
      </c>
      <c r="N164" s="14">
        <f t="shared" si="100"/>
        <v>0</v>
      </c>
      <c r="Y164" s="110">
        <f t="shared" si="101"/>
        <v>0</v>
      </c>
      <c r="Z164" s="110">
        <f t="shared" si="102"/>
        <v>0</v>
      </c>
      <c r="AA164" s="110">
        <f t="shared" si="103"/>
        <v>0</v>
      </c>
      <c r="AC164" s="24">
        <v>15</v>
      </c>
      <c r="AD164" s="113">
        <f t="shared" si="106"/>
        <v>15214.419475655437</v>
      </c>
      <c r="AE164" s="113">
        <f t="shared" si="107"/>
        <v>3535.580524344562</v>
      </c>
      <c r="AL164" s="24">
        <f t="shared" si="104"/>
        <v>0</v>
      </c>
      <c r="AM164" s="24">
        <f t="shared" si="105"/>
        <v>0</v>
      </c>
      <c r="AN164" s="25" t="s">
        <v>308</v>
      </c>
      <c r="AO164" s="25" t="s">
        <v>324</v>
      </c>
      <c r="AP164" s="19" t="s">
        <v>328</v>
      </c>
      <c r="AR164" t="s">
        <v>785</v>
      </c>
      <c r="AS164" s="197">
        <v>0.221</v>
      </c>
    </row>
    <row r="165" spans="1:47" s="63" customFormat="1" hidden="1">
      <c r="A165" s="213" t="s">
        <v>942</v>
      </c>
      <c r="B165" s="213"/>
      <c r="C165" s="213" t="s">
        <v>943</v>
      </c>
      <c r="D165" s="213" t="s">
        <v>995</v>
      </c>
      <c r="E165" s="213" t="s">
        <v>273</v>
      </c>
      <c r="F165" s="214">
        <v>0</v>
      </c>
      <c r="G165" s="214"/>
      <c r="H165" s="214">
        <f t="shared" ref="H165" si="110">F165*AD165</f>
        <v>0</v>
      </c>
      <c r="I165" s="214">
        <f t="shared" ref="I165" si="111">J165-H165</f>
        <v>0</v>
      </c>
      <c r="J165" s="214">
        <f t="shared" ref="J165" si="112">F165*G165</f>
        <v>0</v>
      </c>
      <c r="K165" s="215">
        <v>0.17399999999999999</v>
      </c>
      <c r="L165" s="214">
        <f t="shared" ref="L165" si="113">F165*K165</f>
        <v>0</v>
      </c>
      <c r="M165" s="62" t="s">
        <v>6</v>
      </c>
      <c r="N165" s="61">
        <f t="shared" ref="N165" si="114">IF(M165="5",I165,0)</f>
        <v>0</v>
      </c>
      <c r="Y165" s="110">
        <f t="shared" ref="Y165" si="115">IF(AC165=0,J165,0)</f>
        <v>0</v>
      </c>
      <c r="Z165" s="110">
        <f t="shared" ref="Z165" si="116">IF(AC165=15,J165,0)</f>
        <v>0</v>
      </c>
      <c r="AA165" s="110">
        <f t="shared" ref="AA165" si="117">IF(AC165=21,J165,0)</f>
        <v>0</v>
      </c>
      <c r="AC165" s="64">
        <v>15</v>
      </c>
      <c r="AD165" s="113">
        <f t="shared" ref="AD165" si="118">G165*0.81143570536829</f>
        <v>0</v>
      </c>
      <c r="AE165" s="113">
        <f t="shared" ref="AE165" si="119">G165*(1-0.81143570536829)</f>
        <v>0</v>
      </c>
      <c r="AL165" s="64">
        <f t="shared" ref="AL165" si="120">F165*AD165</f>
        <v>0</v>
      </c>
      <c r="AM165" s="64">
        <f t="shared" ref="AM165" si="121">F165*AE165</f>
        <v>0</v>
      </c>
      <c r="AN165" s="65" t="s">
        <v>308</v>
      </c>
      <c r="AO165" s="65" t="s">
        <v>324</v>
      </c>
      <c r="AP165" s="66" t="s">
        <v>328</v>
      </c>
      <c r="AR165" t="s">
        <v>785</v>
      </c>
      <c r="AS165" s="197">
        <v>0.17399999999999999</v>
      </c>
      <c r="AU165" s="297"/>
    </row>
    <row r="166" spans="1:47" hidden="1">
      <c r="A166" s="4" t="s">
        <v>589</v>
      </c>
      <c r="B166" s="4"/>
      <c r="C166" s="4" t="s">
        <v>373</v>
      </c>
      <c r="D166" s="4" t="s">
        <v>374</v>
      </c>
      <c r="E166" s="4" t="s">
        <v>273</v>
      </c>
      <c r="F166" s="14">
        <v>0</v>
      </c>
      <c r="G166" s="14"/>
      <c r="H166" s="14">
        <f t="shared" si="96"/>
        <v>0</v>
      </c>
      <c r="I166" s="14">
        <f t="shared" si="109"/>
        <v>0</v>
      </c>
      <c r="J166" s="15">
        <f t="shared" si="98"/>
        <v>0</v>
      </c>
      <c r="K166" s="164">
        <v>1.2500000000000001E-2</v>
      </c>
      <c r="L166" s="14">
        <f t="shared" si="99"/>
        <v>0</v>
      </c>
      <c r="M166" s="20" t="s">
        <v>6</v>
      </c>
      <c r="N166" s="14">
        <f t="shared" si="100"/>
        <v>0</v>
      </c>
      <c r="Y166" s="110">
        <f t="shared" si="101"/>
        <v>0</v>
      </c>
      <c r="Z166" s="110">
        <f t="shared" si="102"/>
        <v>0</v>
      </c>
      <c r="AA166" s="110">
        <f t="shared" si="103"/>
        <v>0</v>
      </c>
      <c r="AC166" s="24">
        <v>15</v>
      </c>
      <c r="AD166" s="113">
        <f t="shared" si="106"/>
        <v>0</v>
      </c>
      <c r="AE166" s="113">
        <f t="shared" si="107"/>
        <v>0</v>
      </c>
      <c r="AL166" s="24">
        <f t="shared" si="104"/>
        <v>0</v>
      </c>
      <c r="AM166" s="24">
        <f t="shared" si="105"/>
        <v>0</v>
      </c>
      <c r="AN166" s="25" t="s">
        <v>308</v>
      </c>
      <c r="AO166" s="25" t="s">
        <v>324</v>
      </c>
      <c r="AP166" s="19" t="s">
        <v>328</v>
      </c>
      <c r="AR166" t="s">
        <v>785</v>
      </c>
      <c r="AS166" s="197">
        <v>1.2500000000000001E-2</v>
      </c>
    </row>
    <row r="167" spans="1:47" hidden="1">
      <c r="A167" s="4" t="s">
        <v>590</v>
      </c>
      <c r="B167" s="4"/>
      <c r="C167" s="4" t="s">
        <v>373</v>
      </c>
      <c r="D167" s="146" t="s">
        <v>1081</v>
      </c>
      <c r="E167" s="4" t="s">
        <v>273</v>
      </c>
      <c r="F167" s="14">
        <v>0</v>
      </c>
      <c r="G167" s="14">
        <v>4238</v>
      </c>
      <c r="H167" s="14">
        <f t="shared" si="96"/>
        <v>0</v>
      </c>
      <c r="I167" s="14">
        <f t="shared" si="109"/>
        <v>0</v>
      </c>
      <c r="J167" s="15">
        <f t="shared" si="98"/>
        <v>0</v>
      </c>
      <c r="K167" s="164">
        <v>1.2500000000000001E-2</v>
      </c>
      <c r="L167" s="14">
        <f t="shared" si="99"/>
        <v>0</v>
      </c>
      <c r="M167" s="20" t="s">
        <v>6</v>
      </c>
      <c r="N167" s="14">
        <f t="shared" si="100"/>
        <v>0</v>
      </c>
      <c r="Y167" s="110">
        <f t="shared" si="101"/>
        <v>0</v>
      </c>
      <c r="Z167" s="110">
        <f t="shared" si="102"/>
        <v>0</v>
      </c>
      <c r="AA167" s="110">
        <f t="shared" si="103"/>
        <v>0</v>
      </c>
      <c r="AC167" s="24">
        <v>15</v>
      </c>
      <c r="AD167" s="113">
        <f t="shared" si="106"/>
        <v>3438.8645193508132</v>
      </c>
      <c r="AE167" s="113">
        <f t="shared" si="107"/>
        <v>799.13548064918689</v>
      </c>
      <c r="AL167" s="24">
        <f t="shared" si="104"/>
        <v>0</v>
      </c>
      <c r="AM167" s="24">
        <f t="shared" si="105"/>
        <v>0</v>
      </c>
      <c r="AN167" s="25" t="s">
        <v>308</v>
      </c>
      <c r="AO167" s="25" t="s">
        <v>324</v>
      </c>
      <c r="AP167" s="19" t="s">
        <v>328</v>
      </c>
      <c r="AR167" t="s">
        <v>785</v>
      </c>
      <c r="AS167" s="197">
        <v>1.2500000000000001E-2</v>
      </c>
    </row>
    <row r="168" spans="1:47" hidden="1">
      <c r="A168" s="4" t="s">
        <v>592</v>
      </c>
      <c r="B168" s="4"/>
      <c r="C168" s="4" t="s">
        <v>138</v>
      </c>
      <c r="D168" s="4" t="s">
        <v>220</v>
      </c>
      <c r="E168" s="4" t="s">
        <v>273</v>
      </c>
      <c r="F168" s="14">
        <v>0</v>
      </c>
      <c r="G168" s="14">
        <v>149.30000000000001</v>
      </c>
      <c r="H168" s="14">
        <f t="shared" si="96"/>
        <v>0</v>
      </c>
      <c r="I168" s="14">
        <f t="shared" si="109"/>
        <v>0</v>
      </c>
      <c r="J168" s="15">
        <f t="shared" si="98"/>
        <v>0</v>
      </c>
      <c r="K168" s="164">
        <v>0.1104</v>
      </c>
      <c r="L168" s="14">
        <f t="shared" si="99"/>
        <v>0</v>
      </c>
      <c r="M168" s="20" t="s">
        <v>6</v>
      </c>
      <c r="N168" s="14">
        <f t="shared" si="100"/>
        <v>0</v>
      </c>
      <c r="Y168" s="110">
        <f t="shared" si="101"/>
        <v>0</v>
      </c>
      <c r="Z168" s="110">
        <f t="shared" si="102"/>
        <v>0</v>
      </c>
      <c r="AA168" s="110">
        <f t="shared" si="103"/>
        <v>0</v>
      </c>
      <c r="AC168" s="24">
        <v>15</v>
      </c>
      <c r="AD168" s="113">
        <f t="shared" si="106"/>
        <v>121.14735081148571</v>
      </c>
      <c r="AE168" s="113">
        <f t="shared" si="107"/>
        <v>28.152649188514303</v>
      </c>
      <c r="AL168" s="24">
        <f t="shared" si="104"/>
        <v>0</v>
      </c>
      <c r="AM168" s="24">
        <f t="shared" si="105"/>
        <v>0</v>
      </c>
      <c r="AN168" s="25" t="s">
        <v>308</v>
      </c>
      <c r="AO168" s="25" t="s">
        <v>324</v>
      </c>
      <c r="AP168" s="19" t="s">
        <v>328</v>
      </c>
      <c r="AR168" t="s">
        <v>785</v>
      </c>
      <c r="AS168" s="197">
        <v>0.1104</v>
      </c>
    </row>
    <row r="169" spans="1:47" s="104" customFormat="1" hidden="1">
      <c r="A169" s="4" t="s">
        <v>595</v>
      </c>
      <c r="B169" s="4"/>
      <c r="C169" s="4" t="s">
        <v>139</v>
      </c>
      <c r="D169" s="4" t="s">
        <v>221</v>
      </c>
      <c r="E169" s="4" t="s">
        <v>273</v>
      </c>
      <c r="F169" s="14">
        <v>0</v>
      </c>
      <c r="G169" s="14"/>
      <c r="H169" s="14">
        <f t="shared" si="96"/>
        <v>0</v>
      </c>
      <c r="I169" s="14">
        <f t="shared" si="109"/>
        <v>0</v>
      </c>
      <c r="J169" s="15">
        <f t="shared" si="98"/>
        <v>0</v>
      </c>
      <c r="K169" s="164">
        <v>2.7000000000000001E-3</v>
      </c>
      <c r="L169" s="14">
        <f t="shared" si="99"/>
        <v>0</v>
      </c>
      <c r="M169" s="20" t="s">
        <v>6</v>
      </c>
      <c r="N169" s="14">
        <f t="shared" si="100"/>
        <v>0</v>
      </c>
      <c r="Y169" s="110">
        <f t="shared" si="101"/>
        <v>0</v>
      </c>
      <c r="Z169" s="110">
        <f t="shared" si="102"/>
        <v>0</v>
      </c>
      <c r="AA169" s="110">
        <f t="shared" si="103"/>
        <v>0</v>
      </c>
      <c r="AC169" s="24">
        <v>15</v>
      </c>
      <c r="AD169" s="113">
        <f t="shared" si="106"/>
        <v>0</v>
      </c>
      <c r="AE169" s="113">
        <f t="shared" si="107"/>
        <v>0</v>
      </c>
      <c r="AL169" s="24">
        <f t="shared" si="104"/>
        <v>0</v>
      </c>
      <c r="AM169" s="24">
        <f t="shared" si="105"/>
        <v>0</v>
      </c>
      <c r="AN169" s="25" t="s">
        <v>308</v>
      </c>
      <c r="AO169" s="25" t="s">
        <v>324</v>
      </c>
      <c r="AP169" s="105" t="s">
        <v>328</v>
      </c>
      <c r="AR169" s="104" t="s">
        <v>785</v>
      </c>
      <c r="AS169" s="197">
        <v>2.7000000000000001E-3</v>
      </c>
      <c r="AU169" s="288"/>
    </row>
    <row r="170" spans="1:47" s="104" customFormat="1" hidden="1">
      <c r="A170" s="4" t="s">
        <v>607</v>
      </c>
      <c r="B170" s="4"/>
      <c r="C170" s="4" t="s">
        <v>140</v>
      </c>
      <c r="D170" s="4" t="s">
        <v>222</v>
      </c>
      <c r="E170" s="4" t="s">
        <v>273</v>
      </c>
      <c r="F170" s="14">
        <v>0</v>
      </c>
      <c r="G170" s="179">
        <v>172.3</v>
      </c>
      <c r="H170" s="14">
        <f t="shared" si="96"/>
        <v>0</v>
      </c>
      <c r="I170" s="14">
        <f t="shared" si="109"/>
        <v>0</v>
      </c>
      <c r="J170" s="15">
        <f t="shared" si="98"/>
        <v>0</v>
      </c>
      <c r="K170" s="164">
        <v>2.0999999999999999E-3</v>
      </c>
      <c r="L170" s="14">
        <f t="shared" si="99"/>
        <v>0</v>
      </c>
      <c r="M170" s="20" t="s">
        <v>6</v>
      </c>
      <c r="N170" s="14">
        <f t="shared" si="100"/>
        <v>0</v>
      </c>
      <c r="Y170" s="110">
        <f t="shared" si="101"/>
        <v>0</v>
      </c>
      <c r="Z170" s="110">
        <f t="shared" si="102"/>
        <v>0</v>
      </c>
      <c r="AA170" s="110">
        <f t="shared" si="103"/>
        <v>0</v>
      </c>
      <c r="AC170" s="24">
        <v>15</v>
      </c>
      <c r="AD170" s="113">
        <f t="shared" si="106"/>
        <v>139.81037203495637</v>
      </c>
      <c r="AE170" s="113">
        <f t="shared" si="107"/>
        <v>32.489627965043631</v>
      </c>
      <c r="AL170" s="24">
        <f t="shared" si="104"/>
        <v>0</v>
      </c>
      <c r="AM170" s="24">
        <f t="shared" si="105"/>
        <v>0</v>
      </c>
      <c r="AN170" s="25" t="s">
        <v>308</v>
      </c>
      <c r="AO170" s="25" t="s">
        <v>324</v>
      </c>
      <c r="AP170" s="105" t="s">
        <v>328</v>
      </c>
      <c r="AR170" s="104" t="s">
        <v>785</v>
      </c>
      <c r="AS170" s="197">
        <v>2.0999999999999999E-3</v>
      </c>
      <c r="AU170" s="288"/>
    </row>
    <row r="171" spans="1:47" s="133" customFormat="1" hidden="1">
      <c r="A171" s="4" t="s">
        <v>608</v>
      </c>
      <c r="B171" s="109"/>
      <c r="C171" s="109" t="s">
        <v>140</v>
      </c>
      <c r="D171" s="109" t="s">
        <v>649</v>
      </c>
      <c r="E171" s="109" t="s">
        <v>273</v>
      </c>
      <c r="F171" s="110">
        <v>0</v>
      </c>
      <c r="G171" s="179">
        <v>242.1</v>
      </c>
      <c r="H171" s="110">
        <f t="shared" si="96"/>
        <v>0</v>
      </c>
      <c r="I171" s="110">
        <f t="shared" si="109"/>
        <v>0</v>
      </c>
      <c r="J171" s="15">
        <f t="shared" si="98"/>
        <v>0</v>
      </c>
      <c r="K171" s="163">
        <v>2.1000000000000001E-4</v>
      </c>
      <c r="L171" s="110">
        <f t="shared" si="99"/>
        <v>0</v>
      </c>
      <c r="M171" s="111" t="s">
        <v>6</v>
      </c>
      <c r="N171" s="110">
        <f t="shared" si="100"/>
        <v>0</v>
      </c>
      <c r="Y171" s="110">
        <f t="shared" si="101"/>
        <v>0</v>
      </c>
      <c r="Z171" s="110">
        <f t="shared" si="102"/>
        <v>0</v>
      </c>
      <c r="AA171" s="110">
        <f t="shared" si="103"/>
        <v>0</v>
      </c>
      <c r="AC171" s="113">
        <v>15</v>
      </c>
      <c r="AD171" s="113">
        <f t="shared" si="106"/>
        <v>196.448584269663</v>
      </c>
      <c r="AE171" s="113">
        <f t="shared" si="107"/>
        <v>45.651415730336986</v>
      </c>
      <c r="AL171" s="113">
        <f t="shared" si="104"/>
        <v>0</v>
      </c>
      <c r="AM171" s="113">
        <f t="shared" si="105"/>
        <v>0</v>
      </c>
      <c r="AN171" s="114" t="s">
        <v>308</v>
      </c>
      <c r="AO171" s="114" t="s">
        <v>324</v>
      </c>
      <c r="AP171" s="134" t="s">
        <v>328</v>
      </c>
      <c r="AR171" s="104" t="s">
        <v>785</v>
      </c>
      <c r="AS171" s="197">
        <v>2.1000000000000001E-4</v>
      </c>
      <c r="AU171" s="286"/>
    </row>
    <row r="172" spans="1:47" s="112" customFormat="1" hidden="1">
      <c r="A172" s="4" t="s">
        <v>609</v>
      </c>
      <c r="B172" s="109"/>
      <c r="C172" s="5" t="s">
        <v>772</v>
      </c>
      <c r="D172" s="5" t="s">
        <v>767</v>
      </c>
      <c r="E172" s="4" t="s">
        <v>273</v>
      </c>
      <c r="F172" s="110">
        <v>0</v>
      </c>
      <c r="G172" s="179">
        <v>248</v>
      </c>
      <c r="H172" s="110">
        <f t="shared" si="96"/>
        <v>0</v>
      </c>
      <c r="I172" s="110">
        <f t="shared" si="109"/>
        <v>0</v>
      </c>
      <c r="J172" s="15">
        <f t="shared" si="98"/>
        <v>0</v>
      </c>
      <c r="K172" s="163">
        <v>2.0999999999999999E-3</v>
      </c>
      <c r="L172" s="110">
        <f t="shared" si="99"/>
        <v>0</v>
      </c>
      <c r="M172" s="111" t="s">
        <v>6</v>
      </c>
      <c r="N172" s="110">
        <f t="shared" si="100"/>
        <v>0</v>
      </c>
      <c r="Y172" s="110">
        <f t="shared" si="101"/>
        <v>0</v>
      </c>
      <c r="Z172" s="110">
        <f t="shared" si="102"/>
        <v>0</v>
      </c>
      <c r="AA172" s="110">
        <f t="shared" si="103"/>
        <v>0</v>
      </c>
      <c r="AC172" s="113">
        <v>15</v>
      </c>
      <c r="AD172" s="113">
        <f t="shared" si="106"/>
        <v>201.23605493133593</v>
      </c>
      <c r="AE172" s="113">
        <f t="shared" si="107"/>
        <v>46.763945068664079</v>
      </c>
      <c r="AL172" s="113">
        <f t="shared" si="104"/>
        <v>0</v>
      </c>
      <c r="AM172" s="113">
        <f t="shared" si="105"/>
        <v>0</v>
      </c>
      <c r="AN172" s="114" t="s">
        <v>308</v>
      </c>
      <c r="AO172" s="114" t="s">
        <v>324</v>
      </c>
      <c r="AP172" s="115" t="s">
        <v>328</v>
      </c>
      <c r="AS172" s="197">
        <v>2.0999999999999999E-3</v>
      </c>
      <c r="AU172" s="287"/>
    </row>
    <row r="173" spans="1:47" s="112" customFormat="1" hidden="1">
      <c r="A173" s="4" t="s">
        <v>610</v>
      </c>
      <c r="B173" s="109"/>
      <c r="C173" s="4" t="s">
        <v>871</v>
      </c>
      <c r="D173" s="4" t="s">
        <v>870</v>
      </c>
      <c r="E173" s="109" t="s">
        <v>484</v>
      </c>
      <c r="F173" s="110">
        <v>1.6</v>
      </c>
      <c r="G173" s="110">
        <f>(J136+J137+J138+J139+J140+J141+J142+J143+J144+J145+J146+J147+J148+J149+J150+J151+J152+J153+J154+J155+J156+J157+J158+J159+J160+J161+J162+J163+J164+J165+J166+J167+J168+J169+J170+J171+J172)/100</f>
        <v>0</v>
      </c>
      <c r="H173" s="110">
        <f t="shared" si="96"/>
        <v>0</v>
      </c>
      <c r="I173" s="110">
        <f t="shared" si="109"/>
        <v>0</v>
      </c>
      <c r="J173" s="15">
        <f t="shared" si="98"/>
        <v>0</v>
      </c>
      <c r="K173" s="163"/>
      <c r="L173" s="110"/>
      <c r="M173" s="111" t="s">
        <v>10</v>
      </c>
      <c r="N173" s="110">
        <f>IF(M173="5",J173,0)</f>
        <v>0</v>
      </c>
      <c r="Y173" s="110">
        <f t="shared" si="101"/>
        <v>0</v>
      </c>
      <c r="Z173" s="110">
        <f t="shared" si="102"/>
        <v>0</v>
      </c>
      <c r="AA173" s="110">
        <f t="shared" si="103"/>
        <v>0</v>
      </c>
      <c r="AC173" s="113">
        <v>15</v>
      </c>
      <c r="AD173" s="113">
        <f t="shared" si="106"/>
        <v>0</v>
      </c>
      <c r="AE173" s="113">
        <f t="shared" si="107"/>
        <v>0</v>
      </c>
      <c r="AL173" s="113">
        <f t="shared" si="104"/>
        <v>0</v>
      </c>
      <c r="AM173" s="113">
        <f t="shared" si="105"/>
        <v>0</v>
      </c>
      <c r="AN173" s="114" t="s">
        <v>668</v>
      </c>
      <c r="AO173" s="114" t="s">
        <v>327</v>
      </c>
      <c r="AP173" s="115" t="s">
        <v>328</v>
      </c>
      <c r="AR173" t="s">
        <v>785</v>
      </c>
      <c r="AS173" s="197"/>
      <c r="AU173" s="287"/>
    </row>
    <row r="174" spans="1:47">
      <c r="A174" s="6"/>
      <c r="B174" s="12"/>
      <c r="C174" s="12" t="s">
        <v>141</v>
      </c>
      <c r="D174" s="100" t="s">
        <v>223</v>
      </c>
      <c r="E174" s="101"/>
      <c r="F174" s="101"/>
      <c r="G174" s="101"/>
      <c r="H174" s="27">
        <f>SUM(H175:H178)</f>
        <v>0</v>
      </c>
      <c r="I174" s="27">
        <f>SUM(I175:I178)</f>
        <v>0</v>
      </c>
      <c r="J174" s="27">
        <f>H174+I174</f>
        <v>0</v>
      </c>
      <c r="K174" s="167"/>
      <c r="L174" s="27">
        <f>SUM(L175:L177)</f>
        <v>0</v>
      </c>
      <c r="O174" s="27">
        <f>IF(P174="PR",J174,SUM(N175:N177))</f>
        <v>0</v>
      </c>
      <c r="P174" s="19" t="s">
        <v>294</v>
      </c>
      <c r="Q174" s="27">
        <f>IF(P174="HS",H174,0)</f>
        <v>0</v>
      </c>
      <c r="R174" s="27">
        <f>IF(P174="HS",I174-O174,0)</f>
        <v>0</v>
      </c>
      <c r="S174" s="27">
        <f>IF(P174="PS",H174,0)</f>
        <v>0</v>
      </c>
      <c r="T174" s="27">
        <f>IF(P174="PS",I174-O174,0)</f>
        <v>0</v>
      </c>
      <c r="U174" s="27">
        <f>IF(P174="MP",H174,0)</f>
        <v>0</v>
      </c>
      <c r="V174" s="27">
        <f>IF(P174="MP",I174-O174,0)</f>
        <v>0</v>
      </c>
      <c r="W174" s="27">
        <f>IF(P174="OM",H174,0)</f>
        <v>0</v>
      </c>
      <c r="X174" s="19"/>
      <c r="Y174" s="110"/>
      <c r="Z174" s="110"/>
      <c r="AA174" s="110"/>
      <c r="AD174" s="113"/>
      <c r="AE174" s="113"/>
      <c r="AH174" s="27">
        <f>SUM(Y175:Y177)</f>
        <v>0</v>
      </c>
      <c r="AI174" s="27">
        <f>SUM(Z175:Z177)</f>
        <v>0</v>
      </c>
      <c r="AJ174" s="27">
        <f>SUM(AA175:AA177)</f>
        <v>0</v>
      </c>
      <c r="AS174" s="199"/>
    </row>
    <row r="175" spans="1:47" s="104" customFormat="1" hidden="1">
      <c r="A175" s="4" t="s">
        <v>698</v>
      </c>
      <c r="B175" s="4"/>
      <c r="C175" s="4" t="s">
        <v>142</v>
      </c>
      <c r="D175" s="4" t="s">
        <v>224</v>
      </c>
      <c r="E175" s="4" t="s">
        <v>273</v>
      </c>
      <c r="F175" s="14">
        <v>0</v>
      </c>
      <c r="G175" s="14"/>
      <c r="H175" s="14">
        <f>F175*AD175</f>
        <v>0</v>
      </c>
      <c r="I175" s="14">
        <f>J175-H175</f>
        <v>0</v>
      </c>
      <c r="J175" s="14">
        <f>F175*G175</f>
        <v>0</v>
      </c>
      <c r="K175" s="164">
        <v>1E-3</v>
      </c>
      <c r="L175" s="14">
        <f>F175*K175</f>
        <v>0</v>
      </c>
      <c r="M175" s="20" t="s">
        <v>6</v>
      </c>
      <c r="N175" s="14">
        <f>IF(M175="5",I175,0)</f>
        <v>0</v>
      </c>
      <c r="Y175" s="110">
        <f>IF(AC175=0,J175,0)</f>
        <v>0</v>
      </c>
      <c r="Z175" s="110">
        <f>IF(AC175=15,J175,0)</f>
        <v>0</v>
      </c>
      <c r="AA175" s="110">
        <f>IF(AC175=21,J175,0)</f>
        <v>0</v>
      </c>
      <c r="AC175" s="24">
        <v>15</v>
      </c>
      <c r="AD175" s="113">
        <f t="shared" si="106"/>
        <v>0</v>
      </c>
      <c r="AE175" s="113">
        <f t="shared" si="107"/>
        <v>0</v>
      </c>
      <c r="AL175" s="24">
        <f>F175*AD175</f>
        <v>0</v>
      </c>
      <c r="AM175" s="24">
        <f>F175*AE175</f>
        <v>0</v>
      </c>
      <c r="AN175" s="25" t="s">
        <v>309</v>
      </c>
      <c r="AO175" s="25" t="s">
        <v>324</v>
      </c>
      <c r="AP175" s="105" t="s">
        <v>328</v>
      </c>
      <c r="AR175" s="104" t="s">
        <v>785</v>
      </c>
      <c r="AS175" s="197">
        <v>1E-3</v>
      </c>
      <c r="AU175" s="288"/>
    </row>
    <row r="176" spans="1:47" hidden="1">
      <c r="A176" s="4" t="s">
        <v>699</v>
      </c>
      <c r="B176" s="4"/>
      <c r="C176" s="4" t="s">
        <v>864</v>
      </c>
      <c r="D176" s="4" t="s">
        <v>865</v>
      </c>
      <c r="E176" s="4" t="s">
        <v>273</v>
      </c>
      <c r="F176" s="14">
        <v>0</v>
      </c>
      <c r="G176" s="14"/>
      <c r="H176" s="14">
        <f>F176*AD176</f>
        <v>0</v>
      </c>
      <c r="I176" s="14">
        <f>J176-H176</f>
        <v>0</v>
      </c>
      <c r="J176" s="14">
        <f>F176*G176</f>
        <v>0</v>
      </c>
      <c r="K176" s="164">
        <v>0</v>
      </c>
      <c r="L176" s="14">
        <f>F176*K176</f>
        <v>0</v>
      </c>
      <c r="M176" s="20" t="s">
        <v>6</v>
      </c>
      <c r="N176" s="14">
        <f>IF(M176="5",I176,0)</f>
        <v>0</v>
      </c>
      <c r="Y176" s="110">
        <f>IF(AC176=0,J176,0)</f>
        <v>0</v>
      </c>
      <c r="Z176" s="110">
        <f>IF(AC176=15,J176,0)</f>
        <v>0</v>
      </c>
      <c r="AA176" s="110">
        <f>IF(AC176=21,J176,0)</f>
        <v>0</v>
      </c>
      <c r="AC176" s="24">
        <v>15</v>
      </c>
      <c r="AD176" s="113">
        <f t="shared" si="106"/>
        <v>0</v>
      </c>
      <c r="AE176" s="113">
        <f t="shared" si="107"/>
        <v>0</v>
      </c>
      <c r="AL176" s="24">
        <f>F176*AD176</f>
        <v>0</v>
      </c>
      <c r="AM176" s="24">
        <f>F176*AE176</f>
        <v>0</v>
      </c>
      <c r="AN176" s="25" t="s">
        <v>309</v>
      </c>
      <c r="AO176" s="25" t="s">
        <v>324</v>
      </c>
      <c r="AP176" s="19" t="s">
        <v>328</v>
      </c>
      <c r="AS176" s="197">
        <v>0</v>
      </c>
    </row>
    <row r="177" spans="1:47" s="104" customFormat="1" hidden="1">
      <c r="A177" s="4" t="s">
        <v>700</v>
      </c>
      <c r="B177" s="4"/>
      <c r="C177" s="4" t="s">
        <v>143</v>
      </c>
      <c r="D177" s="4" t="s">
        <v>840</v>
      </c>
      <c r="E177" s="4" t="s">
        <v>273</v>
      </c>
      <c r="F177" s="261">
        <v>0</v>
      </c>
      <c r="G177" s="14">
        <v>490</v>
      </c>
      <c r="H177" s="14">
        <f>F177*AD177</f>
        <v>0</v>
      </c>
      <c r="I177" s="14">
        <f>J177-H177</f>
        <v>0</v>
      </c>
      <c r="J177" s="14">
        <f>F177*G177</f>
        <v>0</v>
      </c>
      <c r="K177" s="164">
        <v>0</v>
      </c>
      <c r="L177" s="14">
        <f>F177*K177</f>
        <v>0</v>
      </c>
      <c r="M177" s="20" t="s">
        <v>6</v>
      </c>
      <c r="N177" s="14">
        <f>IF(M177="5",I177,0)</f>
        <v>0</v>
      </c>
      <c r="Y177" s="110">
        <f>IF(AC177=0,J177,0)</f>
        <v>0</v>
      </c>
      <c r="Z177" s="110">
        <f>IF(AC177=15,J177,0)</f>
        <v>0</v>
      </c>
      <c r="AA177" s="110">
        <f>IF(AC177=21,J177,0)</f>
        <v>0</v>
      </c>
      <c r="AC177" s="24">
        <v>15</v>
      </c>
      <c r="AD177" s="113">
        <f t="shared" si="106"/>
        <v>397.60349563046213</v>
      </c>
      <c r="AE177" s="113">
        <f t="shared" si="107"/>
        <v>92.396504369537894</v>
      </c>
      <c r="AL177" s="24">
        <f>F177*AD177</f>
        <v>0</v>
      </c>
      <c r="AM177" s="24">
        <f>F177*AE177</f>
        <v>0</v>
      </c>
      <c r="AN177" s="25" t="s">
        <v>309</v>
      </c>
      <c r="AO177" s="25" t="s">
        <v>324</v>
      </c>
      <c r="AP177" s="105" t="s">
        <v>328</v>
      </c>
      <c r="AR177" s="104" t="s">
        <v>785</v>
      </c>
      <c r="AS177" s="197">
        <v>0</v>
      </c>
      <c r="AU177" s="288"/>
    </row>
    <row r="178" spans="1:47" s="250" customFormat="1" ht="25.5">
      <c r="A178" s="213" t="s">
        <v>966</v>
      </c>
      <c r="B178" s="213"/>
      <c r="C178" s="213" t="s">
        <v>967</v>
      </c>
      <c r="D178" s="216" t="s">
        <v>1127</v>
      </c>
      <c r="E178" s="213" t="s">
        <v>799</v>
      </c>
      <c r="F178" s="214">
        <v>1</v>
      </c>
      <c r="G178" s="214"/>
      <c r="H178" s="214">
        <f>F178*AD178</f>
        <v>0</v>
      </c>
      <c r="I178" s="214">
        <f>J178-H178</f>
        <v>0</v>
      </c>
      <c r="J178" s="214">
        <f>F178*G178</f>
        <v>0</v>
      </c>
      <c r="K178" s="215">
        <v>0</v>
      </c>
      <c r="L178" s="214">
        <f>F178*K178</f>
        <v>0</v>
      </c>
      <c r="M178" s="249" t="s">
        <v>6</v>
      </c>
      <c r="N178" s="248">
        <f>IF(M178="5",I178,0)</f>
        <v>0</v>
      </c>
      <c r="Y178" s="248">
        <f>IF(AC178=0,J178,0)</f>
        <v>0</v>
      </c>
      <c r="Z178" s="248">
        <f>IF(AC178=15,J178,0)</f>
        <v>0</v>
      </c>
      <c r="AA178" s="248">
        <f>IF(AC178=21,J178,0)</f>
        <v>0</v>
      </c>
      <c r="AC178" s="248">
        <v>15</v>
      </c>
      <c r="AD178" s="248">
        <f t="shared" ref="AD178" si="122">G178*0.81143570536829</f>
        <v>0</v>
      </c>
      <c r="AE178" s="248">
        <f t="shared" ref="AE178" si="123">G178*(1-0.81143570536829)</f>
        <v>0</v>
      </c>
      <c r="AL178" s="248">
        <f>F178*AD178</f>
        <v>0</v>
      </c>
      <c r="AM178" s="248">
        <f>F178*AE178</f>
        <v>0</v>
      </c>
      <c r="AN178" s="249" t="s">
        <v>309</v>
      </c>
      <c r="AO178" s="249" t="s">
        <v>324</v>
      </c>
      <c r="AP178" s="251" t="s">
        <v>328</v>
      </c>
      <c r="AR178" s="250" t="s">
        <v>785</v>
      </c>
      <c r="AS178" s="252">
        <v>0</v>
      </c>
      <c r="AU178" s="298"/>
    </row>
    <row r="179" spans="1:47">
      <c r="A179" s="6"/>
      <c r="B179" s="12"/>
      <c r="C179" s="12" t="s">
        <v>144</v>
      </c>
      <c r="D179" s="100" t="s">
        <v>225</v>
      </c>
      <c r="E179" s="101"/>
      <c r="F179" s="101"/>
      <c r="G179" s="101"/>
      <c r="H179" s="27">
        <f>SUM(H180:H196)</f>
        <v>0</v>
      </c>
      <c r="I179" s="27">
        <f>SUM(I180:I196)</f>
        <v>0</v>
      </c>
      <c r="J179" s="27">
        <f>H179+I179</f>
        <v>0</v>
      </c>
      <c r="K179" s="167"/>
      <c r="L179" s="27">
        <f>SUM(L180:L195)</f>
        <v>1.0580624999999999</v>
      </c>
      <c r="O179" s="27">
        <f>IF(P179="PR",J179,SUM(N180:N196))</f>
        <v>0</v>
      </c>
      <c r="P179" s="19" t="s">
        <v>294</v>
      </c>
      <c r="Q179" s="27">
        <f>IF(P179="HS",H179,0)</f>
        <v>0</v>
      </c>
      <c r="R179" s="27">
        <f>IF(P179="HS",I179-O179,0)</f>
        <v>0</v>
      </c>
      <c r="S179" s="27">
        <f>IF(P179="PS",H179,0)</f>
        <v>0</v>
      </c>
      <c r="T179" s="27">
        <f>IF(P179="PS",I179-O179,0)</f>
        <v>0</v>
      </c>
      <c r="U179" s="27">
        <f>IF(P179="MP",H179,0)</f>
        <v>0</v>
      </c>
      <c r="V179" s="27">
        <f>IF(P179="MP",I179-O179,0)</f>
        <v>0</v>
      </c>
      <c r="W179" s="27">
        <f>IF(P179="OM",H179,0)</f>
        <v>0</v>
      </c>
      <c r="X179" s="19"/>
      <c r="Y179" s="110"/>
      <c r="Z179" s="110"/>
      <c r="AA179" s="110"/>
      <c r="AD179" s="113"/>
      <c r="AE179" s="113"/>
      <c r="AH179" s="27">
        <f>SUM(Y180:Y196)</f>
        <v>0</v>
      </c>
      <c r="AI179" s="27">
        <f>SUM(Z180:Z196)</f>
        <v>0</v>
      </c>
      <c r="AJ179" s="27">
        <f>SUM(AA180:AA196)</f>
        <v>0</v>
      </c>
      <c r="AS179" s="199"/>
    </row>
    <row r="180" spans="1:47" s="104" customFormat="1">
      <c r="A180" s="4" t="s">
        <v>701</v>
      </c>
      <c r="B180" s="4"/>
      <c r="C180" s="4" t="s">
        <v>145</v>
      </c>
      <c r="D180" s="4" t="s">
        <v>226</v>
      </c>
      <c r="E180" s="4" t="s">
        <v>272</v>
      </c>
      <c r="F180" s="14">
        <f>Výměry!P24*5</f>
        <v>35.625</v>
      </c>
      <c r="G180" s="179"/>
      <c r="H180" s="14">
        <f t="shared" ref="H180:H196" si="124">F180*AD180</f>
        <v>0</v>
      </c>
      <c r="I180" s="14">
        <f t="shared" ref="I180:I190" si="125">J180-H180</f>
        <v>0</v>
      </c>
      <c r="J180" s="14">
        <f t="shared" ref="J180:J196" si="126">F180*G180</f>
        <v>0</v>
      </c>
      <c r="K180" s="164">
        <v>3.8999999999999998E-3</v>
      </c>
      <c r="L180" s="14">
        <f t="shared" ref="L180:L195" si="127">F180*K180</f>
        <v>0.13893749999999999</v>
      </c>
      <c r="M180" s="20" t="s">
        <v>6</v>
      </c>
      <c r="N180" s="14">
        <f t="shared" ref="N180:N195" si="128">IF(M180="5",I180,0)</f>
        <v>0</v>
      </c>
      <c r="Y180" s="110">
        <f t="shared" ref="Y180:Y196" si="129">IF(AC180=0,J180,0)</f>
        <v>0</v>
      </c>
      <c r="Z180" s="110">
        <f t="shared" ref="Z180:Z196" si="130">IF(AC180=15,J180,0)</f>
        <v>0</v>
      </c>
      <c r="AA180" s="110">
        <f t="shared" ref="AA180:AA196" si="131">IF(AC180=21,J180,0)</f>
        <v>0</v>
      </c>
      <c r="AC180" s="24">
        <v>15</v>
      </c>
      <c r="AD180" s="113">
        <f t="shared" si="106"/>
        <v>0</v>
      </c>
      <c r="AE180" s="113">
        <f t="shared" si="107"/>
        <v>0</v>
      </c>
      <c r="AL180" s="24">
        <f t="shared" ref="AL180:AL196" si="132">F180*AD180</f>
        <v>0</v>
      </c>
      <c r="AM180" s="24">
        <f t="shared" ref="AM180:AM196" si="133">F180*AE180</f>
        <v>0</v>
      </c>
      <c r="AN180" s="25" t="s">
        <v>310</v>
      </c>
      <c r="AO180" s="25" t="s">
        <v>325</v>
      </c>
      <c r="AP180" s="105" t="s">
        <v>328</v>
      </c>
      <c r="AR180" s="104" t="s">
        <v>785</v>
      </c>
      <c r="AS180" s="197">
        <v>3.8999999999999998E-3</v>
      </c>
      <c r="AU180" s="288"/>
    </row>
    <row r="181" spans="1:47" s="104" customFormat="1">
      <c r="A181" s="4" t="s">
        <v>702</v>
      </c>
      <c r="B181" s="4"/>
      <c r="C181" s="4" t="s">
        <v>146</v>
      </c>
      <c r="D181" s="4" t="s">
        <v>227</v>
      </c>
      <c r="E181" s="4" t="s">
        <v>272</v>
      </c>
      <c r="F181" s="14">
        <f>F180</f>
        <v>35.625</v>
      </c>
      <c r="G181" s="179"/>
      <c r="H181" s="14">
        <f t="shared" si="124"/>
        <v>0</v>
      </c>
      <c r="I181" s="14">
        <f t="shared" si="125"/>
        <v>0</v>
      </c>
      <c r="J181" s="14">
        <f t="shared" si="126"/>
        <v>0</v>
      </c>
      <c r="K181" s="164">
        <v>1.1999999999999999E-3</v>
      </c>
      <c r="L181" s="14">
        <f t="shared" si="127"/>
        <v>4.2749999999999996E-2</v>
      </c>
      <c r="M181" s="20" t="s">
        <v>6</v>
      </c>
      <c r="N181" s="14">
        <f t="shared" si="128"/>
        <v>0</v>
      </c>
      <c r="Y181" s="110">
        <f t="shared" si="129"/>
        <v>0</v>
      </c>
      <c r="Z181" s="110">
        <f t="shared" si="130"/>
        <v>0</v>
      </c>
      <c r="AA181" s="110">
        <f t="shared" si="131"/>
        <v>0</v>
      </c>
      <c r="AC181" s="24">
        <v>15</v>
      </c>
      <c r="AD181" s="113">
        <f t="shared" si="106"/>
        <v>0</v>
      </c>
      <c r="AE181" s="113">
        <f t="shared" si="107"/>
        <v>0</v>
      </c>
      <c r="AL181" s="24">
        <f t="shared" si="132"/>
        <v>0</v>
      </c>
      <c r="AM181" s="24">
        <f t="shared" si="133"/>
        <v>0</v>
      </c>
      <c r="AN181" s="25" t="s">
        <v>310</v>
      </c>
      <c r="AO181" s="25" t="s">
        <v>325</v>
      </c>
      <c r="AP181" s="105" t="s">
        <v>328</v>
      </c>
      <c r="AR181" s="104" t="s">
        <v>785</v>
      </c>
      <c r="AS181" s="197">
        <v>1.1999999999999999E-3</v>
      </c>
      <c r="AU181" s="288"/>
    </row>
    <row r="182" spans="1:47" s="104" customFormat="1">
      <c r="A182" s="4" t="s">
        <v>703</v>
      </c>
      <c r="B182" s="4"/>
      <c r="C182" s="4" t="s">
        <v>147</v>
      </c>
      <c r="D182" s="4" t="s">
        <v>228</v>
      </c>
      <c r="E182" s="4" t="s">
        <v>272</v>
      </c>
      <c r="F182" s="14">
        <f>F180</f>
        <v>35.625</v>
      </c>
      <c r="G182" s="179"/>
      <c r="H182" s="14">
        <f t="shared" si="124"/>
        <v>0</v>
      </c>
      <c r="I182" s="14">
        <f t="shared" si="125"/>
        <v>0</v>
      </c>
      <c r="J182" s="14">
        <f t="shared" si="126"/>
        <v>0</v>
      </c>
      <c r="K182" s="164">
        <v>0</v>
      </c>
      <c r="L182" s="14">
        <f t="shared" si="127"/>
        <v>0</v>
      </c>
      <c r="M182" s="20" t="s">
        <v>6</v>
      </c>
      <c r="N182" s="14">
        <f t="shared" si="128"/>
        <v>0</v>
      </c>
      <c r="Y182" s="110">
        <f t="shared" si="129"/>
        <v>0</v>
      </c>
      <c r="Z182" s="110">
        <f t="shared" si="130"/>
        <v>0</v>
      </c>
      <c r="AA182" s="110">
        <f t="shared" si="131"/>
        <v>0</v>
      </c>
      <c r="AC182" s="24">
        <v>15</v>
      </c>
      <c r="AD182" s="113">
        <f t="shared" si="106"/>
        <v>0</v>
      </c>
      <c r="AE182" s="113">
        <f t="shared" si="107"/>
        <v>0</v>
      </c>
      <c r="AL182" s="24">
        <f t="shared" si="132"/>
        <v>0</v>
      </c>
      <c r="AM182" s="24">
        <f t="shared" si="133"/>
        <v>0</v>
      </c>
      <c r="AN182" s="25" t="s">
        <v>310</v>
      </c>
      <c r="AO182" s="25" t="s">
        <v>325</v>
      </c>
      <c r="AP182" s="105" t="s">
        <v>328</v>
      </c>
      <c r="AR182" s="104" t="s">
        <v>785</v>
      </c>
      <c r="AS182" s="197">
        <v>0</v>
      </c>
      <c r="AU182" s="288"/>
    </row>
    <row r="183" spans="1:47" s="138" customFormat="1" hidden="1">
      <c r="A183" s="4" t="s">
        <v>704</v>
      </c>
      <c r="B183" s="60"/>
      <c r="C183" s="60" t="s">
        <v>596</v>
      </c>
      <c r="D183" s="60" t="s">
        <v>597</v>
      </c>
      <c r="E183" s="60" t="s">
        <v>274</v>
      </c>
      <c r="F183" s="61">
        <f>F186*0</f>
        <v>0</v>
      </c>
      <c r="G183" s="179"/>
      <c r="H183" s="61">
        <f t="shared" si="124"/>
        <v>0</v>
      </c>
      <c r="I183" s="61">
        <f t="shared" si="125"/>
        <v>0</v>
      </c>
      <c r="J183" s="14">
        <f t="shared" si="126"/>
        <v>0</v>
      </c>
      <c r="K183" s="168">
        <v>2.1000000000000001E-4</v>
      </c>
      <c r="L183" s="61">
        <f t="shared" si="127"/>
        <v>0</v>
      </c>
      <c r="M183" s="62" t="s">
        <v>6</v>
      </c>
      <c r="N183" s="61">
        <f t="shared" si="128"/>
        <v>0</v>
      </c>
      <c r="Y183" s="110">
        <f t="shared" si="129"/>
        <v>0</v>
      </c>
      <c r="Z183" s="110">
        <f t="shared" si="130"/>
        <v>0</v>
      </c>
      <c r="AA183" s="110">
        <f t="shared" si="131"/>
        <v>0</v>
      </c>
      <c r="AC183" s="64">
        <v>15</v>
      </c>
      <c r="AD183" s="113">
        <f t="shared" si="106"/>
        <v>0</v>
      </c>
      <c r="AE183" s="113">
        <f t="shared" si="107"/>
        <v>0</v>
      </c>
      <c r="AL183" s="64">
        <f t="shared" si="132"/>
        <v>0</v>
      </c>
      <c r="AM183" s="64">
        <f t="shared" si="133"/>
        <v>0</v>
      </c>
      <c r="AN183" s="65" t="s">
        <v>310</v>
      </c>
      <c r="AO183" s="65" t="s">
        <v>325</v>
      </c>
      <c r="AP183" s="139" t="s">
        <v>328</v>
      </c>
      <c r="AR183" s="104" t="s">
        <v>785</v>
      </c>
      <c r="AS183" s="197">
        <v>2.1000000000000001E-4</v>
      </c>
      <c r="AU183" s="289"/>
    </row>
    <row r="184" spans="1:47" s="112" customFormat="1" hidden="1">
      <c r="A184" s="4" t="s">
        <v>705</v>
      </c>
      <c r="B184" s="109"/>
      <c r="C184" s="109" t="s">
        <v>650</v>
      </c>
      <c r="D184" s="109" t="s">
        <v>651</v>
      </c>
      <c r="E184" s="109" t="s">
        <v>272</v>
      </c>
      <c r="F184" s="110">
        <v>0</v>
      </c>
      <c r="G184" s="179"/>
      <c r="H184" s="110">
        <f t="shared" si="124"/>
        <v>0</v>
      </c>
      <c r="I184" s="110">
        <f>J184-H184</f>
        <v>0</v>
      </c>
      <c r="J184" s="14">
        <f t="shared" si="126"/>
        <v>0</v>
      </c>
      <c r="K184" s="163">
        <v>0</v>
      </c>
      <c r="L184" s="110">
        <f t="shared" si="127"/>
        <v>0</v>
      </c>
      <c r="M184" s="111" t="s">
        <v>6</v>
      </c>
      <c r="N184" s="110">
        <f t="shared" si="128"/>
        <v>0</v>
      </c>
      <c r="Y184" s="110">
        <f t="shared" si="129"/>
        <v>0</v>
      </c>
      <c r="Z184" s="110">
        <f t="shared" si="130"/>
        <v>0</v>
      </c>
      <c r="AA184" s="110">
        <f t="shared" si="131"/>
        <v>0</v>
      </c>
      <c r="AC184" s="113">
        <v>15</v>
      </c>
      <c r="AD184" s="113">
        <f t="shared" si="106"/>
        <v>0</v>
      </c>
      <c r="AE184" s="113">
        <f t="shared" si="107"/>
        <v>0</v>
      </c>
      <c r="AL184" s="113">
        <f t="shared" si="132"/>
        <v>0</v>
      </c>
      <c r="AM184" s="113">
        <f t="shared" si="133"/>
        <v>0</v>
      </c>
      <c r="AN184" s="114" t="s">
        <v>310</v>
      </c>
      <c r="AO184" s="114" t="s">
        <v>325</v>
      </c>
      <c r="AP184" s="115" t="s">
        <v>328</v>
      </c>
      <c r="AR184" s="104" t="s">
        <v>785</v>
      </c>
      <c r="AS184" s="197">
        <v>0</v>
      </c>
      <c r="AU184" s="287"/>
    </row>
    <row r="185" spans="1:47">
      <c r="A185" s="4" t="s">
        <v>706</v>
      </c>
      <c r="B185" s="5"/>
      <c r="C185" s="5" t="s">
        <v>449</v>
      </c>
      <c r="D185" s="5" t="s">
        <v>801</v>
      </c>
      <c r="E185" s="5" t="s">
        <v>272</v>
      </c>
      <c r="F185" s="15">
        <f>F180*1.3</f>
        <v>46.3125</v>
      </c>
      <c r="G185" s="179"/>
      <c r="H185" s="15">
        <f t="shared" si="124"/>
        <v>0</v>
      </c>
      <c r="I185" s="15">
        <f t="shared" si="125"/>
        <v>0</v>
      </c>
      <c r="J185" s="14">
        <f t="shared" si="126"/>
        <v>0</v>
      </c>
      <c r="K185" s="165">
        <v>1.7999999999999999E-2</v>
      </c>
      <c r="L185" s="15">
        <f t="shared" si="127"/>
        <v>0.83362499999999995</v>
      </c>
      <c r="M185" s="21" t="s">
        <v>290</v>
      </c>
      <c r="N185" s="15">
        <f t="shared" si="128"/>
        <v>0</v>
      </c>
      <c r="Y185" s="110">
        <f t="shared" si="129"/>
        <v>0</v>
      </c>
      <c r="Z185" s="110">
        <f t="shared" si="130"/>
        <v>0</v>
      </c>
      <c r="AA185" s="110">
        <f t="shared" si="131"/>
        <v>0</v>
      </c>
      <c r="AC185" s="24">
        <v>15</v>
      </c>
      <c r="AD185" s="113">
        <f t="shared" si="106"/>
        <v>0</v>
      </c>
      <c r="AE185" s="113">
        <f t="shared" si="107"/>
        <v>0</v>
      </c>
      <c r="AL185" s="24">
        <f t="shared" si="132"/>
        <v>0</v>
      </c>
      <c r="AM185" s="24">
        <f t="shared" si="133"/>
        <v>0</v>
      </c>
      <c r="AN185" s="25" t="s">
        <v>310</v>
      </c>
      <c r="AO185" s="25" t="s">
        <v>325</v>
      </c>
      <c r="AP185" s="19" t="s">
        <v>328</v>
      </c>
      <c r="AR185" s="104" t="s">
        <v>785</v>
      </c>
      <c r="AS185" s="198">
        <v>1.7999999999999999E-2</v>
      </c>
    </row>
    <row r="186" spans="1:47" s="138" customFormat="1" hidden="1">
      <c r="A186" s="4" t="s">
        <v>707</v>
      </c>
      <c r="B186" s="96"/>
      <c r="C186" s="96" t="s">
        <v>598</v>
      </c>
      <c r="D186" s="96" t="s">
        <v>599</v>
      </c>
      <c r="E186" s="96" t="s">
        <v>274</v>
      </c>
      <c r="F186" s="97">
        <f>((1.63+1.65)*2)*1.15*0</f>
        <v>0</v>
      </c>
      <c r="G186" s="179"/>
      <c r="H186" s="97">
        <f t="shared" si="124"/>
        <v>0</v>
      </c>
      <c r="I186" s="97">
        <f t="shared" si="125"/>
        <v>0</v>
      </c>
      <c r="J186" s="14">
        <f t="shared" si="126"/>
        <v>0</v>
      </c>
      <c r="K186" s="174">
        <v>2.0000000000000002E-5</v>
      </c>
      <c r="L186" s="97">
        <f t="shared" si="127"/>
        <v>0</v>
      </c>
      <c r="M186" s="98" t="s">
        <v>290</v>
      </c>
      <c r="N186" s="97">
        <f t="shared" si="128"/>
        <v>0</v>
      </c>
      <c r="Y186" s="110">
        <f t="shared" si="129"/>
        <v>0</v>
      </c>
      <c r="Z186" s="110">
        <f t="shared" si="130"/>
        <v>0</v>
      </c>
      <c r="AA186" s="110">
        <f t="shared" si="131"/>
        <v>0</v>
      </c>
      <c r="AC186" s="64">
        <v>15</v>
      </c>
      <c r="AD186" s="113">
        <f t="shared" si="106"/>
        <v>0</v>
      </c>
      <c r="AE186" s="113">
        <f t="shared" si="107"/>
        <v>0</v>
      </c>
      <c r="AL186" s="64">
        <f t="shared" si="132"/>
        <v>0</v>
      </c>
      <c r="AM186" s="64">
        <f t="shared" si="133"/>
        <v>0</v>
      </c>
      <c r="AN186" s="65" t="s">
        <v>310</v>
      </c>
      <c r="AO186" s="65" t="s">
        <v>325</v>
      </c>
      <c r="AP186" s="139" t="s">
        <v>328</v>
      </c>
      <c r="AR186" s="104" t="s">
        <v>785</v>
      </c>
      <c r="AS186" s="198">
        <v>2.0000000000000002E-5</v>
      </c>
      <c r="AU186" s="289"/>
    </row>
    <row r="187" spans="1:47" s="138" customFormat="1" hidden="1">
      <c r="A187" s="4" t="s">
        <v>708</v>
      </c>
      <c r="B187" s="60"/>
      <c r="C187" s="60" t="s">
        <v>600</v>
      </c>
      <c r="D187" s="60" t="s">
        <v>601</v>
      </c>
      <c r="E187" s="60" t="s">
        <v>272</v>
      </c>
      <c r="F187" s="61">
        <f>Výměry!P24*0</f>
        <v>0</v>
      </c>
      <c r="G187" s="179"/>
      <c r="H187" s="61">
        <f t="shared" si="124"/>
        <v>0</v>
      </c>
      <c r="I187" s="61">
        <f t="shared" si="125"/>
        <v>0</v>
      </c>
      <c r="J187" s="14">
        <f t="shared" si="126"/>
        <v>0</v>
      </c>
      <c r="K187" s="168">
        <v>3.6800000000000001E-3</v>
      </c>
      <c r="L187" s="61">
        <f t="shared" si="127"/>
        <v>0</v>
      </c>
      <c r="M187" s="62" t="s">
        <v>6</v>
      </c>
      <c r="N187" s="61">
        <f t="shared" si="128"/>
        <v>0</v>
      </c>
      <c r="Y187" s="110">
        <f t="shared" si="129"/>
        <v>0</v>
      </c>
      <c r="Z187" s="110">
        <f t="shared" si="130"/>
        <v>0</v>
      </c>
      <c r="AA187" s="110">
        <f t="shared" si="131"/>
        <v>0</v>
      </c>
      <c r="AC187" s="64">
        <v>15</v>
      </c>
      <c r="AD187" s="113">
        <f t="shared" si="106"/>
        <v>0</v>
      </c>
      <c r="AE187" s="113">
        <f t="shared" si="107"/>
        <v>0</v>
      </c>
      <c r="AL187" s="64">
        <f t="shared" si="132"/>
        <v>0</v>
      </c>
      <c r="AM187" s="64">
        <f t="shared" si="133"/>
        <v>0</v>
      </c>
      <c r="AN187" s="65" t="s">
        <v>310</v>
      </c>
      <c r="AO187" s="65" t="s">
        <v>325</v>
      </c>
      <c r="AP187" s="139" t="s">
        <v>328</v>
      </c>
      <c r="AR187" s="104" t="s">
        <v>785</v>
      </c>
      <c r="AS187" s="197">
        <v>3.6800000000000001E-3</v>
      </c>
      <c r="AU187" s="289"/>
    </row>
    <row r="188" spans="1:47" s="104" customFormat="1" hidden="1">
      <c r="A188" s="4" t="s">
        <v>709</v>
      </c>
      <c r="B188" s="4"/>
      <c r="C188" s="4" t="s">
        <v>148</v>
      </c>
      <c r="D188" s="4" t="s">
        <v>798</v>
      </c>
      <c r="E188" s="4" t="s">
        <v>274</v>
      </c>
      <c r="F188" s="14">
        <f>F183</f>
        <v>0</v>
      </c>
      <c r="G188" s="179"/>
      <c r="H188" s="14">
        <f t="shared" si="124"/>
        <v>0</v>
      </c>
      <c r="I188" s="14">
        <f t="shared" si="125"/>
        <v>0</v>
      </c>
      <c r="J188" s="14">
        <f t="shared" si="126"/>
        <v>0</v>
      </c>
      <c r="K188" s="164">
        <v>4.0000000000000003E-5</v>
      </c>
      <c r="L188" s="14">
        <f t="shared" si="127"/>
        <v>0</v>
      </c>
      <c r="M188" s="20" t="s">
        <v>6</v>
      </c>
      <c r="N188" s="14">
        <f t="shared" si="128"/>
        <v>0</v>
      </c>
      <c r="Y188" s="110">
        <f t="shared" si="129"/>
        <v>0</v>
      </c>
      <c r="Z188" s="110">
        <f t="shared" si="130"/>
        <v>0</v>
      </c>
      <c r="AA188" s="110">
        <f t="shared" si="131"/>
        <v>0</v>
      </c>
      <c r="AC188" s="24">
        <v>15</v>
      </c>
      <c r="AD188" s="113">
        <f t="shared" si="106"/>
        <v>0</v>
      </c>
      <c r="AE188" s="113">
        <f t="shared" si="107"/>
        <v>0</v>
      </c>
      <c r="AL188" s="24">
        <f t="shared" si="132"/>
        <v>0</v>
      </c>
      <c r="AM188" s="24">
        <f t="shared" si="133"/>
        <v>0</v>
      </c>
      <c r="AN188" s="25" t="s">
        <v>310</v>
      </c>
      <c r="AO188" s="25" t="s">
        <v>325</v>
      </c>
      <c r="AP188" s="105" t="s">
        <v>328</v>
      </c>
      <c r="AR188" s="104" t="s">
        <v>785</v>
      </c>
      <c r="AS188" s="197">
        <v>4.0000000000000003E-5</v>
      </c>
      <c r="AU188" s="288"/>
    </row>
    <row r="189" spans="1:47" s="104" customFormat="1">
      <c r="A189" s="4" t="s">
        <v>710</v>
      </c>
      <c r="B189" s="4"/>
      <c r="C189" s="4" t="s">
        <v>450</v>
      </c>
      <c r="D189" s="4" t="s">
        <v>451</v>
      </c>
      <c r="E189" s="4" t="s">
        <v>272</v>
      </c>
      <c r="F189" s="14">
        <f>F180</f>
        <v>35.625</v>
      </c>
      <c r="G189" s="179"/>
      <c r="H189" s="14">
        <f t="shared" si="124"/>
        <v>0</v>
      </c>
      <c r="I189" s="14">
        <f t="shared" si="125"/>
        <v>0</v>
      </c>
      <c r="J189" s="14">
        <f t="shared" si="126"/>
        <v>0</v>
      </c>
      <c r="K189" s="164">
        <v>0</v>
      </c>
      <c r="L189" s="14">
        <f t="shared" si="127"/>
        <v>0</v>
      </c>
      <c r="M189" s="20" t="s">
        <v>6</v>
      </c>
      <c r="N189" s="14">
        <f t="shared" si="128"/>
        <v>0</v>
      </c>
      <c r="Y189" s="110">
        <f t="shared" si="129"/>
        <v>0</v>
      </c>
      <c r="Z189" s="110">
        <f t="shared" si="130"/>
        <v>0</v>
      </c>
      <c r="AA189" s="110">
        <f t="shared" si="131"/>
        <v>0</v>
      </c>
      <c r="AC189" s="24">
        <v>15</v>
      </c>
      <c r="AD189" s="113">
        <f t="shared" si="106"/>
        <v>0</v>
      </c>
      <c r="AE189" s="113">
        <f t="shared" si="107"/>
        <v>0</v>
      </c>
      <c r="AL189" s="24">
        <f t="shared" si="132"/>
        <v>0</v>
      </c>
      <c r="AM189" s="24">
        <f t="shared" si="133"/>
        <v>0</v>
      </c>
      <c r="AN189" s="25" t="s">
        <v>310</v>
      </c>
      <c r="AO189" s="25" t="s">
        <v>325</v>
      </c>
      <c r="AP189" s="105" t="s">
        <v>328</v>
      </c>
      <c r="AR189" s="104" t="s">
        <v>785</v>
      </c>
      <c r="AS189" s="197">
        <v>0</v>
      </c>
      <c r="AU189" s="288"/>
    </row>
    <row r="190" spans="1:47" s="104" customFormat="1">
      <c r="A190" s="4" t="s">
        <v>711</v>
      </c>
      <c r="B190" s="4"/>
      <c r="C190" s="4" t="s">
        <v>452</v>
      </c>
      <c r="D190" s="4" t="s">
        <v>895</v>
      </c>
      <c r="E190" s="4" t="s">
        <v>272</v>
      </c>
      <c r="F190" s="14">
        <f>F180</f>
        <v>35.625</v>
      </c>
      <c r="G190" s="179"/>
      <c r="H190" s="14">
        <f t="shared" si="124"/>
        <v>0</v>
      </c>
      <c r="I190" s="14">
        <f t="shared" si="125"/>
        <v>0</v>
      </c>
      <c r="J190" s="14">
        <f t="shared" si="126"/>
        <v>0</v>
      </c>
      <c r="K190" s="164">
        <v>0</v>
      </c>
      <c r="L190" s="14">
        <f t="shared" si="127"/>
        <v>0</v>
      </c>
      <c r="M190" s="20" t="s">
        <v>6</v>
      </c>
      <c r="N190" s="14">
        <f t="shared" si="128"/>
        <v>0</v>
      </c>
      <c r="Y190" s="110">
        <f t="shared" si="129"/>
        <v>0</v>
      </c>
      <c r="Z190" s="110">
        <f t="shared" si="130"/>
        <v>0</v>
      </c>
      <c r="AA190" s="110">
        <f t="shared" si="131"/>
        <v>0</v>
      </c>
      <c r="AC190" s="24">
        <v>15</v>
      </c>
      <c r="AD190" s="113">
        <f t="shared" si="106"/>
        <v>0</v>
      </c>
      <c r="AE190" s="113">
        <f t="shared" si="107"/>
        <v>0</v>
      </c>
      <c r="AL190" s="24">
        <f t="shared" si="132"/>
        <v>0</v>
      </c>
      <c r="AM190" s="24">
        <f t="shared" si="133"/>
        <v>0</v>
      </c>
      <c r="AN190" s="25" t="s">
        <v>310</v>
      </c>
      <c r="AO190" s="25" t="s">
        <v>325</v>
      </c>
      <c r="AP190" s="105" t="s">
        <v>328</v>
      </c>
      <c r="AR190" s="104" t="s">
        <v>785</v>
      </c>
      <c r="AS190" s="197">
        <v>0</v>
      </c>
      <c r="AU190" s="288"/>
    </row>
    <row r="191" spans="1:47" hidden="1">
      <c r="A191" s="4" t="s">
        <v>712</v>
      </c>
      <c r="B191" s="4"/>
      <c r="C191" s="4" t="s">
        <v>866</v>
      </c>
      <c r="D191" s="4" t="s">
        <v>896</v>
      </c>
      <c r="E191" s="4" t="s">
        <v>272</v>
      </c>
      <c r="F191" s="14">
        <v>0</v>
      </c>
      <c r="G191" s="179"/>
      <c r="H191" s="14">
        <f t="shared" si="124"/>
        <v>0</v>
      </c>
      <c r="I191" s="14">
        <f t="shared" ref="I191:I196" si="134">J191-H191</f>
        <v>0</v>
      </c>
      <c r="J191" s="14">
        <f t="shared" si="126"/>
        <v>0</v>
      </c>
      <c r="K191" s="164">
        <v>0</v>
      </c>
      <c r="L191" s="14">
        <f t="shared" si="127"/>
        <v>0</v>
      </c>
      <c r="M191" s="20" t="s">
        <v>6</v>
      </c>
      <c r="N191" s="14">
        <f t="shared" si="128"/>
        <v>0</v>
      </c>
      <c r="Y191" s="110">
        <f t="shared" si="129"/>
        <v>0</v>
      </c>
      <c r="Z191" s="110">
        <f t="shared" si="130"/>
        <v>0</v>
      </c>
      <c r="AA191" s="110">
        <f t="shared" si="131"/>
        <v>0</v>
      </c>
      <c r="AC191" s="24">
        <v>15</v>
      </c>
      <c r="AD191" s="113">
        <f t="shared" si="106"/>
        <v>0</v>
      </c>
      <c r="AE191" s="113">
        <f t="shared" si="107"/>
        <v>0</v>
      </c>
      <c r="AL191" s="24">
        <f t="shared" si="132"/>
        <v>0</v>
      </c>
      <c r="AM191" s="24">
        <f t="shared" si="133"/>
        <v>0</v>
      </c>
      <c r="AN191" s="25" t="s">
        <v>310</v>
      </c>
      <c r="AO191" s="25" t="s">
        <v>325</v>
      </c>
      <c r="AP191" s="19" t="s">
        <v>328</v>
      </c>
      <c r="AS191" s="197">
        <v>0</v>
      </c>
    </row>
    <row r="192" spans="1:47">
      <c r="A192" s="4" t="s">
        <v>713</v>
      </c>
      <c r="B192" s="4"/>
      <c r="C192" s="4" t="s">
        <v>867</v>
      </c>
      <c r="D192" s="4" t="s">
        <v>242</v>
      </c>
      <c r="E192" s="4" t="s">
        <v>272</v>
      </c>
      <c r="F192" s="14">
        <f>F180</f>
        <v>35.625</v>
      </c>
      <c r="G192" s="179"/>
      <c r="H192" s="14">
        <f t="shared" si="124"/>
        <v>0</v>
      </c>
      <c r="I192" s="14">
        <f t="shared" si="134"/>
        <v>0</v>
      </c>
      <c r="J192" s="14">
        <f t="shared" si="126"/>
        <v>0</v>
      </c>
      <c r="K192" s="164">
        <v>1.1999999999999999E-3</v>
      </c>
      <c r="L192" s="14">
        <f t="shared" si="127"/>
        <v>4.2749999999999996E-2</v>
      </c>
      <c r="M192" s="20" t="s">
        <v>6</v>
      </c>
      <c r="N192" s="14">
        <f t="shared" si="128"/>
        <v>0</v>
      </c>
      <c r="Y192" s="110">
        <f t="shared" si="129"/>
        <v>0</v>
      </c>
      <c r="Z192" s="110">
        <f t="shared" si="130"/>
        <v>0</v>
      </c>
      <c r="AA192" s="110">
        <f t="shared" si="131"/>
        <v>0</v>
      </c>
      <c r="AC192" s="24">
        <v>15</v>
      </c>
      <c r="AD192" s="113">
        <f t="shared" si="106"/>
        <v>0</v>
      </c>
      <c r="AE192" s="113">
        <f t="shared" si="107"/>
        <v>0</v>
      </c>
      <c r="AL192" s="24">
        <f t="shared" si="132"/>
        <v>0</v>
      </c>
      <c r="AM192" s="24">
        <f t="shared" si="133"/>
        <v>0</v>
      </c>
      <c r="AN192" s="25" t="s">
        <v>310</v>
      </c>
      <c r="AO192" s="25" t="s">
        <v>325</v>
      </c>
      <c r="AP192" s="19" t="s">
        <v>328</v>
      </c>
      <c r="AS192" s="197">
        <v>1.1999999999999999E-3</v>
      </c>
    </row>
    <row r="193" spans="1:47" hidden="1">
      <c r="A193" s="4" t="s">
        <v>714</v>
      </c>
      <c r="B193" s="4"/>
      <c r="C193" s="4" t="s">
        <v>868</v>
      </c>
      <c r="D193" s="4" t="s">
        <v>869</v>
      </c>
      <c r="E193" s="4" t="s">
        <v>272</v>
      </c>
      <c r="F193" s="14">
        <v>0</v>
      </c>
      <c r="G193" s="179"/>
      <c r="H193" s="14">
        <f t="shared" si="124"/>
        <v>0</v>
      </c>
      <c r="I193" s="14">
        <f t="shared" si="134"/>
        <v>0</v>
      </c>
      <c r="J193" s="14">
        <f t="shared" si="126"/>
        <v>0</v>
      </c>
      <c r="K193" s="164">
        <v>8.0000000000000004E-4</v>
      </c>
      <c r="L193" s="14">
        <f t="shared" si="127"/>
        <v>0</v>
      </c>
      <c r="M193" s="20" t="s">
        <v>6</v>
      </c>
      <c r="N193" s="14">
        <f t="shared" si="128"/>
        <v>0</v>
      </c>
      <c r="Y193" s="110">
        <f t="shared" si="129"/>
        <v>0</v>
      </c>
      <c r="Z193" s="110">
        <f t="shared" si="130"/>
        <v>0</v>
      </c>
      <c r="AA193" s="110">
        <f t="shared" si="131"/>
        <v>0</v>
      </c>
      <c r="AC193" s="24">
        <v>15</v>
      </c>
      <c r="AD193" s="113">
        <f t="shared" si="106"/>
        <v>0</v>
      </c>
      <c r="AE193" s="113">
        <f t="shared" si="107"/>
        <v>0</v>
      </c>
      <c r="AL193" s="24">
        <f t="shared" si="132"/>
        <v>0</v>
      </c>
      <c r="AM193" s="24">
        <f t="shared" si="133"/>
        <v>0</v>
      </c>
      <c r="AN193" s="25" t="s">
        <v>310</v>
      </c>
      <c r="AO193" s="25" t="s">
        <v>325</v>
      </c>
      <c r="AP193" s="19" t="s">
        <v>328</v>
      </c>
      <c r="AS193" s="197">
        <v>8.0000000000000004E-4</v>
      </c>
    </row>
    <row r="194" spans="1:47" ht="25.5" hidden="1">
      <c r="A194" s="4" t="s">
        <v>715</v>
      </c>
      <c r="B194" s="4"/>
      <c r="C194" s="4" t="s">
        <v>908</v>
      </c>
      <c r="D194" s="273" t="s">
        <v>1044</v>
      </c>
      <c r="E194" s="4" t="s">
        <v>272</v>
      </c>
      <c r="F194" s="14">
        <f>Výměry!P24*0</f>
        <v>0</v>
      </c>
      <c r="G194" s="179"/>
      <c r="H194" s="14">
        <f t="shared" si="124"/>
        <v>0</v>
      </c>
      <c r="I194" s="14">
        <f t="shared" si="134"/>
        <v>0</v>
      </c>
      <c r="J194" s="14">
        <f>F194*G194</f>
        <v>0</v>
      </c>
      <c r="K194" s="164">
        <v>6.2500000000000001E-4</v>
      </c>
      <c r="L194" s="14">
        <f>F194*K194</f>
        <v>0</v>
      </c>
      <c r="M194" s="20" t="s">
        <v>6</v>
      </c>
      <c r="N194" s="14">
        <f t="shared" si="128"/>
        <v>0</v>
      </c>
      <c r="Y194" s="110">
        <f t="shared" si="129"/>
        <v>0</v>
      </c>
      <c r="Z194" s="110">
        <f t="shared" si="130"/>
        <v>0</v>
      </c>
      <c r="AA194" s="110">
        <f t="shared" si="131"/>
        <v>0</v>
      </c>
      <c r="AC194" s="24">
        <v>15</v>
      </c>
      <c r="AD194" s="113">
        <f>G194*0.81143570536829</f>
        <v>0</v>
      </c>
      <c r="AE194" s="113">
        <f>G194*(1-0.81143570536829)</f>
        <v>0</v>
      </c>
      <c r="AL194" s="24">
        <f t="shared" si="132"/>
        <v>0</v>
      </c>
      <c r="AM194" s="24">
        <f t="shared" si="133"/>
        <v>0</v>
      </c>
      <c r="AN194" s="25" t="s">
        <v>310</v>
      </c>
      <c r="AO194" s="25" t="s">
        <v>325</v>
      </c>
      <c r="AP194" s="19" t="s">
        <v>328</v>
      </c>
      <c r="AS194" s="197">
        <v>8.0000000000000004E-4</v>
      </c>
    </row>
    <row r="195" spans="1:47" s="104" customFormat="1" hidden="1">
      <c r="A195" s="4" t="s">
        <v>716</v>
      </c>
      <c r="B195" s="4"/>
      <c r="C195" s="4" t="s">
        <v>148</v>
      </c>
      <c r="D195" s="4" t="s">
        <v>1027</v>
      </c>
      <c r="E195" s="4" t="s">
        <v>274</v>
      </c>
      <c r="F195" s="14">
        <f>F186</f>
        <v>0</v>
      </c>
      <c r="G195" s="179"/>
      <c r="H195" s="14">
        <f t="shared" si="124"/>
        <v>0</v>
      </c>
      <c r="I195" s="14">
        <f t="shared" si="134"/>
        <v>0</v>
      </c>
      <c r="J195" s="14">
        <f t="shared" si="126"/>
        <v>0</v>
      </c>
      <c r="K195" s="164">
        <v>4.0000000000000003E-5</v>
      </c>
      <c r="L195" s="14">
        <f t="shared" si="127"/>
        <v>0</v>
      </c>
      <c r="M195" s="20" t="s">
        <v>6</v>
      </c>
      <c r="N195" s="14">
        <f t="shared" si="128"/>
        <v>0</v>
      </c>
      <c r="Y195" s="110">
        <f t="shared" si="129"/>
        <v>0</v>
      </c>
      <c r="Z195" s="110">
        <f t="shared" si="130"/>
        <v>0</v>
      </c>
      <c r="AA195" s="110">
        <f t="shared" si="131"/>
        <v>0</v>
      </c>
      <c r="AC195" s="24">
        <v>15</v>
      </c>
      <c r="AD195" s="113">
        <f t="shared" si="106"/>
        <v>0</v>
      </c>
      <c r="AE195" s="113">
        <f t="shared" si="107"/>
        <v>0</v>
      </c>
      <c r="AL195" s="24">
        <f t="shared" si="132"/>
        <v>0</v>
      </c>
      <c r="AM195" s="24">
        <f t="shared" si="133"/>
        <v>0</v>
      </c>
      <c r="AN195" s="25" t="s">
        <v>310</v>
      </c>
      <c r="AO195" s="25" t="s">
        <v>325</v>
      </c>
      <c r="AP195" s="105" t="s">
        <v>328</v>
      </c>
      <c r="AR195" s="104" t="s">
        <v>785</v>
      </c>
      <c r="AS195" s="197">
        <v>4.0000000000000003E-5</v>
      </c>
      <c r="AU195" s="288"/>
    </row>
    <row r="196" spans="1:47" s="133" customFormat="1">
      <c r="A196" s="4" t="s">
        <v>717</v>
      </c>
      <c r="B196" s="109"/>
      <c r="C196" s="109" t="s">
        <v>669</v>
      </c>
      <c r="D196" s="4" t="s">
        <v>697</v>
      </c>
      <c r="E196" s="109" t="s">
        <v>484</v>
      </c>
      <c r="F196" s="14">
        <v>6.01</v>
      </c>
      <c r="G196" s="14"/>
      <c r="H196" s="110">
        <f t="shared" si="124"/>
        <v>0</v>
      </c>
      <c r="I196" s="110">
        <f t="shared" si="134"/>
        <v>0</v>
      </c>
      <c r="J196" s="14">
        <f t="shared" si="126"/>
        <v>0</v>
      </c>
      <c r="K196" s="163"/>
      <c r="L196" s="110"/>
      <c r="M196" s="111" t="s">
        <v>10</v>
      </c>
      <c r="N196" s="110">
        <f>IF(M196="5",J196,0)</f>
        <v>0</v>
      </c>
      <c r="Y196" s="110">
        <f t="shared" si="129"/>
        <v>0</v>
      </c>
      <c r="Z196" s="110">
        <f t="shared" si="130"/>
        <v>0</v>
      </c>
      <c r="AA196" s="110">
        <f t="shared" si="131"/>
        <v>0</v>
      </c>
      <c r="AC196" s="113">
        <v>15</v>
      </c>
      <c r="AD196" s="113">
        <f t="shared" si="106"/>
        <v>0</v>
      </c>
      <c r="AE196" s="113">
        <f t="shared" si="107"/>
        <v>0</v>
      </c>
      <c r="AL196" s="113">
        <f t="shared" si="132"/>
        <v>0</v>
      </c>
      <c r="AM196" s="113">
        <f t="shared" si="133"/>
        <v>0</v>
      </c>
      <c r="AN196" s="114" t="s">
        <v>670</v>
      </c>
      <c r="AO196" s="114" t="s">
        <v>327</v>
      </c>
      <c r="AP196" s="134" t="s">
        <v>328</v>
      </c>
      <c r="AR196" s="104" t="s">
        <v>785</v>
      </c>
      <c r="AS196" s="197"/>
      <c r="AU196" s="286"/>
    </row>
    <row r="197" spans="1:47" hidden="1">
      <c r="A197" s="6"/>
      <c r="B197" s="12"/>
      <c r="C197" s="12" t="s">
        <v>149</v>
      </c>
      <c r="D197" s="100" t="s">
        <v>229</v>
      </c>
      <c r="E197" s="101"/>
      <c r="F197" s="101"/>
      <c r="G197" s="101"/>
      <c r="H197" s="27">
        <f>SUM(H198:H199)</f>
        <v>0</v>
      </c>
      <c r="I197" s="27">
        <f>SUM(I198:I199)</f>
        <v>0</v>
      </c>
      <c r="J197" s="27">
        <f>H197+I197</f>
        <v>0</v>
      </c>
      <c r="K197" s="167"/>
      <c r="L197" s="27">
        <f>SUM(L198:L199)</f>
        <v>0</v>
      </c>
      <c r="O197" s="27">
        <f>IF(P197="PR",J197,SUM(N198:N199))</f>
        <v>0</v>
      </c>
      <c r="P197" s="19" t="s">
        <v>294</v>
      </c>
      <c r="Q197" s="27">
        <f>IF(P197="HS",H197,0)</f>
        <v>0</v>
      </c>
      <c r="R197" s="27">
        <f>IF(P197="HS",I197-O197,0)</f>
        <v>0</v>
      </c>
      <c r="S197" s="27">
        <f>IF(P197="PS",H197,0)</f>
        <v>0</v>
      </c>
      <c r="T197" s="27">
        <f>IF(P197="PS",I197-O197,0)</f>
        <v>0</v>
      </c>
      <c r="U197" s="27">
        <f>IF(P197="MP",H197,0)</f>
        <v>0</v>
      </c>
      <c r="V197" s="27">
        <f>IF(P197="MP",I197-O197,0)</f>
        <v>0</v>
      </c>
      <c r="W197" s="27">
        <f>IF(P197="OM",H197,0)</f>
        <v>0</v>
      </c>
      <c r="X197" s="19"/>
      <c r="Y197" s="110"/>
      <c r="Z197" s="110"/>
      <c r="AA197" s="110"/>
      <c r="AD197" s="113"/>
      <c r="AE197" s="113"/>
      <c r="AH197" s="27">
        <f>SUM(Y198:Y199)</f>
        <v>0</v>
      </c>
      <c r="AI197" s="27">
        <f>SUM(Z198:Z199)</f>
        <v>0</v>
      </c>
      <c r="AJ197" s="27">
        <f>SUM(AA198:AA199)</f>
        <v>0</v>
      </c>
      <c r="AS197" s="199"/>
    </row>
    <row r="198" spans="1:47" s="104" customFormat="1" hidden="1">
      <c r="A198" s="4" t="s">
        <v>718</v>
      </c>
      <c r="B198" s="4"/>
      <c r="C198" s="4" t="s">
        <v>151</v>
      </c>
      <c r="D198" s="4" t="s">
        <v>231</v>
      </c>
      <c r="E198" s="4" t="s">
        <v>274</v>
      </c>
      <c r="F198" s="14">
        <v>0</v>
      </c>
      <c r="G198" s="14"/>
      <c r="H198" s="14">
        <f>F198*AD198</f>
        <v>0</v>
      </c>
      <c r="I198" s="14">
        <f>J198-H198</f>
        <v>0</v>
      </c>
      <c r="J198" s="14">
        <f>F198*G198</f>
        <v>0</v>
      </c>
      <c r="K198" s="164">
        <v>1E-3</v>
      </c>
      <c r="L198" s="14">
        <f>F198*K198</f>
        <v>0</v>
      </c>
      <c r="M198" s="20" t="s">
        <v>6</v>
      </c>
      <c r="N198" s="14">
        <f>IF(M198="5",I198,0)</f>
        <v>0</v>
      </c>
      <c r="Y198" s="110">
        <f>IF(AC198=0,J198,0)</f>
        <v>0</v>
      </c>
      <c r="Z198" s="110">
        <f>IF(AC198=15,J198,0)</f>
        <v>0</v>
      </c>
      <c r="AA198" s="110">
        <f>IF(AC198=21,J198,0)</f>
        <v>0</v>
      </c>
      <c r="AC198" s="24">
        <v>15</v>
      </c>
      <c r="AD198" s="113">
        <f t="shared" si="106"/>
        <v>0</v>
      </c>
      <c r="AE198" s="113">
        <f t="shared" si="107"/>
        <v>0</v>
      </c>
      <c r="AL198" s="24">
        <f>F198*AD198</f>
        <v>0</v>
      </c>
      <c r="AM198" s="24">
        <f>F198*AE198</f>
        <v>0</v>
      </c>
      <c r="AN198" s="25" t="s">
        <v>311</v>
      </c>
      <c r="AO198" s="25" t="s">
        <v>325</v>
      </c>
      <c r="AP198" s="105" t="s">
        <v>328</v>
      </c>
      <c r="AR198" s="104" t="s">
        <v>785</v>
      </c>
      <c r="AS198" s="197">
        <v>1E-3</v>
      </c>
      <c r="AU198" s="288"/>
    </row>
    <row r="199" spans="1:47" s="104" customFormat="1" hidden="1">
      <c r="A199" s="4" t="s">
        <v>718</v>
      </c>
      <c r="B199" s="4"/>
      <c r="C199" s="4" t="s">
        <v>448</v>
      </c>
      <c r="D199" s="4" t="s">
        <v>464</v>
      </c>
      <c r="E199" s="4" t="s">
        <v>272</v>
      </c>
      <c r="F199" s="14">
        <v>0</v>
      </c>
      <c r="G199" s="14"/>
      <c r="H199" s="14">
        <f>F199*AD199</f>
        <v>0</v>
      </c>
      <c r="I199" s="14">
        <f>J199-H199</f>
        <v>0</v>
      </c>
      <c r="J199" s="14">
        <f>F199*G199</f>
        <v>0</v>
      </c>
      <c r="K199" s="190">
        <v>9.4999999999999998E-3</v>
      </c>
      <c r="L199" s="14">
        <f>F199*K199</f>
        <v>0</v>
      </c>
      <c r="M199" s="20" t="s">
        <v>6</v>
      </c>
      <c r="N199" s="14">
        <f>IF(M199="5",I199,0)</f>
        <v>0</v>
      </c>
      <c r="Y199" s="110">
        <f>IF(AC199=0,J199,0)</f>
        <v>0</v>
      </c>
      <c r="Z199" s="110">
        <f>IF(AC199=15,J199,0)</f>
        <v>0</v>
      </c>
      <c r="AA199" s="110">
        <f>IF(AC199=21,J199,0)</f>
        <v>0</v>
      </c>
      <c r="AC199" s="24">
        <v>15</v>
      </c>
      <c r="AD199" s="113">
        <f t="shared" si="106"/>
        <v>0</v>
      </c>
      <c r="AE199" s="113">
        <f t="shared" si="107"/>
        <v>0</v>
      </c>
      <c r="AL199" s="24">
        <f>F199*AD199</f>
        <v>0</v>
      </c>
      <c r="AM199" s="24">
        <f>F199*AE199</f>
        <v>0</v>
      </c>
      <c r="AN199" s="25" t="s">
        <v>311</v>
      </c>
      <c r="AO199" s="25" t="s">
        <v>325</v>
      </c>
      <c r="AP199" s="105" t="s">
        <v>328</v>
      </c>
      <c r="AR199" s="104" t="s">
        <v>785</v>
      </c>
      <c r="AS199" s="197">
        <v>0.02</v>
      </c>
      <c r="AU199" s="288"/>
    </row>
    <row r="200" spans="1:47" hidden="1">
      <c r="A200" s="6"/>
      <c r="B200" s="12"/>
      <c r="C200" s="12" t="s">
        <v>152</v>
      </c>
      <c r="D200" s="100" t="s">
        <v>232</v>
      </c>
      <c r="E200" s="101"/>
      <c r="F200" s="101"/>
      <c r="G200" s="101"/>
      <c r="H200" s="27">
        <f>SUM(H201:H214)</f>
        <v>0</v>
      </c>
      <c r="I200" s="27">
        <f>SUM(I201:I214)</f>
        <v>0</v>
      </c>
      <c r="J200" s="27">
        <f>H200+I200</f>
        <v>0</v>
      </c>
      <c r="K200" s="167"/>
      <c r="L200" s="27">
        <f>SUM(L201:L213)</f>
        <v>0</v>
      </c>
      <c r="O200" s="27">
        <f>IF(P200="PR",J200,SUM(N201:N214))</f>
        <v>0</v>
      </c>
      <c r="P200" s="19" t="s">
        <v>294</v>
      </c>
      <c r="Q200" s="27">
        <f>IF(P200="HS",H200,0)</f>
        <v>0</v>
      </c>
      <c r="R200" s="27">
        <f>IF(P200="HS",I200-O200,0)</f>
        <v>0</v>
      </c>
      <c r="S200" s="27">
        <f>IF(P200="PS",H200,0)</f>
        <v>0</v>
      </c>
      <c r="T200" s="27">
        <f>IF(P200="PS",I200-O200,0)</f>
        <v>0</v>
      </c>
      <c r="U200" s="27">
        <f>IF(P200="MP",H200,0)</f>
        <v>0</v>
      </c>
      <c r="V200" s="27">
        <f>IF(P200="MP",I200-O200,0)</f>
        <v>0</v>
      </c>
      <c r="W200" s="27">
        <f>IF(P200="OM",H200,0)</f>
        <v>0</v>
      </c>
      <c r="X200" s="19"/>
      <c r="Y200" s="110"/>
      <c r="Z200" s="110"/>
      <c r="AA200" s="110"/>
      <c r="AD200" s="113"/>
      <c r="AE200" s="113"/>
      <c r="AH200" s="27">
        <f>SUM(Y201:Y214)</f>
        <v>0</v>
      </c>
      <c r="AI200" s="27">
        <f>SUM(Z201:Z214)</f>
        <v>0</v>
      </c>
      <c r="AJ200" s="27">
        <f>SUM(AA201:AA214)</f>
        <v>0</v>
      </c>
      <c r="AS200" s="199"/>
    </row>
    <row r="201" spans="1:47" s="112" customFormat="1" hidden="1">
      <c r="A201" s="4" t="s">
        <v>719</v>
      </c>
      <c r="B201" s="109"/>
      <c r="C201" s="4" t="s">
        <v>652</v>
      </c>
      <c r="D201" s="109" t="s">
        <v>228</v>
      </c>
      <c r="E201" s="109" t="s">
        <v>272</v>
      </c>
      <c r="F201" s="110">
        <f>Výměry!P23*0</f>
        <v>0</v>
      </c>
      <c r="G201" s="14"/>
      <c r="H201" s="110">
        <f t="shared" ref="H201:H214" si="135">F201*AD201</f>
        <v>0</v>
      </c>
      <c r="I201" s="110">
        <f>J201-H201</f>
        <v>0</v>
      </c>
      <c r="J201" s="110">
        <f t="shared" ref="J201:J214" si="136">F201*G201</f>
        <v>0</v>
      </c>
      <c r="K201" s="163">
        <v>0</v>
      </c>
      <c r="L201" s="110">
        <f t="shared" ref="L201:L213" si="137">F201*K201</f>
        <v>0</v>
      </c>
      <c r="M201" s="111" t="s">
        <v>6</v>
      </c>
      <c r="N201" s="110">
        <f t="shared" ref="N201:N213" si="138">IF(M201="5",I201,0)</f>
        <v>0</v>
      </c>
      <c r="Y201" s="110">
        <f t="shared" ref="Y201:Y214" si="139">IF(AC201=0,J201,0)</f>
        <v>0</v>
      </c>
      <c r="Z201" s="110">
        <f t="shared" ref="Z201:Z214" si="140">IF(AC201=15,J201,0)</f>
        <v>0</v>
      </c>
      <c r="AA201" s="110">
        <f t="shared" ref="AA201:AA214" si="141">IF(AC201=21,J201,0)</f>
        <v>0</v>
      </c>
      <c r="AC201" s="113">
        <v>15</v>
      </c>
      <c r="AD201" s="113">
        <f t="shared" si="106"/>
        <v>0</v>
      </c>
      <c r="AE201" s="113">
        <f t="shared" si="107"/>
        <v>0</v>
      </c>
      <c r="AL201" s="113">
        <f t="shared" ref="AL201:AL214" si="142">F201*AD201</f>
        <v>0</v>
      </c>
      <c r="AM201" s="113">
        <f t="shared" ref="AM201:AM214" si="143">F201*AE201</f>
        <v>0</v>
      </c>
      <c r="AN201" s="114" t="s">
        <v>312</v>
      </c>
      <c r="AO201" s="114" t="s">
        <v>325</v>
      </c>
      <c r="AP201" s="115" t="s">
        <v>328</v>
      </c>
      <c r="AR201" t="s">
        <v>785</v>
      </c>
      <c r="AS201" s="197">
        <v>0</v>
      </c>
      <c r="AU201" s="287"/>
    </row>
    <row r="202" spans="1:47" s="112" customFormat="1" hidden="1">
      <c r="A202" s="4" t="s">
        <v>720</v>
      </c>
      <c r="B202" s="109"/>
      <c r="C202" s="4" t="s">
        <v>910</v>
      </c>
      <c r="D202" s="191" t="s">
        <v>912</v>
      </c>
      <c r="E202" s="4" t="s">
        <v>911</v>
      </c>
      <c r="F202" s="110">
        <f>F201*0.25</f>
        <v>0</v>
      </c>
      <c r="G202" s="14"/>
      <c r="H202" s="110">
        <f t="shared" si="135"/>
        <v>0</v>
      </c>
      <c r="I202" s="110">
        <f>J202-H202</f>
        <v>0</v>
      </c>
      <c r="J202" s="110">
        <f>F202*G202</f>
        <v>0</v>
      </c>
      <c r="K202" s="163">
        <v>1E-3</v>
      </c>
      <c r="L202" s="110">
        <f>F202*K202</f>
        <v>0</v>
      </c>
      <c r="M202" s="111" t="s">
        <v>6</v>
      </c>
      <c r="N202" s="110">
        <f t="shared" si="138"/>
        <v>0</v>
      </c>
      <c r="Y202" s="110">
        <f t="shared" si="139"/>
        <v>0</v>
      </c>
      <c r="Z202" s="110">
        <f t="shared" si="140"/>
        <v>0</v>
      </c>
      <c r="AA202" s="110">
        <f t="shared" si="141"/>
        <v>0</v>
      </c>
      <c r="AC202" s="113">
        <v>15</v>
      </c>
      <c r="AD202" s="113">
        <f>G202*0.81143570536829</f>
        <v>0</v>
      </c>
      <c r="AE202" s="113">
        <f>G202*(1-0.81143570536829)</f>
        <v>0</v>
      </c>
      <c r="AL202" s="113">
        <f t="shared" si="142"/>
        <v>0</v>
      </c>
      <c r="AM202" s="113">
        <f t="shared" si="143"/>
        <v>0</v>
      </c>
      <c r="AN202" s="114" t="s">
        <v>312</v>
      </c>
      <c r="AO202" s="114" t="s">
        <v>325</v>
      </c>
      <c r="AP202" s="115" t="s">
        <v>328</v>
      </c>
      <c r="AR202" t="s">
        <v>785</v>
      </c>
      <c r="AS202" s="197">
        <v>0</v>
      </c>
      <c r="AU202" s="287"/>
    </row>
    <row r="203" spans="1:47" s="125" customFormat="1" hidden="1">
      <c r="A203" s="4" t="s">
        <v>721</v>
      </c>
      <c r="B203" s="122"/>
      <c r="C203" s="122" t="s">
        <v>754</v>
      </c>
      <c r="D203" s="146" t="s">
        <v>839</v>
      </c>
      <c r="E203" s="122" t="s">
        <v>272</v>
      </c>
      <c r="F203" s="123">
        <v>0</v>
      </c>
      <c r="G203" s="14"/>
      <c r="H203" s="123">
        <f t="shared" si="135"/>
        <v>0</v>
      </c>
      <c r="I203" s="123">
        <f>J203-H203</f>
        <v>0</v>
      </c>
      <c r="J203" s="110">
        <f t="shared" si="136"/>
        <v>0</v>
      </c>
      <c r="K203" s="170">
        <v>1E-3</v>
      </c>
      <c r="L203" s="123">
        <f t="shared" si="137"/>
        <v>0</v>
      </c>
      <c r="M203" s="124" t="s">
        <v>6</v>
      </c>
      <c r="N203" s="123">
        <f t="shared" si="138"/>
        <v>0</v>
      </c>
      <c r="Y203" s="110">
        <f t="shared" si="139"/>
        <v>0</v>
      </c>
      <c r="Z203" s="110">
        <f t="shared" si="140"/>
        <v>0</v>
      </c>
      <c r="AA203" s="110">
        <f t="shared" si="141"/>
        <v>0</v>
      </c>
      <c r="AC203" s="126">
        <v>15</v>
      </c>
      <c r="AD203" s="113">
        <f t="shared" si="106"/>
        <v>0</v>
      </c>
      <c r="AE203" s="113">
        <f t="shared" si="107"/>
        <v>0</v>
      </c>
      <c r="AL203" s="126">
        <f t="shared" si="142"/>
        <v>0</v>
      </c>
      <c r="AM203" s="126">
        <f t="shared" si="143"/>
        <v>0</v>
      </c>
      <c r="AN203" s="127" t="s">
        <v>312</v>
      </c>
      <c r="AO203" s="127" t="s">
        <v>325</v>
      </c>
      <c r="AP203" s="128" t="s">
        <v>328</v>
      </c>
      <c r="AS203" s="197">
        <v>1E-3</v>
      </c>
      <c r="AU203" s="291"/>
    </row>
    <row r="204" spans="1:47" hidden="1">
      <c r="A204" s="4" t="s">
        <v>722</v>
      </c>
      <c r="B204" s="4"/>
      <c r="C204" s="4" t="s">
        <v>153</v>
      </c>
      <c r="D204" s="4" t="s">
        <v>233</v>
      </c>
      <c r="E204" s="4" t="s">
        <v>274</v>
      </c>
      <c r="F204" s="14">
        <f>Výměry!P29*0</f>
        <v>0</v>
      </c>
      <c r="G204" s="14"/>
      <c r="H204" s="14">
        <f t="shared" si="135"/>
        <v>0</v>
      </c>
      <c r="I204" s="14">
        <f t="shared" ref="I204:I212" si="144">J204-H204</f>
        <v>0</v>
      </c>
      <c r="J204" s="110">
        <f t="shared" si="136"/>
        <v>0</v>
      </c>
      <c r="K204" s="164">
        <v>2E-3</v>
      </c>
      <c r="L204" s="14">
        <f t="shared" si="137"/>
        <v>0</v>
      </c>
      <c r="M204" s="20" t="s">
        <v>6</v>
      </c>
      <c r="N204" s="14">
        <f t="shared" si="138"/>
        <v>0</v>
      </c>
      <c r="Y204" s="110">
        <f t="shared" si="139"/>
        <v>0</v>
      </c>
      <c r="Z204" s="110">
        <f t="shared" si="140"/>
        <v>0</v>
      </c>
      <c r="AA204" s="110">
        <f t="shared" si="141"/>
        <v>0</v>
      </c>
      <c r="AC204" s="24">
        <v>15</v>
      </c>
      <c r="AD204" s="113">
        <f t="shared" si="106"/>
        <v>0</v>
      </c>
      <c r="AE204" s="113">
        <f t="shared" si="107"/>
        <v>0</v>
      </c>
      <c r="AL204" s="24">
        <f t="shared" si="142"/>
        <v>0</v>
      </c>
      <c r="AM204" s="24">
        <f t="shared" si="143"/>
        <v>0</v>
      </c>
      <c r="AN204" s="25" t="s">
        <v>312</v>
      </c>
      <c r="AO204" s="25" t="s">
        <v>325</v>
      </c>
      <c r="AP204" s="19" t="s">
        <v>328</v>
      </c>
      <c r="AR204" t="s">
        <v>785</v>
      </c>
      <c r="AS204" s="197">
        <v>1E-4</v>
      </c>
    </row>
    <row r="205" spans="1:47" hidden="1">
      <c r="A205" s="4" t="s">
        <v>723</v>
      </c>
      <c r="B205" s="4"/>
      <c r="C205" s="4" t="s">
        <v>154</v>
      </c>
      <c r="D205" s="4" t="s">
        <v>234</v>
      </c>
      <c r="E205" s="4" t="s">
        <v>274</v>
      </c>
      <c r="F205" s="14">
        <f>Výměry!P29</f>
        <v>0</v>
      </c>
      <c r="G205" s="14"/>
      <c r="H205" s="14">
        <f t="shared" si="135"/>
        <v>0</v>
      </c>
      <c r="I205" s="14">
        <f t="shared" si="144"/>
        <v>0</v>
      </c>
      <c r="J205" s="110">
        <f t="shared" si="136"/>
        <v>0</v>
      </c>
      <c r="K205" s="164">
        <v>2E-3</v>
      </c>
      <c r="L205" s="14">
        <f t="shared" si="137"/>
        <v>0</v>
      </c>
      <c r="M205" s="20" t="s">
        <v>6</v>
      </c>
      <c r="N205" s="14">
        <f t="shared" si="138"/>
        <v>0</v>
      </c>
      <c r="Y205" s="110">
        <f t="shared" si="139"/>
        <v>0</v>
      </c>
      <c r="Z205" s="110">
        <f t="shared" si="140"/>
        <v>0</v>
      </c>
      <c r="AA205" s="110">
        <f t="shared" si="141"/>
        <v>0</v>
      </c>
      <c r="AC205" s="24">
        <v>15</v>
      </c>
      <c r="AD205" s="113">
        <f t="shared" si="106"/>
        <v>0</v>
      </c>
      <c r="AE205" s="113">
        <f t="shared" si="107"/>
        <v>0</v>
      </c>
      <c r="AL205" s="24">
        <f t="shared" si="142"/>
        <v>0</v>
      </c>
      <c r="AM205" s="24">
        <f t="shared" si="143"/>
        <v>0</v>
      </c>
      <c r="AN205" s="25" t="s">
        <v>312</v>
      </c>
      <c r="AO205" s="25" t="s">
        <v>325</v>
      </c>
      <c r="AP205" s="19" t="s">
        <v>328</v>
      </c>
      <c r="AR205" t="s">
        <v>785</v>
      </c>
      <c r="AS205" s="197">
        <v>3.0000000000000001E-5</v>
      </c>
    </row>
    <row r="206" spans="1:47" hidden="1">
      <c r="A206" s="4" t="s">
        <v>724</v>
      </c>
      <c r="B206" s="4"/>
      <c r="C206" s="4" t="s">
        <v>427</v>
      </c>
      <c r="D206" s="4" t="s">
        <v>428</v>
      </c>
      <c r="E206" s="4" t="s">
        <v>272</v>
      </c>
      <c r="F206" s="14">
        <f>F201</f>
        <v>0</v>
      </c>
      <c r="G206" s="14"/>
      <c r="H206" s="14">
        <f t="shared" si="135"/>
        <v>0</v>
      </c>
      <c r="I206" s="14">
        <f>J206-H206</f>
        <v>0</v>
      </c>
      <c r="J206" s="110">
        <f t="shared" si="136"/>
        <v>0</v>
      </c>
      <c r="K206" s="164">
        <v>2.6400000000000002E-4</v>
      </c>
      <c r="L206" s="14">
        <f t="shared" si="137"/>
        <v>0</v>
      </c>
      <c r="M206" s="20" t="s">
        <v>6</v>
      </c>
      <c r="N206" s="14">
        <f t="shared" si="138"/>
        <v>0</v>
      </c>
      <c r="Y206" s="110">
        <f t="shared" si="139"/>
        <v>0</v>
      </c>
      <c r="Z206" s="110">
        <f t="shared" si="140"/>
        <v>0</v>
      </c>
      <c r="AA206" s="110">
        <f t="shared" si="141"/>
        <v>0</v>
      </c>
      <c r="AC206" s="24">
        <v>15</v>
      </c>
      <c r="AD206" s="113">
        <f t="shared" si="106"/>
        <v>0</v>
      </c>
      <c r="AE206" s="113">
        <f t="shared" si="107"/>
        <v>0</v>
      </c>
      <c r="AL206" s="24">
        <f t="shared" si="142"/>
        <v>0</v>
      </c>
      <c r="AM206" s="24">
        <f t="shared" si="143"/>
        <v>0</v>
      </c>
      <c r="AN206" s="25" t="s">
        <v>312</v>
      </c>
      <c r="AO206" s="25" t="s">
        <v>325</v>
      </c>
      <c r="AP206" s="19" t="s">
        <v>328</v>
      </c>
      <c r="AR206" t="s">
        <v>785</v>
      </c>
      <c r="AS206" s="197">
        <v>2.6400000000000002E-4</v>
      </c>
    </row>
    <row r="207" spans="1:47" hidden="1">
      <c r="A207" s="4" t="s">
        <v>725</v>
      </c>
      <c r="B207" s="5"/>
      <c r="C207" s="5" t="s">
        <v>155</v>
      </c>
      <c r="D207" s="5" t="s">
        <v>235</v>
      </c>
      <c r="E207" s="5" t="s">
        <v>274</v>
      </c>
      <c r="F207" s="15">
        <f>F205*1.1</f>
        <v>0</v>
      </c>
      <c r="G207" s="15"/>
      <c r="H207" s="15">
        <f t="shared" si="135"/>
        <v>0</v>
      </c>
      <c r="I207" s="15">
        <f t="shared" si="144"/>
        <v>0</v>
      </c>
      <c r="J207" s="110">
        <f t="shared" si="136"/>
        <v>0</v>
      </c>
      <c r="K207" s="165">
        <v>1.2E-4</v>
      </c>
      <c r="L207" s="15">
        <f t="shared" si="137"/>
        <v>0</v>
      </c>
      <c r="M207" s="21" t="s">
        <v>290</v>
      </c>
      <c r="N207" s="15">
        <f t="shared" si="138"/>
        <v>0</v>
      </c>
      <c r="Y207" s="110">
        <f t="shared" si="139"/>
        <v>0</v>
      </c>
      <c r="Z207" s="110">
        <f t="shared" si="140"/>
        <v>0</v>
      </c>
      <c r="AA207" s="110">
        <f t="shared" si="141"/>
        <v>0</v>
      </c>
      <c r="AC207" s="24">
        <v>15</v>
      </c>
      <c r="AD207" s="113">
        <f t="shared" si="106"/>
        <v>0</v>
      </c>
      <c r="AE207" s="113">
        <f t="shared" si="107"/>
        <v>0</v>
      </c>
      <c r="AL207" s="24">
        <f t="shared" si="142"/>
        <v>0</v>
      </c>
      <c r="AM207" s="24">
        <f t="shared" si="143"/>
        <v>0</v>
      </c>
      <c r="AN207" s="25" t="s">
        <v>312</v>
      </c>
      <c r="AO207" s="25" t="s">
        <v>325</v>
      </c>
      <c r="AP207" s="19" t="s">
        <v>328</v>
      </c>
      <c r="AR207" t="s">
        <v>785</v>
      </c>
      <c r="AS207" s="198">
        <v>1.2E-4</v>
      </c>
    </row>
    <row r="208" spans="1:47" hidden="1">
      <c r="A208" s="4" t="s">
        <v>726</v>
      </c>
      <c r="B208" s="4"/>
      <c r="C208" s="4" t="s">
        <v>156</v>
      </c>
      <c r="D208" s="4" t="s">
        <v>236</v>
      </c>
      <c r="E208" s="4" t="s">
        <v>272</v>
      </c>
      <c r="F208" s="14">
        <f>F201</f>
        <v>0</v>
      </c>
      <c r="G208" s="14"/>
      <c r="H208" s="14">
        <f t="shared" si="135"/>
        <v>0</v>
      </c>
      <c r="I208" s="14">
        <f t="shared" si="144"/>
        <v>0</v>
      </c>
      <c r="J208" s="110">
        <f t="shared" si="136"/>
        <v>0</v>
      </c>
      <c r="K208" s="164">
        <v>2E-3</v>
      </c>
      <c r="L208" s="14">
        <f t="shared" si="137"/>
        <v>0</v>
      </c>
      <c r="M208" s="20" t="s">
        <v>6</v>
      </c>
      <c r="N208" s="14">
        <f t="shared" si="138"/>
        <v>0</v>
      </c>
      <c r="Y208" s="110">
        <f t="shared" si="139"/>
        <v>0</v>
      </c>
      <c r="Z208" s="110">
        <f t="shared" si="140"/>
        <v>0</v>
      </c>
      <c r="AA208" s="110">
        <f t="shared" si="141"/>
        <v>0</v>
      </c>
      <c r="AC208" s="24">
        <v>15</v>
      </c>
      <c r="AD208" s="113">
        <f t="shared" si="106"/>
        <v>0</v>
      </c>
      <c r="AE208" s="113">
        <f t="shared" si="107"/>
        <v>0</v>
      </c>
      <c r="AL208" s="24">
        <f t="shared" si="142"/>
        <v>0</v>
      </c>
      <c r="AM208" s="24">
        <f t="shared" si="143"/>
        <v>0</v>
      </c>
      <c r="AN208" s="25" t="s">
        <v>312</v>
      </c>
      <c r="AO208" s="25" t="s">
        <v>325</v>
      </c>
      <c r="AP208" s="19" t="s">
        <v>328</v>
      </c>
      <c r="AR208" t="s">
        <v>785</v>
      </c>
      <c r="AS208" s="197">
        <v>1E-3</v>
      </c>
    </row>
    <row r="209" spans="1:47" hidden="1">
      <c r="A209" s="4" t="s">
        <v>727</v>
      </c>
      <c r="B209" s="4"/>
      <c r="C209" s="4" t="s">
        <v>611</v>
      </c>
      <c r="D209" s="4" t="s">
        <v>612</v>
      </c>
      <c r="E209" s="4" t="s">
        <v>272</v>
      </c>
      <c r="F209" s="14">
        <f>F201*0</f>
        <v>0</v>
      </c>
      <c r="G209" s="179"/>
      <c r="H209" s="14">
        <f t="shared" si="135"/>
        <v>0</v>
      </c>
      <c r="I209" s="14">
        <f>J209-H209</f>
        <v>0</v>
      </c>
      <c r="J209" s="110">
        <f t="shared" si="136"/>
        <v>0</v>
      </c>
      <c r="K209" s="190">
        <v>1E-4</v>
      </c>
      <c r="L209" s="14">
        <f t="shared" si="137"/>
        <v>0</v>
      </c>
      <c r="M209" s="20" t="s">
        <v>6</v>
      </c>
      <c r="N209" s="14">
        <f t="shared" si="138"/>
        <v>0</v>
      </c>
      <c r="Y209" s="110">
        <f t="shared" si="139"/>
        <v>0</v>
      </c>
      <c r="Z209" s="110">
        <f t="shared" si="140"/>
        <v>0</v>
      </c>
      <c r="AA209" s="110">
        <f t="shared" si="141"/>
        <v>0</v>
      </c>
      <c r="AC209" s="24">
        <v>15</v>
      </c>
      <c r="AD209" s="113">
        <f t="shared" si="106"/>
        <v>0</v>
      </c>
      <c r="AE209" s="113">
        <f t="shared" si="107"/>
        <v>0</v>
      </c>
      <c r="AL209" s="24">
        <f t="shared" si="142"/>
        <v>0</v>
      </c>
      <c r="AM209" s="24">
        <f t="shared" si="143"/>
        <v>0</v>
      </c>
      <c r="AN209" s="25" t="s">
        <v>312</v>
      </c>
      <c r="AO209" s="25" t="s">
        <v>325</v>
      </c>
      <c r="AP209" s="19" t="s">
        <v>328</v>
      </c>
      <c r="AR209" t="s">
        <v>785</v>
      </c>
      <c r="AS209" s="197">
        <v>1E-3</v>
      </c>
    </row>
    <row r="210" spans="1:47" hidden="1">
      <c r="A210" s="4" t="s">
        <v>728</v>
      </c>
      <c r="B210" s="4"/>
      <c r="C210" s="4" t="s">
        <v>157</v>
      </c>
      <c r="D210" s="4" t="s">
        <v>237</v>
      </c>
      <c r="E210" s="4" t="s">
        <v>272</v>
      </c>
      <c r="F210" s="14">
        <f>F201</f>
        <v>0</v>
      </c>
      <c r="G210" s="179"/>
      <c r="H210" s="14">
        <f t="shared" si="135"/>
        <v>0</v>
      </c>
      <c r="I210" s="14">
        <f t="shared" si="144"/>
        <v>0</v>
      </c>
      <c r="J210" s="110">
        <f t="shared" si="136"/>
        <v>0</v>
      </c>
      <c r="K210" s="164">
        <v>4.0000000000000002E-4</v>
      </c>
      <c r="L210" s="14">
        <f t="shared" si="137"/>
        <v>0</v>
      </c>
      <c r="M210" s="20" t="s">
        <v>6</v>
      </c>
      <c r="N210" s="14">
        <f t="shared" si="138"/>
        <v>0</v>
      </c>
      <c r="Y210" s="110">
        <f t="shared" si="139"/>
        <v>0</v>
      </c>
      <c r="Z210" s="110">
        <f t="shared" si="140"/>
        <v>0</v>
      </c>
      <c r="AA210" s="110">
        <f t="shared" si="141"/>
        <v>0</v>
      </c>
      <c r="AC210" s="24">
        <v>15</v>
      </c>
      <c r="AD210" s="113">
        <f t="shared" si="106"/>
        <v>0</v>
      </c>
      <c r="AE210" s="113">
        <f t="shared" si="107"/>
        <v>0</v>
      </c>
      <c r="AL210" s="24">
        <f t="shared" si="142"/>
        <v>0</v>
      </c>
      <c r="AM210" s="24">
        <f t="shared" si="143"/>
        <v>0</v>
      </c>
      <c r="AN210" s="25" t="s">
        <v>312</v>
      </c>
      <c r="AO210" s="25" t="s">
        <v>325</v>
      </c>
      <c r="AP210" s="19" t="s">
        <v>328</v>
      </c>
      <c r="AR210" t="s">
        <v>785</v>
      </c>
      <c r="AS210" s="197">
        <v>4.0000000000000002E-4</v>
      </c>
    </row>
    <row r="211" spans="1:47" hidden="1">
      <c r="A211" s="4" t="s">
        <v>729</v>
      </c>
      <c r="B211" s="4"/>
      <c r="C211" s="4" t="s">
        <v>158</v>
      </c>
      <c r="D211" s="4" t="s">
        <v>238</v>
      </c>
      <c r="E211" s="4" t="s">
        <v>274</v>
      </c>
      <c r="F211" s="14">
        <f>Výměry!P33</f>
        <v>0</v>
      </c>
      <c r="G211" s="179"/>
      <c r="H211" s="14">
        <f t="shared" si="135"/>
        <v>0</v>
      </c>
      <c r="I211" s="14">
        <f t="shared" si="144"/>
        <v>0</v>
      </c>
      <c r="J211" s="110">
        <f t="shared" si="136"/>
        <v>0</v>
      </c>
      <c r="K211" s="164">
        <v>4.0000000000000003E-5</v>
      </c>
      <c r="L211" s="14">
        <f t="shared" si="137"/>
        <v>0</v>
      </c>
      <c r="M211" s="20" t="s">
        <v>6</v>
      </c>
      <c r="N211" s="14">
        <f t="shared" si="138"/>
        <v>0</v>
      </c>
      <c r="Y211" s="110">
        <f t="shared" si="139"/>
        <v>0</v>
      </c>
      <c r="Z211" s="110">
        <f t="shared" si="140"/>
        <v>0</v>
      </c>
      <c r="AA211" s="110">
        <f t="shared" si="141"/>
        <v>0</v>
      </c>
      <c r="AC211" s="24">
        <v>15</v>
      </c>
      <c r="AD211" s="113">
        <f t="shared" si="106"/>
        <v>0</v>
      </c>
      <c r="AE211" s="113">
        <f t="shared" si="107"/>
        <v>0</v>
      </c>
      <c r="AL211" s="24">
        <f t="shared" si="142"/>
        <v>0</v>
      </c>
      <c r="AM211" s="24">
        <f t="shared" si="143"/>
        <v>0</v>
      </c>
      <c r="AN211" s="25" t="s">
        <v>312</v>
      </c>
      <c r="AO211" s="25" t="s">
        <v>325</v>
      </c>
      <c r="AP211" s="19" t="s">
        <v>328</v>
      </c>
      <c r="AR211" t="s">
        <v>785</v>
      </c>
      <c r="AS211" s="197">
        <v>4.0000000000000003E-5</v>
      </c>
    </row>
    <row r="212" spans="1:47" hidden="1">
      <c r="A212" s="4" t="s">
        <v>730</v>
      </c>
      <c r="B212" s="5"/>
      <c r="C212" s="5" t="s">
        <v>159</v>
      </c>
      <c r="D212" s="146" t="s">
        <v>1082</v>
      </c>
      <c r="E212" s="5" t="s">
        <v>272</v>
      </c>
      <c r="F212" s="15">
        <f>F201*1.15</f>
        <v>0</v>
      </c>
      <c r="G212" s="179"/>
      <c r="H212" s="15">
        <f t="shared" si="135"/>
        <v>0</v>
      </c>
      <c r="I212" s="15">
        <f t="shared" si="144"/>
        <v>0</v>
      </c>
      <c r="J212" s="110">
        <f t="shared" si="136"/>
        <v>0</v>
      </c>
      <c r="K212" s="165">
        <v>3.1199999999999999E-3</v>
      </c>
      <c r="L212" s="15">
        <f t="shared" si="137"/>
        <v>0</v>
      </c>
      <c r="M212" s="21" t="s">
        <v>290</v>
      </c>
      <c r="N212" s="15">
        <f t="shared" si="138"/>
        <v>0</v>
      </c>
      <c r="Y212" s="110">
        <f t="shared" si="139"/>
        <v>0</v>
      </c>
      <c r="Z212" s="110">
        <f t="shared" si="140"/>
        <v>0</v>
      </c>
      <c r="AA212" s="110">
        <f t="shared" si="141"/>
        <v>0</v>
      </c>
      <c r="AC212" s="24">
        <v>15</v>
      </c>
      <c r="AD212" s="113">
        <f t="shared" si="106"/>
        <v>0</v>
      </c>
      <c r="AE212" s="113">
        <f t="shared" si="107"/>
        <v>0</v>
      </c>
      <c r="AL212" s="24">
        <f t="shared" si="142"/>
        <v>0</v>
      </c>
      <c r="AM212" s="24">
        <f t="shared" si="143"/>
        <v>0</v>
      </c>
      <c r="AN212" s="25" t="s">
        <v>312</v>
      </c>
      <c r="AO212" s="25" t="s">
        <v>325</v>
      </c>
      <c r="AP212" s="19" t="s">
        <v>328</v>
      </c>
      <c r="AR212" t="s">
        <v>785</v>
      </c>
      <c r="AS212" s="198">
        <v>3.1199999999999999E-3</v>
      </c>
    </row>
    <row r="213" spans="1:47" s="112" customFormat="1" hidden="1">
      <c r="A213" s="4" t="s">
        <v>731</v>
      </c>
      <c r="B213" s="109"/>
      <c r="C213" s="109" t="s">
        <v>653</v>
      </c>
      <c r="D213" s="4" t="s">
        <v>654</v>
      </c>
      <c r="E213" s="109" t="s">
        <v>272</v>
      </c>
      <c r="F213" s="110">
        <f>F201</f>
        <v>0</v>
      </c>
      <c r="G213" s="179"/>
      <c r="H213" s="110">
        <f t="shared" si="135"/>
        <v>0</v>
      </c>
      <c r="I213" s="110">
        <f>J213-H213</f>
        <v>0</v>
      </c>
      <c r="J213" s="110">
        <f t="shared" si="136"/>
        <v>0</v>
      </c>
      <c r="K213" s="163">
        <v>2.2000000000000001E-3</v>
      </c>
      <c r="L213" s="110">
        <f t="shared" si="137"/>
        <v>0</v>
      </c>
      <c r="M213" s="111" t="s">
        <v>6</v>
      </c>
      <c r="N213" s="110">
        <f t="shared" si="138"/>
        <v>0</v>
      </c>
      <c r="Y213" s="110">
        <f t="shared" si="139"/>
        <v>0</v>
      </c>
      <c r="Z213" s="110">
        <f t="shared" si="140"/>
        <v>0</v>
      </c>
      <c r="AA213" s="110">
        <f t="shared" si="141"/>
        <v>0</v>
      </c>
      <c r="AC213" s="113">
        <v>15</v>
      </c>
      <c r="AD213" s="113">
        <f t="shared" si="106"/>
        <v>0</v>
      </c>
      <c r="AE213" s="113">
        <f t="shared" si="107"/>
        <v>0</v>
      </c>
      <c r="AL213" s="113">
        <f t="shared" si="142"/>
        <v>0</v>
      </c>
      <c r="AM213" s="113">
        <f t="shared" si="143"/>
        <v>0</v>
      </c>
      <c r="AN213" s="114" t="s">
        <v>655</v>
      </c>
      <c r="AO213" s="114" t="s">
        <v>325</v>
      </c>
      <c r="AP213" s="115" t="s">
        <v>328</v>
      </c>
      <c r="AR213" t="s">
        <v>785</v>
      </c>
      <c r="AS213" s="197">
        <v>2.2000000000000001E-3</v>
      </c>
      <c r="AU213" s="287"/>
    </row>
    <row r="214" spans="1:47" s="112" customFormat="1" hidden="1">
      <c r="A214" s="4" t="s">
        <v>732</v>
      </c>
      <c r="B214" s="109"/>
      <c r="C214" s="4" t="s">
        <v>696</v>
      </c>
      <c r="D214" s="109" t="s">
        <v>671</v>
      </c>
      <c r="E214" s="4" t="s">
        <v>484</v>
      </c>
      <c r="F214" s="110">
        <v>4.5</v>
      </c>
      <c r="G214" s="179"/>
      <c r="H214" s="110">
        <f t="shared" si="135"/>
        <v>0</v>
      </c>
      <c r="I214" s="110">
        <f>J214-H214</f>
        <v>0</v>
      </c>
      <c r="J214" s="110">
        <f t="shared" si="136"/>
        <v>0</v>
      </c>
      <c r="K214" s="163"/>
      <c r="L214" s="110"/>
      <c r="M214" s="111" t="s">
        <v>10</v>
      </c>
      <c r="N214" s="110">
        <f>IF(M214="5",J214,0)</f>
        <v>0</v>
      </c>
      <c r="Y214" s="110">
        <f t="shared" si="139"/>
        <v>0</v>
      </c>
      <c r="Z214" s="110">
        <f t="shared" si="140"/>
        <v>0</v>
      </c>
      <c r="AA214" s="110">
        <f t="shared" si="141"/>
        <v>0</v>
      </c>
      <c r="AC214" s="113">
        <v>15</v>
      </c>
      <c r="AD214" s="113">
        <f t="shared" si="106"/>
        <v>0</v>
      </c>
      <c r="AE214" s="113">
        <f t="shared" si="107"/>
        <v>0</v>
      </c>
      <c r="AL214" s="113">
        <f t="shared" si="142"/>
        <v>0</v>
      </c>
      <c r="AM214" s="113">
        <f t="shared" si="143"/>
        <v>0</v>
      </c>
      <c r="AN214" s="114" t="s">
        <v>672</v>
      </c>
      <c r="AO214" s="114" t="s">
        <v>327</v>
      </c>
      <c r="AP214" s="115" t="s">
        <v>328</v>
      </c>
      <c r="AR214" t="s">
        <v>785</v>
      </c>
      <c r="AS214" s="197"/>
      <c r="AU214" s="287"/>
    </row>
    <row r="215" spans="1:47">
      <c r="A215" s="6"/>
      <c r="B215" s="12"/>
      <c r="C215" s="12" t="s">
        <v>160</v>
      </c>
      <c r="D215" s="100" t="s">
        <v>1117</v>
      </c>
      <c r="E215" s="101"/>
      <c r="F215" s="101"/>
      <c r="G215" s="101"/>
      <c r="H215" s="27">
        <f>SUM(H216:H227)</f>
        <v>0</v>
      </c>
      <c r="I215" s="27">
        <f>SUM(I216:I227)</f>
        <v>0</v>
      </c>
      <c r="J215" s="27">
        <f>H215+I215</f>
        <v>0</v>
      </c>
      <c r="K215" s="167"/>
      <c r="L215" s="27">
        <f>SUM(L216:L226)</f>
        <v>1.8878279250000001</v>
      </c>
      <c r="O215" s="27">
        <f>IF(P215="PR",J215,SUM(N216:N227))</f>
        <v>0</v>
      </c>
      <c r="P215" s="19" t="s">
        <v>294</v>
      </c>
      <c r="Q215" s="27">
        <f>IF(P215="HS",H215,0)</f>
        <v>0</v>
      </c>
      <c r="R215" s="27">
        <f>IF(P215="HS",I215-O215,0)</f>
        <v>0</v>
      </c>
      <c r="S215" s="27">
        <f>IF(P215="PS",H215,0)</f>
        <v>0</v>
      </c>
      <c r="T215" s="27">
        <f>IF(P215="PS",I215-O215,0)</f>
        <v>0</v>
      </c>
      <c r="U215" s="27">
        <f>IF(P215="MP",H215,0)</f>
        <v>0</v>
      </c>
      <c r="V215" s="27">
        <f>IF(P215="MP",I215-O215,0)</f>
        <v>0</v>
      </c>
      <c r="W215" s="27">
        <f>IF(P215="OM",H215,0)</f>
        <v>0</v>
      </c>
      <c r="X215" s="19"/>
      <c r="Y215" s="110"/>
      <c r="Z215" s="110"/>
      <c r="AA215" s="110"/>
      <c r="AD215" s="113"/>
      <c r="AE215" s="113"/>
      <c r="AH215" s="27">
        <f>SUM(Y216:Y227)</f>
        <v>0</v>
      </c>
      <c r="AI215" s="27">
        <f>SUM(Z216:Z227)</f>
        <v>0</v>
      </c>
      <c r="AJ215" s="27">
        <f>SUM(AA216:AA227)</f>
        <v>0</v>
      </c>
      <c r="AS215" s="199"/>
    </row>
    <row r="216" spans="1:47">
      <c r="A216" s="4" t="s">
        <v>733</v>
      </c>
      <c r="B216" s="4"/>
      <c r="C216" s="4" t="s">
        <v>161</v>
      </c>
      <c r="D216" s="4" t="s">
        <v>239</v>
      </c>
      <c r="E216" s="4" t="s">
        <v>272</v>
      </c>
      <c r="F216" s="14">
        <f>F271</f>
        <v>164.39999999999998</v>
      </c>
      <c r="G216" s="179"/>
      <c r="H216" s="14">
        <f t="shared" ref="H216:H227" si="145">F216*AD216</f>
        <v>0</v>
      </c>
      <c r="I216" s="14">
        <f t="shared" ref="I216:I224" si="146">J216-H216</f>
        <v>0</v>
      </c>
      <c r="J216" s="14">
        <f t="shared" ref="J216:J227" si="147">F216*G216</f>
        <v>0</v>
      </c>
      <c r="K216" s="164">
        <v>1.83E-3</v>
      </c>
      <c r="L216" s="14">
        <f t="shared" ref="L216:L226" si="148">F216*K216</f>
        <v>0.30085199999999995</v>
      </c>
      <c r="M216" s="20" t="s">
        <v>6</v>
      </c>
      <c r="N216" s="14">
        <f t="shared" ref="N216:N226" si="149">IF(M216="5",I216,0)</f>
        <v>0</v>
      </c>
      <c r="Y216" s="110">
        <f t="shared" ref="Y216:Y227" si="150">IF(AC216=0,J216,0)</f>
        <v>0</v>
      </c>
      <c r="Z216" s="110">
        <f t="shared" ref="Z216:Z227" si="151">IF(AC216=15,J216,0)</f>
        <v>0</v>
      </c>
      <c r="AA216" s="110">
        <f t="shared" ref="AA216:AA227" si="152">IF(AC216=21,J216,0)</f>
        <v>0</v>
      </c>
      <c r="AC216" s="24">
        <v>15</v>
      </c>
      <c r="AD216" s="113">
        <f t="shared" si="106"/>
        <v>0</v>
      </c>
      <c r="AE216" s="113">
        <f t="shared" si="107"/>
        <v>0</v>
      </c>
      <c r="AL216" s="24">
        <f t="shared" ref="AL216:AL227" si="153">F216*AD216</f>
        <v>0</v>
      </c>
      <c r="AM216" s="24">
        <f t="shared" ref="AM216:AM227" si="154">F216*AE216</f>
        <v>0</v>
      </c>
      <c r="AN216" s="25" t="s">
        <v>313</v>
      </c>
      <c r="AO216" s="25" t="s">
        <v>326</v>
      </c>
      <c r="AP216" s="19" t="s">
        <v>328</v>
      </c>
      <c r="AR216" t="s">
        <v>785</v>
      </c>
      <c r="AS216" s="197">
        <v>1.83E-3</v>
      </c>
    </row>
    <row r="217" spans="1:47" s="138" customFormat="1" hidden="1">
      <c r="A217" s="4" t="s">
        <v>734</v>
      </c>
      <c r="B217" s="60"/>
      <c r="C217" s="60" t="s">
        <v>605</v>
      </c>
      <c r="D217" s="60" t="s">
        <v>606</v>
      </c>
      <c r="E217" s="60" t="s">
        <v>272</v>
      </c>
      <c r="F217" s="14">
        <f>F216*0</f>
        <v>0</v>
      </c>
      <c r="G217" s="179"/>
      <c r="H217" s="61">
        <f t="shared" si="145"/>
        <v>0</v>
      </c>
      <c r="I217" s="61">
        <f t="shared" si="146"/>
        <v>0</v>
      </c>
      <c r="J217" s="14">
        <f t="shared" si="147"/>
        <v>0</v>
      </c>
      <c r="K217" s="168">
        <v>0</v>
      </c>
      <c r="L217" s="61">
        <f t="shared" si="148"/>
        <v>0</v>
      </c>
      <c r="M217" s="62" t="s">
        <v>6</v>
      </c>
      <c r="N217" s="61">
        <f t="shared" si="149"/>
        <v>0</v>
      </c>
      <c r="Y217" s="110">
        <f t="shared" si="150"/>
        <v>0</v>
      </c>
      <c r="Z217" s="110">
        <f t="shared" si="151"/>
        <v>0</v>
      </c>
      <c r="AA217" s="110">
        <f t="shared" si="152"/>
        <v>0</v>
      </c>
      <c r="AC217" s="64">
        <v>15</v>
      </c>
      <c r="AD217" s="113">
        <f t="shared" si="106"/>
        <v>0</v>
      </c>
      <c r="AE217" s="113">
        <f t="shared" si="107"/>
        <v>0</v>
      </c>
      <c r="AL217" s="64">
        <f t="shared" si="153"/>
        <v>0</v>
      </c>
      <c r="AM217" s="64">
        <f t="shared" si="154"/>
        <v>0</v>
      </c>
      <c r="AN217" s="65" t="s">
        <v>313</v>
      </c>
      <c r="AO217" s="65" t="s">
        <v>326</v>
      </c>
      <c r="AP217" s="139" t="s">
        <v>328</v>
      </c>
      <c r="AR217" s="104" t="s">
        <v>785</v>
      </c>
      <c r="AS217" s="197">
        <v>0</v>
      </c>
      <c r="AU217" s="289"/>
    </row>
    <row r="218" spans="1:47">
      <c r="A218" s="4" t="s">
        <v>735</v>
      </c>
      <c r="B218" s="4"/>
      <c r="C218" s="4" t="s">
        <v>162</v>
      </c>
      <c r="D218" s="4" t="s">
        <v>240</v>
      </c>
      <c r="E218" s="4" t="s">
        <v>272</v>
      </c>
      <c r="F218" s="14">
        <f>F216</f>
        <v>164.39999999999998</v>
      </c>
      <c r="G218" s="179"/>
      <c r="H218" s="14">
        <f t="shared" si="145"/>
        <v>0</v>
      </c>
      <c r="I218" s="14">
        <f t="shared" si="146"/>
        <v>0</v>
      </c>
      <c r="J218" s="14">
        <f t="shared" si="147"/>
        <v>0</v>
      </c>
      <c r="K218" s="164">
        <v>2.1000000000000001E-4</v>
      </c>
      <c r="L218" s="14">
        <f t="shared" si="148"/>
        <v>3.4523999999999999E-2</v>
      </c>
      <c r="M218" s="20" t="s">
        <v>6</v>
      </c>
      <c r="N218" s="14">
        <f t="shared" si="149"/>
        <v>0</v>
      </c>
      <c r="Y218" s="110">
        <f t="shared" si="150"/>
        <v>0</v>
      </c>
      <c r="Z218" s="110">
        <f t="shared" si="151"/>
        <v>0</v>
      </c>
      <c r="AA218" s="110">
        <f t="shared" si="152"/>
        <v>0</v>
      </c>
      <c r="AC218" s="24">
        <v>15</v>
      </c>
      <c r="AD218" s="113">
        <f t="shared" si="106"/>
        <v>0</v>
      </c>
      <c r="AE218" s="113">
        <f t="shared" si="107"/>
        <v>0</v>
      </c>
      <c r="AL218" s="24">
        <f t="shared" si="153"/>
        <v>0</v>
      </c>
      <c r="AM218" s="24">
        <f t="shared" si="154"/>
        <v>0</v>
      </c>
      <c r="AN218" s="25" t="s">
        <v>313</v>
      </c>
      <c r="AO218" s="25" t="s">
        <v>326</v>
      </c>
      <c r="AP218" s="19" t="s">
        <v>328</v>
      </c>
      <c r="AR218" t="s">
        <v>785</v>
      </c>
      <c r="AS218" s="197">
        <v>2.1000000000000001E-4</v>
      </c>
    </row>
    <row r="219" spans="1:47">
      <c r="A219" s="4" t="s">
        <v>736</v>
      </c>
      <c r="B219" s="4"/>
      <c r="C219" s="4" t="s">
        <v>163</v>
      </c>
      <c r="D219" s="146" t="s">
        <v>1118</v>
      </c>
      <c r="E219" s="4" t="s">
        <v>272</v>
      </c>
      <c r="F219" s="14">
        <f>F218</f>
        <v>164.39999999999998</v>
      </c>
      <c r="G219" s="179"/>
      <c r="H219" s="14">
        <f t="shared" si="145"/>
        <v>0</v>
      </c>
      <c r="I219" s="14">
        <f t="shared" si="146"/>
        <v>0</v>
      </c>
      <c r="J219" s="14">
        <f t="shared" si="147"/>
        <v>0</v>
      </c>
      <c r="K219" s="164">
        <v>3.2200000000000002E-3</v>
      </c>
      <c r="L219" s="14">
        <f t="shared" si="148"/>
        <v>0.52936799999999995</v>
      </c>
      <c r="M219" s="20" t="s">
        <v>6</v>
      </c>
      <c r="N219" s="14">
        <f t="shared" si="149"/>
        <v>0</v>
      </c>
      <c r="Y219" s="110">
        <f t="shared" si="150"/>
        <v>0</v>
      </c>
      <c r="Z219" s="110">
        <f t="shared" si="151"/>
        <v>0</v>
      </c>
      <c r="AA219" s="110">
        <f t="shared" si="152"/>
        <v>0</v>
      </c>
      <c r="AC219" s="24">
        <v>15</v>
      </c>
      <c r="AD219" s="113">
        <f t="shared" si="106"/>
        <v>0</v>
      </c>
      <c r="AE219" s="113">
        <f t="shared" si="107"/>
        <v>0</v>
      </c>
      <c r="AL219" s="24">
        <f t="shared" si="153"/>
        <v>0</v>
      </c>
      <c r="AM219" s="24">
        <f t="shared" si="154"/>
        <v>0</v>
      </c>
      <c r="AN219" s="25" t="s">
        <v>313</v>
      </c>
      <c r="AO219" s="25" t="s">
        <v>326</v>
      </c>
      <c r="AP219" s="19" t="s">
        <v>328</v>
      </c>
      <c r="AR219" t="s">
        <v>785</v>
      </c>
      <c r="AS219" s="197">
        <v>3.2200000000000002E-3</v>
      </c>
    </row>
    <row r="220" spans="1:47">
      <c r="A220" s="4" t="s">
        <v>737</v>
      </c>
      <c r="B220" s="4"/>
      <c r="C220" s="4" t="s">
        <v>164</v>
      </c>
      <c r="D220" s="4" t="s">
        <v>241</v>
      </c>
      <c r="E220" s="4" t="s">
        <v>272</v>
      </c>
      <c r="F220" s="14">
        <f>F216</f>
        <v>164.39999999999998</v>
      </c>
      <c r="G220" s="179"/>
      <c r="H220" s="14">
        <f t="shared" si="145"/>
        <v>0</v>
      </c>
      <c r="I220" s="14">
        <f t="shared" si="146"/>
        <v>0</v>
      </c>
      <c r="J220" s="14">
        <f t="shared" si="147"/>
        <v>0</v>
      </c>
      <c r="K220" s="164">
        <v>0</v>
      </c>
      <c r="L220" s="14">
        <f t="shared" si="148"/>
        <v>0</v>
      </c>
      <c r="M220" s="20" t="s">
        <v>6</v>
      </c>
      <c r="N220" s="14">
        <f t="shared" si="149"/>
        <v>0</v>
      </c>
      <c r="Y220" s="110">
        <f t="shared" si="150"/>
        <v>0</v>
      </c>
      <c r="Z220" s="110">
        <f t="shared" si="151"/>
        <v>0</v>
      </c>
      <c r="AA220" s="110">
        <f t="shared" si="152"/>
        <v>0</v>
      </c>
      <c r="AC220" s="24">
        <v>15</v>
      </c>
      <c r="AD220" s="113">
        <f t="shared" ref="AD220:AD297" si="155">G220*0.81143570536829</f>
        <v>0</v>
      </c>
      <c r="AE220" s="113">
        <f t="shared" ref="AE220:AE297" si="156">G220*(1-0.81143570536829)</f>
        <v>0</v>
      </c>
      <c r="AL220" s="24">
        <f t="shared" si="153"/>
        <v>0</v>
      </c>
      <c r="AM220" s="24">
        <f t="shared" si="154"/>
        <v>0</v>
      </c>
      <c r="AN220" s="25" t="s">
        <v>313</v>
      </c>
      <c r="AO220" s="25" t="s">
        <v>326</v>
      </c>
      <c r="AP220" s="19" t="s">
        <v>328</v>
      </c>
      <c r="AR220" t="s">
        <v>785</v>
      </c>
      <c r="AS220" s="197">
        <v>0</v>
      </c>
    </row>
    <row r="221" spans="1:47">
      <c r="A221" s="4" t="s">
        <v>738</v>
      </c>
      <c r="B221" s="4"/>
      <c r="C221" s="4" t="s">
        <v>446</v>
      </c>
      <c r="D221" s="4" t="s">
        <v>447</v>
      </c>
      <c r="E221" s="4" t="s">
        <v>274</v>
      </c>
      <c r="F221" s="14">
        <f>3.05*1*6*5*1.15</f>
        <v>105.22499999999998</v>
      </c>
      <c r="G221" s="179"/>
      <c r="H221" s="14">
        <f t="shared" si="145"/>
        <v>0</v>
      </c>
      <c r="I221" s="14">
        <f t="shared" si="146"/>
        <v>0</v>
      </c>
      <c r="J221" s="14">
        <f t="shared" si="147"/>
        <v>0</v>
      </c>
      <c r="K221" s="164">
        <v>0</v>
      </c>
      <c r="L221" s="14">
        <f t="shared" si="148"/>
        <v>0</v>
      </c>
      <c r="M221" s="20" t="s">
        <v>6</v>
      </c>
      <c r="N221" s="14">
        <f t="shared" si="149"/>
        <v>0</v>
      </c>
      <c r="Y221" s="110">
        <f t="shared" si="150"/>
        <v>0</v>
      </c>
      <c r="Z221" s="110">
        <f t="shared" si="151"/>
        <v>0</v>
      </c>
      <c r="AA221" s="110">
        <f t="shared" si="152"/>
        <v>0</v>
      </c>
      <c r="AC221" s="24">
        <v>15</v>
      </c>
      <c r="AD221" s="113">
        <f t="shared" si="155"/>
        <v>0</v>
      </c>
      <c r="AE221" s="113">
        <f t="shared" si="156"/>
        <v>0</v>
      </c>
      <c r="AL221" s="24">
        <f t="shared" si="153"/>
        <v>0</v>
      </c>
      <c r="AM221" s="24">
        <f t="shared" si="154"/>
        <v>0</v>
      </c>
      <c r="AN221" s="25" t="s">
        <v>313</v>
      </c>
      <c r="AO221" s="25" t="s">
        <v>326</v>
      </c>
      <c r="AP221" s="19" t="s">
        <v>328</v>
      </c>
      <c r="AR221" t="s">
        <v>785</v>
      </c>
      <c r="AS221" s="197">
        <v>0</v>
      </c>
    </row>
    <row r="222" spans="1:47" s="58" customFormat="1">
      <c r="A222" s="4" t="s">
        <v>739</v>
      </c>
      <c r="B222" s="5"/>
      <c r="C222" s="5" t="s">
        <v>445</v>
      </c>
      <c r="D222" s="5" t="s">
        <v>1182</v>
      </c>
      <c r="E222" s="5" t="s">
        <v>274</v>
      </c>
      <c r="F222" s="15">
        <f>F221*1.15</f>
        <v>121.00874999999996</v>
      </c>
      <c r="G222" s="179"/>
      <c r="H222" s="15">
        <f t="shared" si="145"/>
        <v>0</v>
      </c>
      <c r="I222" s="15">
        <f>J222-H222</f>
        <v>0</v>
      </c>
      <c r="J222" s="14">
        <f t="shared" si="147"/>
        <v>0</v>
      </c>
      <c r="K222" s="165">
        <v>2.2000000000000001E-4</v>
      </c>
      <c r="L222" s="15">
        <f t="shared" si="148"/>
        <v>2.6621924999999994E-2</v>
      </c>
      <c r="M222" s="21" t="s">
        <v>290</v>
      </c>
      <c r="N222" s="15">
        <f t="shared" si="149"/>
        <v>0</v>
      </c>
      <c r="Y222" s="110">
        <f t="shared" si="150"/>
        <v>0</v>
      </c>
      <c r="Z222" s="110">
        <f t="shared" si="151"/>
        <v>0</v>
      </c>
      <c r="AA222" s="110">
        <f t="shared" si="152"/>
        <v>0</v>
      </c>
      <c r="AC222" s="24">
        <v>15</v>
      </c>
      <c r="AD222" s="113">
        <f t="shared" si="155"/>
        <v>0</v>
      </c>
      <c r="AE222" s="113">
        <f t="shared" si="156"/>
        <v>0</v>
      </c>
      <c r="AL222" s="24">
        <f t="shared" si="153"/>
        <v>0</v>
      </c>
      <c r="AM222" s="24">
        <f t="shared" si="154"/>
        <v>0</v>
      </c>
      <c r="AN222" s="25" t="s">
        <v>313</v>
      </c>
      <c r="AO222" s="25" t="s">
        <v>326</v>
      </c>
      <c r="AP222" s="19" t="s">
        <v>328</v>
      </c>
      <c r="AR222" t="s">
        <v>785</v>
      </c>
      <c r="AS222" s="198">
        <v>2.2000000000000001E-4</v>
      </c>
      <c r="AU222" s="292"/>
    </row>
    <row r="223" spans="1:47">
      <c r="A223" s="4" t="s">
        <v>740</v>
      </c>
      <c r="B223" s="5"/>
      <c r="C223" s="5" t="s">
        <v>165</v>
      </c>
      <c r="D223" s="5" t="s">
        <v>800</v>
      </c>
      <c r="E223" s="5" t="s">
        <v>272</v>
      </c>
      <c r="F223" s="15">
        <f>F216*1.1</f>
        <v>180.84</v>
      </c>
      <c r="G223" s="179"/>
      <c r="H223" s="15">
        <f t="shared" si="145"/>
        <v>0</v>
      </c>
      <c r="I223" s="15">
        <f t="shared" si="146"/>
        <v>0</v>
      </c>
      <c r="J223" s="14">
        <f t="shared" si="147"/>
        <v>0</v>
      </c>
      <c r="K223" s="165">
        <v>5.1000000000000004E-3</v>
      </c>
      <c r="L223" s="15">
        <f t="shared" si="148"/>
        <v>0.9222840000000001</v>
      </c>
      <c r="M223" s="21" t="s">
        <v>290</v>
      </c>
      <c r="N223" s="15">
        <f t="shared" si="149"/>
        <v>0</v>
      </c>
      <c r="Y223" s="110">
        <f t="shared" si="150"/>
        <v>0</v>
      </c>
      <c r="Z223" s="110">
        <f t="shared" si="151"/>
        <v>0</v>
      </c>
      <c r="AA223" s="110">
        <f t="shared" si="152"/>
        <v>0</v>
      </c>
      <c r="AC223" s="24">
        <v>15</v>
      </c>
      <c r="AD223" s="113">
        <f t="shared" si="155"/>
        <v>0</v>
      </c>
      <c r="AE223" s="113">
        <f t="shared" si="156"/>
        <v>0</v>
      </c>
      <c r="AL223" s="24">
        <f t="shared" si="153"/>
        <v>0</v>
      </c>
      <c r="AM223" s="24">
        <f t="shared" si="154"/>
        <v>0</v>
      </c>
      <c r="AN223" s="25" t="s">
        <v>313</v>
      </c>
      <c r="AO223" s="25" t="s">
        <v>326</v>
      </c>
      <c r="AP223" s="19" t="s">
        <v>328</v>
      </c>
      <c r="AR223" t="s">
        <v>785</v>
      </c>
      <c r="AS223" s="198">
        <v>1.2200000000000001E-2</v>
      </c>
    </row>
    <row r="224" spans="1:47">
      <c r="A224" s="4" t="s">
        <v>741</v>
      </c>
      <c r="B224" s="4"/>
      <c r="C224" s="4" t="s">
        <v>166</v>
      </c>
      <c r="D224" s="4" t="s">
        <v>242</v>
      </c>
      <c r="E224" s="4" t="s">
        <v>272</v>
      </c>
      <c r="F224" s="14">
        <f>F216</f>
        <v>164.39999999999998</v>
      </c>
      <c r="G224" s="179"/>
      <c r="H224" s="14">
        <f t="shared" si="145"/>
        <v>0</v>
      </c>
      <c r="I224" s="14">
        <f t="shared" si="146"/>
        <v>0</v>
      </c>
      <c r="J224" s="14">
        <f t="shared" si="147"/>
        <v>0</v>
      </c>
      <c r="K224" s="164">
        <v>4.0000000000000002E-4</v>
      </c>
      <c r="L224" s="14">
        <f t="shared" si="148"/>
        <v>6.5759999999999999E-2</v>
      </c>
      <c r="M224" s="20" t="s">
        <v>6</v>
      </c>
      <c r="N224" s="14">
        <f t="shared" si="149"/>
        <v>0</v>
      </c>
      <c r="Y224" s="110">
        <f t="shared" si="150"/>
        <v>0</v>
      </c>
      <c r="Z224" s="110">
        <f t="shared" si="151"/>
        <v>0</v>
      </c>
      <c r="AA224" s="110">
        <f t="shared" si="152"/>
        <v>0</v>
      </c>
      <c r="AC224" s="24">
        <v>15</v>
      </c>
      <c r="AD224" s="113">
        <f t="shared" si="155"/>
        <v>0</v>
      </c>
      <c r="AE224" s="113">
        <f t="shared" si="156"/>
        <v>0</v>
      </c>
      <c r="AL224" s="24">
        <f t="shared" si="153"/>
        <v>0</v>
      </c>
      <c r="AM224" s="24">
        <f t="shared" si="154"/>
        <v>0</v>
      </c>
      <c r="AN224" s="25" t="s">
        <v>313</v>
      </c>
      <c r="AO224" s="25" t="s">
        <v>326</v>
      </c>
      <c r="AP224" s="19" t="s">
        <v>328</v>
      </c>
      <c r="AR224" t="s">
        <v>785</v>
      </c>
      <c r="AS224" s="197">
        <v>4.0000000000000002E-4</v>
      </c>
    </row>
    <row r="225" spans="1:47" ht="25.5" hidden="1">
      <c r="A225" s="4" t="s">
        <v>742</v>
      </c>
      <c r="B225" s="4"/>
      <c r="C225" s="4" t="s">
        <v>909</v>
      </c>
      <c r="D225" s="273" t="s">
        <v>1045</v>
      </c>
      <c r="E225" s="4" t="s">
        <v>272</v>
      </c>
      <c r="F225" s="14">
        <f>(Výměry!P51-Výměry!P48-Výměry!P49)*0</f>
        <v>0</v>
      </c>
      <c r="G225" s="179"/>
      <c r="H225" s="14">
        <f t="shared" si="145"/>
        <v>0</v>
      </c>
      <c r="I225" s="14">
        <f>J225-H225</f>
        <v>0</v>
      </c>
      <c r="J225" s="14">
        <f t="shared" si="147"/>
        <v>0</v>
      </c>
      <c r="K225" s="164">
        <v>6.2500000000000001E-4</v>
      </c>
      <c r="L225" s="14">
        <f t="shared" si="148"/>
        <v>0</v>
      </c>
      <c r="M225" s="20" t="s">
        <v>6</v>
      </c>
      <c r="N225" s="14">
        <f t="shared" si="149"/>
        <v>0</v>
      </c>
      <c r="Y225" s="110">
        <f t="shared" si="150"/>
        <v>0</v>
      </c>
      <c r="Z225" s="110">
        <f t="shared" si="151"/>
        <v>0</v>
      </c>
      <c r="AA225" s="110">
        <f t="shared" si="152"/>
        <v>0</v>
      </c>
      <c r="AC225" s="24">
        <v>15</v>
      </c>
      <c r="AD225" s="113">
        <f t="shared" si="155"/>
        <v>0</v>
      </c>
      <c r="AE225" s="113">
        <f t="shared" si="156"/>
        <v>0</v>
      </c>
      <c r="AL225" s="24">
        <f t="shared" si="153"/>
        <v>0</v>
      </c>
      <c r="AM225" s="24">
        <f t="shared" si="154"/>
        <v>0</v>
      </c>
      <c r="AN225" s="25" t="s">
        <v>310</v>
      </c>
      <c r="AO225" s="25" t="s">
        <v>325</v>
      </c>
      <c r="AP225" s="19" t="s">
        <v>328</v>
      </c>
      <c r="AS225" s="197">
        <v>8.0000000000000004E-4</v>
      </c>
    </row>
    <row r="226" spans="1:47" s="104" customFormat="1">
      <c r="A226" s="4" t="s">
        <v>743</v>
      </c>
      <c r="B226" s="4"/>
      <c r="C226" s="4" t="s">
        <v>148</v>
      </c>
      <c r="D226" s="4" t="s">
        <v>802</v>
      </c>
      <c r="E226" s="4" t="s">
        <v>274</v>
      </c>
      <c r="F226" s="14">
        <f>3.05*2*6*5*1.15</f>
        <v>210.44999999999996</v>
      </c>
      <c r="G226" s="179"/>
      <c r="H226" s="14">
        <f t="shared" si="145"/>
        <v>0</v>
      </c>
      <c r="I226" s="14">
        <f>J226-H226</f>
        <v>0</v>
      </c>
      <c r="J226" s="14">
        <f t="shared" si="147"/>
        <v>0</v>
      </c>
      <c r="K226" s="164">
        <v>4.0000000000000003E-5</v>
      </c>
      <c r="L226" s="14">
        <f t="shared" si="148"/>
        <v>8.4179999999999984E-3</v>
      </c>
      <c r="M226" s="20" t="s">
        <v>6</v>
      </c>
      <c r="N226" s="14">
        <f t="shared" si="149"/>
        <v>0</v>
      </c>
      <c r="Y226" s="110">
        <f t="shared" si="150"/>
        <v>0</v>
      </c>
      <c r="Z226" s="110">
        <f t="shared" si="151"/>
        <v>0</v>
      </c>
      <c r="AA226" s="110">
        <f t="shared" si="152"/>
        <v>0</v>
      </c>
      <c r="AC226" s="24">
        <v>15</v>
      </c>
      <c r="AD226" s="113">
        <f t="shared" si="155"/>
        <v>0</v>
      </c>
      <c r="AE226" s="113">
        <f t="shared" si="156"/>
        <v>0</v>
      </c>
      <c r="AL226" s="24">
        <f t="shared" si="153"/>
        <v>0</v>
      </c>
      <c r="AM226" s="24">
        <f t="shared" si="154"/>
        <v>0</v>
      </c>
      <c r="AN226" s="25" t="s">
        <v>310</v>
      </c>
      <c r="AO226" s="25" t="s">
        <v>325</v>
      </c>
      <c r="AP226" s="105" t="s">
        <v>328</v>
      </c>
      <c r="AR226" s="104" t="s">
        <v>785</v>
      </c>
      <c r="AS226" s="197">
        <v>4.0000000000000003E-5</v>
      </c>
      <c r="AU226" s="288"/>
    </row>
    <row r="227" spans="1:47" s="112" customFormat="1">
      <c r="A227" s="4" t="s">
        <v>806</v>
      </c>
      <c r="B227" s="109"/>
      <c r="C227" s="109" t="s">
        <v>673</v>
      </c>
      <c r="D227" s="109" t="s">
        <v>674</v>
      </c>
      <c r="E227" s="109" t="s">
        <v>484</v>
      </c>
      <c r="F227" s="110">
        <v>3.1</v>
      </c>
      <c r="G227" s="14"/>
      <c r="H227" s="110">
        <f t="shared" si="145"/>
        <v>0</v>
      </c>
      <c r="I227" s="110">
        <f>J227-H227</f>
        <v>0</v>
      </c>
      <c r="J227" s="14">
        <f t="shared" si="147"/>
        <v>0</v>
      </c>
      <c r="K227" s="163"/>
      <c r="L227" s="110"/>
      <c r="M227" s="111" t="s">
        <v>10</v>
      </c>
      <c r="N227" s="110">
        <f>IF(M227="5",J227,0)</f>
        <v>0</v>
      </c>
      <c r="Y227" s="110">
        <f t="shared" si="150"/>
        <v>0</v>
      </c>
      <c r="Z227" s="110">
        <f t="shared" si="151"/>
        <v>0</v>
      </c>
      <c r="AA227" s="110">
        <f t="shared" si="152"/>
        <v>0</v>
      </c>
      <c r="AC227" s="113">
        <v>15</v>
      </c>
      <c r="AD227" s="113">
        <f t="shared" si="155"/>
        <v>0</v>
      </c>
      <c r="AE227" s="113">
        <f t="shared" si="156"/>
        <v>0</v>
      </c>
      <c r="AL227" s="113">
        <f t="shared" si="153"/>
        <v>0</v>
      </c>
      <c r="AM227" s="113">
        <f t="shared" si="154"/>
        <v>0</v>
      </c>
      <c r="AN227" s="114" t="s">
        <v>675</v>
      </c>
      <c r="AO227" s="114" t="s">
        <v>327</v>
      </c>
      <c r="AP227" s="115" t="s">
        <v>328</v>
      </c>
      <c r="AR227" t="s">
        <v>785</v>
      </c>
      <c r="AS227" s="197"/>
      <c r="AU227" s="287"/>
    </row>
    <row r="228" spans="1:47" hidden="1">
      <c r="A228" s="6"/>
      <c r="B228" s="12"/>
      <c r="C228" s="12" t="s">
        <v>167</v>
      </c>
      <c r="D228" s="100" t="s">
        <v>982</v>
      </c>
      <c r="E228" s="101"/>
      <c r="F228" s="101"/>
      <c r="G228" s="101"/>
      <c r="H228" s="27">
        <f>SUM(H229:H234)</f>
        <v>0</v>
      </c>
      <c r="I228" s="27">
        <f>SUM(I229:I234)</f>
        <v>0</v>
      </c>
      <c r="J228" s="27">
        <f>H228+I228</f>
        <v>0</v>
      </c>
      <c r="K228" s="167"/>
      <c r="L228" s="27">
        <f>SUM(L229:L234)</f>
        <v>0</v>
      </c>
      <c r="O228" s="27">
        <f>IF(P228="PR",J228,SUM(N229:N234))</f>
        <v>0</v>
      </c>
      <c r="P228" s="19" t="s">
        <v>294</v>
      </c>
      <c r="Q228" s="27">
        <f>IF(P228="HS",H228,0)</f>
        <v>0</v>
      </c>
      <c r="R228" s="27">
        <f>IF(P228="HS",I228-O228,0)</f>
        <v>0</v>
      </c>
      <c r="S228" s="27">
        <f>IF(P228="PS",H228,0)</f>
        <v>0</v>
      </c>
      <c r="T228" s="27">
        <f>IF(P228="PS",I228-O228,0)</f>
        <v>0</v>
      </c>
      <c r="U228" s="27">
        <f>IF(P228="MP",H228,0)</f>
        <v>0</v>
      </c>
      <c r="V228" s="27">
        <f>IF(P228="MP",I228-O228,0)</f>
        <v>0</v>
      </c>
      <c r="W228" s="27">
        <f>IF(P228="OM",H228,0)</f>
        <v>0</v>
      </c>
      <c r="X228" s="19"/>
      <c r="Y228" s="110"/>
      <c r="Z228" s="110"/>
      <c r="AA228" s="110"/>
      <c r="AD228" s="113"/>
      <c r="AE228" s="113"/>
      <c r="AH228" s="27">
        <f>SUM(Y229:Y234)</f>
        <v>0</v>
      </c>
      <c r="AI228" s="27">
        <f>SUM(Z229:Z234)</f>
        <v>0</v>
      </c>
      <c r="AJ228" s="27">
        <f>SUM(AA229:AA234)</f>
        <v>0</v>
      </c>
      <c r="AS228" s="199"/>
    </row>
    <row r="229" spans="1:47" hidden="1">
      <c r="A229" s="4" t="s">
        <v>807</v>
      </c>
      <c r="B229" s="4"/>
      <c r="C229" s="4" t="s">
        <v>168</v>
      </c>
      <c r="D229" s="4" t="s">
        <v>243</v>
      </c>
      <c r="E229" s="4" t="s">
        <v>272</v>
      </c>
      <c r="F229" s="49">
        <f>Výměry!K9+Výměry!K26+Výměry!K32</f>
        <v>0</v>
      </c>
      <c r="G229" s="14"/>
      <c r="H229" s="14">
        <f t="shared" ref="H229:H234" si="157">F229*AD229</f>
        <v>0</v>
      </c>
      <c r="I229" s="14">
        <f t="shared" ref="I229:I234" si="158">J229-H229</f>
        <v>0</v>
      </c>
      <c r="J229" s="14">
        <f t="shared" ref="J229:J234" si="159">F229*G229</f>
        <v>0</v>
      </c>
      <c r="K229" s="164">
        <v>3.6000000000000002E-4</v>
      </c>
      <c r="L229" s="14">
        <f t="shared" ref="L229:L234" si="160">F229*K229</f>
        <v>0</v>
      </c>
      <c r="M229" s="20" t="s">
        <v>6</v>
      </c>
      <c r="N229" s="14">
        <f t="shared" ref="N229:N234" si="161">IF(M229="5",I229,0)</f>
        <v>0</v>
      </c>
      <c r="Y229" s="110">
        <f t="shared" ref="Y229:Y234" si="162">IF(AC229=0,J229,0)</f>
        <v>0</v>
      </c>
      <c r="Z229" s="110">
        <f t="shared" ref="Z229:Z234" si="163">IF(AC229=15,J229,0)</f>
        <v>0</v>
      </c>
      <c r="AA229" s="110">
        <f t="shared" ref="AA229:AA234" si="164">IF(AC229=21,J229,0)</f>
        <v>0</v>
      </c>
      <c r="AC229" s="24">
        <v>15</v>
      </c>
      <c r="AD229" s="113">
        <f t="shared" si="155"/>
        <v>0</v>
      </c>
      <c r="AE229" s="113">
        <f t="shared" si="156"/>
        <v>0</v>
      </c>
      <c r="AL229" s="24">
        <f t="shared" ref="AL229:AL234" si="165">F229*AD229</f>
        <v>0</v>
      </c>
      <c r="AM229" s="24">
        <f t="shared" ref="AM229:AM234" si="166">F229*AE229</f>
        <v>0</v>
      </c>
      <c r="AN229" s="25" t="s">
        <v>314</v>
      </c>
      <c r="AO229" s="25" t="s">
        <v>326</v>
      </c>
      <c r="AP229" s="19" t="s">
        <v>328</v>
      </c>
      <c r="AR229" t="s">
        <v>785</v>
      </c>
      <c r="AS229" s="197">
        <v>3.6000000000000002E-4</v>
      </c>
    </row>
    <row r="230" spans="1:47" s="63" customFormat="1" hidden="1">
      <c r="A230" s="4" t="s">
        <v>808</v>
      </c>
      <c r="B230" s="60"/>
      <c r="C230" s="60" t="s">
        <v>576</v>
      </c>
      <c r="D230" s="4" t="s">
        <v>1028</v>
      </c>
      <c r="E230" s="60" t="s">
        <v>272</v>
      </c>
      <c r="F230" s="49">
        <f>Výměry!K15</f>
        <v>0</v>
      </c>
      <c r="G230" s="14"/>
      <c r="H230" s="61">
        <f t="shared" si="157"/>
        <v>0</v>
      </c>
      <c r="I230" s="61">
        <f t="shared" si="158"/>
        <v>0</v>
      </c>
      <c r="J230" s="61">
        <f t="shared" si="159"/>
        <v>0</v>
      </c>
      <c r="K230" s="168">
        <v>8.0999999999999996E-4</v>
      </c>
      <c r="L230" s="61">
        <f t="shared" si="160"/>
        <v>0</v>
      </c>
      <c r="M230" s="62" t="s">
        <v>6</v>
      </c>
      <c r="N230" s="61">
        <f t="shared" si="161"/>
        <v>0</v>
      </c>
      <c r="Y230" s="110">
        <f t="shared" si="162"/>
        <v>0</v>
      </c>
      <c r="Z230" s="110">
        <f t="shared" si="163"/>
        <v>0</v>
      </c>
      <c r="AA230" s="110">
        <f t="shared" si="164"/>
        <v>0</v>
      </c>
      <c r="AC230" s="64">
        <v>15</v>
      </c>
      <c r="AD230" s="113">
        <f t="shared" si="155"/>
        <v>0</v>
      </c>
      <c r="AE230" s="113">
        <f t="shared" si="156"/>
        <v>0</v>
      </c>
      <c r="AL230" s="64">
        <f t="shared" si="165"/>
        <v>0</v>
      </c>
      <c r="AM230" s="64">
        <f t="shared" si="166"/>
        <v>0</v>
      </c>
      <c r="AN230" s="65" t="s">
        <v>314</v>
      </c>
      <c r="AO230" s="65" t="s">
        <v>326</v>
      </c>
      <c r="AP230" s="66" t="s">
        <v>328</v>
      </c>
      <c r="AR230" t="s">
        <v>785</v>
      </c>
      <c r="AS230" s="197">
        <v>8.0999999999999996E-4</v>
      </c>
      <c r="AU230" s="297"/>
    </row>
    <row r="231" spans="1:47" s="99" customFormat="1" hidden="1">
      <c r="A231" s="4" t="s">
        <v>809</v>
      </c>
      <c r="B231" s="60"/>
      <c r="C231" s="60" t="s">
        <v>577</v>
      </c>
      <c r="D231" s="60" t="s">
        <v>578</v>
      </c>
      <c r="E231" s="60" t="s">
        <v>274</v>
      </c>
      <c r="F231" s="49">
        <v>0</v>
      </c>
      <c r="G231" s="14"/>
      <c r="H231" s="61">
        <f t="shared" si="157"/>
        <v>0</v>
      </c>
      <c r="I231" s="61">
        <f t="shared" si="158"/>
        <v>0</v>
      </c>
      <c r="J231" s="61">
        <f t="shared" si="159"/>
        <v>0</v>
      </c>
      <c r="K231" s="168">
        <v>9.0000000000000006E-5</v>
      </c>
      <c r="L231" s="61">
        <f t="shared" si="160"/>
        <v>0</v>
      </c>
      <c r="M231" s="62" t="s">
        <v>6</v>
      </c>
      <c r="N231" s="61">
        <f t="shared" si="161"/>
        <v>0</v>
      </c>
      <c r="Y231" s="110">
        <f t="shared" si="162"/>
        <v>0</v>
      </c>
      <c r="Z231" s="110">
        <f t="shared" si="163"/>
        <v>0</v>
      </c>
      <c r="AA231" s="110">
        <f t="shared" si="164"/>
        <v>0</v>
      </c>
      <c r="AC231" s="64">
        <v>15</v>
      </c>
      <c r="AD231" s="113">
        <f t="shared" si="155"/>
        <v>0</v>
      </c>
      <c r="AE231" s="113">
        <f t="shared" si="156"/>
        <v>0</v>
      </c>
      <c r="AL231" s="64">
        <f t="shared" si="165"/>
        <v>0</v>
      </c>
      <c r="AM231" s="64">
        <f t="shared" si="166"/>
        <v>0</v>
      </c>
      <c r="AN231" s="65" t="s">
        <v>314</v>
      </c>
      <c r="AO231" s="65" t="s">
        <v>326</v>
      </c>
      <c r="AP231" s="66" t="s">
        <v>328</v>
      </c>
      <c r="AR231" t="s">
        <v>785</v>
      </c>
      <c r="AS231" s="197">
        <v>9.0000000000000006E-5</v>
      </c>
      <c r="AU231" s="295"/>
    </row>
    <row r="232" spans="1:47" hidden="1">
      <c r="A232" s="4" t="s">
        <v>810</v>
      </c>
      <c r="B232" s="4"/>
      <c r="C232" s="4" t="s">
        <v>443</v>
      </c>
      <c r="D232" s="4" t="s">
        <v>444</v>
      </c>
      <c r="E232" s="4" t="s">
        <v>272</v>
      </c>
      <c r="F232" s="14">
        <f>F229+F230</f>
        <v>0</v>
      </c>
      <c r="G232" s="14"/>
      <c r="H232" s="14">
        <f t="shared" si="157"/>
        <v>0</v>
      </c>
      <c r="I232" s="14">
        <f t="shared" si="158"/>
        <v>0</v>
      </c>
      <c r="J232" s="14">
        <f t="shared" si="159"/>
        <v>0</v>
      </c>
      <c r="K232" s="164">
        <v>1.0000000000000001E-5</v>
      </c>
      <c r="L232" s="14">
        <f t="shared" si="160"/>
        <v>0</v>
      </c>
      <c r="M232" s="20" t="s">
        <v>6</v>
      </c>
      <c r="N232" s="14">
        <f t="shared" si="161"/>
        <v>0</v>
      </c>
      <c r="Y232" s="110">
        <f t="shared" si="162"/>
        <v>0</v>
      </c>
      <c r="Z232" s="110">
        <f t="shared" si="163"/>
        <v>0</v>
      </c>
      <c r="AA232" s="110">
        <f t="shared" si="164"/>
        <v>0</v>
      </c>
      <c r="AC232" s="24">
        <v>15</v>
      </c>
      <c r="AD232" s="113">
        <f t="shared" si="155"/>
        <v>0</v>
      </c>
      <c r="AE232" s="113">
        <f t="shared" si="156"/>
        <v>0</v>
      </c>
      <c r="AL232" s="24">
        <f t="shared" si="165"/>
        <v>0</v>
      </c>
      <c r="AM232" s="24">
        <f t="shared" si="166"/>
        <v>0</v>
      </c>
      <c r="AN232" s="25" t="s">
        <v>314</v>
      </c>
      <c r="AO232" s="25" t="s">
        <v>326</v>
      </c>
      <c r="AP232" s="19" t="s">
        <v>328</v>
      </c>
      <c r="AR232" t="s">
        <v>785</v>
      </c>
      <c r="AS232" s="197">
        <v>1.0000000000000001E-5</v>
      </c>
    </row>
    <row r="233" spans="1:47" hidden="1">
      <c r="A233" s="4" t="s">
        <v>811</v>
      </c>
      <c r="B233" s="4"/>
      <c r="C233" s="4" t="s">
        <v>440</v>
      </c>
      <c r="D233" s="4" t="s">
        <v>441</v>
      </c>
      <c r="E233" s="4" t="s">
        <v>272</v>
      </c>
      <c r="F233" s="14">
        <f>F232</f>
        <v>0</v>
      </c>
      <c r="G233" s="14"/>
      <c r="H233" s="14">
        <f t="shared" si="157"/>
        <v>0</v>
      </c>
      <c r="I233" s="14">
        <f t="shared" si="158"/>
        <v>0</v>
      </c>
      <c r="J233" s="14">
        <f t="shared" si="159"/>
        <v>0</v>
      </c>
      <c r="K233" s="164">
        <v>6.9999999999999994E-5</v>
      </c>
      <c r="L233" s="14">
        <f t="shared" si="160"/>
        <v>0</v>
      </c>
      <c r="M233" s="20" t="s">
        <v>6</v>
      </c>
      <c r="N233" s="14">
        <f t="shared" si="161"/>
        <v>0</v>
      </c>
      <c r="Y233" s="110">
        <f t="shared" si="162"/>
        <v>0</v>
      </c>
      <c r="Z233" s="110">
        <f t="shared" si="163"/>
        <v>0</v>
      </c>
      <c r="AA233" s="110">
        <f t="shared" si="164"/>
        <v>0</v>
      </c>
      <c r="AC233" s="24">
        <v>15</v>
      </c>
      <c r="AD233" s="113">
        <f t="shared" si="155"/>
        <v>0</v>
      </c>
      <c r="AE233" s="113">
        <f t="shared" si="156"/>
        <v>0</v>
      </c>
      <c r="AL233" s="24">
        <f t="shared" si="165"/>
        <v>0</v>
      </c>
      <c r="AM233" s="24">
        <f t="shared" si="166"/>
        <v>0</v>
      </c>
      <c r="AN233" s="25" t="s">
        <v>314</v>
      </c>
      <c r="AO233" s="25" t="s">
        <v>326</v>
      </c>
      <c r="AP233" s="19" t="s">
        <v>328</v>
      </c>
      <c r="AR233" t="s">
        <v>785</v>
      </c>
      <c r="AS233" s="197">
        <v>6.9999999999999994E-5</v>
      </c>
    </row>
    <row r="234" spans="1:47" hidden="1">
      <c r="A234" s="4" t="s">
        <v>812</v>
      </c>
      <c r="B234" s="4"/>
      <c r="C234" s="4" t="s">
        <v>169</v>
      </c>
      <c r="D234" s="4" t="s">
        <v>244</v>
      </c>
      <c r="E234" s="4" t="s">
        <v>272</v>
      </c>
      <c r="F234" s="14">
        <f>F229</f>
        <v>0</v>
      </c>
      <c r="G234" s="14"/>
      <c r="H234" s="14">
        <f t="shared" si="157"/>
        <v>0</v>
      </c>
      <c r="I234" s="14">
        <f t="shared" si="158"/>
        <v>0</v>
      </c>
      <c r="J234" s="14">
        <f t="shared" si="159"/>
        <v>0</v>
      </c>
      <c r="K234" s="164">
        <v>8.0000000000000007E-5</v>
      </c>
      <c r="L234" s="14">
        <f t="shared" si="160"/>
        <v>0</v>
      </c>
      <c r="M234" s="20" t="s">
        <v>6</v>
      </c>
      <c r="N234" s="14">
        <f t="shared" si="161"/>
        <v>0</v>
      </c>
      <c r="Y234" s="110">
        <f t="shared" si="162"/>
        <v>0</v>
      </c>
      <c r="Z234" s="110">
        <f t="shared" si="163"/>
        <v>0</v>
      </c>
      <c r="AA234" s="110">
        <f t="shared" si="164"/>
        <v>0</v>
      </c>
      <c r="AC234" s="24">
        <v>15</v>
      </c>
      <c r="AD234" s="113">
        <f t="shared" si="155"/>
        <v>0</v>
      </c>
      <c r="AE234" s="113">
        <f t="shared" si="156"/>
        <v>0</v>
      </c>
      <c r="AL234" s="24">
        <f t="shared" si="165"/>
        <v>0</v>
      </c>
      <c r="AM234" s="24">
        <f t="shared" si="166"/>
        <v>0</v>
      </c>
      <c r="AN234" s="25" t="s">
        <v>314</v>
      </c>
      <c r="AO234" s="25" t="s">
        <v>326</v>
      </c>
      <c r="AP234" s="19" t="s">
        <v>328</v>
      </c>
      <c r="AR234" t="s">
        <v>785</v>
      </c>
      <c r="AS234" s="197">
        <v>8.0000000000000007E-5</v>
      </c>
    </row>
    <row r="235" spans="1:47">
      <c r="A235" s="6"/>
      <c r="B235" s="12"/>
      <c r="C235" s="12" t="s">
        <v>170</v>
      </c>
      <c r="D235" s="100" t="s">
        <v>1119</v>
      </c>
      <c r="E235" s="101"/>
      <c r="F235" s="101"/>
      <c r="G235" s="101"/>
      <c r="H235" s="27">
        <f>SUM(H236:H251)</f>
        <v>0</v>
      </c>
      <c r="I235" s="27">
        <f>SUM(I236:I251)</f>
        <v>0</v>
      </c>
      <c r="J235" s="27">
        <f>H235+I235</f>
        <v>0</v>
      </c>
      <c r="K235" s="167"/>
      <c r="L235" s="27">
        <f>SUM(L236:L251)</f>
        <v>0.24370910849999999</v>
      </c>
      <c r="O235" s="27">
        <f>IF(P235="PR",J235,SUM(N236:N251))</f>
        <v>0</v>
      </c>
      <c r="P235" s="19" t="s">
        <v>294</v>
      </c>
      <c r="Q235" s="27">
        <f>IF(P235="HS",H235,0)</f>
        <v>0</v>
      </c>
      <c r="R235" s="27">
        <f>IF(P235="HS",I235-O235,0)</f>
        <v>0</v>
      </c>
      <c r="S235" s="27">
        <f>IF(P235="PS",H235,0)</f>
        <v>0</v>
      </c>
      <c r="T235" s="27">
        <f>IF(P235="PS",I235-O235,0)</f>
        <v>0</v>
      </c>
      <c r="U235" s="27">
        <f>IF(P235="MP",H235,0)</f>
        <v>0</v>
      </c>
      <c r="V235" s="27">
        <f>IF(P235="MP",I235-O235,0)</f>
        <v>0</v>
      </c>
      <c r="W235" s="27">
        <f>IF(P235="OM",H235,0)</f>
        <v>0</v>
      </c>
      <c r="X235" s="19"/>
      <c r="Y235" s="110"/>
      <c r="Z235" s="110"/>
      <c r="AA235" s="110"/>
      <c r="AD235" s="113"/>
      <c r="AE235" s="113"/>
      <c r="AH235" s="27">
        <f>SUM(Y236:Y251)</f>
        <v>0</v>
      </c>
      <c r="AI235" s="27">
        <f>SUM(Z236:Z251)</f>
        <v>0</v>
      </c>
      <c r="AJ235" s="27">
        <f>SUM(AA236:AA251)</f>
        <v>0</v>
      </c>
      <c r="AS235" s="199"/>
    </row>
    <row r="236" spans="1:47">
      <c r="A236" s="4" t="s">
        <v>813</v>
      </c>
      <c r="B236" s="4"/>
      <c r="C236" s="4" t="s">
        <v>171</v>
      </c>
      <c r="D236" s="4" t="s">
        <v>1185</v>
      </c>
      <c r="E236" s="4" t="s">
        <v>272</v>
      </c>
      <c r="F236" s="14">
        <f>(Výměry!D60+Výměry!U60)*1.15</f>
        <v>147.31430999999998</v>
      </c>
      <c r="G236" s="14"/>
      <c r="H236" s="14">
        <f t="shared" ref="H236:H251" si="167">F236*AD236</f>
        <v>0</v>
      </c>
      <c r="I236" s="14">
        <f t="shared" ref="I236:I251" si="168">J236-H236</f>
        <v>0</v>
      </c>
      <c r="J236" s="14">
        <f t="shared" ref="J236:J251" si="169">F236*G236</f>
        <v>0</v>
      </c>
      <c r="K236" s="164">
        <v>2.0000000000000001E-4</v>
      </c>
      <c r="L236" s="14">
        <f t="shared" ref="L236:L251" si="170">F236*K236</f>
        <v>2.9462861999999996E-2</v>
      </c>
      <c r="M236" s="20" t="s">
        <v>6</v>
      </c>
      <c r="N236" s="14">
        <f t="shared" ref="N236:N251" si="171">IF(M236="5",I236,0)</f>
        <v>0</v>
      </c>
      <c r="Y236" s="110">
        <f t="shared" ref="Y236:Y251" si="172">IF(AC236=0,J236,0)</f>
        <v>0</v>
      </c>
      <c r="Z236" s="110">
        <f t="shared" ref="Z236:Z251" si="173">IF(AC236=15,J236,0)</f>
        <v>0</v>
      </c>
      <c r="AA236" s="110">
        <f t="shared" ref="AA236:AA251" si="174">IF(AC236=21,J236,0)</f>
        <v>0</v>
      </c>
      <c r="AC236" s="24">
        <v>15</v>
      </c>
      <c r="AD236" s="113">
        <f t="shared" si="155"/>
        <v>0</v>
      </c>
      <c r="AE236" s="113">
        <f t="shared" si="156"/>
        <v>0</v>
      </c>
      <c r="AL236" s="24">
        <f t="shared" ref="AL236:AL251" si="175">F236*AD236</f>
        <v>0</v>
      </c>
      <c r="AM236" s="24">
        <f t="shared" ref="AM236:AM251" si="176">F236*AE236</f>
        <v>0</v>
      </c>
      <c r="AN236" s="25" t="s">
        <v>315</v>
      </c>
      <c r="AO236" s="25" t="s">
        <v>326</v>
      </c>
      <c r="AP236" s="19" t="s">
        <v>328</v>
      </c>
      <c r="AR236" t="s">
        <v>785</v>
      </c>
      <c r="AS236" s="197">
        <v>2.0000000000000001E-4</v>
      </c>
    </row>
    <row r="237" spans="1:47" s="133" customFormat="1" hidden="1">
      <c r="A237" s="4" t="s">
        <v>814</v>
      </c>
      <c r="B237" s="109"/>
      <c r="C237" s="109" t="s">
        <v>656</v>
      </c>
      <c r="D237" s="109" t="s">
        <v>657</v>
      </c>
      <c r="E237" s="109" t="s">
        <v>272</v>
      </c>
      <c r="F237" s="14">
        <v>0</v>
      </c>
      <c r="G237" s="14"/>
      <c r="H237" s="110">
        <f t="shared" si="167"/>
        <v>0</v>
      </c>
      <c r="I237" s="110">
        <f t="shared" si="168"/>
        <v>0</v>
      </c>
      <c r="J237" s="14">
        <f t="shared" si="169"/>
        <v>0</v>
      </c>
      <c r="K237" s="163">
        <v>3.0000000000000001E-5</v>
      </c>
      <c r="L237" s="110">
        <f t="shared" si="170"/>
        <v>0</v>
      </c>
      <c r="M237" s="111" t="s">
        <v>6</v>
      </c>
      <c r="N237" s="110">
        <f t="shared" si="171"/>
        <v>0</v>
      </c>
      <c r="Y237" s="110">
        <f t="shared" si="172"/>
        <v>0</v>
      </c>
      <c r="Z237" s="110">
        <f t="shared" si="173"/>
        <v>0</v>
      </c>
      <c r="AA237" s="110">
        <f t="shared" si="174"/>
        <v>0</v>
      </c>
      <c r="AC237" s="113">
        <v>15</v>
      </c>
      <c r="AD237" s="113">
        <f t="shared" si="155"/>
        <v>0</v>
      </c>
      <c r="AE237" s="113">
        <f t="shared" si="156"/>
        <v>0</v>
      </c>
      <c r="AL237" s="113">
        <f t="shared" si="175"/>
        <v>0</v>
      </c>
      <c r="AM237" s="113">
        <f t="shared" si="176"/>
        <v>0</v>
      </c>
      <c r="AN237" s="114" t="s">
        <v>315</v>
      </c>
      <c r="AO237" s="114" t="s">
        <v>326</v>
      </c>
      <c r="AP237" s="134" t="s">
        <v>328</v>
      </c>
      <c r="AR237" s="104" t="s">
        <v>785</v>
      </c>
      <c r="AS237" s="197">
        <v>3.0000000000000001E-5</v>
      </c>
      <c r="AU237" s="286"/>
    </row>
    <row r="238" spans="1:47" s="133" customFormat="1" hidden="1">
      <c r="A238" s="4" t="s">
        <v>815</v>
      </c>
      <c r="B238" s="109"/>
      <c r="C238" s="109" t="s">
        <v>658</v>
      </c>
      <c r="D238" s="109" t="s">
        <v>659</v>
      </c>
      <c r="E238" s="109" t="s">
        <v>272</v>
      </c>
      <c r="F238" s="14">
        <v>0</v>
      </c>
      <c r="G238" s="14"/>
      <c r="H238" s="110">
        <f t="shared" si="167"/>
        <v>0</v>
      </c>
      <c r="I238" s="110">
        <f t="shared" si="168"/>
        <v>0</v>
      </c>
      <c r="J238" s="14">
        <f t="shared" si="169"/>
        <v>0</v>
      </c>
      <c r="K238" s="163">
        <v>6.9999999999999994E-5</v>
      </c>
      <c r="L238" s="110">
        <f t="shared" si="170"/>
        <v>0</v>
      </c>
      <c r="M238" s="111" t="s">
        <v>6</v>
      </c>
      <c r="N238" s="110">
        <f t="shared" si="171"/>
        <v>0</v>
      </c>
      <c r="Y238" s="110">
        <f t="shared" si="172"/>
        <v>0</v>
      </c>
      <c r="Z238" s="110">
        <f t="shared" si="173"/>
        <v>0</v>
      </c>
      <c r="AA238" s="110">
        <f t="shared" si="174"/>
        <v>0</v>
      </c>
      <c r="AC238" s="113">
        <v>15</v>
      </c>
      <c r="AD238" s="113">
        <f t="shared" si="155"/>
        <v>0</v>
      </c>
      <c r="AE238" s="113">
        <f t="shared" si="156"/>
        <v>0</v>
      </c>
      <c r="AL238" s="113">
        <f t="shared" si="175"/>
        <v>0</v>
      </c>
      <c r="AM238" s="113">
        <f t="shared" si="176"/>
        <v>0</v>
      </c>
      <c r="AN238" s="114" t="s">
        <v>315</v>
      </c>
      <c r="AO238" s="114" t="s">
        <v>326</v>
      </c>
      <c r="AP238" s="134" t="s">
        <v>328</v>
      </c>
      <c r="AR238" s="104" t="s">
        <v>785</v>
      </c>
      <c r="AS238" s="197">
        <v>6.9999999999999994E-5</v>
      </c>
      <c r="AU238" s="286"/>
    </row>
    <row r="239" spans="1:47" s="133" customFormat="1" hidden="1">
      <c r="A239" s="4" t="s">
        <v>816</v>
      </c>
      <c r="B239" s="109"/>
      <c r="C239" s="109" t="s">
        <v>660</v>
      </c>
      <c r="D239" s="109" t="s">
        <v>661</v>
      </c>
      <c r="E239" s="109" t="s">
        <v>272</v>
      </c>
      <c r="F239" s="14">
        <f>F236*0</f>
        <v>0</v>
      </c>
      <c r="G239" s="14"/>
      <c r="H239" s="110">
        <f t="shared" si="167"/>
        <v>0</v>
      </c>
      <c r="I239" s="110">
        <f t="shared" si="168"/>
        <v>0</v>
      </c>
      <c r="J239" s="14">
        <f t="shared" si="169"/>
        <v>0</v>
      </c>
      <c r="K239" s="194">
        <v>1.4999999999999999E-4</v>
      </c>
      <c r="L239" s="110">
        <f t="shared" si="170"/>
        <v>0</v>
      </c>
      <c r="M239" s="111" t="s">
        <v>6</v>
      </c>
      <c r="N239" s="110">
        <f t="shared" si="171"/>
        <v>0</v>
      </c>
      <c r="Y239" s="110">
        <f t="shared" si="172"/>
        <v>0</v>
      </c>
      <c r="Z239" s="110">
        <f t="shared" si="173"/>
        <v>0</v>
      </c>
      <c r="AA239" s="110">
        <f t="shared" si="174"/>
        <v>0</v>
      </c>
      <c r="AC239" s="113">
        <v>15</v>
      </c>
      <c r="AD239" s="113">
        <f t="shared" si="155"/>
        <v>0</v>
      </c>
      <c r="AE239" s="113">
        <f t="shared" si="156"/>
        <v>0</v>
      </c>
      <c r="AL239" s="113">
        <f t="shared" si="175"/>
        <v>0</v>
      </c>
      <c r="AM239" s="113">
        <f t="shared" si="176"/>
        <v>0</v>
      </c>
      <c r="AN239" s="114" t="s">
        <v>315</v>
      </c>
      <c r="AO239" s="114" t="s">
        <v>326</v>
      </c>
      <c r="AP239" s="134" t="s">
        <v>328</v>
      </c>
      <c r="AR239" s="104" t="s">
        <v>785</v>
      </c>
      <c r="AS239" s="197">
        <v>1.4999999999999999E-4</v>
      </c>
      <c r="AU239" s="286"/>
    </row>
    <row r="240" spans="1:47" s="104" customFormat="1" ht="25.5">
      <c r="A240" s="4" t="s">
        <v>817</v>
      </c>
      <c r="B240" s="4"/>
      <c r="C240" s="4" t="s">
        <v>172</v>
      </c>
      <c r="D240" s="135" t="s">
        <v>1183</v>
      </c>
      <c r="E240" s="4" t="s">
        <v>272</v>
      </c>
      <c r="F240" s="14">
        <f>Výměry!D60</f>
        <v>116.38799999999999</v>
      </c>
      <c r="G240" s="14"/>
      <c r="H240" s="14">
        <f t="shared" si="167"/>
        <v>0</v>
      </c>
      <c r="I240" s="14">
        <f>J240-H240</f>
        <v>0</v>
      </c>
      <c r="J240" s="14">
        <f t="shared" si="169"/>
        <v>0</v>
      </c>
      <c r="K240" s="164">
        <v>1.5E-3</v>
      </c>
      <c r="L240" s="14">
        <f t="shared" si="170"/>
        <v>0.17458199999999999</v>
      </c>
      <c r="M240" s="20" t="s">
        <v>6</v>
      </c>
      <c r="N240" s="14">
        <f t="shared" si="171"/>
        <v>0</v>
      </c>
      <c r="Y240" s="110">
        <f t="shared" si="172"/>
        <v>0</v>
      </c>
      <c r="Z240" s="110">
        <f t="shared" si="173"/>
        <v>0</v>
      </c>
      <c r="AA240" s="110">
        <f t="shared" si="174"/>
        <v>0</v>
      </c>
      <c r="AC240" s="24">
        <v>15</v>
      </c>
      <c r="AD240" s="113">
        <f t="shared" si="155"/>
        <v>0</v>
      </c>
      <c r="AE240" s="113">
        <f t="shared" si="156"/>
        <v>0</v>
      </c>
      <c r="AL240" s="24">
        <f t="shared" si="175"/>
        <v>0</v>
      </c>
      <c r="AM240" s="24">
        <f t="shared" si="176"/>
        <v>0</v>
      </c>
      <c r="AN240" s="25" t="s">
        <v>315</v>
      </c>
      <c r="AO240" s="25" t="s">
        <v>326</v>
      </c>
      <c r="AP240" s="105" t="s">
        <v>328</v>
      </c>
      <c r="AQ240" s="104" t="s">
        <v>426</v>
      </c>
      <c r="AR240" s="104" t="s">
        <v>785</v>
      </c>
      <c r="AS240" s="197">
        <v>1.5E-3</v>
      </c>
      <c r="AU240" s="288"/>
    </row>
    <row r="241" spans="1:47" s="104" customFormat="1" ht="25.5">
      <c r="A241" s="4" t="s">
        <v>818</v>
      </c>
      <c r="B241" s="4"/>
      <c r="C241" s="4" t="s">
        <v>172</v>
      </c>
      <c r="D241" s="269" t="s">
        <v>1184</v>
      </c>
      <c r="E241" s="4" t="s">
        <v>272</v>
      </c>
      <c r="F241" s="14">
        <f>Výměry!U60*1</f>
        <v>11.711399999999999</v>
      </c>
      <c r="G241" s="14"/>
      <c r="H241" s="14">
        <f t="shared" si="167"/>
        <v>0</v>
      </c>
      <c r="I241" s="14">
        <f t="shared" si="168"/>
        <v>0</v>
      </c>
      <c r="J241" s="14">
        <f t="shared" si="169"/>
        <v>0</v>
      </c>
      <c r="K241" s="164">
        <v>1.5E-3</v>
      </c>
      <c r="L241" s="14">
        <f t="shared" si="170"/>
        <v>1.7567099999999999E-2</v>
      </c>
      <c r="M241" s="20" t="s">
        <v>6</v>
      </c>
      <c r="N241" s="14">
        <f t="shared" si="171"/>
        <v>0</v>
      </c>
      <c r="Y241" s="110">
        <f t="shared" si="172"/>
        <v>0</v>
      </c>
      <c r="Z241" s="110">
        <f t="shared" si="173"/>
        <v>0</v>
      </c>
      <c r="AA241" s="110">
        <f t="shared" si="174"/>
        <v>0</v>
      </c>
      <c r="AC241" s="24">
        <v>15</v>
      </c>
      <c r="AD241" s="113">
        <f t="shared" si="155"/>
        <v>0</v>
      </c>
      <c r="AE241" s="113">
        <f t="shared" si="156"/>
        <v>0</v>
      </c>
      <c r="AL241" s="24">
        <f t="shared" si="175"/>
        <v>0</v>
      </c>
      <c r="AM241" s="24">
        <f t="shared" si="176"/>
        <v>0</v>
      </c>
      <c r="AN241" s="25" t="s">
        <v>315</v>
      </c>
      <c r="AO241" s="25" t="s">
        <v>326</v>
      </c>
      <c r="AP241" s="105" t="s">
        <v>328</v>
      </c>
      <c r="AQ241" s="104" t="s">
        <v>426</v>
      </c>
      <c r="AR241" s="104" t="s">
        <v>785</v>
      </c>
      <c r="AS241" s="197">
        <v>1.5E-3</v>
      </c>
      <c r="AU241" s="288"/>
    </row>
    <row r="242" spans="1:47">
      <c r="A242" s="4" t="s">
        <v>819</v>
      </c>
      <c r="B242" s="4"/>
      <c r="C242" s="4" t="s">
        <v>173</v>
      </c>
      <c r="D242" s="4" t="s">
        <v>1186</v>
      </c>
      <c r="E242" s="4" t="s">
        <v>272</v>
      </c>
      <c r="F242" s="14">
        <f>F236</f>
        <v>147.31430999999998</v>
      </c>
      <c r="G242" s="14"/>
      <c r="H242" s="14">
        <f t="shared" si="167"/>
        <v>0</v>
      </c>
      <c r="I242" s="14">
        <f t="shared" si="168"/>
        <v>0</v>
      </c>
      <c r="J242" s="14">
        <f t="shared" si="169"/>
        <v>0</v>
      </c>
      <c r="K242" s="164">
        <v>1.4999999999999999E-4</v>
      </c>
      <c r="L242" s="14">
        <f t="shared" si="170"/>
        <v>2.2097146499999994E-2</v>
      </c>
      <c r="M242" s="20" t="s">
        <v>6</v>
      </c>
      <c r="N242" s="14">
        <f t="shared" si="171"/>
        <v>0</v>
      </c>
      <c r="Y242" s="110">
        <f t="shared" si="172"/>
        <v>0</v>
      </c>
      <c r="Z242" s="110">
        <f t="shared" si="173"/>
        <v>0</v>
      </c>
      <c r="AA242" s="110">
        <f t="shared" si="174"/>
        <v>0</v>
      </c>
      <c r="AC242" s="24">
        <v>15</v>
      </c>
      <c r="AD242" s="113">
        <f t="shared" si="155"/>
        <v>0</v>
      </c>
      <c r="AE242" s="113">
        <f t="shared" si="156"/>
        <v>0</v>
      </c>
      <c r="AL242" s="24">
        <f t="shared" si="175"/>
        <v>0</v>
      </c>
      <c r="AM242" s="24">
        <f t="shared" si="176"/>
        <v>0</v>
      </c>
      <c r="AN242" s="25" t="s">
        <v>315</v>
      </c>
      <c r="AO242" s="25" t="s">
        <v>326</v>
      </c>
      <c r="AP242" s="19" t="s">
        <v>328</v>
      </c>
      <c r="AR242" t="s">
        <v>785</v>
      </c>
      <c r="AS242" s="197">
        <v>1.4999999999999999E-4</v>
      </c>
    </row>
    <row r="243" spans="1:47" s="104" customFormat="1" hidden="1">
      <c r="A243" s="4" t="s">
        <v>820</v>
      </c>
      <c r="B243" s="4"/>
      <c r="C243" s="4" t="s">
        <v>174</v>
      </c>
      <c r="D243" s="4" t="s">
        <v>245</v>
      </c>
      <c r="E243" s="4" t="s">
        <v>272</v>
      </c>
      <c r="F243" s="14">
        <v>0</v>
      </c>
      <c r="G243" s="14"/>
      <c r="H243" s="14">
        <f t="shared" si="167"/>
        <v>0</v>
      </c>
      <c r="I243" s="14">
        <f t="shared" si="168"/>
        <v>0</v>
      </c>
      <c r="J243" s="14">
        <f t="shared" si="169"/>
        <v>0</v>
      </c>
      <c r="K243" s="164">
        <v>1.4999999999999999E-4</v>
      </c>
      <c r="L243" s="14">
        <f t="shared" si="170"/>
        <v>0</v>
      </c>
      <c r="M243" s="20" t="s">
        <v>6</v>
      </c>
      <c r="N243" s="14">
        <f t="shared" si="171"/>
        <v>0</v>
      </c>
      <c r="Y243" s="110">
        <f t="shared" si="172"/>
        <v>0</v>
      </c>
      <c r="Z243" s="110">
        <f t="shared" si="173"/>
        <v>0</v>
      </c>
      <c r="AA243" s="110">
        <f t="shared" si="174"/>
        <v>0</v>
      </c>
      <c r="AC243" s="24">
        <v>15</v>
      </c>
      <c r="AD243" s="113">
        <f t="shared" si="155"/>
        <v>0</v>
      </c>
      <c r="AE243" s="113">
        <f t="shared" si="156"/>
        <v>0</v>
      </c>
      <c r="AL243" s="24">
        <f t="shared" si="175"/>
        <v>0</v>
      </c>
      <c r="AM243" s="24">
        <f t="shared" si="176"/>
        <v>0</v>
      </c>
      <c r="AN243" s="25" t="s">
        <v>315</v>
      </c>
      <c r="AO243" s="25" t="s">
        <v>326</v>
      </c>
      <c r="AP243" s="105" t="s">
        <v>328</v>
      </c>
      <c r="AR243" s="104" t="s">
        <v>785</v>
      </c>
      <c r="AS243" s="197">
        <v>1.4999999999999999E-4</v>
      </c>
      <c r="AU243" s="288"/>
    </row>
    <row r="244" spans="1:47" hidden="1">
      <c r="A244" s="4" t="s">
        <v>821</v>
      </c>
      <c r="B244" s="4"/>
      <c r="C244" s="122" t="s">
        <v>174</v>
      </c>
      <c r="D244" s="4" t="s">
        <v>1040</v>
      </c>
      <c r="E244" s="122" t="s">
        <v>272</v>
      </c>
      <c r="F244" s="14">
        <f>Výměry!U60*0</f>
        <v>0</v>
      </c>
      <c r="G244" s="14"/>
      <c r="H244" s="14">
        <f t="shared" si="167"/>
        <v>0</v>
      </c>
      <c r="I244" s="14">
        <f>J244-H244</f>
        <v>0</v>
      </c>
      <c r="J244" s="14">
        <f t="shared" si="169"/>
        <v>0</v>
      </c>
      <c r="K244" s="164">
        <v>0</v>
      </c>
      <c r="L244" s="14">
        <f t="shared" si="170"/>
        <v>0</v>
      </c>
      <c r="M244" s="20" t="s">
        <v>6</v>
      </c>
      <c r="N244" s="14">
        <f t="shared" si="171"/>
        <v>0</v>
      </c>
      <c r="Y244" s="110">
        <f t="shared" si="172"/>
        <v>0</v>
      </c>
      <c r="Z244" s="110">
        <f t="shared" si="173"/>
        <v>0</v>
      </c>
      <c r="AA244" s="110">
        <f t="shared" si="174"/>
        <v>0</v>
      </c>
      <c r="AC244" s="24">
        <v>15</v>
      </c>
      <c r="AD244" s="113">
        <f t="shared" si="155"/>
        <v>0</v>
      </c>
      <c r="AE244" s="113">
        <f t="shared" si="156"/>
        <v>0</v>
      </c>
      <c r="AL244" s="24">
        <f t="shared" si="175"/>
        <v>0</v>
      </c>
      <c r="AM244" s="24">
        <f t="shared" si="176"/>
        <v>0</v>
      </c>
      <c r="AN244" s="25" t="s">
        <v>315</v>
      </c>
      <c r="AO244" s="25" t="s">
        <v>326</v>
      </c>
      <c r="AP244" s="19" t="s">
        <v>328</v>
      </c>
      <c r="AS244" s="197">
        <v>1E-4</v>
      </c>
    </row>
    <row r="245" spans="1:47" s="143" customFormat="1" hidden="1">
      <c r="A245" s="4" t="s">
        <v>822</v>
      </c>
      <c r="B245" s="122"/>
      <c r="C245" s="122" t="s">
        <v>773</v>
      </c>
      <c r="D245" s="122" t="s">
        <v>774</v>
      </c>
      <c r="E245" s="122" t="s">
        <v>272</v>
      </c>
      <c r="F245" s="14">
        <f>Výměry!D60*0</f>
        <v>0</v>
      </c>
      <c r="G245" s="14"/>
      <c r="H245" s="123">
        <f t="shared" si="167"/>
        <v>0</v>
      </c>
      <c r="I245" s="123">
        <f>J245-H245</f>
        <v>0</v>
      </c>
      <c r="J245" s="14">
        <f t="shared" si="169"/>
        <v>0</v>
      </c>
      <c r="K245" s="195">
        <v>1.1999999999999999E-3</v>
      </c>
      <c r="L245" s="123">
        <f t="shared" si="170"/>
        <v>0</v>
      </c>
      <c r="M245" s="124" t="s">
        <v>6</v>
      </c>
      <c r="N245" s="123">
        <f t="shared" si="171"/>
        <v>0</v>
      </c>
      <c r="Y245" s="110">
        <f t="shared" si="172"/>
        <v>0</v>
      </c>
      <c r="Z245" s="110">
        <f t="shared" si="173"/>
        <v>0</v>
      </c>
      <c r="AA245" s="110">
        <f t="shared" si="174"/>
        <v>0</v>
      </c>
      <c r="AC245" s="126">
        <v>15</v>
      </c>
      <c r="AD245" s="113">
        <f t="shared" si="155"/>
        <v>0</v>
      </c>
      <c r="AE245" s="113">
        <f t="shared" si="156"/>
        <v>0</v>
      </c>
      <c r="AL245" s="126">
        <f t="shared" si="175"/>
        <v>0</v>
      </c>
      <c r="AM245" s="126">
        <f t="shared" si="176"/>
        <v>0</v>
      </c>
      <c r="AN245" s="127" t="s">
        <v>775</v>
      </c>
      <c r="AO245" s="127" t="s">
        <v>326</v>
      </c>
      <c r="AP245" s="144" t="s">
        <v>328</v>
      </c>
      <c r="AR245" s="104"/>
      <c r="AS245" s="197">
        <v>1.1999999999999999E-3</v>
      </c>
      <c r="AU245" s="290"/>
    </row>
    <row r="246" spans="1:47" s="125" customFormat="1" hidden="1">
      <c r="A246" s="4" t="s">
        <v>823</v>
      </c>
      <c r="B246" s="122"/>
      <c r="C246" s="122" t="s">
        <v>773</v>
      </c>
      <c r="D246" s="122" t="s">
        <v>784</v>
      </c>
      <c r="E246" s="122" t="s">
        <v>272</v>
      </c>
      <c r="F246" s="14">
        <v>0</v>
      </c>
      <c r="G246" s="14"/>
      <c r="H246" s="123">
        <f t="shared" si="167"/>
        <v>0</v>
      </c>
      <c r="I246" s="123">
        <f>J246-H246</f>
        <v>0</v>
      </c>
      <c r="J246" s="14">
        <f t="shared" si="169"/>
        <v>0</v>
      </c>
      <c r="K246" s="193">
        <f>K247*0.6</f>
        <v>1.6619999999999998E-3</v>
      </c>
      <c r="L246" s="123">
        <f t="shared" si="170"/>
        <v>0</v>
      </c>
      <c r="M246" s="124" t="s">
        <v>6</v>
      </c>
      <c r="N246" s="123">
        <f t="shared" si="171"/>
        <v>0</v>
      </c>
      <c r="Y246" s="110">
        <f t="shared" si="172"/>
        <v>0</v>
      </c>
      <c r="Z246" s="110">
        <f t="shared" si="173"/>
        <v>0</v>
      </c>
      <c r="AA246" s="110">
        <f t="shared" si="174"/>
        <v>0</v>
      </c>
      <c r="AC246" s="126">
        <v>15</v>
      </c>
      <c r="AD246" s="113">
        <f t="shared" si="155"/>
        <v>0</v>
      </c>
      <c r="AE246" s="113">
        <f t="shared" si="156"/>
        <v>0</v>
      </c>
      <c r="AL246" s="126">
        <f t="shared" si="175"/>
        <v>0</v>
      </c>
      <c r="AM246" s="126">
        <f t="shared" si="176"/>
        <v>0</v>
      </c>
      <c r="AN246" s="127" t="s">
        <v>775</v>
      </c>
      <c r="AO246" s="127" t="s">
        <v>326</v>
      </c>
      <c r="AP246" s="128" t="s">
        <v>328</v>
      </c>
      <c r="AS246" s="197">
        <v>0</v>
      </c>
      <c r="AU246" s="291"/>
    </row>
    <row r="247" spans="1:47" s="143" customFormat="1" hidden="1">
      <c r="A247" s="4" t="s">
        <v>824</v>
      </c>
      <c r="B247" s="122"/>
      <c r="C247" s="122" t="s">
        <v>773</v>
      </c>
      <c r="D247" s="122" t="s">
        <v>756</v>
      </c>
      <c r="E247" s="122" t="s">
        <v>272</v>
      </c>
      <c r="F247" s="14">
        <v>0</v>
      </c>
      <c r="G247" s="14"/>
      <c r="H247" s="123">
        <f t="shared" si="167"/>
        <v>0</v>
      </c>
      <c r="I247" s="123">
        <f>J247-H247</f>
        <v>0</v>
      </c>
      <c r="J247" s="14">
        <f t="shared" si="169"/>
        <v>0</v>
      </c>
      <c r="K247" s="193">
        <v>2.7699999999999999E-3</v>
      </c>
      <c r="L247" s="123">
        <f t="shared" si="170"/>
        <v>0</v>
      </c>
      <c r="M247" s="124" t="s">
        <v>6</v>
      </c>
      <c r="N247" s="123">
        <f t="shared" si="171"/>
        <v>0</v>
      </c>
      <c r="Y247" s="110">
        <f t="shared" si="172"/>
        <v>0</v>
      </c>
      <c r="Z247" s="110">
        <f t="shared" si="173"/>
        <v>0</v>
      </c>
      <c r="AA247" s="110">
        <f t="shared" si="174"/>
        <v>0</v>
      </c>
      <c r="AC247" s="126">
        <v>15</v>
      </c>
      <c r="AD247" s="113">
        <f t="shared" si="155"/>
        <v>0</v>
      </c>
      <c r="AE247" s="113">
        <f t="shared" si="156"/>
        <v>0</v>
      </c>
      <c r="AL247" s="126">
        <f t="shared" si="175"/>
        <v>0</v>
      </c>
      <c r="AM247" s="126">
        <f t="shared" si="176"/>
        <v>0</v>
      </c>
      <c r="AN247" s="127" t="s">
        <v>775</v>
      </c>
      <c r="AO247" s="127" t="s">
        <v>326</v>
      </c>
      <c r="AP247" s="144" t="s">
        <v>328</v>
      </c>
      <c r="AS247" s="197">
        <v>0</v>
      </c>
      <c r="AU247" s="290"/>
    </row>
    <row r="248" spans="1:47" s="143" customFormat="1" hidden="1">
      <c r="A248" s="4" t="s">
        <v>825</v>
      </c>
      <c r="B248" s="122"/>
      <c r="C248" s="122" t="s">
        <v>773</v>
      </c>
      <c r="D248" s="122" t="s">
        <v>783</v>
      </c>
      <c r="E248" s="122" t="s">
        <v>272</v>
      </c>
      <c r="F248" s="14">
        <v>0</v>
      </c>
      <c r="G248" s="14"/>
      <c r="H248" s="123">
        <f t="shared" si="167"/>
        <v>0</v>
      </c>
      <c r="I248" s="123">
        <f>J248-H248</f>
        <v>0</v>
      </c>
      <c r="J248" s="14">
        <f t="shared" si="169"/>
        <v>0</v>
      </c>
      <c r="K248" s="193">
        <v>3.1099999999999999E-3</v>
      </c>
      <c r="L248" s="123">
        <f t="shared" si="170"/>
        <v>0</v>
      </c>
      <c r="M248" s="124" t="s">
        <v>6</v>
      </c>
      <c r="N248" s="123">
        <f t="shared" si="171"/>
        <v>0</v>
      </c>
      <c r="Y248" s="110">
        <f t="shared" si="172"/>
        <v>0</v>
      </c>
      <c r="Z248" s="110">
        <f t="shared" si="173"/>
        <v>0</v>
      </c>
      <c r="AA248" s="110">
        <f t="shared" si="174"/>
        <v>0</v>
      </c>
      <c r="AC248" s="126">
        <v>15</v>
      </c>
      <c r="AD248" s="113">
        <f t="shared" si="155"/>
        <v>0</v>
      </c>
      <c r="AE248" s="113">
        <f t="shared" si="156"/>
        <v>0</v>
      </c>
      <c r="AL248" s="126">
        <f t="shared" si="175"/>
        <v>0</v>
      </c>
      <c r="AM248" s="126">
        <f t="shared" si="176"/>
        <v>0</v>
      </c>
      <c r="AN248" s="127" t="s">
        <v>775</v>
      </c>
      <c r="AO248" s="127" t="s">
        <v>326</v>
      </c>
      <c r="AP248" s="144" t="s">
        <v>328</v>
      </c>
      <c r="AS248" s="197">
        <v>0</v>
      </c>
      <c r="AU248" s="290"/>
    </row>
    <row r="249" spans="1:47" hidden="1">
      <c r="A249" s="4" t="s">
        <v>826</v>
      </c>
      <c r="B249" s="4"/>
      <c r="C249" s="122" t="s">
        <v>771</v>
      </c>
      <c r="D249" s="4" t="s">
        <v>757</v>
      </c>
      <c r="E249" s="122" t="s">
        <v>372</v>
      </c>
      <c r="F249" s="14">
        <v>0</v>
      </c>
      <c r="G249" s="129"/>
      <c r="H249" s="14">
        <f t="shared" si="167"/>
        <v>0</v>
      </c>
      <c r="I249" s="14">
        <f t="shared" si="168"/>
        <v>0</v>
      </c>
      <c r="J249" s="14">
        <f t="shared" si="169"/>
        <v>0</v>
      </c>
      <c r="K249" s="164">
        <v>0</v>
      </c>
      <c r="L249" s="14">
        <f t="shared" si="170"/>
        <v>0</v>
      </c>
      <c r="M249" s="20" t="s">
        <v>6</v>
      </c>
      <c r="N249" s="14">
        <f t="shared" si="171"/>
        <v>0</v>
      </c>
      <c r="Y249" s="110">
        <f t="shared" si="172"/>
        <v>0</v>
      </c>
      <c r="Z249" s="110">
        <f t="shared" si="173"/>
        <v>0</v>
      </c>
      <c r="AA249" s="110">
        <f t="shared" si="174"/>
        <v>0</v>
      </c>
      <c r="AC249" s="24">
        <v>15</v>
      </c>
      <c r="AD249" s="113">
        <f t="shared" si="155"/>
        <v>0</v>
      </c>
      <c r="AE249" s="113">
        <f t="shared" si="156"/>
        <v>0</v>
      </c>
      <c r="AL249" s="24">
        <f t="shared" si="175"/>
        <v>0</v>
      </c>
      <c r="AM249" s="24">
        <f t="shared" si="176"/>
        <v>0</v>
      </c>
      <c r="AN249" s="25" t="s">
        <v>310</v>
      </c>
      <c r="AO249" s="25" t="s">
        <v>325</v>
      </c>
      <c r="AP249" s="19" t="s">
        <v>328</v>
      </c>
      <c r="AS249" s="197">
        <v>4.0000000000000003E-5</v>
      </c>
    </row>
    <row r="250" spans="1:47" s="104" customFormat="1" hidden="1">
      <c r="A250" s="4" t="s">
        <v>827</v>
      </c>
      <c r="B250" s="4"/>
      <c r="C250" s="4" t="s">
        <v>148</v>
      </c>
      <c r="D250" s="4" t="s">
        <v>803</v>
      </c>
      <c r="E250" s="4" t="s">
        <v>274</v>
      </c>
      <c r="F250" s="14">
        <f>Výměry!P29</f>
        <v>0</v>
      </c>
      <c r="G250" s="14"/>
      <c r="H250" s="14">
        <f t="shared" si="167"/>
        <v>0</v>
      </c>
      <c r="I250" s="14">
        <f>J250-H250</f>
        <v>0</v>
      </c>
      <c r="J250" s="14">
        <f t="shared" si="169"/>
        <v>0</v>
      </c>
      <c r="K250" s="164">
        <v>4.0000000000000003E-5</v>
      </c>
      <c r="L250" s="14">
        <f t="shared" si="170"/>
        <v>0</v>
      </c>
      <c r="M250" s="20" t="s">
        <v>6</v>
      </c>
      <c r="N250" s="14">
        <f t="shared" si="171"/>
        <v>0</v>
      </c>
      <c r="Y250" s="110">
        <f t="shared" si="172"/>
        <v>0</v>
      </c>
      <c r="Z250" s="110">
        <f t="shared" si="173"/>
        <v>0</v>
      </c>
      <c r="AA250" s="110">
        <f t="shared" si="174"/>
        <v>0</v>
      </c>
      <c r="AC250" s="24">
        <v>15</v>
      </c>
      <c r="AD250" s="113">
        <f t="shared" si="155"/>
        <v>0</v>
      </c>
      <c r="AE250" s="113">
        <f t="shared" si="156"/>
        <v>0</v>
      </c>
      <c r="AL250" s="24">
        <f t="shared" si="175"/>
        <v>0</v>
      </c>
      <c r="AM250" s="24">
        <f t="shared" si="176"/>
        <v>0</v>
      </c>
      <c r="AN250" s="25" t="s">
        <v>310</v>
      </c>
      <c r="AO250" s="25" t="s">
        <v>325</v>
      </c>
      <c r="AP250" s="105" t="s">
        <v>328</v>
      </c>
      <c r="AR250" s="104" t="s">
        <v>785</v>
      </c>
      <c r="AS250" s="197">
        <v>4.0000000000000003E-5</v>
      </c>
      <c r="AU250" s="288"/>
    </row>
    <row r="251" spans="1:47" s="104" customFormat="1" hidden="1">
      <c r="A251" s="4" t="s">
        <v>828</v>
      </c>
      <c r="B251" s="4"/>
      <c r="C251" s="4" t="s">
        <v>175</v>
      </c>
      <c r="D251" s="4" t="s">
        <v>246</v>
      </c>
      <c r="E251" s="4" t="s">
        <v>274</v>
      </c>
      <c r="F251" s="14">
        <f>F250*0.5</f>
        <v>0</v>
      </c>
      <c r="G251" s="14"/>
      <c r="H251" s="14">
        <f t="shared" si="167"/>
        <v>0</v>
      </c>
      <c r="I251" s="14">
        <f t="shared" si="168"/>
        <v>0</v>
      </c>
      <c r="J251" s="14">
        <f t="shared" si="169"/>
        <v>0</v>
      </c>
      <c r="K251" s="164">
        <v>1.7000000000000001E-4</v>
      </c>
      <c r="L251" s="14">
        <f t="shared" si="170"/>
        <v>0</v>
      </c>
      <c r="M251" s="20" t="s">
        <v>6</v>
      </c>
      <c r="N251" s="14">
        <f t="shared" si="171"/>
        <v>0</v>
      </c>
      <c r="Y251" s="110">
        <f t="shared" si="172"/>
        <v>0</v>
      </c>
      <c r="Z251" s="110">
        <f t="shared" si="173"/>
        <v>0</v>
      </c>
      <c r="AA251" s="110">
        <f t="shared" si="174"/>
        <v>0</v>
      </c>
      <c r="AC251" s="24">
        <v>15</v>
      </c>
      <c r="AD251" s="113">
        <f t="shared" si="155"/>
        <v>0</v>
      </c>
      <c r="AE251" s="113">
        <f t="shared" si="156"/>
        <v>0</v>
      </c>
      <c r="AL251" s="24">
        <f t="shared" si="175"/>
        <v>0</v>
      </c>
      <c r="AM251" s="24">
        <f t="shared" si="176"/>
        <v>0</v>
      </c>
      <c r="AN251" s="25" t="s">
        <v>315</v>
      </c>
      <c r="AO251" s="25" t="s">
        <v>326</v>
      </c>
      <c r="AP251" s="105" t="s">
        <v>328</v>
      </c>
      <c r="AR251" s="104" t="s">
        <v>785</v>
      </c>
      <c r="AS251" s="197">
        <v>1.7000000000000001E-4</v>
      </c>
      <c r="AU251" s="288"/>
    </row>
    <row r="252" spans="1:47">
      <c r="A252" s="6"/>
      <c r="B252" s="12"/>
      <c r="C252" s="12" t="s">
        <v>89</v>
      </c>
      <c r="D252" s="100" t="s">
        <v>247</v>
      </c>
      <c r="E252" s="101"/>
      <c r="F252" s="101"/>
      <c r="G252" s="101"/>
      <c r="H252" s="27">
        <f>SUM(H253:H263)</f>
        <v>0</v>
      </c>
      <c r="I252" s="27">
        <f>SUM(I253:I263)</f>
        <v>0</v>
      </c>
      <c r="J252" s="27">
        <f>H252+I252</f>
        <v>0</v>
      </c>
      <c r="K252" s="167"/>
      <c r="L252" s="27">
        <f>SUM(L253:L255)</f>
        <v>0.34856399999999993</v>
      </c>
      <c r="O252" s="27">
        <f>IF(P252="PR",J252,SUM(N253:N255))</f>
        <v>0</v>
      </c>
      <c r="P252" s="19" t="s">
        <v>293</v>
      </c>
      <c r="Q252" s="27">
        <f>IF(P252="HS",H252,0)</f>
        <v>0</v>
      </c>
      <c r="R252" s="27">
        <f>IF(P252="HS",I252-O252,0)</f>
        <v>0</v>
      </c>
      <c r="S252" s="27">
        <f>IF(P252="PS",H252,0)</f>
        <v>0</v>
      </c>
      <c r="T252" s="27">
        <f>IF(P252="PS",I252-O252,0)</f>
        <v>0</v>
      </c>
      <c r="U252" s="27">
        <f>IF(P252="MP",H252,0)</f>
        <v>0</v>
      </c>
      <c r="V252" s="27">
        <f>IF(P252="MP",I252-O252,0)</f>
        <v>0</v>
      </c>
      <c r="W252" s="27">
        <f>IF(P252="OM",H252,0)</f>
        <v>0</v>
      </c>
      <c r="X252" s="19"/>
      <c r="Y252" s="110"/>
      <c r="Z252" s="110"/>
      <c r="AA252" s="110"/>
      <c r="AD252" s="113"/>
      <c r="AE252" s="113"/>
      <c r="AH252" s="27">
        <f>SUM(Y253:Y255)</f>
        <v>0</v>
      </c>
      <c r="AI252" s="27">
        <f>SUM(Z253:Z255)</f>
        <v>0</v>
      </c>
      <c r="AJ252" s="27">
        <f>SUM(AA253:AA255)</f>
        <v>0</v>
      </c>
      <c r="AS252" s="199"/>
    </row>
    <row r="253" spans="1:47" s="104" customFormat="1">
      <c r="A253" s="4" t="s">
        <v>829</v>
      </c>
      <c r="B253" s="4"/>
      <c r="C253" s="4" t="s">
        <v>176</v>
      </c>
      <c r="D253" s="4" t="s">
        <v>1121</v>
      </c>
      <c r="E253" s="4" t="s">
        <v>272</v>
      </c>
      <c r="F253" s="14">
        <f>F254*4</f>
        <v>1641.9</v>
      </c>
      <c r="G253" s="224"/>
      <c r="H253" s="14">
        <f t="shared" ref="H253:H260" si="177">F253*AD253</f>
        <v>0</v>
      </c>
      <c r="I253" s="14">
        <f t="shared" ref="I253:I260" si="178">J253-H253</f>
        <v>0</v>
      </c>
      <c r="J253" s="14">
        <f t="shared" ref="J253:J260" si="179">F253*G253</f>
        <v>0</v>
      </c>
      <c r="K253" s="164">
        <v>0</v>
      </c>
      <c r="L253" s="14">
        <f t="shared" ref="L253:L260" si="180">F253*K253</f>
        <v>0</v>
      </c>
      <c r="M253" s="20" t="s">
        <v>6</v>
      </c>
      <c r="N253" s="14">
        <f t="shared" ref="N253:N260" si="181">IF(M253="5",I253,0)</f>
        <v>0</v>
      </c>
      <c r="Y253" s="110">
        <f t="shared" ref="Y253:Y260" si="182">IF(AC253=0,J253,0)</f>
        <v>0</v>
      </c>
      <c r="Z253" s="110">
        <f t="shared" ref="Z253:Z260" si="183">IF(AC253=15,J253,0)</f>
        <v>0</v>
      </c>
      <c r="AA253" s="110">
        <f t="shared" ref="AA253:AA260" si="184">IF(AC253=21,J253,0)</f>
        <v>0</v>
      </c>
      <c r="AC253" s="24">
        <v>15</v>
      </c>
      <c r="AD253" s="113">
        <f t="shared" si="155"/>
        <v>0</v>
      </c>
      <c r="AE253" s="113">
        <f t="shared" si="156"/>
        <v>0</v>
      </c>
      <c r="AL253" s="24">
        <f t="shared" ref="AL253:AL260" si="185">F253*AD253</f>
        <v>0</v>
      </c>
      <c r="AM253" s="24">
        <f t="shared" ref="AM253:AM260" si="186">F253*AE253</f>
        <v>0</v>
      </c>
      <c r="AN253" s="25" t="s">
        <v>316</v>
      </c>
      <c r="AO253" s="25" t="s">
        <v>327</v>
      </c>
      <c r="AP253" s="105" t="s">
        <v>328</v>
      </c>
      <c r="AR253" s="104" t="s">
        <v>785</v>
      </c>
      <c r="AS253" s="197">
        <v>0</v>
      </c>
      <c r="AU253" s="288"/>
    </row>
    <row r="254" spans="1:47" s="104" customFormat="1">
      <c r="A254" s="4" t="s">
        <v>830</v>
      </c>
      <c r="B254" s="4"/>
      <c r="C254" s="4" t="s">
        <v>177</v>
      </c>
      <c r="D254" s="4" t="s">
        <v>1120</v>
      </c>
      <c r="E254" s="4" t="s">
        <v>272</v>
      </c>
      <c r="F254" s="14">
        <f>((1.95*26.5)+(3.9*7.8))*5</f>
        <v>410.47500000000002</v>
      </c>
      <c r="G254" s="224"/>
      <c r="H254" s="14">
        <f t="shared" si="177"/>
        <v>0</v>
      </c>
      <c r="I254" s="14">
        <f t="shared" si="178"/>
        <v>0</v>
      </c>
      <c r="J254" s="14">
        <f t="shared" si="179"/>
        <v>0</v>
      </c>
      <c r="K254" s="164">
        <v>4.0000000000000003E-5</v>
      </c>
      <c r="L254" s="14">
        <f t="shared" si="180"/>
        <v>1.6419000000000003E-2</v>
      </c>
      <c r="M254" s="20" t="s">
        <v>6</v>
      </c>
      <c r="N254" s="14">
        <f t="shared" si="181"/>
        <v>0</v>
      </c>
      <c r="Y254" s="110">
        <f t="shared" si="182"/>
        <v>0</v>
      </c>
      <c r="Z254" s="110">
        <f t="shared" si="183"/>
        <v>0</v>
      </c>
      <c r="AA254" s="110">
        <f t="shared" si="184"/>
        <v>0</v>
      </c>
      <c r="AC254" s="24">
        <v>15</v>
      </c>
      <c r="AD254" s="113">
        <f t="shared" si="155"/>
        <v>0</v>
      </c>
      <c r="AE254" s="113">
        <f t="shared" si="156"/>
        <v>0</v>
      </c>
      <c r="AL254" s="24">
        <f t="shared" si="185"/>
        <v>0</v>
      </c>
      <c r="AM254" s="24">
        <f t="shared" si="186"/>
        <v>0</v>
      </c>
      <c r="AN254" s="25" t="s">
        <v>316</v>
      </c>
      <c r="AO254" s="25" t="s">
        <v>327</v>
      </c>
      <c r="AP254" s="105" t="s">
        <v>328</v>
      </c>
      <c r="AR254" s="104" t="s">
        <v>785</v>
      </c>
      <c r="AS254" s="197">
        <v>4.0000000000000003E-5</v>
      </c>
      <c r="AU254" s="288"/>
    </row>
    <row r="255" spans="1:47" s="104" customFormat="1">
      <c r="A255" s="4" t="s">
        <v>831</v>
      </c>
      <c r="B255" s="4"/>
      <c r="C255" s="4" t="s">
        <v>461</v>
      </c>
      <c r="D255" s="4" t="s">
        <v>462</v>
      </c>
      <c r="E255" s="4" t="s">
        <v>272</v>
      </c>
      <c r="F255" s="14">
        <f>((1.5*3.05)*6*5)*2</f>
        <v>274.49999999999994</v>
      </c>
      <c r="G255" s="224"/>
      <c r="H255" s="14">
        <f t="shared" si="177"/>
        <v>0</v>
      </c>
      <c r="I255" s="14">
        <f t="shared" si="178"/>
        <v>0</v>
      </c>
      <c r="J255" s="14">
        <f t="shared" si="179"/>
        <v>0</v>
      </c>
      <c r="K255" s="164">
        <v>1.2099999999999999E-3</v>
      </c>
      <c r="L255" s="14">
        <f t="shared" si="180"/>
        <v>0.33214499999999991</v>
      </c>
      <c r="M255" s="20" t="s">
        <v>6</v>
      </c>
      <c r="N255" s="14">
        <f t="shared" si="181"/>
        <v>0</v>
      </c>
      <c r="Y255" s="110">
        <f t="shared" si="182"/>
        <v>0</v>
      </c>
      <c r="Z255" s="110">
        <f t="shared" si="183"/>
        <v>0</v>
      </c>
      <c r="AA255" s="110">
        <f t="shared" si="184"/>
        <v>0</v>
      </c>
      <c r="AC255" s="24">
        <v>15</v>
      </c>
      <c r="AD255" s="113">
        <f t="shared" si="155"/>
        <v>0</v>
      </c>
      <c r="AE255" s="113">
        <f t="shared" si="156"/>
        <v>0</v>
      </c>
      <c r="AL255" s="24">
        <f t="shared" si="185"/>
        <v>0</v>
      </c>
      <c r="AM255" s="24">
        <f t="shared" si="186"/>
        <v>0</v>
      </c>
      <c r="AN255" s="25" t="s">
        <v>463</v>
      </c>
      <c r="AO255" s="25" t="s">
        <v>327</v>
      </c>
      <c r="AP255" s="105" t="s">
        <v>328</v>
      </c>
      <c r="AR255" s="104" t="s">
        <v>785</v>
      </c>
      <c r="AS255" s="197">
        <v>1.2099999999999999E-3</v>
      </c>
      <c r="AU255" s="288"/>
    </row>
    <row r="256" spans="1:47" s="104" customFormat="1" ht="51" hidden="1">
      <c r="A256" s="213" t="s">
        <v>1030</v>
      </c>
      <c r="B256" s="213"/>
      <c r="C256" s="213" t="s">
        <v>1031</v>
      </c>
      <c r="D256" s="300" t="s">
        <v>1083</v>
      </c>
      <c r="E256" s="213" t="s">
        <v>272</v>
      </c>
      <c r="F256" s="214">
        <v>0</v>
      </c>
      <c r="G256" s="214"/>
      <c r="H256" s="214">
        <f t="shared" ref="H256" si="187">F256*AD256</f>
        <v>0</v>
      </c>
      <c r="I256" s="214">
        <f t="shared" ref="I256" si="188">J256-H256</f>
        <v>0</v>
      </c>
      <c r="J256" s="214">
        <f t="shared" ref="J256" si="189">F256*G256</f>
        <v>0</v>
      </c>
      <c r="K256" s="215">
        <v>1.2099999999999999E-3</v>
      </c>
      <c r="L256" s="214">
        <f t="shared" ref="L256" si="190">F256*K256</f>
        <v>0</v>
      </c>
      <c r="M256" s="20" t="s">
        <v>6</v>
      </c>
      <c r="N256" s="14">
        <f t="shared" ref="N256" si="191">IF(M256="5",I256,0)</f>
        <v>0</v>
      </c>
      <c r="Y256" s="110">
        <f t="shared" ref="Y256" si="192">IF(AC256=0,J256,0)</f>
        <v>0</v>
      </c>
      <c r="Z256" s="110">
        <f t="shared" ref="Z256" si="193">IF(AC256=15,J256,0)</f>
        <v>0</v>
      </c>
      <c r="AA256" s="110">
        <f t="shared" ref="AA256" si="194">IF(AC256=21,J256,0)</f>
        <v>0</v>
      </c>
      <c r="AC256" s="24">
        <v>15</v>
      </c>
      <c r="AD256" s="113">
        <f t="shared" si="155"/>
        <v>0</v>
      </c>
      <c r="AE256" s="113">
        <f t="shared" si="156"/>
        <v>0</v>
      </c>
      <c r="AL256" s="24">
        <f t="shared" ref="AL256" si="195">F256*AD256</f>
        <v>0</v>
      </c>
      <c r="AM256" s="24">
        <f t="shared" ref="AM256" si="196">F256*AE256</f>
        <v>0</v>
      </c>
      <c r="AN256" s="25" t="s">
        <v>463</v>
      </c>
      <c r="AO256" s="25" t="s">
        <v>327</v>
      </c>
      <c r="AP256" s="105" t="s">
        <v>328</v>
      </c>
      <c r="AR256" s="104" t="s">
        <v>785</v>
      </c>
      <c r="AS256" s="197">
        <v>1.2099999999999999E-3</v>
      </c>
      <c r="AU256" s="288" t="s">
        <v>1032</v>
      </c>
    </row>
    <row r="257" spans="1:47" s="104" customFormat="1" ht="51" hidden="1">
      <c r="A257" s="213" t="s">
        <v>1033</v>
      </c>
      <c r="B257" s="213"/>
      <c r="C257" s="213" t="s">
        <v>1034</v>
      </c>
      <c r="D257" s="216" t="s">
        <v>1084</v>
      </c>
      <c r="E257" s="213" t="s">
        <v>272</v>
      </c>
      <c r="F257" s="214">
        <v>0</v>
      </c>
      <c r="G257" s="214"/>
      <c r="H257" s="214">
        <f t="shared" ref="H257" si="197">F257*AD257</f>
        <v>0</v>
      </c>
      <c r="I257" s="214">
        <f t="shared" ref="I257" si="198">J257-H257</f>
        <v>0</v>
      </c>
      <c r="J257" s="214">
        <f t="shared" ref="J257" si="199">F257*G257</f>
        <v>0</v>
      </c>
      <c r="K257" s="215">
        <v>1.2099999999999999E-3</v>
      </c>
      <c r="L257" s="214">
        <f t="shared" ref="L257" si="200">F257*K257</f>
        <v>0</v>
      </c>
      <c r="M257" s="20" t="s">
        <v>6</v>
      </c>
      <c r="N257" s="14">
        <f t="shared" ref="N257" si="201">IF(M257="5",I257,0)</f>
        <v>0</v>
      </c>
      <c r="Y257" s="110">
        <f t="shared" ref="Y257" si="202">IF(AC257=0,J257,0)</f>
        <v>0</v>
      </c>
      <c r="Z257" s="110">
        <f t="shared" ref="Z257" si="203">IF(AC257=15,J257,0)</f>
        <v>0</v>
      </c>
      <c r="AA257" s="110">
        <f t="shared" ref="AA257" si="204">IF(AC257=21,J257,0)</f>
        <v>0</v>
      </c>
      <c r="AC257" s="24">
        <v>15</v>
      </c>
      <c r="AD257" s="113">
        <f t="shared" ref="AD257" si="205">G257*0.81143570536829</f>
        <v>0</v>
      </c>
      <c r="AE257" s="113">
        <f t="shared" ref="AE257" si="206">G257*(1-0.81143570536829)</f>
        <v>0</v>
      </c>
      <c r="AL257" s="24">
        <f t="shared" ref="AL257" si="207">F257*AD257</f>
        <v>0</v>
      </c>
      <c r="AM257" s="24">
        <f t="shared" ref="AM257" si="208">F257*AE257</f>
        <v>0</v>
      </c>
      <c r="AN257" s="25" t="s">
        <v>463</v>
      </c>
      <c r="AO257" s="25" t="s">
        <v>327</v>
      </c>
      <c r="AP257" s="105" t="s">
        <v>328</v>
      </c>
      <c r="AR257" s="104" t="s">
        <v>785</v>
      </c>
      <c r="AS257" s="197">
        <v>1.2099999999999999E-3</v>
      </c>
      <c r="AU257" s="288"/>
    </row>
    <row r="258" spans="1:47" s="104" customFormat="1" ht="51" hidden="1">
      <c r="A258" s="213" t="s">
        <v>944</v>
      </c>
      <c r="B258" s="213"/>
      <c r="C258" s="213" t="s">
        <v>947</v>
      </c>
      <c r="D258" s="216" t="s">
        <v>1085</v>
      </c>
      <c r="E258" s="213" t="s">
        <v>272</v>
      </c>
      <c r="F258" s="214">
        <v>0</v>
      </c>
      <c r="G258" s="214"/>
      <c r="H258" s="214">
        <f t="shared" si="177"/>
        <v>0</v>
      </c>
      <c r="I258" s="214">
        <f t="shared" si="178"/>
        <v>0</v>
      </c>
      <c r="J258" s="214">
        <f t="shared" si="179"/>
        <v>0</v>
      </c>
      <c r="K258" s="215">
        <v>1.2099999999999999E-3</v>
      </c>
      <c r="L258" s="214">
        <f t="shared" si="180"/>
        <v>0</v>
      </c>
      <c r="M258" s="20" t="s">
        <v>6</v>
      </c>
      <c r="N258" s="14">
        <f t="shared" si="181"/>
        <v>0</v>
      </c>
      <c r="Y258" s="110">
        <f t="shared" si="182"/>
        <v>0</v>
      </c>
      <c r="Z258" s="110">
        <f t="shared" si="183"/>
        <v>0</v>
      </c>
      <c r="AA258" s="110">
        <f t="shared" si="184"/>
        <v>0</v>
      </c>
      <c r="AC258" s="24">
        <v>15</v>
      </c>
      <c r="AD258" s="113">
        <f t="shared" ref="AD258:AD259" si="209">G258*0.81143570536829</f>
        <v>0</v>
      </c>
      <c r="AE258" s="113">
        <f t="shared" ref="AE258:AE259" si="210">G258*(1-0.81143570536829)</f>
        <v>0</v>
      </c>
      <c r="AL258" s="24">
        <f t="shared" si="185"/>
        <v>0</v>
      </c>
      <c r="AM258" s="24">
        <f t="shared" si="186"/>
        <v>0</v>
      </c>
      <c r="AN258" s="25" t="s">
        <v>463</v>
      </c>
      <c r="AO258" s="25" t="s">
        <v>327</v>
      </c>
      <c r="AP258" s="105" t="s">
        <v>328</v>
      </c>
      <c r="AR258" s="104" t="s">
        <v>785</v>
      </c>
      <c r="AS258" s="197">
        <v>1.2099999999999999E-3</v>
      </c>
      <c r="AU258" s="288"/>
    </row>
    <row r="259" spans="1:47" s="104" customFormat="1" ht="25.5" hidden="1">
      <c r="A259" s="213" t="s">
        <v>945</v>
      </c>
      <c r="B259" s="213"/>
      <c r="C259" s="213" t="s">
        <v>948</v>
      </c>
      <c r="D259" s="216" t="s">
        <v>1087</v>
      </c>
      <c r="E259" s="213" t="s">
        <v>799</v>
      </c>
      <c r="F259" s="214">
        <v>0</v>
      </c>
      <c r="G259" s="214"/>
      <c r="H259" s="214">
        <f t="shared" si="177"/>
        <v>0</v>
      </c>
      <c r="I259" s="214">
        <f t="shared" si="178"/>
        <v>0</v>
      </c>
      <c r="J259" s="214">
        <f t="shared" si="179"/>
        <v>0</v>
      </c>
      <c r="K259" s="215">
        <v>1.2099999999999999E-3</v>
      </c>
      <c r="L259" s="214">
        <f t="shared" si="180"/>
        <v>0</v>
      </c>
      <c r="M259" s="20" t="s">
        <v>6</v>
      </c>
      <c r="N259" s="14">
        <f t="shared" si="181"/>
        <v>0</v>
      </c>
      <c r="Y259" s="110">
        <f t="shared" si="182"/>
        <v>0</v>
      </c>
      <c r="Z259" s="110">
        <f t="shared" si="183"/>
        <v>0</v>
      </c>
      <c r="AA259" s="110">
        <f t="shared" si="184"/>
        <v>0</v>
      </c>
      <c r="AC259" s="24">
        <v>15</v>
      </c>
      <c r="AD259" s="113">
        <f t="shared" si="209"/>
        <v>0</v>
      </c>
      <c r="AE259" s="113">
        <f t="shared" si="210"/>
        <v>0</v>
      </c>
      <c r="AL259" s="24">
        <f t="shared" si="185"/>
        <v>0</v>
      </c>
      <c r="AM259" s="24">
        <f t="shared" si="186"/>
        <v>0</v>
      </c>
      <c r="AN259" s="25" t="s">
        <v>463</v>
      </c>
      <c r="AO259" s="25" t="s">
        <v>327</v>
      </c>
      <c r="AP259" s="105" t="s">
        <v>328</v>
      </c>
      <c r="AR259" s="104" t="s">
        <v>785</v>
      </c>
      <c r="AS259" s="197">
        <v>1.2099999999999999E-3</v>
      </c>
      <c r="AU259" s="288"/>
    </row>
    <row r="260" spans="1:47" s="104" customFormat="1" hidden="1">
      <c r="A260" s="213" t="s">
        <v>946</v>
      </c>
      <c r="B260" s="213"/>
      <c r="C260" s="213" t="s">
        <v>949</v>
      </c>
      <c r="D260" s="216" t="s">
        <v>1086</v>
      </c>
      <c r="E260" s="213" t="s">
        <v>274</v>
      </c>
      <c r="F260" s="214">
        <v>0</v>
      </c>
      <c r="G260" s="214"/>
      <c r="H260" s="214">
        <f t="shared" si="177"/>
        <v>0</v>
      </c>
      <c r="I260" s="214">
        <f t="shared" si="178"/>
        <v>0</v>
      </c>
      <c r="J260" s="214">
        <f t="shared" si="179"/>
        <v>0</v>
      </c>
      <c r="K260" s="215">
        <v>1.2099999999999999E-3</v>
      </c>
      <c r="L260" s="214">
        <f t="shared" si="180"/>
        <v>0</v>
      </c>
      <c r="M260" s="20" t="s">
        <v>6</v>
      </c>
      <c r="N260" s="14">
        <f t="shared" si="181"/>
        <v>0</v>
      </c>
      <c r="Y260" s="110">
        <f t="shared" si="182"/>
        <v>0</v>
      </c>
      <c r="Z260" s="110">
        <f t="shared" si="183"/>
        <v>0</v>
      </c>
      <c r="AA260" s="110">
        <f t="shared" si="184"/>
        <v>0</v>
      </c>
      <c r="AC260" s="24">
        <v>15</v>
      </c>
      <c r="AD260" s="113">
        <f t="shared" ref="AD260" si="211">G260*0.81143570536829</f>
        <v>0</v>
      </c>
      <c r="AE260" s="113">
        <f t="shared" ref="AE260" si="212">G260*(1-0.81143570536829)</f>
        <v>0</v>
      </c>
      <c r="AL260" s="24">
        <f t="shared" si="185"/>
        <v>0</v>
      </c>
      <c r="AM260" s="24">
        <f t="shared" si="186"/>
        <v>0</v>
      </c>
      <c r="AN260" s="25" t="s">
        <v>463</v>
      </c>
      <c r="AO260" s="25" t="s">
        <v>327</v>
      </c>
      <c r="AP260" s="105" t="s">
        <v>328</v>
      </c>
      <c r="AR260" s="104" t="s">
        <v>785</v>
      </c>
      <c r="AS260" s="197">
        <v>1.2099999999999999E-3</v>
      </c>
      <c r="AU260" s="288"/>
    </row>
    <row r="261" spans="1:47" s="104" customFormat="1" ht="51" hidden="1">
      <c r="A261" s="213" t="s">
        <v>960</v>
      </c>
      <c r="B261" s="213"/>
      <c r="C261" s="213" t="s">
        <v>961</v>
      </c>
      <c r="D261" s="216" t="s">
        <v>983</v>
      </c>
      <c r="E261" s="213" t="s">
        <v>907</v>
      </c>
      <c r="F261" s="214">
        <v>0</v>
      </c>
      <c r="G261" s="214"/>
      <c r="H261" s="214">
        <f t="shared" ref="H261:H263" si="213">F261*AD261</f>
        <v>0</v>
      </c>
      <c r="I261" s="214">
        <f t="shared" ref="I261:I263" si="214">J261-H261</f>
        <v>0</v>
      </c>
      <c r="J261" s="214">
        <f t="shared" ref="J261:J263" si="215">F261*G261</f>
        <v>0</v>
      </c>
      <c r="K261" s="215">
        <v>1.2099999999999999E-3</v>
      </c>
      <c r="L261" s="214">
        <f t="shared" ref="L261:L263" si="216">F261*K261</f>
        <v>0</v>
      </c>
      <c r="M261" s="20" t="s">
        <v>6</v>
      </c>
      <c r="N261" s="14">
        <f t="shared" ref="N261:N263" si="217">IF(M261="5",I261,0)</f>
        <v>0</v>
      </c>
      <c r="Y261" s="14">
        <f t="shared" ref="Y261:Y263" si="218">IF(AC261=0,J261,0)</f>
        <v>0</v>
      </c>
      <c r="Z261" s="14">
        <f t="shared" ref="Z261:Z263" si="219">IF(AC261=15,J261,0)</f>
        <v>0</v>
      </c>
      <c r="AA261" s="14">
        <f t="shared" ref="AA261:AA263" si="220">IF(AC261=21,J261,0)</f>
        <v>0</v>
      </c>
      <c r="AC261" s="24">
        <v>15</v>
      </c>
      <c r="AD261" s="24">
        <f t="shared" ref="AD261:AD263" si="221">G261*0.81143570536829</f>
        <v>0</v>
      </c>
      <c r="AE261" s="24">
        <f t="shared" ref="AE261:AE263" si="222">G261*(1-0.81143570536829)</f>
        <v>0</v>
      </c>
      <c r="AL261" s="24">
        <f t="shared" ref="AL261:AL263" si="223">F261*AD261</f>
        <v>0</v>
      </c>
      <c r="AM261" s="24">
        <f t="shared" ref="AM261:AM263" si="224">F261*AE261</f>
        <v>0</v>
      </c>
      <c r="AN261" s="25" t="s">
        <v>463</v>
      </c>
      <c r="AO261" s="25" t="s">
        <v>327</v>
      </c>
      <c r="AP261" s="105" t="s">
        <v>328</v>
      </c>
      <c r="AR261" s="104" t="s">
        <v>785</v>
      </c>
      <c r="AS261" s="197">
        <v>1.2099999999999999E-3</v>
      </c>
      <c r="AU261" s="288"/>
    </row>
    <row r="262" spans="1:47" s="104" customFormat="1" ht="38.25" hidden="1">
      <c r="A262" s="213" t="s">
        <v>962</v>
      </c>
      <c r="B262" s="213"/>
      <c r="C262" s="213" t="s">
        <v>963</v>
      </c>
      <c r="D262" s="216" t="s">
        <v>1088</v>
      </c>
      <c r="E262" s="213" t="s">
        <v>272</v>
      </c>
      <c r="F262" s="214">
        <v>0</v>
      </c>
      <c r="G262" s="214"/>
      <c r="H262" s="214">
        <f t="shared" si="213"/>
        <v>0</v>
      </c>
      <c r="I262" s="214">
        <f t="shared" si="214"/>
        <v>0</v>
      </c>
      <c r="J262" s="214">
        <f t="shared" si="215"/>
        <v>0</v>
      </c>
      <c r="K262" s="215">
        <v>1.2099999999999999E-3</v>
      </c>
      <c r="L262" s="214">
        <f t="shared" si="216"/>
        <v>0</v>
      </c>
      <c r="M262" s="20" t="s">
        <v>6</v>
      </c>
      <c r="N262" s="14">
        <f t="shared" si="217"/>
        <v>0</v>
      </c>
      <c r="Y262" s="14">
        <f t="shared" si="218"/>
        <v>0</v>
      </c>
      <c r="Z262" s="14">
        <f t="shared" si="219"/>
        <v>0</v>
      </c>
      <c r="AA262" s="14">
        <f t="shared" si="220"/>
        <v>0</v>
      </c>
      <c r="AC262" s="24">
        <v>15</v>
      </c>
      <c r="AD262" s="24">
        <f t="shared" si="221"/>
        <v>0</v>
      </c>
      <c r="AE262" s="24">
        <f t="shared" si="222"/>
        <v>0</v>
      </c>
      <c r="AL262" s="24">
        <f t="shared" si="223"/>
        <v>0</v>
      </c>
      <c r="AM262" s="24">
        <f t="shared" si="224"/>
        <v>0</v>
      </c>
      <c r="AN262" s="25" t="s">
        <v>463</v>
      </c>
      <c r="AO262" s="25" t="s">
        <v>327</v>
      </c>
      <c r="AP262" s="105" t="s">
        <v>328</v>
      </c>
      <c r="AR262" s="104" t="s">
        <v>785</v>
      </c>
      <c r="AS262" s="197">
        <v>1.2099999999999999E-3</v>
      </c>
      <c r="AU262" s="288"/>
    </row>
    <row r="263" spans="1:47" s="104" customFormat="1" hidden="1">
      <c r="A263" s="213" t="s">
        <v>964</v>
      </c>
      <c r="B263" s="213"/>
      <c r="C263" s="213" t="s">
        <v>965</v>
      </c>
      <c r="D263" s="216" t="s">
        <v>981</v>
      </c>
      <c r="E263" s="213" t="s">
        <v>799</v>
      </c>
      <c r="F263" s="214">
        <v>0</v>
      </c>
      <c r="G263" s="214"/>
      <c r="H263" s="214">
        <f t="shared" si="213"/>
        <v>0</v>
      </c>
      <c r="I263" s="214">
        <f t="shared" si="214"/>
        <v>0</v>
      </c>
      <c r="J263" s="214">
        <f t="shared" si="215"/>
        <v>0</v>
      </c>
      <c r="K263" s="215">
        <v>1.2099999999999999E-3</v>
      </c>
      <c r="L263" s="214">
        <f t="shared" si="216"/>
        <v>0</v>
      </c>
      <c r="M263" s="20" t="s">
        <v>6</v>
      </c>
      <c r="N263" s="14">
        <f t="shared" si="217"/>
        <v>0</v>
      </c>
      <c r="Y263" s="14">
        <f t="shared" si="218"/>
        <v>0</v>
      </c>
      <c r="Z263" s="14">
        <f t="shared" si="219"/>
        <v>0</v>
      </c>
      <c r="AA263" s="14">
        <f t="shared" si="220"/>
        <v>0</v>
      </c>
      <c r="AC263" s="24">
        <v>15</v>
      </c>
      <c r="AD263" s="24">
        <f t="shared" si="221"/>
        <v>0</v>
      </c>
      <c r="AE263" s="24">
        <f t="shared" si="222"/>
        <v>0</v>
      </c>
      <c r="AL263" s="24">
        <f t="shared" si="223"/>
        <v>0</v>
      </c>
      <c r="AM263" s="24">
        <f t="shared" si="224"/>
        <v>0</v>
      </c>
      <c r="AN263" s="25" t="s">
        <v>463</v>
      </c>
      <c r="AO263" s="25" t="s">
        <v>327</v>
      </c>
      <c r="AP263" s="105" t="s">
        <v>328</v>
      </c>
      <c r="AR263" s="104" t="s">
        <v>785</v>
      </c>
      <c r="AS263" s="197">
        <v>1.2099999999999999E-3</v>
      </c>
      <c r="AU263" s="288"/>
    </row>
    <row r="264" spans="1:47">
      <c r="A264" s="6"/>
      <c r="B264" s="12"/>
      <c r="C264" s="12" t="s">
        <v>90</v>
      </c>
      <c r="D264" s="100" t="s">
        <v>250</v>
      </c>
      <c r="E264" s="101"/>
      <c r="F264" s="101"/>
      <c r="G264" s="101"/>
      <c r="H264" s="27">
        <f>SUM(H265:H275)</f>
        <v>0</v>
      </c>
      <c r="I264" s="27">
        <f>SUM(I265:I275)</f>
        <v>0</v>
      </c>
      <c r="J264" s="27">
        <f>H264+I264</f>
        <v>0</v>
      </c>
      <c r="K264" s="167"/>
      <c r="L264" s="27">
        <f>SUM(L266:L275)</f>
        <v>38.557741454999999</v>
      </c>
      <c r="O264" s="27">
        <f>IF(P264="PR",J264,SUM(N265:N275))</f>
        <v>0</v>
      </c>
      <c r="P264" s="19" t="s">
        <v>293</v>
      </c>
      <c r="Q264" s="27">
        <f>IF(P264="HS",H264,0)</f>
        <v>0</v>
      </c>
      <c r="R264" s="27">
        <f>IF(P264="HS",I264-O264,0)</f>
        <v>0</v>
      </c>
      <c r="S264" s="27">
        <f>IF(P264="PS",H264,0)</f>
        <v>0</v>
      </c>
      <c r="T264" s="27">
        <f>IF(P264="PS",I264-O264,0)</f>
        <v>0</v>
      </c>
      <c r="U264" s="27">
        <f>IF(P264="MP",H264,0)</f>
        <v>0</v>
      </c>
      <c r="V264" s="27">
        <f>IF(P264="MP",I264-O264,0)</f>
        <v>0</v>
      </c>
      <c r="W264" s="27">
        <f>IF(P264="OM",H264,0)</f>
        <v>0</v>
      </c>
      <c r="X264" s="19"/>
      <c r="Y264" s="110"/>
      <c r="Z264" s="110"/>
      <c r="AA264" s="110"/>
      <c r="AD264" s="113"/>
      <c r="AE264" s="113"/>
      <c r="AH264" s="27">
        <f>SUM(Y265:Y275)</f>
        <v>0</v>
      </c>
      <c r="AI264" s="27">
        <f>SUM(Z265:Z275)</f>
        <v>0</v>
      </c>
      <c r="AJ264" s="27">
        <f>SUM(AA265:AA275)</f>
        <v>0</v>
      </c>
      <c r="AS264" s="199"/>
    </row>
    <row r="265" spans="1:47">
      <c r="A265" s="4" t="s">
        <v>832</v>
      </c>
      <c r="B265" s="4"/>
      <c r="C265" s="4" t="s">
        <v>181</v>
      </c>
      <c r="D265" s="4" t="s">
        <v>252</v>
      </c>
      <c r="E265" s="4" t="s">
        <v>276</v>
      </c>
      <c r="F265" s="154">
        <f>L12+L26+L30+L66+L70+L126+L177+L228+L235+L252+L287+L304+L306+L307+L308</f>
        <v>16.214397050500001</v>
      </c>
      <c r="G265" s="179"/>
      <c r="H265" s="14">
        <f t="shared" ref="H265:H275" si="225">F265*AD265</f>
        <v>0</v>
      </c>
      <c r="I265" s="14">
        <f t="shared" ref="I265:I275" si="226">J265-H265</f>
        <v>0</v>
      </c>
      <c r="J265" s="14">
        <f t="shared" ref="J265:J275" si="227">F265*G265</f>
        <v>0</v>
      </c>
      <c r="K265" s="164"/>
      <c r="L265" s="14"/>
      <c r="M265" s="20" t="s">
        <v>10</v>
      </c>
      <c r="N265" s="14">
        <f>IF(M265="5",J265,0)</f>
        <v>0</v>
      </c>
      <c r="Y265" s="110">
        <f t="shared" ref="Y265:Y275" si="228">IF(AC265=0,J265,0)</f>
        <v>0</v>
      </c>
      <c r="Z265" s="110">
        <f t="shared" ref="Z265:Z275" si="229">IF(AC265=15,J265,0)</f>
        <v>0</v>
      </c>
      <c r="AA265" s="110">
        <f t="shared" ref="AA265:AA275" si="230">IF(AC265=21,J265,0)</f>
        <v>0</v>
      </c>
      <c r="AC265" s="24">
        <v>15</v>
      </c>
      <c r="AD265" s="113">
        <f t="shared" si="155"/>
        <v>0</v>
      </c>
      <c r="AE265" s="113">
        <f t="shared" si="156"/>
        <v>0</v>
      </c>
      <c r="AL265" s="24">
        <f t="shared" ref="AL265:AL275" si="231">F265*AD265</f>
        <v>0</v>
      </c>
      <c r="AM265" s="24">
        <f t="shared" ref="AM265:AM275" si="232">F265*AE265</f>
        <v>0</v>
      </c>
      <c r="AN265" s="25" t="s">
        <v>317</v>
      </c>
      <c r="AO265" s="25" t="s">
        <v>327</v>
      </c>
      <c r="AP265" s="19" t="s">
        <v>328</v>
      </c>
      <c r="AR265" s="104" t="s">
        <v>785</v>
      </c>
      <c r="AS265" s="197"/>
    </row>
    <row r="266" spans="1:47" s="104" customFormat="1" hidden="1">
      <c r="A266" s="4" t="s">
        <v>833</v>
      </c>
      <c r="B266" s="4"/>
      <c r="C266" s="4" t="s">
        <v>183</v>
      </c>
      <c r="D266" s="4" t="s">
        <v>254</v>
      </c>
      <c r="E266" s="4" t="s">
        <v>272</v>
      </c>
      <c r="F266" s="14">
        <v>0</v>
      </c>
      <c r="G266" s="179"/>
      <c r="H266" s="14">
        <f t="shared" si="225"/>
        <v>0</v>
      </c>
      <c r="I266" s="14">
        <f>J266-H266</f>
        <v>0</v>
      </c>
      <c r="J266" s="14">
        <f t="shared" si="227"/>
        <v>0</v>
      </c>
      <c r="K266" s="164">
        <v>0.02</v>
      </c>
      <c r="L266" s="14">
        <f>F266*K266</f>
        <v>0</v>
      </c>
      <c r="M266" s="20" t="s">
        <v>6</v>
      </c>
      <c r="N266" s="14">
        <f t="shared" ref="N266:N275" si="233">IF(M266="5",I266,0)</f>
        <v>0</v>
      </c>
      <c r="Y266" s="110">
        <f t="shared" si="228"/>
        <v>0</v>
      </c>
      <c r="Z266" s="110">
        <f t="shared" si="229"/>
        <v>0</v>
      </c>
      <c r="AA266" s="110">
        <f t="shared" si="230"/>
        <v>0</v>
      </c>
      <c r="AC266" s="24">
        <v>15</v>
      </c>
      <c r="AD266" s="113">
        <f t="shared" si="155"/>
        <v>0</v>
      </c>
      <c r="AE266" s="113">
        <f t="shared" si="156"/>
        <v>0</v>
      </c>
      <c r="AL266" s="24">
        <f t="shared" si="231"/>
        <v>0</v>
      </c>
      <c r="AM266" s="24">
        <f t="shared" si="232"/>
        <v>0</v>
      </c>
      <c r="AN266" s="25" t="s">
        <v>317</v>
      </c>
      <c r="AO266" s="25" t="s">
        <v>327</v>
      </c>
      <c r="AP266" s="105" t="s">
        <v>328</v>
      </c>
      <c r="AR266" s="104" t="s">
        <v>785</v>
      </c>
      <c r="AS266" s="197">
        <v>0.02</v>
      </c>
      <c r="AU266" s="288"/>
    </row>
    <row r="267" spans="1:47" s="104" customFormat="1">
      <c r="A267" s="4" t="s">
        <v>834</v>
      </c>
      <c r="B267" s="4"/>
      <c r="C267" s="4" t="s">
        <v>842</v>
      </c>
      <c r="D267" s="4" t="s">
        <v>843</v>
      </c>
      <c r="E267" s="4" t="s">
        <v>272</v>
      </c>
      <c r="F267" s="14">
        <f>Výměry!P24*5</f>
        <v>35.625</v>
      </c>
      <c r="G267" s="179"/>
      <c r="H267" s="14">
        <f t="shared" si="225"/>
        <v>0</v>
      </c>
      <c r="I267" s="14">
        <f>J267-H267</f>
        <v>0</v>
      </c>
      <c r="J267" s="14">
        <f t="shared" si="227"/>
        <v>0</v>
      </c>
      <c r="K267" s="164">
        <v>2.7199999999999998E-2</v>
      </c>
      <c r="L267" s="14">
        <f>F267*K267</f>
        <v>0.96899999999999997</v>
      </c>
      <c r="M267" s="20" t="s">
        <v>6</v>
      </c>
      <c r="N267" s="14">
        <f t="shared" si="233"/>
        <v>0</v>
      </c>
      <c r="Y267" s="110">
        <f t="shared" si="228"/>
        <v>0</v>
      </c>
      <c r="Z267" s="110">
        <f t="shared" si="229"/>
        <v>0</v>
      </c>
      <c r="AA267" s="110">
        <f t="shared" si="230"/>
        <v>0</v>
      </c>
      <c r="AC267" s="24">
        <v>15</v>
      </c>
      <c r="AD267" s="113">
        <f t="shared" si="155"/>
        <v>0</v>
      </c>
      <c r="AE267" s="113">
        <f t="shared" si="156"/>
        <v>0</v>
      </c>
      <c r="AL267" s="24">
        <f t="shared" si="231"/>
        <v>0</v>
      </c>
      <c r="AM267" s="24">
        <f t="shared" si="232"/>
        <v>0</v>
      </c>
      <c r="AN267" s="25" t="s">
        <v>317</v>
      </c>
      <c r="AO267" s="25" t="s">
        <v>327</v>
      </c>
      <c r="AP267" s="105" t="s">
        <v>328</v>
      </c>
      <c r="AR267" s="104" t="s">
        <v>785</v>
      </c>
      <c r="AS267" s="197">
        <v>2.7199999999999998E-2</v>
      </c>
      <c r="AU267" s="288"/>
    </row>
    <row r="268" spans="1:47" s="104" customFormat="1">
      <c r="A268" s="4" t="s">
        <v>835</v>
      </c>
      <c r="B268" s="4"/>
      <c r="C268" s="4" t="s">
        <v>182</v>
      </c>
      <c r="D268" s="4" t="s">
        <v>253</v>
      </c>
      <c r="E268" s="4" t="s">
        <v>272</v>
      </c>
      <c r="F268" s="14">
        <f>F267</f>
        <v>35.625</v>
      </c>
      <c r="G268" s="179"/>
      <c r="H268" s="14">
        <f t="shared" si="225"/>
        <v>0</v>
      </c>
      <c r="I268" s="14">
        <f t="shared" si="226"/>
        <v>0</v>
      </c>
      <c r="J268" s="14">
        <f t="shared" si="227"/>
        <v>0</v>
      </c>
      <c r="K268" s="164">
        <v>1.75E-3</v>
      </c>
      <c r="L268" s="14">
        <f>F268*K268</f>
        <v>6.2343750000000003E-2</v>
      </c>
      <c r="M268" s="20" t="s">
        <v>6</v>
      </c>
      <c r="N268" s="14">
        <f t="shared" si="233"/>
        <v>0</v>
      </c>
      <c r="Y268" s="110">
        <f t="shared" si="228"/>
        <v>0</v>
      </c>
      <c r="Z268" s="110">
        <f t="shared" si="229"/>
        <v>0</v>
      </c>
      <c r="AA268" s="110">
        <f t="shared" si="230"/>
        <v>0</v>
      </c>
      <c r="AC268" s="24">
        <v>15</v>
      </c>
      <c r="AD268" s="113">
        <f t="shared" si="155"/>
        <v>0</v>
      </c>
      <c r="AE268" s="113">
        <f t="shared" si="156"/>
        <v>0</v>
      </c>
      <c r="AL268" s="24">
        <f t="shared" si="231"/>
        <v>0</v>
      </c>
      <c r="AM268" s="24">
        <f t="shared" si="232"/>
        <v>0</v>
      </c>
      <c r="AN268" s="25" t="s">
        <v>317</v>
      </c>
      <c r="AO268" s="25" t="s">
        <v>327</v>
      </c>
      <c r="AP268" s="105" t="s">
        <v>328</v>
      </c>
      <c r="AR268" s="104" t="s">
        <v>785</v>
      </c>
      <c r="AS268" s="197">
        <v>1.75E-3</v>
      </c>
      <c r="AU268" s="288"/>
    </row>
    <row r="269" spans="1:47" s="133" customFormat="1">
      <c r="A269" s="4" t="s">
        <v>836</v>
      </c>
      <c r="B269" s="109"/>
      <c r="C269" s="109" t="s">
        <v>662</v>
      </c>
      <c r="D269" s="109" t="s">
        <v>663</v>
      </c>
      <c r="E269" s="109" t="s">
        <v>272</v>
      </c>
      <c r="F269" s="110">
        <f>F267</f>
        <v>35.625</v>
      </c>
      <c r="G269" s="179"/>
      <c r="H269" s="110">
        <f t="shared" si="225"/>
        <v>0</v>
      </c>
      <c r="I269" s="110">
        <f>J269-H269</f>
        <v>0</v>
      </c>
      <c r="J269" s="14">
        <f>F269*G269</f>
        <v>0</v>
      </c>
      <c r="K269" s="163">
        <v>2.5510000000000001E-2</v>
      </c>
      <c r="L269" s="110">
        <f>F269*K269</f>
        <v>0.90879375000000007</v>
      </c>
      <c r="M269" s="111" t="s">
        <v>6</v>
      </c>
      <c r="N269" s="110">
        <f t="shared" si="233"/>
        <v>0</v>
      </c>
      <c r="Y269" s="110">
        <f t="shared" si="228"/>
        <v>0</v>
      </c>
      <c r="Z269" s="110">
        <f t="shared" si="229"/>
        <v>0</v>
      </c>
      <c r="AA269" s="110">
        <f t="shared" si="230"/>
        <v>0</v>
      </c>
      <c r="AC269" s="113">
        <v>15</v>
      </c>
      <c r="AD269" s="113">
        <f>G269*0.81143570536829</f>
        <v>0</v>
      </c>
      <c r="AE269" s="113">
        <f>G269*(1-0.81143570536829)</f>
        <v>0</v>
      </c>
      <c r="AL269" s="113">
        <f t="shared" si="231"/>
        <v>0</v>
      </c>
      <c r="AM269" s="113">
        <f t="shared" si="232"/>
        <v>0</v>
      </c>
      <c r="AN269" s="114" t="s">
        <v>317</v>
      </c>
      <c r="AO269" s="114" t="s">
        <v>327</v>
      </c>
      <c r="AP269" s="134" t="s">
        <v>328</v>
      </c>
      <c r="AR269" s="104" t="s">
        <v>785</v>
      </c>
      <c r="AS269" s="197">
        <v>2.5510000000000001E-2</v>
      </c>
      <c r="AU269" s="286"/>
    </row>
    <row r="270" spans="1:47" s="104" customFormat="1" hidden="1">
      <c r="A270" s="4" t="s">
        <v>837</v>
      </c>
      <c r="B270" s="4"/>
      <c r="C270" s="4" t="s">
        <v>187</v>
      </c>
      <c r="D270" s="146" t="s">
        <v>1101</v>
      </c>
      <c r="E270" s="4" t="s">
        <v>272</v>
      </c>
      <c r="F270" s="14">
        <v>0</v>
      </c>
      <c r="G270" s="179"/>
      <c r="H270" s="14">
        <f t="shared" si="225"/>
        <v>0</v>
      </c>
      <c r="I270" s="14">
        <f t="shared" si="226"/>
        <v>0</v>
      </c>
      <c r="J270" s="14">
        <f t="shared" si="227"/>
        <v>0</v>
      </c>
      <c r="K270" s="190">
        <v>1.4200000000000001E-2</v>
      </c>
      <c r="L270" s="14">
        <f t="shared" ref="L270:L275" si="234">F270*K270</f>
        <v>0</v>
      </c>
      <c r="M270" s="20" t="s">
        <v>6</v>
      </c>
      <c r="N270" s="14">
        <f t="shared" si="233"/>
        <v>0</v>
      </c>
      <c r="Y270" s="110">
        <f t="shared" si="228"/>
        <v>0</v>
      </c>
      <c r="Z270" s="110">
        <f t="shared" si="229"/>
        <v>0</v>
      </c>
      <c r="AA270" s="110">
        <f t="shared" si="230"/>
        <v>0</v>
      </c>
      <c r="AC270" s="24">
        <v>15</v>
      </c>
      <c r="AD270" s="113">
        <f t="shared" si="155"/>
        <v>0</v>
      </c>
      <c r="AE270" s="113">
        <f t="shared" si="156"/>
        <v>0</v>
      </c>
      <c r="AL270" s="24">
        <f t="shared" si="231"/>
        <v>0</v>
      </c>
      <c r="AM270" s="24">
        <f t="shared" si="232"/>
        <v>0</v>
      </c>
      <c r="AN270" s="25" t="s">
        <v>318</v>
      </c>
      <c r="AO270" s="25" t="s">
        <v>327</v>
      </c>
      <c r="AP270" s="105" t="s">
        <v>328</v>
      </c>
      <c r="AR270" s="104" t="s">
        <v>785</v>
      </c>
      <c r="AS270" s="203"/>
      <c r="AU270" s="288"/>
    </row>
    <row r="271" spans="1:47" s="104" customFormat="1">
      <c r="A271" s="4" t="s">
        <v>838</v>
      </c>
      <c r="B271" s="4"/>
      <c r="C271" s="4" t="s">
        <v>187</v>
      </c>
      <c r="D271" s="146" t="s">
        <v>1102</v>
      </c>
      <c r="E271" s="4" t="s">
        <v>272</v>
      </c>
      <c r="F271" s="14">
        <f>Výměry!P51*5</f>
        <v>164.39999999999998</v>
      </c>
      <c r="G271" s="179"/>
      <c r="H271" s="14">
        <f t="shared" si="225"/>
        <v>0</v>
      </c>
      <c r="I271" s="14">
        <f>J271-H271</f>
        <v>0</v>
      </c>
      <c r="J271" s="14">
        <f>F271*G271</f>
        <v>0</v>
      </c>
      <c r="K271" s="190">
        <v>4.8000000000000001E-2</v>
      </c>
      <c r="L271" s="14">
        <f>F271*K271</f>
        <v>7.8911999999999987</v>
      </c>
      <c r="M271" s="20" t="s">
        <v>6</v>
      </c>
      <c r="N271" s="14">
        <f t="shared" si="233"/>
        <v>0</v>
      </c>
      <c r="Y271" s="110">
        <f t="shared" si="228"/>
        <v>0</v>
      </c>
      <c r="Z271" s="110">
        <f t="shared" si="229"/>
        <v>0</v>
      </c>
      <c r="AA271" s="110">
        <f t="shared" si="230"/>
        <v>0</v>
      </c>
      <c r="AC271" s="24">
        <v>15</v>
      </c>
      <c r="AD271" s="113">
        <f>G271*0.81143570536829</f>
        <v>0</v>
      </c>
      <c r="AE271" s="113">
        <f>G271*(1-0.81143570536829)</f>
        <v>0</v>
      </c>
      <c r="AL271" s="24">
        <f t="shared" si="231"/>
        <v>0</v>
      </c>
      <c r="AM271" s="24">
        <f t="shared" si="232"/>
        <v>0</v>
      </c>
      <c r="AN271" s="25" t="s">
        <v>318</v>
      </c>
      <c r="AO271" s="25" t="s">
        <v>327</v>
      </c>
      <c r="AP271" s="105" t="s">
        <v>328</v>
      </c>
      <c r="AR271" s="104" t="s">
        <v>785</v>
      </c>
      <c r="AS271" s="197">
        <v>6.8000000000000005E-2</v>
      </c>
      <c r="AU271" s="288"/>
    </row>
    <row r="272" spans="1:47" hidden="1">
      <c r="A272" s="4" t="s">
        <v>844</v>
      </c>
      <c r="B272" s="4"/>
      <c r="C272" s="4" t="s">
        <v>184</v>
      </c>
      <c r="D272" s="146" t="s">
        <v>255</v>
      </c>
      <c r="E272" s="4" t="s">
        <v>273</v>
      </c>
      <c r="F272" s="14">
        <v>0</v>
      </c>
      <c r="G272" s="179"/>
      <c r="H272" s="14">
        <f t="shared" si="225"/>
        <v>0</v>
      </c>
      <c r="I272" s="14">
        <f t="shared" si="226"/>
        <v>0</v>
      </c>
      <c r="J272" s="14">
        <f t="shared" si="227"/>
        <v>0</v>
      </c>
      <c r="K272" s="190">
        <v>0</v>
      </c>
      <c r="L272" s="14">
        <f t="shared" si="234"/>
        <v>0</v>
      </c>
      <c r="M272" s="20" t="s">
        <v>6</v>
      </c>
      <c r="N272" s="14">
        <f t="shared" si="233"/>
        <v>0</v>
      </c>
      <c r="Y272" s="110">
        <f t="shared" si="228"/>
        <v>0</v>
      </c>
      <c r="Z272" s="110">
        <f t="shared" si="229"/>
        <v>0</v>
      </c>
      <c r="AA272" s="110">
        <f t="shared" si="230"/>
        <v>0</v>
      </c>
      <c r="AC272" s="24">
        <v>15</v>
      </c>
      <c r="AD272" s="113">
        <f t="shared" si="155"/>
        <v>0</v>
      </c>
      <c r="AE272" s="113">
        <f t="shared" si="156"/>
        <v>0</v>
      </c>
      <c r="AL272" s="24">
        <f t="shared" si="231"/>
        <v>0</v>
      </c>
      <c r="AM272" s="24">
        <f t="shared" si="232"/>
        <v>0</v>
      </c>
      <c r="AN272" s="25" t="s">
        <v>317</v>
      </c>
      <c r="AO272" s="25" t="s">
        <v>327</v>
      </c>
      <c r="AP272" s="19" t="s">
        <v>328</v>
      </c>
      <c r="AR272" s="104" t="s">
        <v>785</v>
      </c>
      <c r="AS272" s="197">
        <v>1.1E-4</v>
      </c>
    </row>
    <row r="273" spans="1:47" s="45" customFormat="1" hidden="1">
      <c r="A273" s="4" t="s">
        <v>845</v>
      </c>
      <c r="B273" s="46"/>
      <c r="C273" s="57"/>
      <c r="D273" s="269" t="s">
        <v>405</v>
      </c>
      <c r="E273" s="57" t="s">
        <v>372</v>
      </c>
      <c r="F273" s="49">
        <v>0</v>
      </c>
      <c r="G273" s="179"/>
      <c r="H273" s="14">
        <f t="shared" si="225"/>
        <v>0</v>
      </c>
      <c r="I273" s="14">
        <f t="shared" si="226"/>
        <v>0</v>
      </c>
      <c r="J273" s="14">
        <f>F273*G273</f>
        <v>0</v>
      </c>
      <c r="K273" s="192">
        <v>0.8</v>
      </c>
      <c r="L273" s="14">
        <f t="shared" si="234"/>
        <v>0</v>
      </c>
      <c r="M273" s="49">
        <v>1</v>
      </c>
      <c r="N273" s="14">
        <f t="shared" si="233"/>
        <v>0</v>
      </c>
      <c r="Y273" s="110">
        <f t="shared" si="228"/>
        <v>0</v>
      </c>
      <c r="Z273" s="110">
        <f t="shared" si="229"/>
        <v>0</v>
      </c>
      <c r="AA273" s="110">
        <f t="shared" si="230"/>
        <v>0</v>
      </c>
      <c r="AB273"/>
      <c r="AC273" s="24">
        <v>15</v>
      </c>
      <c r="AD273" s="113">
        <f>G273*0.81143570536829</f>
        <v>0</v>
      </c>
      <c r="AE273" s="113">
        <f>G273*(1-0.81143570536829)</f>
        <v>0</v>
      </c>
      <c r="AL273" s="24">
        <f t="shared" si="231"/>
        <v>0</v>
      </c>
      <c r="AM273" s="24">
        <f t="shared" si="232"/>
        <v>0</v>
      </c>
      <c r="AN273" s="25" t="s">
        <v>317</v>
      </c>
      <c r="AO273" s="25" t="s">
        <v>327</v>
      </c>
      <c r="AP273" s="19" t="s">
        <v>328</v>
      </c>
      <c r="AR273" s="104" t="s">
        <v>785</v>
      </c>
      <c r="AS273" s="201">
        <v>0</v>
      </c>
      <c r="AU273" s="293"/>
    </row>
    <row r="274" spans="1:47" s="104" customFormat="1">
      <c r="A274" s="4" t="s">
        <v>846</v>
      </c>
      <c r="B274" s="4"/>
      <c r="C274" s="4" t="s">
        <v>185</v>
      </c>
      <c r="D274" s="146" t="s">
        <v>1103</v>
      </c>
      <c r="E274" s="4" t="s">
        <v>272</v>
      </c>
      <c r="F274" s="14">
        <f>F22*1</f>
        <v>65.422499999999999</v>
      </c>
      <c r="G274" s="179"/>
      <c r="H274" s="14">
        <f t="shared" si="225"/>
        <v>0</v>
      </c>
      <c r="I274" s="14">
        <f t="shared" si="226"/>
        <v>0</v>
      </c>
      <c r="J274" s="14">
        <f t="shared" si="227"/>
        <v>0</v>
      </c>
      <c r="K274" s="164">
        <v>0.26167000000000001</v>
      </c>
      <c r="L274" s="14">
        <f t="shared" si="234"/>
        <v>17.119105575000003</v>
      </c>
      <c r="M274" s="20" t="s">
        <v>6</v>
      </c>
      <c r="N274" s="14">
        <f t="shared" si="233"/>
        <v>0</v>
      </c>
      <c r="Y274" s="110">
        <f t="shared" si="228"/>
        <v>0</v>
      </c>
      <c r="Z274" s="110">
        <f t="shared" si="229"/>
        <v>0</v>
      </c>
      <c r="AA274" s="110">
        <f t="shared" si="230"/>
        <v>0</v>
      </c>
      <c r="AC274" s="24">
        <v>15</v>
      </c>
      <c r="AD274" s="113">
        <f t="shared" si="155"/>
        <v>0</v>
      </c>
      <c r="AE274" s="113">
        <f t="shared" si="156"/>
        <v>0</v>
      </c>
      <c r="AL274" s="24">
        <f t="shared" si="231"/>
        <v>0</v>
      </c>
      <c r="AM274" s="24">
        <f t="shared" si="232"/>
        <v>0</v>
      </c>
      <c r="AN274" s="25" t="s">
        <v>317</v>
      </c>
      <c r="AO274" s="25" t="s">
        <v>327</v>
      </c>
      <c r="AP274" s="105" t="s">
        <v>328</v>
      </c>
      <c r="AR274" s="104" t="s">
        <v>785</v>
      </c>
      <c r="AS274" s="197">
        <v>0.26167000000000001</v>
      </c>
      <c r="AU274" s="288"/>
    </row>
    <row r="275" spans="1:47" s="104" customFormat="1">
      <c r="A275" s="4" t="s">
        <v>847</v>
      </c>
      <c r="B275" s="4"/>
      <c r="C275" s="4" t="s">
        <v>186</v>
      </c>
      <c r="D275" s="4" t="s">
        <v>1112</v>
      </c>
      <c r="E275" s="4" t="s">
        <v>272</v>
      </c>
      <c r="F275" s="14">
        <f>((0.58+0.35)*3.05)*1.2*6*5</f>
        <v>102.11399999999998</v>
      </c>
      <c r="G275" s="179"/>
      <c r="H275" s="14">
        <f t="shared" si="225"/>
        <v>0</v>
      </c>
      <c r="I275" s="14">
        <f t="shared" si="226"/>
        <v>0</v>
      </c>
      <c r="J275" s="14">
        <f t="shared" si="227"/>
        <v>0</v>
      </c>
      <c r="K275" s="164">
        <v>0.11366999999999999</v>
      </c>
      <c r="L275" s="14">
        <f t="shared" si="234"/>
        <v>11.607298379999996</v>
      </c>
      <c r="M275" s="20" t="s">
        <v>6</v>
      </c>
      <c r="N275" s="14">
        <f t="shared" si="233"/>
        <v>0</v>
      </c>
      <c r="Y275" s="110">
        <f t="shared" si="228"/>
        <v>0</v>
      </c>
      <c r="Z275" s="110">
        <f t="shared" si="229"/>
        <v>0</v>
      </c>
      <c r="AA275" s="110">
        <f t="shared" si="230"/>
        <v>0</v>
      </c>
      <c r="AC275" s="24">
        <v>15</v>
      </c>
      <c r="AD275" s="113">
        <f t="shared" si="155"/>
        <v>0</v>
      </c>
      <c r="AE275" s="113">
        <f t="shared" si="156"/>
        <v>0</v>
      </c>
      <c r="AL275" s="24">
        <f t="shared" si="231"/>
        <v>0</v>
      </c>
      <c r="AM275" s="24">
        <f t="shared" si="232"/>
        <v>0</v>
      </c>
      <c r="AN275" s="25" t="s">
        <v>317</v>
      </c>
      <c r="AO275" s="25" t="s">
        <v>327</v>
      </c>
      <c r="AP275" s="105" t="s">
        <v>328</v>
      </c>
      <c r="AR275" s="104" t="s">
        <v>785</v>
      </c>
      <c r="AS275" s="197">
        <v>0.11366999999999999</v>
      </c>
      <c r="AU275" s="288"/>
    </row>
    <row r="276" spans="1:47">
      <c r="A276" s="6"/>
      <c r="B276" s="12"/>
      <c r="C276" s="12" t="s">
        <v>91</v>
      </c>
      <c r="D276" s="100" t="s">
        <v>256</v>
      </c>
      <c r="E276" s="101"/>
      <c r="F276" s="101"/>
      <c r="G276" s="101"/>
      <c r="H276" s="27">
        <f>SUM(H277:H286)</f>
        <v>0</v>
      </c>
      <c r="I276" s="27">
        <f>SUM(I277:I286)</f>
        <v>0</v>
      </c>
      <c r="J276" s="27">
        <f>H276+I276</f>
        <v>0</v>
      </c>
      <c r="K276" s="167"/>
      <c r="L276" s="27">
        <f>SUM(L277:L286)</f>
        <v>1.096395888</v>
      </c>
      <c r="O276" s="27">
        <f>IF(P276="PR",J276,SUM(N281:N286))</f>
        <v>0</v>
      </c>
      <c r="P276" s="19" t="s">
        <v>293</v>
      </c>
      <c r="Q276" s="27">
        <f>IF(P276="HS",H276,0)</f>
        <v>0</v>
      </c>
      <c r="R276" s="27">
        <f>IF(P276="HS",I276-O276,0)</f>
        <v>0</v>
      </c>
      <c r="S276" s="27">
        <f>IF(P276="PS",H276,0)</f>
        <v>0</v>
      </c>
      <c r="T276" s="27">
        <f>IF(P276="PS",I276-O276,0)</f>
        <v>0</v>
      </c>
      <c r="U276" s="27">
        <f>IF(P276="MP",H276,0)</f>
        <v>0</v>
      </c>
      <c r="V276" s="27">
        <f>IF(P276="MP",I276-O276,0)</f>
        <v>0</v>
      </c>
      <c r="W276" s="27">
        <f>IF(P276="OM",H276,0)</f>
        <v>0</v>
      </c>
      <c r="X276" s="19"/>
      <c r="Y276" s="110"/>
      <c r="Z276" s="110"/>
      <c r="AA276" s="110"/>
      <c r="AD276" s="113"/>
      <c r="AE276" s="113"/>
      <c r="AH276" s="27">
        <f>SUM(Y281:Y286)</f>
        <v>0</v>
      </c>
      <c r="AI276" s="27">
        <f>SUM(Z281:Z286)</f>
        <v>0</v>
      </c>
      <c r="AJ276" s="27">
        <f>SUM(AA281:AA286)</f>
        <v>0</v>
      </c>
      <c r="AS276" s="199"/>
    </row>
    <row r="277" spans="1:47" ht="25.5" hidden="1">
      <c r="A277" s="4" t="s">
        <v>877</v>
      </c>
      <c r="B277" s="4"/>
      <c r="C277" s="4" t="s">
        <v>901</v>
      </c>
      <c r="D277" s="273" t="s">
        <v>996</v>
      </c>
      <c r="E277" s="4" t="s">
        <v>272</v>
      </c>
      <c r="F277" s="14">
        <v>0</v>
      </c>
      <c r="G277" s="14"/>
      <c r="H277" s="14">
        <f t="shared" ref="H277:H286" si="235">F277*AD277</f>
        <v>0</v>
      </c>
      <c r="I277" s="14">
        <f>J277-H277</f>
        <v>0</v>
      </c>
      <c r="J277" s="14">
        <f>F277*G277</f>
        <v>0</v>
      </c>
      <c r="K277" s="164">
        <v>1.256E-2</v>
      </c>
      <c r="L277" s="61">
        <f t="shared" ref="L277:L286" si="236">F277*K277</f>
        <v>0</v>
      </c>
      <c r="M277" s="20" t="s">
        <v>10</v>
      </c>
      <c r="N277" s="14">
        <f>IF(M277="5",J277,0)</f>
        <v>0</v>
      </c>
      <c r="Y277" s="110">
        <f t="shared" ref="Y277:Y286" si="237">IF(AC277=0,J277,0)</f>
        <v>0</v>
      </c>
      <c r="Z277" s="110">
        <f t="shared" ref="Z277:Z286" si="238">IF(AC277=15,J277,0)</f>
        <v>0</v>
      </c>
      <c r="AA277" s="110">
        <f t="shared" ref="AA277:AA286" si="239">IF(AC277=21,J277,0)</f>
        <v>0</v>
      </c>
      <c r="AC277" s="24">
        <v>15</v>
      </c>
      <c r="AD277" s="113">
        <f>G277*0.81143570536829</f>
        <v>0</v>
      </c>
      <c r="AE277" s="113">
        <f>G277*(1-0.81143570536829)</f>
        <v>0</v>
      </c>
      <c r="AL277" s="24">
        <f t="shared" ref="AL277:AL286" si="240">F277*AD277</f>
        <v>0</v>
      </c>
      <c r="AM277" s="24">
        <f t="shared" ref="AM277:AM286" si="241">F277*AE277</f>
        <v>0</v>
      </c>
      <c r="AN277" s="25" t="s">
        <v>320</v>
      </c>
      <c r="AO277" s="25" t="s">
        <v>327</v>
      </c>
      <c r="AP277" s="19" t="s">
        <v>328</v>
      </c>
      <c r="AR277" s="45" t="s">
        <v>785</v>
      </c>
      <c r="AS277" s="197"/>
    </row>
    <row r="278" spans="1:47" hidden="1">
      <c r="A278" s="4" t="s">
        <v>878</v>
      </c>
      <c r="B278" s="4"/>
      <c r="C278" s="4" t="s">
        <v>903</v>
      </c>
      <c r="D278" s="191" t="s">
        <v>904</v>
      </c>
      <c r="E278" s="4" t="s">
        <v>272</v>
      </c>
      <c r="F278" s="14">
        <v>0</v>
      </c>
      <c r="G278" s="14"/>
      <c r="H278" s="14">
        <f t="shared" si="235"/>
        <v>0</v>
      </c>
      <c r="I278" s="14">
        <f>J278-H278</f>
        <v>0</v>
      </c>
      <c r="J278" s="14">
        <f>F278*G278</f>
        <v>0</v>
      </c>
      <c r="K278" s="164">
        <v>1.2E-2</v>
      </c>
      <c r="L278" s="61">
        <f>F278*K278</f>
        <v>0</v>
      </c>
      <c r="M278" s="20" t="s">
        <v>10</v>
      </c>
      <c r="N278" s="14">
        <f>IF(M278="5",J278,0)</f>
        <v>0</v>
      </c>
      <c r="Y278" s="110">
        <f t="shared" si="237"/>
        <v>0</v>
      </c>
      <c r="Z278" s="110">
        <f t="shared" si="238"/>
        <v>0</v>
      </c>
      <c r="AA278" s="110">
        <f t="shared" si="239"/>
        <v>0</v>
      </c>
      <c r="AC278" s="24">
        <v>15</v>
      </c>
      <c r="AD278" s="113">
        <f>G278*0.81143570536829</f>
        <v>0</v>
      </c>
      <c r="AE278" s="113">
        <f>G278*(1-0.81143570536829)</f>
        <v>0</v>
      </c>
      <c r="AL278" s="24">
        <f t="shared" si="240"/>
        <v>0</v>
      </c>
      <c r="AM278" s="24">
        <f t="shared" si="241"/>
        <v>0</v>
      </c>
      <c r="AN278" s="25" t="s">
        <v>320</v>
      </c>
      <c r="AO278" s="25" t="s">
        <v>327</v>
      </c>
      <c r="AP278" s="19" t="s">
        <v>328</v>
      </c>
      <c r="AR278" s="45" t="s">
        <v>785</v>
      </c>
      <c r="AS278" s="197"/>
    </row>
    <row r="279" spans="1:47" s="138" customFormat="1" hidden="1">
      <c r="A279" s="4" t="s">
        <v>879</v>
      </c>
      <c r="B279" s="60"/>
      <c r="C279" s="60" t="s">
        <v>916</v>
      </c>
      <c r="D279" s="191" t="s">
        <v>917</v>
      </c>
      <c r="E279" s="4" t="s">
        <v>272</v>
      </c>
      <c r="F279" s="61">
        <f>0.97*2.6*1.2*0</f>
        <v>0</v>
      </c>
      <c r="G279" s="61"/>
      <c r="H279" s="61">
        <f t="shared" si="235"/>
        <v>0</v>
      </c>
      <c r="I279" s="61">
        <f>J279-H279</f>
        <v>0</v>
      </c>
      <c r="J279" s="61">
        <f>F279*G279</f>
        <v>0</v>
      </c>
      <c r="K279" s="168">
        <v>2.231E-2</v>
      </c>
      <c r="L279" s="61">
        <f>F279*K279</f>
        <v>0</v>
      </c>
      <c r="M279" s="62" t="s">
        <v>6</v>
      </c>
      <c r="N279" s="61">
        <f t="shared" ref="N279:N286" si="242">IF(M279="5",I279,0)</f>
        <v>0</v>
      </c>
      <c r="Y279" s="110">
        <f t="shared" si="237"/>
        <v>0</v>
      </c>
      <c r="Z279" s="110">
        <f t="shared" si="238"/>
        <v>0</v>
      </c>
      <c r="AA279" s="110">
        <f t="shared" si="239"/>
        <v>0</v>
      </c>
      <c r="AC279" s="64">
        <v>15</v>
      </c>
      <c r="AD279" s="113">
        <f>G279*0.81143570536829</f>
        <v>0</v>
      </c>
      <c r="AE279" s="113">
        <f>G279*(1-0.81143570536829)</f>
        <v>0</v>
      </c>
      <c r="AL279" s="64">
        <f t="shared" si="240"/>
        <v>0</v>
      </c>
      <c r="AM279" s="64">
        <f t="shared" si="241"/>
        <v>0</v>
      </c>
      <c r="AN279" s="65" t="s">
        <v>318</v>
      </c>
      <c r="AO279" s="65" t="s">
        <v>327</v>
      </c>
      <c r="AP279" s="139" t="s">
        <v>328</v>
      </c>
      <c r="AR279" s="45" t="s">
        <v>785</v>
      </c>
      <c r="AS279" s="197">
        <v>2.49E-3</v>
      </c>
      <c r="AU279" s="289"/>
    </row>
    <row r="280" spans="1:47" s="138" customFormat="1">
      <c r="A280" s="4" t="s">
        <v>880</v>
      </c>
      <c r="B280" s="60"/>
      <c r="C280" s="60" t="s">
        <v>915</v>
      </c>
      <c r="D280" s="191" t="s">
        <v>1108</v>
      </c>
      <c r="E280" s="4" t="s">
        <v>272</v>
      </c>
      <c r="F280" s="61">
        <f>((1.75*8.2)+(2.42*6.7))*1.2</f>
        <v>36.676799999999993</v>
      </c>
      <c r="G280" s="61"/>
      <c r="H280" s="61">
        <f t="shared" si="235"/>
        <v>0</v>
      </c>
      <c r="I280" s="61">
        <f>J280-H280</f>
        <v>0</v>
      </c>
      <c r="J280" s="61">
        <f>F280*G280</f>
        <v>0</v>
      </c>
      <c r="K280" s="168">
        <v>1.2160000000000001E-2</v>
      </c>
      <c r="L280" s="61">
        <f>F280*K280</f>
        <v>0.44598988799999995</v>
      </c>
      <c r="M280" s="62" t="s">
        <v>6</v>
      </c>
      <c r="N280" s="61">
        <f t="shared" si="242"/>
        <v>0</v>
      </c>
      <c r="Y280" s="110">
        <f t="shared" si="237"/>
        <v>0</v>
      </c>
      <c r="Z280" s="110">
        <f t="shared" si="238"/>
        <v>0</v>
      </c>
      <c r="AA280" s="110">
        <f t="shared" si="239"/>
        <v>0</v>
      </c>
      <c r="AC280" s="64">
        <v>15</v>
      </c>
      <c r="AD280" s="113">
        <f>G280*0.81143570536829</f>
        <v>0</v>
      </c>
      <c r="AE280" s="113">
        <f>G280*(1-0.81143570536829)</f>
        <v>0</v>
      </c>
      <c r="AL280" s="64">
        <f t="shared" si="240"/>
        <v>0</v>
      </c>
      <c r="AM280" s="64">
        <f t="shared" si="241"/>
        <v>0</v>
      </c>
      <c r="AN280" s="65" t="s">
        <v>318</v>
      </c>
      <c r="AO280" s="65" t="s">
        <v>327</v>
      </c>
      <c r="AP280" s="139" t="s">
        <v>328</v>
      </c>
      <c r="AR280" s="45" t="s">
        <v>785</v>
      </c>
      <c r="AS280" s="197">
        <v>2.49E-3</v>
      </c>
      <c r="AU280" s="289"/>
    </row>
    <row r="281" spans="1:47" s="138" customFormat="1">
      <c r="A281" s="4" t="s">
        <v>881</v>
      </c>
      <c r="B281" s="60"/>
      <c r="C281" s="60" t="s">
        <v>431</v>
      </c>
      <c r="D281" s="4" t="s">
        <v>1124</v>
      </c>
      <c r="E281" s="60" t="s">
        <v>274</v>
      </c>
      <c r="F281" s="61">
        <f>(3.2+2.95+1.43)*6*5</f>
        <v>227.40000000000003</v>
      </c>
      <c r="G281" s="61"/>
      <c r="H281" s="61">
        <f t="shared" si="235"/>
        <v>0</v>
      </c>
      <c r="I281" s="61">
        <f t="shared" ref="I281:I286" si="243">J281-H281</f>
        <v>0</v>
      </c>
      <c r="J281" s="61">
        <f t="shared" ref="J281:J286" si="244">F281*G281</f>
        <v>0</v>
      </c>
      <c r="K281" s="168">
        <v>2.49E-3</v>
      </c>
      <c r="L281" s="61">
        <f t="shared" si="236"/>
        <v>0.56622600000000012</v>
      </c>
      <c r="M281" s="62" t="s">
        <v>6</v>
      </c>
      <c r="N281" s="61">
        <f t="shared" si="242"/>
        <v>0</v>
      </c>
      <c r="Y281" s="110">
        <f t="shared" si="237"/>
        <v>0</v>
      </c>
      <c r="Z281" s="110">
        <f t="shared" si="238"/>
        <v>0</v>
      </c>
      <c r="AA281" s="110">
        <f t="shared" si="239"/>
        <v>0</v>
      </c>
      <c r="AC281" s="64">
        <v>15</v>
      </c>
      <c r="AD281" s="113">
        <f t="shared" si="155"/>
        <v>0</v>
      </c>
      <c r="AE281" s="113">
        <f t="shared" si="156"/>
        <v>0</v>
      </c>
      <c r="AL281" s="64">
        <f t="shared" si="240"/>
        <v>0</v>
      </c>
      <c r="AM281" s="64">
        <f t="shared" si="241"/>
        <v>0</v>
      </c>
      <c r="AN281" s="65" t="s">
        <v>318</v>
      </c>
      <c r="AO281" s="65" t="s">
        <v>327</v>
      </c>
      <c r="AP281" s="139" t="s">
        <v>328</v>
      </c>
      <c r="AR281" s="45" t="s">
        <v>785</v>
      </c>
      <c r="AS281" s="197">
        <v>2.49E-3</v>
      </c>
      <c r="AU281" s="289"/>
    </row>
    <row r="282" spans="1:47" s="138" customFormat="1" hidden="1">
      <c r="A282" s="4" t="s">
        <v>882</v>
      </c>
      <c r="B282" s="60"/>
      <c r="C282" s="60" t="s">
        <v>432</v>
      </c>
      <c r="D282" s="60" t="s">
        <v>433</v>
      </c>
      <c r="E282" s="60" t="s">
        <v>274</v>
      </c>
      <c r="F282" s="61">
        <v>0</v>
      </c>
      <c r="G282" s="61"/>
      <c r="H282" s="61">
        <f t="shared" si="235"/>
        <v>0</v>
      </c>
      <c r="I282" s="61">
        <f t="shared" si="243"/>
        <v>0</v>
      </c>
      <c r="J282" s="61">
        <f t="shared" si="244"/>
        <v>0</v>
      </c>
      <c r="K282" s="168">
        <v>5.4900000000000001E-3</v>
      </c>
      <c r="L282" s="61">
        <f t="shared" si="236"/>
        <v>0</v>
      </c>
      <c r="M282" s="62" t="s">
        <v>6</v>
      </c>
      <c r="N282" s="61">
        <f t="shared" si="242"/>
        <v>0</v>
      </c>
      <c r="Y282" s="110">
        <f t="shared" si="237"/>
        <v>0</v>
      </c>
      <c r="Z282" s="110">
        <f t="shared" si="238"/>
        <v>0</v>
      </c>
      <c r="AA282" s="110">
        <f t="shared" si="239"/>
        <v>0</v>
      </c>
      <c r="AC282" s="64">
        <v>15</v>
      </c>
      <c r="AD282" s="113">
        <f t="shared" si="155"/>
        <v>0</v>
      </c>
      <c r="AE282" s="113">
        <f t="shared" si="156"/>
        <v>0</v>
      </c>
      <c r="AL282" s="64">
        <f t="shared" si="240"/>
        <v>0</v>
      </c>
      <c r="AM282" s="64">
        <f t="shared" si="241"/>
        <v>0</v>
      </c>
      <c r="AN282" s="65" t="s">
        <v>318</v>
      </c>
      <c r="AO282" s="65" t="s">
        <v>327</v>
      </c>
      <c r="AP282" s="139" t="s">
        <v>328</v>
      </c>
      <c r="AR282" s="45" t="s">
        <v>785</v>
      </c>
      <c r="AS282" s="197">
        <v>5.4900000000000001E-3</v>
      </c>
      <c r="AU282" s="289"/>
    </row>
    <row r="283" spans="1:47" s="138" customFormat="1" hidden="1">
      <c r="A283" s="4" t="s">
        <v>883</v>
      </c>
      <c r="B283" s="60"/>
      <c r="C283" s="60" t="s">
        <v>434</v>
      </c>
      <c r="D283" s="4" t="s">
        <v>438</v>
      </c>
      <c r="E283" s="60" t="s">
        <v>274</v>
      </c>
      <c r="F283" s="61">
        <v>0</v>
      </c>
      <c r="G283" s="61"/>
      <c r="H283" s="61">
        <f t="shared" si="235"/>
        <v>0</v>
      </c>
      <c r="I283" s="61">
        <f t="shared" si="243"/>
        <v>0</v>
      </c>
      <c r="J283" s="61">
        <f t="shared" si="244"/>
        <v>0</v>
      </c>
      <c r="K283" s="168">
        <v>7.4900000000000001E-3</v>
      </c>
      <c r="L283" s="61">
        <f t="shared" si="236"/>
        <v>0</v>
      </c>
      <c r="M283" s="62" t="s">
        <v>6</v>
      </c>
      <c r="N283" s="61">
        <f t="shared" si="242"/>
        <v>0</v>
      </c>
      <c r="Y283" s="110">
        <f t="shared" si="237"/>
        <v>0</v>
      </c>
      <c r="Z283" s="110">
        <f t="shared" si="238"/>
        <v>0</v>
      </c>
      <c r="AA283" s="110">
        <f t="shared" si="239"/>
        <v>0</v>
      </c>
      <c r="AC283" s="64">
        <v>15</v>
      </c>
      <c r="AD283" s="113">
        <f t="shared" si="155"/>
        <v>0</v>
      </c>
      <c r="AE283" s="113">
        <f t="shared" si="156"/>
        <v>0</v>
      </c>
      <c r="AL283" s="64">
        <f t="shared" si="240"/>
        <v>0</v>
      </c>
      <c r="AM283" s="64">
        <f t="shared" si="241"/>
        <v>0</v>
      </c>
      <c r="AN283" s="65" t="s">
        <v>318</v>
      </c>
      <c r="AO283" s="65" t="s">
        <v>327</v>
      </c>
      <c r="AP283" s="139" t="s">
        <v>328</v>
      </c>
      <c r="AR283" s="45" t="s">
        <v>785</v>
      </c>
      <c r="AS283" s="197">
        <v>7.4900000000000001E-3</v>
      </c>
      <c r="AU283" s="289"/>
    </row>
    <row r="284" spans="1:47" s="138" customFormat="1" hidden="1">
      <c r="A284" s="4" t="s">
        <v>884</v>
      </c>
      <c r="B284" s="60"/>
      <c r="C284" s="60" t="s">
        <v>435</v>
      </c>
      <c r="D284" s="60" t="s">
        <v>436</v>
      </c>
      <c r="E284" s="60" t="s">
        <v>274</v>
      </c>
      <c r="F284" s="61">
        <v>0</v>
      </c>
      <c r="G284" s="61"/>
      <c r="H284" s="61">
        <f t="shared" si="235"/>
        <v>0</v>
      </c>
      <c r="I284" s="61">
        <f t="shared" si="243"/>
        <v>0</v>
      </c>
      <c r="J284" s="61">
        <f t="shared" si="244"/>
        <v>0</v>
      </c>
      <c r="K284" s="168">
        <v>3.0000000000000001E-3</v>
      </c>
      <c r="L284" s="61">
        <f t="shared" si="236"/>
        <v>0</v>
      </c>
      <c r="M284" s="62" t="s">
        <v>6</v>
      </c>
      <c r="N284" s="61">
        <f t="shared" si="242"/>
        <v>0</v>
      </c>
      <c r="Y284" s="110">
        <f t="shared" si="237"/>
        <v>0</v>
      </c>
      <c r="Z284" s="110">
        <f t="shared" si="238"/>
        <v>0</v>
      </c>
      <c r="AA284" s="110">
        <f t="shared" si="239"/>
        <v>0</v>
      </c>
      <c r="AC284" s="64">
        <v>15</v>
      </c>
      <c r="AD284" s="113">
        <f t="shared" si="155"/>
        <v>0</v>
      </c>
      <c r="AE284" s="113">
        <f t="shared" si="156"/>
        <v>0</v>
      </c>
      <c r="AL284" s="64">
        <f t="shared" si="240"/>
        <v>0</v>
      </c>
      <c r="AM284" s="64">
        <f t="shared" si="241"/>
        <v>0</v>
      </c>
      <c r="AN284" s="65" t="s">
        <v>318</v>
      </c>
      <c r="AO284" s="65" t="s">
        <v>327</v>
      </c>
      <c r="AP284" s="139" t="s">
        <v>328</v>
      </c>
      <c r="AR284" s="45" t="s">
        <v>785</v>
      </c>
      <c r="AS284" s="197">
        <v>3.0000000000000001E-3</v>
      </c>
      <c r="AU284" s="289"/>
    </row>
    <row r="285" spans="1:47" s="125" customFormat="1" hidden="1">
      <c r="A285" s="4" t="s">
        <v>885</v>
      </c>
      <c r="B285" s="122"/>
      <c r="C285" s="122" t="s">
        <v>755</v>
      </c>
      <c r="D285" s="4" t="s">
        <v>1059</v>
      </c>
      <c r="E285" s="122" t="s">
        <v>273</v>
      </c>
      <c r="F285" s="123">
        <v>0</v>
      </c>
      <c r="G285" s="123"/>
      <c r="H285" s="123">
        <f t="shared" si="235"/>
        <v>0</v>
      </c>
      <c r="I285" s="123">
        <f>J285-H285</f>
        <v>0</v>
      </c>
      <c r="J285" s="123">
        <f t="shared" si="244"/>
        <v>0</v>
      </c>
      <c r="K285" s="170">
        <v>1.09E-3</v>
      </c>
      <c r="L285" s="123">
        <f t="shared" si="236"/>
        <v>0</v>
      </c>
      <c r="M285" s="124" t="s">
        <v>6</v>
      </c>
      <c r="N285" s="123">
        <f t="shared" si="242"/>
        <v>0</v>
      </c>
      <c r="Y285" s="110">
        <f t="shared" si="237"/>
        <v>0</v>
      </c>
      <c r="Z285" s="110">
        <f t="shared" si="238"/>
        <v>0</v>
      </c>
      <c r="AA285" s="110">
        <f t="shared" si="239"/>
        <v>0</v>
      </c>
      <c r="AC285" s="126">
        <v>15</v>
      </c>
      <c r="AD285" s="113">
        <f t="shared" si="155"/>
        <v>0</v>
      </c>
      <c r="AE285" s="113">
        <f t="shared" si="156"/>
        <v>0</v>
      </c>
      <c r="AL285" s="126">
        <f t="shared" si="240"/>
        <v>0</v>
      </c>
      <c r="AM285" s="126">
        <f t="shared" si="241"/>
        <v>0</v>
      </c>
      <c r="AN285" s="127" t="s">
        <v>318</v>
      </c>
      <c r="AO285" s="127" t="s">
        <v>327</v>
      </c>
      <c r="AP285" s="128" t="s">
        <v>328</v>
      </c>
      <c r="AS285" s="197">
        <v>1.09E-3</v>
      </c>
      <c r="AU285" s="291"/>
    </row>
    <row r="286" spans="1:47" s="138" customFormat="1">
      <c r="A286" s="4" t="s">
        <v>886</v>
      </c>
      <c r="B286" s="60"/>
      <c r="C286" s="60" t="s">
        <v>437</v>
      </c>
      <c r="D286" s="146" t="s">
        <v>1125</v>
      </c>
      <c r="E286" s="60" t="s">
        <v>274</v>
      </c>
      <c r="F286" s="61">
        <f>(3.05*2)*6*5</f>
        <v>182.99999999999997</v>
      </c>
      <c r="G286" s="61"/>
      <c r="H286" s="61">
        <f t="shared" si="235"/>
        <v>0</v>
      </c>
      <c r="I286" s="61">
        <f t="shared" si="243"/>
        <v>0</v>
      </c>
      <c r="J286" s="61">
        <f t="shared" si="244"/>
        <v>0</v>
      </c>
      <c r="K286" s="168">
        <v>4.6000000000000001E-4</v>
      </c>
      <c r="L286" s="61">
        <f t="shared" si="236"/>
        <v>8.4179999999999991E-2</v>
      </c>
      <c r="M286" s="62" t="s">
        <v>6</v>
      </c>
      <c r="N286" s="61">
        <f t="shared" si="242"/>
        <v>0</v>
      </c>
      <c r="Y286" s="110">
        <f t="shared" si="237"/>
        <v>0</v>
      </c>
      <c r="Z286" s="110">
        <f t="shared" si="238"/>
        <v>0</v>
      </c>
      <c r="AA286" s="110">
        <f t="shared" si="239"/>
        <v>0</v>
      </c>
      <c r="AC286" s="64">
        <v>15</v>
      </c>
      <c r="AD286" s="113">
        <f t="shared" si="155"/>
        <v>0</v>
      </c>
      <c r="AE286" s="113">
        <f t="shared" si="156"/>
        <v>0</v>
      </c>
      <c r="AL286" s="64">
        <f t="shared" si="240"/>
        <v>0</v>
      </c>
      <c r="AM286" s="64">
        <f t="shared" si="241"/>
        <v>0</v>
      </c>
      <c r="AN286" s="65" t="s">
        <v>318</v>
      </c>
      <c r="AO286" s="65" t="s">
        <v>327</v>
      </c>
      <c r="AP286" s="139" t="s">
        <v>328</v>
      </c>
      <c r="AR286" s="45" t="s">
        <v>785</v>
      </c>
      <c r="AS286" s="197">
        <v>4.6000000000000001E-4</v>
      </c>
      <c r="AU286" s="289"/>
    </row>
    <row r="287" spans="1:47" hidden="1">
      <c r="A287" s="6"/>
      <c r="B287" s="12"/>
      <c r="C287" s="12" t="s">
        <v>188</v>
      </c>
      <c r="D287" s="100" t="s">
        <v>257</v>
      </c>
      <c r="E287" s="101"/>
      <c r="F287" s="101"/>
      <c r="G287" s="101"/>
      <c r="H287" s="27">
        <f>SUM(H288:H291)</f>
        <v>0</v>
      </c>
      <c r="I287" s="27">
        <f>SUM(I288:I291)</f>
        <v>0</v>
      </c>
      <c r="J287" s="27">
        <f>H287+I287</f>
        <v>0</v>
      </c>
      <c r="K287" s="167"/>
      <c r="L287" s="27">
        <f>SUM(L288:L291)</f>
        <v>0.13420000000000001</v>
      </c>
      <c r="O287" s="27">
        <f>IF(P287="PR",J287,SUM(N288:N291))</f>
        <v>0</v>
      </c>
      <c r="P287" s="19" t="s">
        <v>295</v>
      </c>
      <c r="Q287" s="27">
        <f>IF(P287="HS",H287,0)</f>
        <v>0</v>
      </c>
      <c r="R287" s="27">
        <f>IF(P287="HS",I287-O287,0)</f>
        <v>0</v>
      </c>
      <c r="S287" s="27">
        <f>IF(P287="PS",H287,0)</f>
        <v>0</v>
      </c>
      <c r="T287" s="27">
        <f>IF(P287="PS",I287-O287,0)</f>
        <v>0</v>
      </c>
      <c r="U287" s="27">
        <f>IF(P287="MP",H287,0)</f>
        <v>0</v>
      </c>
      <c r="V287" s="27">
        <f>IF(P287="MP",I287-O287,0)</f>
        <v>0</v>
      </c>
      <c r="W287" s="27">
        <f>IF(P287="OM",H287,0)</f>
        <v>0</v>
      </c>
      <c r="X287" s="19"/>
      <c r="Y287" s="110"/>
      <c r="Z287" s="110"/>
      <c r="AA287" s="110"/>
      <c r="AD287" s="113"/>
      <c r="AE287" s="113"/>
      <c r="AH287" s="27">
        <f>SUM(Y288:Y291)</f>
        <v>0</v>
      </c>
      <c r="AI287" s="27">
        <f>SUM(Z288:Z291)</f>
        <v>0</v>
      </c>
      <c r="AJ287" s="27">
        <f>SUM(AA288:AA291)</f>
        <v>0</v>
      </c>
      <c r="AS287" s="199"/>
    </row>
    <row r="288" spans="1:47" s="104" customFormat="1" ht="38.25" hidden="1">
      <c r="A288" s="4" t="s">
        <v>887</v>
      </c>
      <c r="B288" s="4"/>
      <c r="C288" s="4"/>
      <c r="D288" s="272" t="s">
        <v>1041</v>
      </c>
      <c r="E288" s="4" t="s">
        <v>372</v>
      </c>
      <c r="F288" s="214">
        <v>1</v>
      </c>
      <c r="G288" s="14"/>
      <c r="H288" s="14">
        <f>F288*AD288</f>
        <v>0</v>
      </c>
      <c r="I288" s="14">
        <f>J288-H288</f>
        <v>0</v>
      </c>
      <c r="J288" s="14">
        <f>F288*G288</f>
        <v>0</v>
      </c>
      <c r="K288" s="164">
        <v>0.13420000000000001</v>
      </c>
      <c r="L288" s="14">
        <f>F288*K288</f>
        <v>0.13420000000000001</v>
      </c>
      <c r="M288" s="20" t="s">
        <v>7</v>
      </c>
      <c r="N288" s="14">
        <f>IF(M288="5",I288,0)</f>
        <v>0</v>
      </c>
      <c r="Y288" s="110">
        <f>IF(AC288=0,J288,0)</f>
        <v>0</v>
      </c>
      <c r="Z288" s="110">
        <f>IF(AC288=15,J288,0)</f>
        <v>0</v>
      </c>
      <c r="AA288" s="110">
        <f>IF(AC288=21,J288,0)</f>
        <v>0</v>
      </c>
      <c r="AC288" s="24">
        <v>15</v>
      </c>
      <c r="AD288" s="113">
        <f t="shared" si="155"/>
        <v>0</v>
      </c>
      <c r="AE288" s="113">
        <f t="shared" si="156"/>
        <v>0</v>
      </c>
      <c r="AL288" s="24">
        <f>F288*AD288</f>
        <v>0</v>
      </c>
      <c r="AM288" s="24">
        <f>F288*AE288</f>
        <v>0</v>
      </c>
      <c r="AN288" s="25" t="s">
        <v>319</v>
      </c>
      <c r="AO288" s="25" t="s">
        <v>327</v>
      </c>
      <c r="AP288" s="105" t="s">
        <v>328</v>
      </c>
      <c r="AR288" s="45" t="s">
        <v>785</v>
      </c>
      <c r="AS288" s="197">
        <v>0.13420000000000001</v>
      </c>
      <c r="AU288" s="288"/>
    </row>
    <row r="289" spans="1:47" s="125" customFormat="1" hidden="1">
      <c r="A289" s="4" t="s">
        <v>888</v>
      </c>
      <c r="B289" s="122"/>
      <c r="C289" s="122" t="s">
        <v>770</v>
      </c>
      <c r="D289" s="4" t="s">
        <v>902</v>
      </c>
      <c r="E289" s="122" t="s">
        <v>273</v>
      </c>
      <c r="F289" s="131">
        <v>0</v>
      </c>
      <c r="G289" s="180"/>
      <c r="H289" s="131">
        <f>F289*AD289</f>
        <v>0</v>
      </c>
      <c r="I289" s="131">
        <f>J289-H289</f>
        <v>0</v>
      </c>
      <c r="J289" s="14">
        <f>F289*G289</f>
        <v>0</v>
      </c>
      <c r="K289" s="175">
        <v>6.4999999999999997E-4</v>
      </c>
      <c r="L289" s="131">
        <f>F289*K289</f>
        <v>0</v>
      </c>
      <c r="M289" s="132" t="s">
        <v>290</v>
      </c>
      <c r="N289" s="131">
        <f>IF(M289="5",I289,0)</f>
        <v>0</v>
      </c>
      <c r="Y289" s="110">
        <f>IF(AC289=0,J289,0)</f>
        <v>0</v>
      </c>
      <c r="Z289" s="110">
        <f>IF(AC289=15,J289,0)</f>
        <v>0</v>
      </c>
      <c r="AA289" s="110">
        <f>IF(AC289=21,J289,0)</f>
        <v>0</v>
      </c>
      <c r="AC289" s="126">
        <v>15</v>
      </c>
      <c r="AD289" s="113">
        <f t="shared" si="155"/>
        <v>0</v>
      </c>
      <c r="AE289" s="113">
        <f t="shared" si="156"/>
        <v>0</v>
      </c>
      <c r="AL289" s="126">
        <f>F289*AD289</f>
        <v>0</v>
      </c>
      <c r="AM289" s="126">
        <f>F289*AE289</f>
        <v>0</v>
      </c>
      <c r="AN289" s="127" t="s">
        <v>682</v>
      </c>
      <c r="AO289" s="127" t="s">
        <v>764</v>
      </c>
      <c r="AP289" s="128" t="s">
        <v>328</v>
      </c>
      <c r="AS289" s="198">
        <v>6.4999999999999997E-4</v>
      </c>
      <c r="AU289" s="291"/>
    </row>
    <row r="290" spans="1:47" s="143" customFormat="1" hidden="1">
      <c r="A290" s="4" t="s">
        <v>889</v>
      </c>
      <c r="B290" s="130"/>
      <c r="C290" s="130" t="s">
        <v>768</v>
      </c>
      <c r="D290" s="130" t="s">
        <v>769</v>
      </c>
      <c r="E290" s="130" t="s">
        <v>273</v>
      </c>
      <c r="F290" s="131">
        <v>0</v>
      </c>
      <c r="G290" s="131"/>
      <c r="H290" s="131">
        <f>F290*AD290</f>
        <v>0</v>
      </c>
      <c r="I290" s="131">
        <f>J290-H290</f>
        <v>0</v>
      </c>
      <c r="J290" s="14">
        <f>F290*G290</f>
        <v>0</v>
      </c>
      <c r="K290" s="175">
        <v>6.4999999999999997E-4</v>
      </c>
      <c r="L290" s="131">
        <f>F290*K290</f>
        <v>0</v>
      </c>
      <c r="M290" s="132" t="s">
        <v>290</v>
      </c>
      <c r="N290" s="131">
        <f>IF(M290="5",I290,0)</f>
        <v>0</v>
      </c>
      <c r="Y290" s="110">
        <f>IF(AC290=0,J290,0)</f>
        <v>0</v>
      </c>
      <c r="Z290" s="110">
        <f>IF(AC290=15,J290,0)</f>
        <v>0</v>
      </c>
      <c r="AA290" s="110">
        <f>IF(AC290=21,J290,0)</f>
        <v>0</v>
      </c>
      <c r="AC290" s="126">
        <v>15</v>
      </c>
      <c r="AD290" s="113">
        <f t="shared" si="155"/>
        <v>0</v>
      </c>
      <c r="AE290" s="113">
        <f t="shared" si="156"/>
        <v>0</v>
      </c>
      <c r="AL290" s="126">
        <f>F290*AD290</f>
        <v>0</v>
      </c>
      <c r="AM290" s="126">
        <f>F290*AE290</f>
        <v>0</v>
      </c>
      <c r="AN290" s="127" t="s">
        <v>682</v>
      </c>
      <c r="AO290" s="127" t="s">
        <v>764</v>
      </c>
      <c r="AP290" s="144" t="s">
        <v>328</v>
      </c>
      <c r="AR290" s="45" t="s">
        <v>785</v>
      </c>
      <c r="AS290" s="198">
        <v>6.4999999999999997E-4</v>
      </c>
      <c r="AU290" s="290"/>
    </row>
    <row r="291" spans="1:47" s="112" customFormat="1" hidden="1">
      <c r="A291" s="4" t="s">
        <v>890</v>
      </c>
      <c r="B291" s="119"/>
      <c r="C291" s="119" t="s">
        <v>689</v>
      </c>
      <c r="D291" s="119" t="s">
        <v>690</v>
      </c>
      <c r="E291" s="119" t="s">
        <v>273</v>
      </c>
      <c r="F291" s="120">
        <v>0</v>
      </c>
      <c r="G291" s="120"/>
      <c r="H291" s="120">
        <f>F291*AD291</f>
        <v>0</v>
      </c>
      <c r="I291" s="120">
        <f>J291-H291</f>
        <v>0</v>
      </c>
      <c r="J291" s="14">
        <f>F291*G291</f>
        <v>0</v>
      </c>
      <c r="K291" s="172">
        <v>5.9000000000000003E-4</v>
      </c>
      <c r="L291" s="120">
        <f>F291*K291</f>
        <v>0</v>
      </c>
      <c r="M291" s="121" t="s">
        <v>290</v>
      </c>
      <c r="N291" s="120">
        <f>IF(M291="5",I291,0)</f>
        <v>0</v>
      </c>
      <c r="Y291" s="110">
        <f>IF(AC291=0,J291,0)</f>
        <v>0</v>
      </c>
      <c r="Z291" s="110">
        <f>IF(AC291=15,J291,0)</f>
        <v>0</v>
      </c>
      <c r="AA291" s="110">
        <f>IF(AC291=21,J291,0)</f>
        <v>0</v>
      </c>
      <c r="AC291" s="113">
        <v>15</v>
      </c>
      <c r="AD291" s="113">
        <f t="shared" si="155"/>
        <v>0</v>
      </c>
      <c r="AE291" s="113">
        <f t="shared" si="156"/>
        <v>0</v>
      </c>
      <c r="AL291" s="113">
        <f>F291*AD291</f>
        <v>0</v>
      </c>
      <c r="AM291" s="113">
        <f>F291*AE291</f>
        <v>0</v>
      </c>
      <c r="AN291" s="114" t="s">
        <v>682</v>
      </c>
      <c r="AO291" s="114" t="s">
        <v>328</v>
      </c>
      <c r="AP291" s="115" t="s">
        <v>328</v>
      </c>
      <c r="AR291" s="45" t="s">
        <v>785</v>
      </c>
      <c r="AS291" s="198">
        <v>5.9000000000000003E-4</v>
      </c>
      <c r="AU291" s="287"/>
    </row>
    <row r="292" spans="1:47">
      <c r="A292" s="6"/>
      <c r="B292" s="12"/>
      <c r="C292" s="12" t="s">
        <v>189</v>
      </c>
      <c r="D292" s="100" t="s">
        <v>258</v>
      </c>
      <c r="E292" s="101"/>
      <c r="F292" s="101"/>
      <c r="G292" s="101"/>
      <c r="H292" s="27">
        <f>SUM(H293:H302)</f>
        <v>0</v>
      </c>
      <c r="I292" s="27">
        <f>SUM(I293:I302)</f>
        <v>0</v>
      </c>
      <c r="J292" s="27">
        <f>H292+I292</f>
        <v>0</v>
      </c>
      <c r="K292" s="167"/>
      <c r="L292" s="27"/>
      <c r="O292" s="27">
        <f>IF(P292="PR",J292,SUM(N293:N302))</f>
        <v>0</v>
      </c>
      <c r="P292" s="19" t="s">
        <v>293</v>
      </c>
      <c r="Q292" s="27">
        <f>IF(P292="HS",H292,0)</f>
        <v>0</v>
      </c>
      <c r="R292" s="27">
        <f>IF(P292="HS",I292-O292,0)</f>
        <v>0</v>
      </c>
      <c r="S292" s="27">
        <f>IF(P292="PS",H292,0)</f>
        <v>0</v>
      </c>
      <c r="T292" s="27">
        <f>IF(P292="PS",I292-O292,0)</f>
        <v>0</v>
      </c>
      <c r="U292" s="27">
        <f>IF(P292="MP",H292,0)</f>
        <v>0</v>
      </c>
      <c r="V292" s="27">
        <f>IF(P292="MP",I292-O292,0)</f>
        <v>0</v>
      </c>
      <c r="W292" s="27">
        <f>IF(P292="OM",H292,0)</f>
        <v>0</v>
      </c>
      <c r="X292" s="19"/>
      <c r="Y292" s="110"/>
      <c r="Z292" s="110"/>
      <c r="AA292" s="110"/>
      <c r="AD292" s="113"/>
      <c r="AE292" s="113"/>
      <c r="AH292" s="27">
        <f>SUM(Y293:Y302)</f>
        <v>0</v>
      </c>
      <c r="AI292" s="27">
        <f>SUM(Z293:Z302)</f>
        <v>0</v>
      </c>
      <c r="AJ292" s="27">
        <f>SUM(AA293:AA302)</f>
        <v>0</v>
      </c>
      <c r="AS292" s="199"/>
    </row>
    <row r="293" spans="1:47">
      <c r="A293" s="4" t="s">
        <v>891</v>
      </c>
      <c r="B293" s="4"/>
      <c r="C293" s="4" t="s">
        <v>190</v>
      </c>
      <c r="D293" s="4" t="s">
        <v>259</v>
      </c>
      <c r="E293" s="4" t="s">
        <v>276</v>
      </c>
      <c r="F293" s="14">
        <f>F294*6</f>
        <v>238.02333805800001</v>
      </c>
      <c r="G293" s="14"/>
      <c r="H293" s="14">
        <f t="shared" ref="H293:H302" si="245">F293*AD293</f>
        <v>0</v>
      </c>
      <c r="I293" s="14">
        <f t="shared" ref="I293:I300" si="246">J293-H293</f>
        <v>0</v>
      </c>
      <c r="J293" s="14">
        <f t="shared" ref="J293:J302" si="247">F293*G293</f>
        <v>0</v>
      </c>
      <c r="K293" s="164"/>
      <c r="L293" s="14"/>
      <c r="M293" s="20" t="s">
        <v>10</v>
      </c>
      <c r="N293" s="14">
        <f t="shared" ref="N293:N302" si="248">IF(M293="5",J293,0)</f>
        <v>0</v>
      </c>
      <c r="Y293" s="110">
        <f t="shared" ref="Y293:Y302" si="249">IF(AC293=0,J293,0)</f>
        <v>0</v>
      </c>
      <c r="Z293" s="110">
        <f t="shared" ref="Z293:Z302" si="250">IF(AC293=15,J293,0)</f>
        <v>0</v>
      </c>
      <c r="AA293" s="110">
        <f t="shared" ref="AA293:AA302" si="251">IF(AC293=21,J293,0)</f>
        <v>0</v>
      </c>
      <c r="AC293" s="24">
        <v>15</v>
      </c>
      <c r="AD293" s="113">
        <f t="shared" si="155"/>
        <v>0</v>
      </c>
      <c r="AE293" s="113">
        <f t="shared" si="156"/>
        <v>0</v>
      </c>
      <c r="AL293" s="24">
        <f t="shared" ref="AL293:AL302" si="252">F293*AD293</f>
        <v>0</v>
      </c>
      <c r="AM293" s="24">
        <f t="shared" ref="AM293:AM302" si="253">F293*AE293</f>
        <v>0</v>
      </c>
      <c r="AN293" s="25" t="s">
        <v>320</v>
      </c>
      <c r="AO293" s="25" t="s">
        <v>327</v>
      </c>
      <c r="AP293" s="19" t="s">
        <v>328</v>
      </c>
      <c r="AR293" s="45" t="s">
        <v>785</v>
      </c>
      <c r="AS293" s="197"/>
    </row>
    <row r="294" spans="1:47">
      <c r="A294" s="4" t="s">
        <v>892</v>
      </c>
      <c r="B294" s="4"/>
      <c r="C294" s="4" t="s">
        <v>191</v>
      </c>
      <c r="D294" s="4" t="s">
        <v>260</v>
      </c>
      <c r="E294" s="4" t="s">
        <v>276</v>
      </c>
      <c r="F294" s="14">
        <f>L73+L77+L84+L87+L93+L108+L142+L131+L154+L155+L163+L168+L169+L170+L175+L198+L199+L203+L204+L208+L209+L232+L243+L244+L245+L246+L247+L248+L253+L254+L264+L276+L305</f>
        <v>39.670556343000001</v>
      </c>
      <c r="G294" s="14"/>
      <c r="H294" s="14">
        <f t="shared" si="245"/>
        <v>0</v>
      </c>
      <c r="I294" s="14">
        <f t="shared" si="246"/>
        <v>0</v>
      </c>
      <c r="J294" s="14">
        <f t="shared" si="247"/>
        <v>0</v>
      </c>
      <c r="K294" s="164"/>
      <c r="L294" s="14"/>
      <c r="M294" s="20" t="s">
        <v>10</v>
      </c>
      <c r="N294" s="14">
        <f t="shared" si="248"/>
        <v>0</v>
      </c>
      <c r="Y294" s="110">
        <f t="shared" si="249"/>
        <v>0</v>
      </c>
      <c r="Z294" s="110">
        <f t="shared" si="250"/>
        <v>0</v>
      </c>
      <c r="AA294" s="110">
        <f t="shared" si="251"/>
        <v>0</v>
      </c>
      <c r="AC294" s="24">
        <v>15</v>
      </c>
      <c r="AD294" s="113">
        <f t="shared" si="155"/>
        <v>0</v>
      </c>
      <c r="AE294" s="113">
        <f t="shared" si="156"/>
        <v>0</v>
      </c>
      <c r="AL294" s="24">
        <f t="shared" si="252"/>
        <v>0</v>
      </c>
      <c r="AM294" s="24">
        <f t="shared" si="253"/>
        <v>0</v>
      </c>
      <c r="AN294" s="25" t="s">
        <v>320</v>
      </c>
      <c r="AO294" s="25" t="s">
        <v>327</v>
      </c>
      <c r="AP294" s="19" t="s">
        <v>328</v>
      </c>
      <c r="AR294" s="45" t="s">
        <v>785</v>
      </c>
      <c r="AS294" s="197"/>
    </row>
    <row r="295" spans="1:47">
      <c r="A295" s="4" t="s">
        <v>893</v>
      </c>
      <c r="B295" s="4"/>
      <c r="C295" s="4" t="s">
        <v>192</v>
      </c>
      <c r="D295" s="4" t="s">
        <v>261</v>
      </c>
      <c r="E295" s="4" t="s">
        <v>276</v>
      </c>
      <c r="F295" s="14">
        <f>F294*19</f>
        <v>753.74057051700004</v>
      </c>
      <c r="G295" s="14"/>
      <c r="H295" s="14">
        <f t="shared" si="245"/>
        <v>0</v>
      </c>
      <c r="I295" s="14">
        <f t="shared" si="246"/>
        <v>0</v>
      </c>
      <c r="J295" s="14">
        <f t="shared" si="247"/>
        <v>0</v>
      </c>
      <c r="K295" s="164"/>
      <c r="L295" s="14"/>
      <c r="M295" s="20" t="s">
        <v>10</v>
      </c>
      <c r="N295" s="14">
        <f t="shared" si="248"/>
        <v>0</v>
      </c>
      <c r="Y295" s="110">
        <f t="shared" si="249"/>
        <v>0</v>
      </c>
      <c r="Z295" s="110">
        <f t="shared" si="250"/>
        <v>0</v>
      </c>
      <c r="AA295" s="110">
        <f t="shared" si="251"/>
        <v>0</v>
      </c>
      <c r="AC295" s="24">
        <v>15</v>
      </c>
      <c r="AD295" s="113">
        <f t="shared" si="155"/>
        <v>0</v>
      </c>
      <c r="AE295" s="113">
        <f t="shared" si="156"/>
        <v>0</v>
      </c>
      <c r="AL295" s="24">
        <f t="shared" si="252"/>
        <v>0</v>
      </c>
      <c r="AM295" s="24">
        <f t="shared" si="253"/>
        <v>0</v>
      </c>
      <c r="AN295" s="25" t="s">
        <v>320</v>
      </c>
      <c r="AO295" s="25" t="s">
        <v>327</v>
      </c>
      <c r="AP295" s="19" t="s">
        <v>328</v>
      </c>
      <c r="AR295" s="45" t="s">
        <v>785</v>
      </c>
      <c r="AS295" s="197"/>
    </row>
    <row r="296" spans="1:47">
      <c r="A296" s="4" t="s">
        <v>894</v>
      </c>
      <c r="B296" s="4"/>
      <c r="C296" s="4" t="s">
        <v>193</v>
      </c>
      <c r="D296" s="4" t="s">
        <v>262</v>
      </c>
      <c r="E296" s="4" t="s">
        <v>276</v>
      </c>
      <c r="F296" s="14">
        <f>F294</f>
        <v>39.670556343000001</v>
      </c>
      <c r="G296" s="14"/>
      <c r="H296" s="14">
        <f t="shared" si="245"/>
        <v>0</v>
      </c>
      <c r="I296" s="14">
        <f t="shared" si="246"/>
        <v>0</v>
      </c>
      <c r="J296" s="14">
        <f t="shared" si="247"/>
        <v>0</v>
      </c>
      <c r="K296" s="164"/>
      <c r="L296" s="14"/>
      <c r="M296" s="20" t="s">
        <v>10</v>
      </c>
      <c r="N296" s="14">
        <f t="shared" si="248"/>
        <v>0</v>
      </c>
      <c r="Y296" s="110">
        <f t="shared" si="249"/>
        <v>0</v>
      </c>
      <c r="Z296" s="110">
        <f t="shared" si="250"/>
        <v>0</v>
      </c>
      <c r="AA296" s="110">
        <f t="shared" si="251"/>
        <v>0</v>
      </c>
      <c r="AC296" s="24">
        <v>15</v>
      </c>
      <c r="AD296" s="113">
        <f t="shared" si="155"/>
        <v>0</v>
      </c>
      <c r="AE296" s="113">
        <f t="shared" si="156"/>
        <v>0</v>
      </c>
      <c r="AL296" s="24">
        <f t="shared" si="252"/>
        <v>0</v>
      </c>
      <c r="AM296" s="24">
        <f t="shared" si="253"/>
        <v>0</v>
      </c>
      <c r="AN296" s="25" t="s">
        <v>320</v>
      </c>
      <c r="AO296" s="25" t="s">
        <v>327</v>
      </c>
      <c r="AP296" s="19" t="s">
        <v>328</v>
      </c>
      <c r="AR296" s="45" t="s">
        <v>785</v>
      </c>
      <c r="AS296" s="197"/>
    </row>
    <row r="297" spans="1:47">
      <c r="A297" s="4" t="s">
        <v>899</v>
      </c>
      <c r="B297" s="4"/>
      <c r="C297" s="4" t="s">
        <v>194</v>
      </c>
      <c r="D297" s="4" t="s">
        <v>263</v>
      </c>
      <c r="E297" s="4" t="s">
        <v>276</v>
      </c>
      <c r="F297" s="14">
        <f>F294*4</f>
        <v>158.682225372</v>
      </c>
      <c r="G297" s="14"/>
      <c r="H297" s="14">
        <f t="shared" si="245"/>
        <v>0</v>
      </c>
      <c r="I297" s="14">
        <f t="shared" si="246"/>
        <v>0</v>
      </c>
      <c r="J297" s="14">
        <f t="shared" si="247"/>
        <v>0</v>
      </c>
      <c r="K297" s="164"/>
      <c r="L297" s="14"/>
      <c r="M297" s="20" t="s">
        <v>10</v>
      </c>
      <c r="N297" s="14">
        <f t="shared" si="248"/>
        <v>0</v>
      </c>
      <c r="Y297" s="110">
        <f t="shared" si="249"/>
        <v>0</v>
      </c>
      <c r="Z297" s="110">
        <f t="shared" si="250"/>
        <v>0</v>
      </c>
      <c r="AA297" s="110">
        <f t="shared" si="251"/>
        <v>0</v>
      </c>
      <c r="AC297" s="24">
        <v>15</v>
      </c>
      <c r="AD297" s="113">
        <f t="shared" si="155"/>
        <v>0</v>
      </c>
      <c r="AE297" s="113">
        <f t="shared" si="156"/>
        <v>0</v>
      </c>
      <c r="AL297" s="24">
        <f t="shared" si="252"/>
        <v>0</v>
      </c>
      <c r="AM297" s="24">
        <f t="shared" si="253"/>
        <v>0</v>
      </c>
      <c r="AN297" s="25" t="s">
        <v>320</v>
      </c>
      <c r="AO297" s="25" t="s">
        <v>327</v>
      </c>
      <c r="AP297" s="19" t="s">
        <v>328</v>
      </c>
      <c r="AR297" s="45" t="s">
        <v>785</v>
      </c>
      <c r="AS297" s="197"/>
    </row>
    <row r="298" spans="1:47">
      <c r="A298" s="4" t="s">
        <v>933</v>
      </c>
      <c r="B298" s="4"/>
      <c r="C298" s="4" t="s">
        <v>195</v>
      </c>
      <c r="D298" s="4" t="s">
        <v>264</v>
      </c>
      <c r="E298" s="4" t="s">
        <v>276</v>
      </c>
      <c r="F298" s="14">
        <f>F294</f>
        <v>39.670556343000001</v>
      </c>
      <c r="G298" s="14"/>
      <c r="H298" s="14">
        <f t="shared" si="245"/>
        <v>0</v>
      </c>
      <c r="I298" s="14">
        <f t="shared" si="246"/>
        <v>0</v>
      </c>
      <c r="J298" s="14">
        <f t="shared" si="247"/>
        <v>0</v>
      </c>
      <c r="K298" s="164"/>
      <c r="L298" s="14"/>
      <c r="M298" s="20" t="s">
        <v>10</v>
      </c>
      <c r="N298" s="14">
        <f t="shared" si="248"/>
        <v>0</v>
      </c>
      <c r="Y298" s="110">
        <f t="shared" si="249"/>
        <v>0</v>
      </c>
      <c r="Z298" s="110">
        <f t="shared" si="250"/>
        <v>0</v>
      </c>
      <c r="AA298" s="110">
        <f t="shared" si="251"/>
        <v>0</v>
      </c>
      <c r="AC298" s="24">
        <v>15</v>
      </c>
      <c r="AD298" s="113">
        <f t="shared" ref="AD298:AD311" si="254">G298*0.81143570536829</f>
        <v>0</v>
      </c>
      <c r="AE298" s="113">
        <f t="shared" ref="AE298:AE311" si="255">G298*(1-0.81143570536829)</f>
        <v>0</v>
      </c>
      <c r="AL298" s="24">
        <f t="shared" si="252"/>
        <v>0</v>
      </c>
      <c r="AM298" s="24">
        <f t="shared" si="253"/>
        <v>0</v>
      </c>
      <c r="AN298" s="25" t="s">
        <v>320</v>
      </c>
      <c r="AO298" s="25" t="s">
        <v>327</v>
      </c>
      <c r="AP298" s="19" t="s">
        <v>328</v>
      </c>
      <c r="AR298" s="45" t="s">
        <v>785</v>
      </c>
      <c r="AS298" s="197"/>
    </row>
    <row r="299" spans="1:47">
      <c r="A299" s="4" t="s">
        <v>934</v>
      </c>
      <c r="B299" s="4"/>
      <c r="C299" s="4" t="s">
        <v>196</v>
      </c>
      <c r="D299" s="4" t="s">
        <v>265</v>
      </c>
      <c r="E299" s="4" t="s">
        <v>276</v>
      </c>
      <c r="F299" s="14">
        <f>F294</f>
        <v>39.670556343000001</v>
      </c>
      <c r="G299" s="14"/>
      <c r="H299" s="14">
        <f t="shared" si="245"/>
        <v>0</v>
      </c>
      <c r="I299" s="14">
        <f t="shared" si="246"/>
        <v>0</v>
      </c>
      <c r="J299" s="14">
        <f t="shared" si="247"/>
        <v>0</v>
      </c>
      <c r="K299" s="164"/>
      <c r="L299" s="14"/>
      <c r="M299" s="20" t="s">
        <v>10</v>
      </c>
      <c r="N299" s="14">
        <f t="shared" si="248"/>
        <v>0</v>
      </c>
      <c r="Y299" s="110">
        <f t="shared" si="249"/>
        <v>0</v>
      </c>
      <c r="Z299" s="110">
        <f t="shared" si="250"/>
        <v>0</v>
      </c>
      <c r="AA299" s="110">
        <f t="shared" si="251"/>
        <v>0</v>
      </c>
      <c r="AC299" s="24">
        <v>15</v>
      </c>
      <c r="AD299" s="113">
        <f t="shared" si="254"/>
        <v>0</v>
      </c>
      <c r="AE299" s="113">
        <f t="shared" si="255"/>
        <v>0</v>
      </c>
      <c r="AL299" s="24">
        <f t="shared" si="252"/>
        <v>0</v>
      </c>
      <c r="AM299" s="24">
        <f t="shared" si="253"/>
        <v>0</v>
      </c>
      <c r="AN299" s="25" t="s">
        <v>320</v>
      </c>
      <c r="AO299" s="25" t="s">
        <v>327</v>
      </c>
      <c r="AP299" s="19" t="s">
        <v>328</v>
      </c>
      <c r="AR299" s="45" t="s">
        <v>785</v>
      </c>
      <c r="AS299" s="197"/>
    </row>
    <row r="300" spans="1:47">
      <c r="A300" s="4" t="s">
        <v>935</v>
      </c>
      <c r="B300" s="4"/>
      <c r="C300" s="4" t="s">
        <v>197</v>
      </c>
      <c r="D300" s="4" t="s">
        <v>266</v>
      </c>
      <c r="E300" s="4" t="s">
        <v>276</v>
      </c>
      <c r="F300" s="14">
        <f>F293</f>
        <v>238.02333805800001</v>
      </c>
      <c r="G300" s="14"/>
      <c r="H300" s="14">
        <f t="shared" si="245"/>
        <v>0</v>
      </c>
      <c r="I300" s="14">
        <f t="shared" si="246"/>
        <v>0</v>
      </c>
      <c r="J300" s="14">
        <f t="shared" si="247"/>
        <v>0</v>
      </c>
      <c r="K300" s="164"/>
      <c r="L300" s="14"/>
      <c r="M300" s="20" t="s">
        <v>10</v>
      </c>
      <c r="N300" s="14">
        <f t="shared" si="248"/>
        <v>0</v>
      </c>
      <c r="Y300" s="110">
        <f t="shared" si="249"/>
        <v>0</v>
      </c>
      <c r="Z300" s="110">
        <f t="shared" si="250"/>
        <v>0</v>
      </c>
      <c r="AA300" s="110">
        <f t="shared" si="251"/>
        <v>0</v>
      </c>
      <c r="AC300" s="24">
        <v>15</v>
      </c>
      <c r="AD300" s="113">
        <f t="shared" si="254"/>
        <v>0</v>
      </c>
      <c r="AE300" s="113">
        <f t="shared" si="255"/>
        <v>0</v>
      </c>
      <c r="AL300" s="24">
        <f t="shared" si="252"/>
        <v>0</v>
      </c>
      <c r="AM300" s="24">
        <f t="shared" si="253"/>
        <v>0</v>
      </c>
      <c r="AN300" s="25" t="s">
        <v>320</v>
      </c>
      <c r="AO300" s="25" t="s">
        <v>327</v>
      </c>
      <c r="AP300" s="19" t="s">
        <v>328</v>
      </c>
      <c r="AR300" s="45" t="s">
        <v>785</v>
      </c>
      <c r="AS300" s="197"/>
    </row>
    <row r="301" spans="1:47" s="133" customFormat="1" hidden="1">
      <c r="A301" s="4" t="s">
        <v>936</v>
      </c>
      <c r="B301" s="109"/>
      <c r="C301" s="109" t="s">
        <v>676</v>
      </c>
      <c r="D301" s="109" t="s">
        <v>677</v>
      </c>
      <c r="E301" s="109" t="s">
        <v>276</v>
      </c>
      <c r="F301" s="224">
        <f>0.012*F149</f>
        <v>0</v>
      </c>
      <c r="G301" s="14">
        <v>1314</v>
      </c>
      <c r="H301" s="110">
        <f t="shared" si="245"/>
        <v>0</v>
      </c>
      <c r="I301" s="110">
        <f>J301-H301</f>
        <v>0</v>
      </c>
      <c r="J301" s="14">
        <f t="shared" si="247"/>
        <v>0</v>
      </c>
      <c r="K301" s="163"/>
      <c r="L301" s="110"/>
      <c r="M301" s="111" t="s">
        <v>10</v>
      </c>
      <c r="N301" s="14">
        <f t="shared" si="248"/>
        <v>0</v>
      </c>
      <c r="Y301" s="110">
        <f t="shared" si="249"/>
        <v>0</v>
      </c>
      <c r="Z301" s="110">
        <f t="shared" si="250"/>
        <v>0</v>
      </c>
      <c r="AA301" s="110">
        <f t="shared" si="251"/>
        <v>0</v>
      </c>
      <c r="AC301" s="113">
        <v>15</v>
      </c>
      <c r="AD301" s="113">
        <f t="shared" si="254"/>
        <v>1066.2265168539332</v>
      </c>
      <c r="AE301" s="113">
        <f t="shared" si="255"/>
        <v>247.77348314606692</v>
      </c>
      <c r="AL301" s="113">
        <f t="shared" si="252"/>
        <v>0</v>
      </c>
      <c r="AM301" s="113">
        <f t="shared" si="253"/>
        <v>0</v>
      </c>
      <c r="AN301" s="114" t="s">
        <v>320</v>
      </c>
      <c r="AO301" s="114" t="s">
        <v>327</v>
      </c>
      <c r="AP301" s="134" t="s">
        <v>328</v>
      </c>
      <c r="AR301" s="45" t="s">
        <v>785</v>
      </c>
      <c r="AS301" s="197"/>
      <c r="AU301" s="286"/>
    </row>
    <row r="302" spans="1:47" s="133" customFormat="1" hidden="1">
      <c r="A302" s="4" t="s">
        <v>937</v>
      </c>
      <c r="B302" s="109"/>
      <c r="C302" s="109" t="s">
        <v>678</v>
      </c>
      <c r="D302" s="109" t="s">
        <v>679</v>
      </c>
      <c r="E302" s="109" t="s">
        <v>276</v>
      </c>
      <c r="F302" s="110">
        <f>L203+L204+L208</f>
        <v>0</v>
      </c>
      <c r="G302" s="110">
        <v>1620</v>
      </c>
      <c r="H302" s="110">
        <f t="shared" si="245"/>
        <v>0</v>
      </c>
      <c r="I302" s="110">
        <f>J302-H302</f>
        <v>0</v>
      </c>
      <c r="J302" s="14">
        <f t="shared" si="247"/>
        <v>0</v>
      </c>
      <c r="K302" s="163"/>
      <c r="L302" s="110"/>
      <c r="M302" s="111" t="s">
        <v>10</v>
      </c>
      <c r="N302" s="14">
        <f t="shared" si="248"/>
        <v>0</v>
      </c>
      <c r="Y302" s="110">
        <f t="shared" si="249"/>
        <v>0</v>
      </c>
      <c r="Z302" s="110">
        <f t="shared" si="250"/>
        <v>0</v>
      </c>
      <c r="AA302" s="110">
        <f t="shared" si="251"/>
        <v>0</v>
      </c>
      <c r="AC302" s="113">
        <v>15</v>
      </c>
      <c r="AD302" s="113">
        <f t="shared" si="254"/>
        <v>1314.5258426966298</v>
      </c>
      <c r="AE302" s="113">
        <f t="shared" si="255"/>
        <v>305.47415730337019</v>
      </c>
      <c r="AL302" s="113">
        <f t="shared" si="252"/>
        <v>0</v>
      </c>
      <c r="AM302" s="113">
        <f t="shared" si="253"/>
        <v>0</v>
      </c>
      <c r="AN302" s="114" t="s">
        <v>320</v>
      </c>
      <c r="AO302" s="114" t="s">
        <v>327</v>
      </c>
      <c r="AP302" s="134" t="s">
        <v>328</v>
      </c>
      <c r="AR302" s="45" t="s">
        <v>785</v>
      </c>
      <c r="AS302" s="197"/>
      <c r="AU302" s="286"/>
    </row>
    <row r="303" spans="1:47" s="56" customFormat="1" hidden="1">
      <c r="A303" s="50" t="s">
        <v>393</v>
      </c>
      <c r="B303" s="51" t="s">
        <v>393</v>
      </c>
      <c r="C303" s="52" t="s">
        <v>394</v>
      </c>
      <c r="D303" s="53" t="s">
        <v>395</v>
      </c>
      <c r="E303" s="52" t="s">
        <v>393</v>
      </c>
      <c r="F303" s="54" t="s">
        <v>393</v>
      </c>
      <c r="G303" s="101"/>
      <c r="H303" s="55">
        <f>SUM(H304:H307)</f>
        <v>0</v>
      </c>
      <c r="I303" s="55">
        <f>SUM(I304:I307)</f>
        <v>0</v>
      </c>
      <c r="J303" s="27">
        <f>H303+I303</f>
        <v>0</v>
      </c>
      <c r="K303" s="176">
        <v>0</v>
      </c>
      <c r="L303" s="55">
        <f>SUM(L304:L307)</f>
        <v>0</v>
      </c>
      <c r="M303" s="54">
        <f>SUM(M304:M307)</f>
        <v>1</v>
      </c>
      <c r="O303" s="27">
        <f>IF(P303="PR",J303,SUM(N304:N307))</f>
        <v>0</v>
      </c>
      <c r="P303" s="19" t="s">
        <v>293</v>
      </c>
      <c r="Q303" s="27">
        <f>IF(P303="HS",H303,0)</f>
        <v>0</v>
      </c>
      <c r="R303" s="27">
        <f>IF(P303="HS",I303-O303,0)</f>
        <v>0</v>
      </c>
      <c r="S303" s="27">
        <f>IF(P303="PS",H303,0)</f>
        <v>0</v>
      </c>
      <c r="T303" s="27">
        <f>IF(P303="PS",I303-O303,0)</f>
        <v>0</v>
      </c>
      <c r="U303" s="27">
        <f>IF(P303="MP",H303,0)</f>
        <v>0</v>
      </c>
      <c r="V303" s="27">
        <f>IF(P303="MP",I303-O303,0)</f>
        <v>0</v>
      </c>
      <c r="W303" s="27">
        <f>IF(P303="OM",H303,0)</f>
        <v>0</v>
      </c>
      <c r="X303" s="19"/>
      <c r="Y303" s="110"/>
      <c r="Z303" s="110"/>
      <c r="AA303" s="110"/>
      <c r="AD303" s="113"/>
      <c r="AE303" s="113"/>
      <c r="AH303" s="27">
        <f>SUM(Y304:Y307)</f>
        <v>0</v>
      </c>
      <c r="AI303" s="27">
        <f>SUM(Z304:Z307)</f>
        <v>0</v>
      </c>
      <c r="AJ303" s="27">
        <f>SUM(AA304:AA307)</f>
        <v>0</v>
      </c>
      <c r="AS303" s="204">
        <v>0</v>
      </c>
      <c r="AU303" s="299"/>
    </row>
    <row r="304" spans="1:47" s="104" customFormat="1" hidden="1">
      <c r="A304" s="4" t="s">
        <v>938</v>
      </c>
      <c r="B304" s="4"/>
      <c r="C304" s="4" t="s">
        <v>398</v>
      </c>
      <c r="D304" s="4" t="s">
        <v>403</v>
      </c>
      <c r="E304" s="4" t="s">
        <v>275</v>
      </c>
      <c r="F304" s="14">
        <v>0</v>
      </c>
      <c r="G304" s="14">
        <v>1230</v>
      </c>
      <c r="H304" s="14">
        <f>F304*AD304</f>
        <v>0</v>
      </c>
      <c r="I304" s="14">
        <f>J304-H304</f>
        <v>0</v>
      </c>
      <c r="J304" s="14">
        <f>F304*G304</f>
        <v>0</v>
      </c>
      <c r="K304" s="164">
        <v>3.8999999999999999E-4</v>
      </c>
      <c r="L304" s="14">
        <f>F304*K304</f>
        <v>0</v>
      </c>
      <c r="M304" s="20" t="s">
        <v>6</v>
      </c>
      <c r="N304" s="14">
        <f>IF(M304="5",I304,0)</f>
        <v>0</v>
      </c>
      <c r="Y304" s="110">
        <f>IF(AC304=0,J304,0)</f>
        <v>0</v>
      </c>
      <c r="Z304" s="110">
        <f>IF(AC304=15,J304,0)</f>
        <v>0</v>
      </c>
      <c r="AA304" s="110">
        <f>IF(AC304=21,J304,0)</f>
        <v>0</v>
      </c>
      <c r="AC304" s="24">
        <v>15</v>
      </c>
      <c r="AD304" s="113">
        <f t="shared" si="254"/>
        <v>998.06591760299671</v>
      </c>
      <c r="AE304" s="113">
        <f t="shared" si="255"/>
        <v>231.93408239700327</v>
      </c>
      <c r="AL304" s="24">
        <f>F304*AD304</f>
        <v>0</v>
      </c>
      <c r="AM304" s="24">
        <f>F304*AE304</f>
        <v>0</v>
      </c>
      <c r="AN304" s="25" t="s">
        <v>399</v>
      </c>
      <c r="AO304" s="25" t="s">
        <v>400</v>
      </c>
      <c r="AP304" s="105" t="s">
        <v>328</v>
      </c>
      <c r="AR304" s="45" t="s">
        <v>785</v>
      </c>
      <c r="AS304" s="197">
        <v>3.8999999999999999E-4</v>
      </c>
      <c r="AU304" s="288"/>
    </row>
    <row r="305" spans="1:47" s="104" customFormat="1" hidden="1">
      <c r="A305" s="4" t="s">
        <v>939</v>
      </c>
      <c r="B305" s="4"/>
      <c r="C305" s="4" t="s">
        <v>401</v>
      </c>
      <c r="D305" s="4" t="s">
        <v>424</v>
      </c>
      <c r="E305" s="4" t="s">
        <v>273</v>
      </c>
      <c r="F305" s="14">
        <v>0</v>
      </c>
      <c r="G305" s="14">
        <v>395</v>
      </c>
      <c r="H305" s="14">
        <f>F305*AD305</f>
        <v>0</v>
      </c>
      <c r="I305" s="14">
        <f>J305-H305</f>
        <v>0</v>
      </c>
      <c r="J305" s="14">
        <f>F305*G305</f>
        <v>0</v>
      </c>
      <c r="K305" s="164">
        <v>4.8000000000000001E-2</v>
      </c>
      <c r="L305" s="14">
        <f>F305*K305</f>
        <v>0</v>
      </c>
      <c r="M305" s="20" t="s">
        <v>6</v>
      </c>
      <c r="N305" s="14">
        <f>IF(M305="5",I305,0)</f>
        <v>0</v>
      </c>
      <c r="Y305" s="110">
        <f>IF(AC305=0,J305,0)</f>
        <v>0</v>
      </c>
      <c r="Z305" s="110">
        <f>IF(AC305=15,J305,0)</f>
        <v>0</v>
      </c>
      <c r="AA305" s="110">
        <f>IF(AC305=21,J305,0)</f>
        <v>0</v>
      </c>
      <c r="AC305" s="24">
        <v>15</v>
      </c>
      <c r="AD305" s="113">
        <f t="shared" si="254"/>
        <v>320.51710362047453</v>
      </c>
      <c r="AE305" s="113">
        <f t="shared" si="255"/>
        <v>74.482896379525442</v>
      </c>
      <c r="AL305" s="24">
        <f>F305*AD305</f>
        <v>0</v>
      </c>
      <c r="AM305" s="24">
        <f>F305*AE305</f>
        <v>0</v>
      </c>
      <c r="AN305" s="25" t="s">
        <v>402</v>
      </c>
      <c r="AO305" s="25" t="s">
        <v>400</v>
      </c>
      <c r="AP305" s="105" t="s">
        <v>328</v>
      </c>
      <c r="AR305" s="45" t="s">
        <v>785</v>
      </c>
      <c r="AS305" s="197">
        <v>4.8000000000000001E-2</v>
      </c>
      <c r="AU305" s="288"/>
    </row>
    <row r="306" spans="1:47" s="104" customFormat="1" hidden="1">
      <c r="A306" s="4" t="s">
        <v>940</v>
      </c>
      <c r="B306" s="46" t="s">
        <v>396</v>
      </c>
      <c r="C306" s="4"/>
      <c r="D306" s="4" t="s">
        <v>579</v>
      </c>
      <c r="E306" s="4" t="s">
        <v>275</v>
      </c>
      <c r="F306" s="14">
        <v>0</v>
      </c>
      <c r="G306" s="14"/>
      <c r="H306" s="14">
        <f>F306*AD306</f>
        <v>0</v>
      </c>
      <c r="I306" s="14">
        <f>J306-H306</f>
        <v>0</v>
      </c>
      <c r="J306" s="14">
        <f>F306*G306</f>
        <v>0</v>
      </c>
      <c r="K306" s="164">
        <v>3.8999999999999998E-3</v>
      </c>
      <c r="L306" s="14">
        <f>F306*K306</f>
        <v>0</v>
      </c>
      <c r="M306" s="20" t="s">
        <v>6</v>
      </c>
      <c r="N306" s="14">
        <f>IF(M306="5",I306,0)</f>
        <v>0</v>
      </c>
      <c r="Y306" s="110">
        <f>IF(AC306=0,J306,0)</f>
        <v>0</v>
      </c>
      <c r="Z306" s="110">
        <f>IF(AC306=15,J306,0)</f>
        <v>0</v>
      </c>
      <c r="AA306" s="110">
        <f>IF(AC306=21,J306,0)</f>
        <v>0</v>
      </c>
      <c r="AC306" s="24">
        <v>15</v>
      </c>
      <c r="AD306" s="113">
        <f t="shared" si="254"/>
        <v>0</v>
      </c>
      <c r="AE306" s="113">
        <f t="shared" si="255"/>
        <v>0</v>
      </c>
      <c r="AL306" s="24">
        <f>F306*AD306</f>
        <v>0</v>
      </c>
      <c r="AM306" s="24">
        <f>F306*AE306</f>
        <v>0</v>
      </c>
      <c r="AN306" s="25" t="s">
        <v>399</v>
      </c>
      <c r="AO306" s="25" t="s">
        <v>400</v>
      </c>
      <c r="AP306" s="105" t="s">
        <v>328</v>
      </c>
      <c r="AR306" s="45" t="s">
        <v>785</v>
      </c>
      <c r="AS306" s="197">
        <v>3.8999999999999998E-3</v>
      </c>
      <c r="AU306" s="288"/>
    </row>
    <row r="307" spans="1:47" s="45" customFormat="1" hidden="1">
      <c r="A307" s="4" t="s">
        <v>941</v>
      </c>
      <c r="B307" s="46" t="s">
        <v>396</v>
      </c>
      <c r="C307" s="47"/>
      <c r="D307" s="140" t="s">
        <v>397</v>
      </c>
      <c r="E307" s="47" t="s">
        <v>273</v>
      </c>
      <c r="F307" s="49">
        <v>0</v>
      </c>
      <c r="G307" s="48">
        <v>7640</v>
      </c>
      <c r="H307" s="48">
        <f>IF(B307="MAT",0,F307*G307)</f>
        <v>0</v>
      </c>
      <c r="I307" s="48">
        <f>IF(B307="MAT",F307*G307,0)</f>
        <v>0</v>
      </c>
      <c r="J307" s="48">
        <f>F307*G307</f>
        <v>0</v>
      </c>
      <c r="K307" s="171">
        <v>4.8000000000000001E-2</v>
      </c>
      <c r="L307" s="49">
        <f>K307*F307</f>
        <v>0</v>
      </c>
      <c r="M307" s="49">
        <v>1</v>
      </c>
      <c r="N307" s="14">
        <f>IF(M307="5",I307,0)</f>
        <v>0</v>
      </c>
      <c r="Y307" s="110">
        <f>IF(AC307=0,J307,0)</f>
        <v>0</v>
      </c>
      <c r="Z307" s="110">
        <f>IF(AC307=15,J307,0)</f>
        <v>0</v>
      </c>
      <c r="AA307" s="110">
        <f>IF(AC307=21,J307,0)</f>
        <v>0</v>
      </c>
      <c r="AB307" s="104"/>
      <c r="AC307" s="24">
        <v>15</v>
      </c>
      <c r="AD307" s="113">
        <f t="shared" si="254"/>
        <v>6199.3687890137353</v>
      </c>
      <c r="AE307" s="113">
        <f t="shared" si="255"/>
        <v>1440.6312109862643</v>
      </c>
      <c r="AL307" s="24">
        <f>F307*AD307</f>
        <v>0</v>
      </c>
      <c r="AM307" s="24">
        <f>F307*AE307</f>
        <v>0</v>
      </c>
      <c r="AN307" s="25" t="s">
        <v>402</v>
      </c>
      <c r="AO307" s="25" t="s">
        <v>400</v>
      </c>
      <c r="AP307" s="105" t="s">
        <v>328</v>
      </c>
      <c r="AR307" s="45" t="s">
        <v>785</v>
      </c>
      <c r="AS307" s="201">
        <v>4.8000000000000001E-2</v>
      </c>
      <c r="AU307" s="293"/>
    </row>
    <row r="308" spans="1:47" s="56" customFormat="1" hidden="1">
      <c r="A308" s="50" t="s">
        <v>393</v>
      </c>
      <c r="B308" s="51" t="s">
        <v>393</v>
      </c>
      <c r="C308" s="52" t="s">
        <v>408</v>
      </c>
      <c r="D308" s="53" t="s">
        <v>409</v>
      </c>
      <c r="E308" s="52" t="s">
        <v>393</v>
      </c>
      <c r="F308" s="54" t="s">
        <v>393</v>
      </c>
      <c r="G308" s="101"/>
      <c r="H308" s="55">
        <f>SUM(H309:H311)</f>
        <v>0</v>
      </c>
      <c r="I308" s="55">
        <f>SUM(I309:I311)</f>
        <v>0</v>
      </c>
      <c r="J308" s="27">
        <f>H308+I308</f>
        <v>0</v>
      </c>
      <c r="K308" s="176">
        <v>0</v>
      </c>
      <c r="L308" s="54">
        <f>SUM(L309:L311)</f>
        <v>0</v>
      </c>
      <c r="M308" s="54"/>
      <c r="O308" s="27">
        <f>IF(P308="PR",J308,SUM(N309:N311))</f>
        <v>0</v>
      </c>
      <c r="P308" s="19" t="s">
        <v>295</v>
      </c>
      <c r="Q308" s="27">
        <f>IF(P308="HS",H308,0)</f>
        <v>0</v>
      </c>
      <c r="R308" s="27">
        <f>IF(P308="HS",I308-O308,0)</f>
        <v>0</v>
      </c>
      <c r="S308" s="27">
        <f>IF(P308="PS",H308,0)</f>
        <v>0</v>
      </c>
      <c r="T308" s="27">
        <f>IF(P308="PS",I308-O308,0)</f>
        <v>0</v>
      </c>
      <c r="U308" s="27">
        <f>IF(P308="MP",H308,0)</f>
        <v>0</v>
      </c>
      <c r="V308" s="27">
        <f>IF(P308="MP",I308-O308,0)</f>
        <v>0</v>
      </c>
      <c r="W308" s="27">
        <f>IF(P308="OM",H308,0)</f>
        <v>0</v>
      </c>
      <c r="X308" s="19"/>
      <c r="Y308" s="110"/>
      <c r="Z308" s="110"/>
      <c r="AA308" s="110"/>
      <c r="AD308" s="113"/>
      <c r="AE308" s="113"/>
      <c r="AH308" s="27">
        <f>SUM(Y309:Y311)</f>
        <v>0</v>
      </c>
      <c r="AI308" s="27">
        <f>SUM(Z309:Z311)</f>
        <v>0</v>
      </c>
      <c r="AJ308" s="27">
        <f>SUM(AA309:AA311)</f>
        <v>0</v>
      </c>
      <c r="AS308" s="204">
        <v>0</v>
      </c>
      <c r="AU308" s="299"/>
    </row>
    <row r="309" spans="1:47" s="45" customFormat="1" hidden="1">
      <c r="A309" s="59">
        <v>256</v>
      </c>
      <c r="B309" s="46" t="s">
        <v>410</v>
      </c>
      <c r="C309" s="47"/>
      <c r="D309" s="269" t="s">
        <v>980</v>
      </c>
      <c r="E309" s="47" t="s">
        <v>273</v>
      </c>
      <c r="F309" s="49">
        <v>0</v>
      </c>
      <c r="G309" s="48">
        <v>770</v>
      </c>
      <c r="H309" s="48">
        <f>IF(B309="MAT",0,F309*G309)</f>
        <v>0</v>
      </c>
      <c r="I309" s="48">
        <f>IF(B309="MAT",F309*G309,0)</f>
        <v>0</v>
      </c>
      <c r="J309" s="48">
        <f>F309*G309</f>
        <v>0</v>
      </c>
      <c r="K309" s="171">
        <v>1.4999999999999999E-2</v>
      </c>
      <c r="L309" s="49">
        <f>K309*F309</f>
        <v>0</v>
      </c>
      <c r="M309" s="49">
        <v>1</v>
      </c>
      <c r="N309" s="14">
        <f>IF(M309="5",I309,0)</f>
        <v>0</v>
      </c>
      <c r="Y309" s="110">
        <f>IF(AC309=0,J309,0)</f>
        <v>0</v>
      </c>
      <c r="Z309" s="110">
        <f>IF(AC309=15,J309,0)</f>
        <v>0</v>
      </c>
      <c r="AA309" s="110">
        <f>IF(AC309=21,J309,0)</f>
        <v>0</v>
      </c>
      <c r="AB309" s="104"/>
      <c r="AC309" s="24">
        <v>15</v>
      </c>
      <c r="AD309" s="113">
        <f t="shared" si="254"/>
        <v>624.80549313358335</v>
      </c>
      <c r="AE309" s="113">
        <f t="shared" si="255"/>
        <v>145.19450686641667</v>
      </c>
      <c r="AL309" s="24">
        <f>F309*AD309</f>
        <v>0</v>
      </c>
      <c r="AM309" s="24">
        <f>F309*AE309</f>
        <v>0</v>
      </c>
      <c r="AN309" s="25" t="s">
        <v>402</v>
      </c>
      <c r="AO309" s="25" t="s">
        <v>400</v>
      </c>
      <c r="AP309" s="105" t="s">
        <v>328</v>
      </c>
      <c r="AR309" s="45" t="s">
        <v>785</v>
      </c>
      <c r="AS309" s="201">
        <v>1.4999999999999999E-2</v>
      </c>
      <c r="AU309" s="293"/>
    </row>
    <row r="310" spans="1:47" s="45" customFormat="1" hidden="1">
      <c r="A310" s="59">
        <v>257</v>
      </c>
      <c r="B310" s="46" t="s">
        <v>410</v>
      </c>
      <c r="C310" s="57"/>
      <c r="D310" s="140" t="s">
        <v>411</v>
      </c>
      <c r="E310" s="47" t="s">
        <v>273</v>
      </c>
      <c r="F310" s="49">
        <v>0</v>
      </c>
      <c r="G310" s="48">
        <f>1760*1</f>
        <v>1760</v>
      </c>
      <c r="H310" s="48">
        <f>IF(B310="MAT",0,F310*G310)</f>
        <v>0</v>
      </c>
      <c r="I310" s="48">
        <f>IF(B310="MAT",F310*G310,0)</f>
        <v>0</v>
      </c>
      <c r="J310" s="48">
        <f>F310*G310</f>
        <v>0</v>
      </c>
      <c r="K310" s="171">
        <v>1E-3</v>
      </c>
      <c r="L310" s="49">
        <f>K310*F310</f>
        <v>0</v>
      </c>
      <c r="M310" s="49">
        <v>1</v>
      </c>
      <c r="N310" s="14">
        <f>IF(M310="5",I310,0)</f>
        <v>0</v>
      </c>
      <c r="Y310" s="110">
        <f>IF(AC310=0,J310,0)</f>
        <v>0</v>
      </c>
      <c r="Z310" s="110">
        <f>IF(AC310=15,J310,0)</f>
        <v>0</v>
      </c>
      <c r="AA310" s="110">
        <f>IF(AC310=21,J310,0)</f>
        <v>0</v>
      </c>
      <c r="AB310" s="104"/>
      <c r="AC310" s="24">
        <v>15</v>
      </c>
      <c r="AD310" s="113">
        <f t="shared" si="254"/>
        <v>1428.1268414481904</v>
      </c>
      <c r="AE310" s="113">
        <f t="shared" si="255"/>
        <v>331.87315855180958</v>
      </c>
      <c r="AL310" s="24">
        <f>F310*AD310</f>
        <v>0</v>
      </c>
      <c r="AM310" s="24">
        <f>F310*AE310</f>
        <v>0</v>
      </c>
      <c r="AN310" s="25" t="s">
        <v>402</v>
      </c>
      <c r="AO310" s="25" t="s">
        <v>400</v>
      </c>
      <c r="AP310" s="105" t="s">
        <v>328</v>
      </c>
      <c r="AR310" s="45" t="s">
        <v>785</v>
      </c>
      <c r="AS310" s="201">
        <v>1E-3</v>
      </c>
      <c r="AU310" s="293"/>
    </row>
    <row r="311" spans="1:47" s="45" customFormat="1" hidden="1">
      <c r="A311" s="59">
        <v>258</v>
      </c>
      <c r="B311" s="46" t="s">
        <v>396</v>
      </c>
      <c r="C311" s="47"/>
      <c r="D311" s="145" t="s">
        <v>412</v>
      </c>
      <c r="E311" s="47" t="s">
        <v>273</v>
      </c>
      <c r="F311" s="49">
        <v>0</v>
      </c>
      <c r="G311" s="48">
        <v>1820</v>
      </c>
      <c r="H311" s="48">
        <f>IF(B311="MAT",0,F311*G311)</f>
        <v>0</v>
      </c>
      <c r="I311" s="48">
        <f>IF(B311="MAT",F311*G311,0)</f>
        <v>0</v>
      </c>
      <c r="J311" s="48">
        <f>F311*G311</f>
        <v>0</v>
      </c>
      <c r="K311" s="171">
        <v>1.2E-2</v>
      </c>
      <c r="L311" s="49">
        <f>K311*F311</f>
        <v>0</v>
      </c>
      <c r="M311" s="49">
        <v>1</v>
      </c>
      <c r="N311" s="14">
        <f>IF(M311="5",I311,0)</f>
        <v>0</v>
      </c>
      <c r="Y311" s="110">
        <f>IF(AC311=0,J311,0)</f>
        <v>0</v>
      </c>
      <c r="Z311" s="110">
        <f>IF(AC311=15,J311,0)</f>
        <v>0</v>
      </c>
      <c r="AA311" s="110">
        <f>IF(AC311=21,J311,0)</f>
        <v>0</v>
      </c>
      <c r="AB311" s="104"/>
      <c r="AC311" s="24">
        <v>15</v>
      </c>
      <c r="AD311" s="113">
        <f t="shared" si="254"/>
        <v>1476.8129837702879</v>
      </c>
      <c r="AE311" s="113">
        <f t="shared" si="255"/>
        <v>343.18701622971219</v>
      </c>
      <c r="AL311" s="24">
        <f>F311*AD311</f>
        <v>0</v>
      </c>
      <c r="AM311" s="24">
        <f>F311*AE311</f>
        <v>0</v>
      </c>
      <c r="AN311" s="25" t="s">
        <v>402</v>
      </c>
      <c r="AO311" s="25" t="s">
        <v>400</v>
      </c>
      <c r="AP311" s="105" t="s">
        <v>328</v>
      </c>
      <c r="AR311" s="45" t="s">
        <v>785</v>
      </c>
      <c r="AS311" s="201">
        <v>1.2E-2</v>
      </c>
      <c r="AU311" s="293"/>
    </row>
    <row r="312" spans="1:47">
      <c r="A312" s="7"/>
      <c r="B312" s="7"/>
      <c r="C312" s="7"/>
      <c r="D312" s="7"/>
      <c r="E312" s="7"/>
      <c r="F312" s="7"/>
      <c r="G312" s="7"/>
      <c r="H312" s="373" t="s">
        <v>282</v>
      </c>
      <c r="I312" s="374"/>
      <c r="J312" s="28">
        <f>J12+J26+J30+J66+J70+J72+J126+J129+J135+J174+J179+J197+J200+J215+J228+J235+J252+J264+J276+J287+J292+J303+J308</f>
        <v>0</v>
      </c>
      <c r="K312" s="177"/>
      <c r="L312" s="7"/>
      <c r="Y312" s="29">
        <f>SUM(Y13:Y311)</f>
        <v>0</v>
      </c>
      <c r="Z312" s="29">
        <f>SUM(Z13:Z311)</f>
        <v>0</v>
      </c>
      <c r="AA312" s="29">
        <f>SUM(AA13:AA311)</f>
        <v>0</v>
      </c>
    </row>
    <row r="313" spans="1:47" ht="27.75" customHeight="1">
      <c r="A313" s="8" t="s">
        <v>99</v>
      </c>
    </row>
    <row r="314" spans="1:47">
      <c r="C314" s="104"/>
      <c r="D314" s="104"/>
      <c r="J314" s="149"/>
    </row>
    <row r="315" spans="1:47">
      <c r="C315" s="104"/>
      <c r="D315" s="104"/>
    </row>
    <row r="317" spans="1:47">
      <c r="D317" s="153"/>
      <c r="G317"/>
      <c r="H317" s="104"/>
      <c r="I317" s="104"/>
    </row>
    <row r="318" spans="1:47">
      <c r="G318"/>
      <c r="H318" s="104"/>
      <c r="I318" s="104"/>
    </row>
    <row r="319" spans="1:47">
      <c r="G319"/>
      <c r="H319" s="104"/>
      <c r="I319" s="104"/>
    </row>
    <row r="320" spans="1:47">
      <c r="G320"/>
      <c r="H320" s="104"/>
      <c r="I320" s="104"/>
    </row>
    <row r="321" spans="7:9">
      <c r="G321"/>
      <c r="H321" s="104"/>
      <c r="I321" s="104"/>
    </row>
  </sheetData>
  <sheetProtection algorithmName="SHA-512" hashValue="OqY2V0ZtlRNle3pEOm7/7DIUt9luTVrUhIOUWVi+dUebWa+eMndE8JuklY+CskdDhxw/XTcqphOLzwEeklqW/A==" saltValue="YUGkSvtd4Wwz6MymXUz2ZA==" spinCount="100000" sheet="1" objects="1" scenarios="1"/>
  <protectedRanges>
    <protectedRange sqref="G18:G68 G178:G300 F71 J6:L7 G8:H9 J8:L9" name="Oblast1"/>
  </protectedRanges>
  <customSheetViews>
    <customSheetView guid="{0A42B198-9C9E-43A6-8871-1A4824290440}" fitToPage="1" hiddenRows="1" hiddenColumns="1">
      <selection activeCell="AU2" sqref="AU2"/>
      <pageMargins left="0.39400000000000002" right="0.39400000000000002" top="0.62" bottom="0.35" header="0.17" footer="0.18"/>
      <pageSetup paperSize="9" scale="86" fitToHeight="0" orientation="landscape" r:id="rId1"/>
      <headerFooter alignWithMargins="0"/>
    </customSheetView>
  </customSheetViews>
  <mergeCells count="28">
    <mergeCell ref="A4:C5"/>
    <mergeCell ref="D4:D5"/>
    <mergeCell ref="E4:F5"/>
    <mergeCell ref="G4:H5"/>
    <mergeCell ref="A1:L1"/>
    <mergeCell ref="A2:C3"/>
    <mergeCell ref="D2:D3"/>
    <mergeCell ref="E2:F3"/>
    <mergeCell ref="G2:H3"/>
    <mergeCell ref="I2:I3"/>
    <mergeCell ref="J2:L3"/>
    <mergeCell ref="A6:C7"/>
    <mergeCell ref="D6:D7"/>
    <mergeCell ref="E6:F7"/>
    <mergeCell ref="G6:H7"/>
    <mergeCell ref="I6:I7"/>
    <mergeCell ref="K10:L10"/>
    <mergeCell ref="I4:I5"/>
    <mergeCell ref="J4:L5"/>
    <mergeCell ref="J6:L7"/>
    <mergeCell ref="J8:L9"/>
    <mergeCell ref="A8:C9"/>
    <mergeCell ref="D8:D9"/>
    <mergeCell ref="E8:F9"/>
    <mergeCell ref="I8:I9"/>
    <mergeCell ref="H312:I312"/>
    <mergeCell ref="H10:J10"/>
    <mergeCell ref="G8:H9"/>
  </mergeCells>
  <phoneticPr fontId="53" type="noConversion"/>
  <pageMargins left="0.39370078740157483" right="0.39370078740157483" top="0.62992125984251968" bottom="0.35433070866141736" header="0.15748031496062992" footer="0.19685039370078741"/>
  <pageSetup paperSize="9" scale="84" fitToHeight="2" orientation="landscape" r:id="rId2"/>
  <headerFooter alignWithMargins="0"/>
  <rowBreaks count="1" manualBreakCount="1">
    <brk id="17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32"/>
  <sheetViews>
    <sheetView showGridLines="0" showZeros="0" zoomScaleNormal="100" workbookViewId="0">
      <selection activeCell="BE3" sqref="BE3"/>
    </sheetView>
  </sheetViews>
  <sheetFormatPr defaultColWidth="9.140625" defaultRowHeight="12.75"/>
  <cols>
    <col min="1" max="1" width="3.85546875" style="67" customWidth="1"/>
    <col min="2" max="2" width="13.5703125" style="67" customWidth="1"/>
    <col min="3" max="3" width="40.42578125" style="67" customWidth="1"/>
    <col min="4" max="4" width="5.5703125" style="67" customWidth="1"/>
    <col min="5" max="5" width="8.5703125" style="73" customWidth="1"/>
    <col min="6" max="6" width="9.85546875" style="67" customWidth="1"/>
    <col min="7" max="7" width="13.85546875" style="67" customWidth="1"/>
    <col min="8" max="55" width="0" style="67" hidden="1" customWidth="1"/>
    <col min="56" max="16384" width="9.140625" style="67"/>
  </cols>
  <sheetData>
    <row r="1" spans="1:101" ht="24.6" customHeight="1">
      <c r="A1" s="387" t="s">
        <v>1093</v>
      </c>
      <c r="B1" s="387"/>
      <c r="C1" s="387"/>
      <c r="D1" s="387"/>
      <c r="E1" s="387"/>
      <c r="F1" s="387"/>
      <c r="G1" s="387"/>
    </row>
    <row r="2" spans="1:101" ht="13.5" thickBot="1">
      <c r="B2" s="68"/>
      <c r="C2" s="69"/>
      <c r="D2" s="69"/>
      <c r="E2" s="70"/>
      <c r="F2" s="69"/>
      <c r="G2" s="69"/>
    </row>
    <row r="3" spans="1:101" ht="13.5" thickTop="1">
      <c r="A3" s="388" t="s">
        <v>483</v>
      </c>
      <c r="B3" s="389"/>
      <c r="C3" s="395" t="s">
        <v>1051</v>
      </c>
      <c r="D3" s="396"/>
      <c r="E3" s="396"/>
      <c r="F3" s="396"/>
      <c r="G3" s="397"/>
    </row>
    <row r="4" spans="1:101" ht="13.5" thickBot="1">
      <c r="A4" s="390" t="s">
        <v>482</v>
      </c>
      <c r="B4" s="391"/>
      <c r="C4" s="392" t="s">
        <v>1090</v>
      </c>
      <c r="D4" s="393"/>
      <c r="E4" s="393"/>
      <c r="F4" s="393"/>
      <c r="G4" s="394"/>
    </row>
    <row r="5" spans="1:101" ht="13.5" thickTop="1">
      <c r="A5" s="71"/>
      <c r="B5" s="72"/>
      <c r="C5" s="72"/>
      <c r="G5" s="74"/>
    </row>
    <row r="6" spans="1:101">
      <c r="A6" s="75" t="s">
        <v>485</v>
      </c>
      <c r="B6" s="76" t="s">
        <v>486</v>
      </c>
      <c r="C6" s="76" t="s">
        <v>487</v>
      </c>
      <c r="D6" s="76" t="s">
        <v>488</v>
      </c>
      <c r="E6" s="77" t="s">
        <v>489</v>
      </c>
      <c r="F6" s="76" t="s">
        <v>490</v>
      </c>
      <c r="G6" s="78" t="s">
        <v>491</v>
      </c>
    </row>
    <row r="7" spans="1:101">
      <c r="A7" s="79" t="s">
        <v>492</v>
      </c>
      <c r="B7" s="80" t="s">
        <v>6</v>
      </c>
      <c r="C7" s="81" t="s">
        <v>493</v>
      </c>
      <c r="D7" s="82"/>
      <c r="E7" s="83"/>
      <c r="F7" s="217"/>
      <c r="G7" s="84"/>
      <c r="L7" s="181">
        <v>1</v>
      </c>
    </row>
    <row r="8" spans="1:101" ht="22.5">
      <c r="A8" s="85">
        <v>1</v>
      </c>
      <c r="B8" s="86" t="s">
        <v>494</v>
      </c>
      <c r="C8" s="87" t="s">
        <v>1054</v>
      </c>
      <c r="D8" s="88" t="s">
        <v>799</v>
      </c>
      <c r="E8" s="89"/>
      <c r="F8" s="218">
        <v>2860</v>
      </c>
      <c r="G8" s="90">
        <f>E8*F8</f>
        <v>0</v>
      </c>
      <c r="L8" s="181">
        <v>2</v>
      </c>
      <c r="X8" s="67">
        <v>12</v>
      </c>
      <c r="Y8" s="67">
        <v>0</v>
      </c>
      <c r="Z8" s="67">
        <v>1</v>
      </c>
      <c r="AW8" s="67">
        <v>1</v>
      </c>
      <c r="AX8" s="67">
        <f>IF(AW8=1,G8,0)</f>
        <v>0</v>
      </c>
      <c r="AY8" s="67">
        <f>IF(AW8=2,G8,0)</f>
        <v>0</v>
      </c>
      <c r="AZ8" s="67">
        <f>IF(AW8=3,G8,0)</f>
        <v>0</v>
      </c>
      <c r="BA8" s="67">
        <f>IF(AW8=4,G8,0)</f>
        <v>0</v>
      </c>
      <c r="BB8" s="67">
        <f>IF(AW8=5,G8,0)</f>
        <v>0</v>
      </c>
      <c r="CW8" s="67">
        <v>0</v>
      </c>
    </row>
    <row r="9" spans="1:101">
      <c r="A9" s="91"/>
      <c r="B9" s="92" t="s">
        <v>496</v>
      </c>
      <c r="C9" s="93" t="str">
        <f>CONCATENATE(B7," ",C7)</f>
        <v>1 Demontáže elektro</v>
      </c>
      <c r="D9" s="91"/>
      <c r="E9" s="94"/>
      <c r="F9" s="219"/>
      <c r="G9" s="95">
        <f>SUM(G7:G8)</f>
        <v>0</v>
      </c>
      <c r="L9" s="181">
        <v>4</v>
      </c>
      <c r="AX9" s="182">
        <f>SUM(AX7:AX8)</f>
        <v>0</v>
      </c>
      <c r="AY9" s="182">
        <f>SUM(AY7:AY8)</f>
        <v>0</v>
      </c>
      <c r="AZ9" s="182">
        <f>SUM(AZ7:AZ8)</f>
        <v>0</v>
      </c>
      <c r="BA9" s="182">
        <f>SUM(BA7:BA8)</f>
        <v>0</v>
      </c>
      <c r="BB9" s="182">
        <f>SUM(BB7:BB8)</f>
        <v>0</v>
      </c>
    </row>
    <row r="10" spans="1:101">
      <c r="A10" s="79" t="s">
        <v>492</v>
      </c>
      <c r="B10" s="80" t="s">
        <v>16</v>
      </c>
      <c r="C10" s="81" t="s">
        <v>497</v>
      </c>
      <c r="D10" s="82"/>
      <c r="E10" s="83"/>
      <c r="F10" s="217"/>
      <c r="G10" s="84"/>
      <c r="L10" s="181">
        <v>1</v>
      </c>
    </row>
    <row r="11" spans="1:101">
      <c r="A11" s="85">
        <v>2</v>
      </c>
      <c r="B11" s="86" t="s">
        <v>498</v>
      </c>
      <c r="C11" s="87" t="s">
        <v>499</v>
      </c>
      <c r="D11" s="88" t="s">
        <v>799</v>
      </c>
      <c r="E11" s="89"/>
      <c r="F11" s="218">
        <v>3400</v>
      </c>
      <c r="G11" s="90">
        <f>E11*F11</f>
        <v>0</v>
      </c>
      <c r="L11" s="181">
        <v>2</v>
      </c>
      <c r="X11" s="67">
        <v>12</v>
      </c>
      <c r="Y11" s="67">
        <v>0</v>
      </c>
      <c r="Z11" s="67">
        <v>2</v>
      </c>
      <c r="AW11" s="67">
        <v>1</v>
      </c>
      <c r="AX11" s="67">
        <f>IF(AW11=1,G11,0)</f>
        <v>0</v>
      </c>
      <c r="AY11" s="67">
        <f>IF(AW11=2,G11,0)</f>
        <v>0</v>
      </c>
      <c r="AZ11" s="67">
        <f>IF(AW11=3,G11,0)</f>
        <v>0</v>
      </c>
      <c r="BA11" s="67">
        <f>IF(AW11=4,G11,0)</f>
        <v>0</v>
      </c>
      <c r="BB11" s="67">
        <f>IF(AW11=5,G11,0)</f>
        <v>0</v>
      </c>
      <c r="CW11" s="67">
        <v>0</v>
      </c>
    </row>
    <row r="12" spans="1:101">
      <c r="A12" s="91"/>
      <c r="B12" s="92" t="s">
        <v>496</v>
      </c>
      <c r="C12" s="93" t="str">
        <f>CONCATENATE(B10," ",C10)</f>
        <v>11 Přípravné a přidružené práce</v>
      </c>
      <c r="D12" s="91"/>
      <c r="E12" s="94"/>
      <c r="F12" s="219"/>
      <c r="G12" s="95">
        <f>SUM(G10:G11)</f>
        <v>0</v>
      </c>
      <c r="L12" s="181">
        <v>4</v>
      </c>
      <c r="AX12" s="182">
        <f>SUM(AX10:AX11)</f>
        <v>0</v>
      </c>
      <c r="AY12" s="182">
        <f>SUM(AY10:AY11)</f>
        <v>0</v>
      </c>
      <c r="AZ12" s="182">
        <f>SUM(AZ10:AZ11)</f>
        <v>0</v>
      </c>
      <c r="BA12" s="182">
        <f>SUM(BA10:BA11)</f>
        <v>0</v>
      </c>
      <c r="BB12" s="182">
        <f>SUM(BB10:BB11)</f>
        <v>0</v>
      </c>
    </row>
    <row r="13" spans="1:101">
      <c r="A13" s="79" t="s">
        <v>492</v>
      </c>
      <c r="B13" s="267" t="s">
        <v>188</v>
      </c>
      <c r="C13" s="262" t="s">
        <v>257</v>
      </c>
      <c r="D13" s="263" t="s">
        <v>495</v>
      </c>
      <c r="E13" s="264"/>
      <c r="F13" s="265"/>
      <c r="G13" s="266">
        <f>E13*F13</f>
        <v>0</v>
      </c>
      <c r="L13" s="181">
        <v>1</v>
      </c>
    </row>
    <row r="14" spans="1:101">
      <c r="A14" s="85">
        <v>3</v>
      </c>
      <c r="B14" s="86" t="s">
        <v>501</v>
      </c>
      <c r="C14" s="87" t="s">
        <v>502</v>
      </c>
      <c r="D14" s="88" t="s">
        <v>273</v>
      </c>
      <c r="E14" s="89"/>
      <c r="F14" s="218">
        <v>51.6</v>
      </c>
      <c r="G14" s="90">
        <f t="shared" ref="G14:G39" si="0">E14*F14</f>
        <v>0</v>
      </c>
      <c r="L14" s="181">
        <v>2</v>
      </c>
      <c r="X14" s="67">
        <v>12</v>
      </c>
      <c r="Y14" s="67">
        <v>0</v>
      </c>
      <c r="Z14" s="67">
        <v>5</v>
      </c>
      <c r="AW14" s="67">
        <v>4</v>
      </c>
      <c r="AX14" s="67">
        <f t="shared" ref="AX14:AX39" si="1">IF(AW14=1,G14,0)</f>
        <v>0</v>
      </c>
      <c r="AY14" s="67">
        <f t="shared" ref="AY14:AY39" si="2">IF(AW14=2,G14,0)</f>
        <v>0</v>
      </c>
      <c r="AZ14" s="67">
        <f t="shared" ref="AZ14:AZ39" si="3">IF(AW14=3,G14,0)</f>
        <v>0</v>
      </c>
      <c r="BA14" s="67">
        <f t="shared" ref="BA14:BA39" si="4">IF(AW14=4,G14,0)</f>
        <v>0</v>
      </c>
      <c r="BB14" s="67">
        <f t="shared" ref="BB14:BB39" si="5">IF(AW14=5,G14,0)</f>
        <v>0</v>
      </c>
      <c r="CW14" s="67">
        <v>0</v>
      </c>
    </row>
    <row r="15" spans="1:101" hidden="1">
      <c r="A15" s="85">
        <v>4</v>
      </c>
      <c r="B15" s="86" t="s">
        <v>503</v>
      </c>
      <c r="C15" s="87" t="s">
        <v>504</v>
      </c>
      <c r="D15" s="88" t="s">
        <v>273</v>
      </c>
      <c r="E15" s="89"/>
      <c r="F15" s="218">
        <v>1070</v>
      </c>
      <c r="G15" s="90">
        <f t="shared" si="0"/>
        <v>0</v>
      </c>
      <c r="L15" s="181">
        <v>2</v>
      </c>
      <c r="X15" s="67">
        <v>12</v>
      </c>
      <c r="Y15" s="67">
        <v>1</v>
      </c>
      <c r="Z15" s="67">
        <v>6</v>
      </c>
      <c r="AW15" s="67">
        <v>3</v>
      </c>
      <c r="AX15" s="67">
        <f t="shared" si="1"/>
        <v>0</v>
      </c>
      <c r="AY15" s="67">
        <f t="shared" si="2"/>
        <v>0</v>
      </c>
      <c r="AZ15" s="67">
        <f t="shared" si="3"/>
        <v>0</v>
      </c>
      <c r="BA15" s="67">
        <f t="shared" si="4"/>
        <v>0</v>
      </c>
      <c r="BB15" s="67">
        <f t="shared" si="5"/>
        <v>0</v>
      </c>
      <c r="CW15" s="67">
        <v>0.11600000000000001</v>
      </c>
    </row>
    <row r="16" spans="1:101" ht="22.5">
      <c r="A16" s="85">
        <v>5</v>
      </c>
      <c r="B16" s="86" t="s">
        <v>505</v>
      </c>
      <c r="C16" s="87" t="s">
        <v>506</v>
      </c>
      <c r="D16" s="88" t="s">
        <v>274</v>
      </c>
      <c r="E16" s="89"/>
      <c r="F16" s="218">
        <v>45</v>
      </c>
      <c r="G16" s="90">
        <f t="shared" si="0"/>
        <v>0</v>
      </c>
      <c r="L16" s="181">
        <v>2</v>
      </c>
      <c r="X16" s="67">
        <v>12</v>
      </c>
      <c r="Y16" s="67">
        <v>0</v>
      </c>
      <c r="Z16" s="67">
        <v>7</v>
      </c>
      <c r="AW16" s="67">
        <v>4</v>
      </c>
      <c r="AX16" s="67">
        <f t="shared" si="1"/>
        <v>0</v>
      </c>
      <c r="AY16" s="67">
        <f t="shared" si="2"/>
        <v>0</v>
      </c>
      <c r="AZ16" s="67">
        <f t="shared" si="3"/>
        <v>0</v>
      </c>
      <c r="BA16" s="67">
        <f t="shared" si="4"/>
        <v>0</v>
      </c>
      <c r="BB16" s="67">
        <f t="shared" si="5"/>
        <v>0</v>
      </c>
      <c r="CW16" s="67">
        <v>1.6000000000000001E-4</v>
      </c>
    </row>
    <row r="17" spans="1:101">
      <c r="A17" s="85">
        <v>6</v>
      </c>
      <c r="B17" s="86" t="s">
        <v>507</v>
      </c>
      <c r="C17" s="87" t="s">
        <v>1042</v>
      </c>
      <c r="D17" s="88" t="s">
        <v>997</v>
      </c>
      <c r="E17" s="89"/>
      <c r="F17" s="218">
        <v>9.3000000000000007</v>
      </c>
      <c r="G17" s="90">
        <f t="shared" si="0"/>
        <v>0</v>
      </c>
      <c r="L17" s="181">
        <v>2</v>
      </c>
      <c r="X17" s="67">
        <v>12</v>
      </c>
      <c r="Y17" s="67">
        <v>1</v>
      </c>
      <c r="Z17" s="67">
        <v>8</v>
      </c>
      <c r="AW17" s="67">
        <v>3</v>
      </c>
      <c r="AX17" s="67">
        <f t="shared" si="1"/>
        <v>0</v>
      </c>
      <c r="AY17" s="67">
        <f t="shared" si="2"/>
        <v>0</v>
      </c>
      <c r="AZ17" s="67">
        <f t="shared" si="3"/>
        <v>0</v>
      </c>
      <c r="BA17" s="67">
        <f t="shared" si="4"/>
        <v>0</v>
      </c>
      <c r="BB17" s="67">
        <f t="shared" si="5"/>
        <v>0</v>
      </c>
      <c r="CW17" s="67">
        <v>1</v>
      </c>
    </row>
    <row r="18" spans="1:101" ht="22.5">
      <c r="A18" s="85">
        <v>7</v>
      </c>
      <c r="B18" s="86" t="s">
        <v>508</v>
      </c>
      <c r="C18" s="87" t="s">
        <v>509</v>
      </c>
      <c r="D18" s="88" t="s">
        <v>274</v>
      </c>
      <c r="E18" s="89"/>
      <c r="F18" s="218">
        <v>45</v>
      </c>
      <c r="G18" s="90">
        <f t="shared" si="0"/>
        <v>0</v>
      </c>
      <c r="L18" s="181">
        <v>2</v>
      </c>
      <c r="X18" s="67">
        <v>12</v>
      </c>
      <c r="Y18" s="67">
        <v>0</v>
      </c>
      <c r="Z18" s="67">
        <v>9</v>
      </c>
      <c r="AW18" s="67">
        <v>4</v>
      </c>
      <c r="AX18" s="67">
        <f t="shared" si="1"/>
        <v>0</v>
      </c>
      <c r="AY18" s="67">
        <f t="shared" si="2"/>
        <v>0</v>
      </c>
      <c r="AZ18" s="67">
        <f t="shared" si="3"/>
        <v>0</v>
      </c>
      <c r="BA18" s="67">
        <f t="shared" si="4"/>
        <v>0</v>
      </c>
      <c r="BB18" s="67">
        <f t="shared" si="5"/>
        <v>0</v>
      </c>
      <c r="CW18" s="67">
        <v>1.7000000000000001E-4</v>
      </c>
    </row>
    <row r="19" spans="1:101" ht="22.5">
      <c r="A19" s="85">
        <v>8</v>
      </c>
      <c r="B19" s="86" t="s">
        <v>510</v>
      </c>
      <c r="C19" s="87" t="s">
        <v>511</v>
      </c>
      <c r="D19" s="88" t="s">
        <v>274</v>
      </c>
      <c r="E19" s="89"/>
      <c r="F19" s="218">
        <v>51.2</v>
      </c>
      <c r="G19" s="90">
        <f t="shared" si="0"/>
        <v>0</v>
      </c>
      <c r="L19" s="181">
        <v>2</v>
      </c>
      <c r="X19" s="67">
        <v>12</v>
      </c>
      <c r="Y19" s="67">
        <v>0</v>
      </c>
      <c r="Z19" s="67">
        <v>10</v>
      </c>
      <c r="AW19" s="67">
        <v>4</v>
      </c>
      <c r="AX19" s="67">
        <f t="shared" si="1"/>
        <v>0</v>
      </c>
      <c r="AY19" s="67">
        <f t="shared" si="2"/>
        <v>0</v>
      </c>
      <c r="AZ19" s="67">
        <f t="shared" si="3"/>
        <v>0</v>
      </c>
      <c r="BA19" s="67">
        <f t="shared" si="4"/>
        <v>0</v>
      </c>
      <c r="BB19" s="67">
        <f t="shared" si="5"/>
        <v>0</v>
      </c>
      <c r="CW19" s="67">
        <v>2.3000000000000001E-4</v>
      </c>
    </row>
    <row r="20" spans="1:101" ht="22.5">
      <c r="A20" s="85">
        <v>9</v>
      </c>
      <c r="B20" s="86" t="s">
        <v>512</v>
      </c>
      <c r="C20" s="87" t="s">
        <v>513</v>
      </c>
      <c r="D20" s="88" t="s">
        <v>274</v>
      </c>
      <c r="E20" s="89"/>
      <c r="F20" s="218">
        <v>52.1</v>
      </c>
      <c r="G20" s="90">
        <f t="shared" si="0"/>
        <v>0</v>
      </c>
      <c r="L20" s="181">
        <v>2</v>
      </c>
      <c r="X20" s="67">
        <v>12</v>
      </c>
      <c r="Y20" s="67">
        <v>0</v>
      </c>
      <c r="Z20" s="67">
        <v>11</v>
      </c>
      <c r="AW20" s="67">
        <v>4</v>
      </c>
      <c r="AX20" s="67">
        <f t="shared" si="1"/>
        <v>0</v>
      </c>
      <c r="AY20" s="67">
        <f t="shared" si="2"/>
        <v>0</v>
      </c>
      <c r="AZ20" s="67">
        <f t="shared" si="3"/>
        <v>0</v>
      </c>
      <c r="BA20" s="67">
        <f t="shared" si="4"/>
        <v>0</v>
      </c>
      <c r="BB20" s="67">
        <f t="shared" si="5"/>
        <v>0</v>
      </c>
      <c r="CW20" s="67">
        <v>1.9000000000000001E-4</v>
      </c>
    </row>
    <row r="21" spans="1:101" ht="22.5">
      <c r="A21" s="85">
        <v>10</v>
      </c>
      <c r="B21" s="86" t="s">
        <v>514</v>
      </c>
      <c r="C21" s="87" t="s">
        <v>515</v>
      </c>
      <c r="D21" s="88" t="s">
        <v>274</v>
      </c>
      <c r="E21" s="89"/>
      <c r="F21" s="218">
        <v>30.5</v>
      </c>
      <c r="G21" s="90">
        <f t="shared" si="0"/>
        <v>0</v>
      </c>
      <c r="L21" s="181">
        <v>2</v>
      </c>
      <c r="X21" s="67">
        <v>12</v>
      </c>
      <c r="Y21" s="67">
        <v>0</v>
      </c>
      <c r="Z21" s="67">
        <v>12</v>
      </c>
      <c r="AW21" s="67">
        <v>4</v>
      </c>
      <c r="AX21" s="67">
        <f t="shared" si="1"/>
        <v>0</v>
      </c>
      <c r="AY21" s="67">
        <f t="shared" si="2"/>
        <v>0</v>
      </c>
      <c r="AZ21" s="67">
        <f t="shared" si="3"/>
        <v>0</v>
      </c>
      <c r="BA21" s="67">
        <f t="shared" si="4"/>
        <v>0</v>
      </c>
      <c r="BB21" s="67">
        <f t="shared" si="5"/>
        <v>0</v>
      </c>
      <c r="CW21" s="67">
        <v>4.0000000000000003E-5</v>
      </c>
    </row>
    <row r="22" spans="1:101" ht="22.5">
      <c r="A22" s="85">
        <v>11</v>
      </c>
      <c r="B22" s="86" t="s">
        <v>516</v>
      </c>
      <c r="C22" s="87" t="s">
        <v>517</v>
      </c>
      <c r="D22" s="88" t="s">
        <v>273</v>
      </c>
      <c r="E22" s="89"/>
      <c r="F22" s="218">
        <v>94.3</v>
      </c>
      <c r="G22" s="90">
        <f t="shared" si="0"/>
        <v>0</v>
      </c>
      <c r="L22" s="181">
        <v>2</v>
      </c>
      <c r="X22" s="67">
        <v>12</v>
      </c>
      <c r="Y22" s="67">
        <v>0</v>
      </c>
      <c r="Z22" s="67">
        <v>13</v>
      </c>
      <c r="AW22" s="67">
        <v>4</v>
      </c>
      <c r="AX22" s="67">
        <f t="shared" si="1"/>
        <v>0</v>
      </c>
      <c r="AY22" s="67">
        <f t="shared" si="2"/>
        <v>0</v>
      </c>
      <c r="AZ22" s="67">
        <f t="shared" si="3"/>
        <v>0</v>
      </c>
      <c r="BA22" s="67">
        <f t="shared" si="4"/>
        <v>0</v>
      </c>
      <c r="BB22" s="67">
        <f t="shared" si="5"/>
        <v>0</v>
      </c>
      <c r="CW22" s="67">
        <v>0</v>
      </c>
    </row>
    <row r="23" spans="1:101" hidden="1">
      <c r="A23" s="85">
        <v>12</v>
      </c>
      <c r="B23" s="86" t="s">
        <v>518</v>
      </c>
      <c r="C23" s="87" t="s">
        <v>519</v>
      </c>
      <c r="D23" s="88" t="s">
        <v>274</v>
      </c>
      <c r="E23" s="89"/>
      <c r="F23" s="218"/>
      <c r="G23" s="90">
        <f t="shared" si="0"/>
        <v>0</v>
      </c>
      <c r="L23" s="181">
        <v>2</v>
      </c>
      <c r="X23" s="67">
        <v>12</v>
      </c>
      <c r="Y23" s="67">
        <v>0</v>
      </c>
      <c r="Z23" s="67">
        <v>14</v>
      </c>
      <c r="AW23" s="67">
        <v>4</v>
      </c>
      <c r="AX23" s="67">
        <f t="shared" si="1"/>
        <v>0</v>
      </c>
      <c r="AY23" s="67">
        <f t="shared" si="2"/>
        <v>0</v>
      </c>
      <c r="AZ23" s="67">
        <f t="shared" si="3"/>
        <v>0</v>
      </c>
      <c r="BA23" s="67">
        <f t="shared" si="4"/>
        <v>0</v>
      </c>
      <c r="BB23" s="67">
        <f t="shared" si="5"/>
        <v>0</v>
      </c>
      <c r="CW23" s="67">
        <v>0</v>
      </c>
    </row>
    <row r="24" spans="1:101" hidden="1">
      <c r="A24" s="85">
        <v>13</v>
      </c>
      <c r="B24" s="86" t="s">
        <v>520</v>
      </c>
      <c r="C24" s="87" t="s">
        <v>521</v>
      </c>
      <c r="D24" s="88" t="s">
        <v>274</v>
      </c>
      <c r="E24" s="89"/>
      <c r="F24" s="218">
        <v>150</v>
      </c>
      <c r="G24" s="90">
        <f t="shared" si="0"/>
        <v>0</v>
      </c>
      <c r="L24" s="181">
        <v>2</v>
      </c>
      <c r="X24" s="67">
        <v>12</v>
      </c>
      <c r="Y24" s="67">
        <v>1</v>
      </c>
      <c r="Z24" s="67">
        <v>15</v>
      </c>
      <c r="AW24" s="67">
        <v>3</v>
      </c>
      <c r="AX24" s="67">
        <f t="shared" si="1"/>
        <v>0</v>
      </c>
      <c r="AY24" s="67">
        <f t="shared" si="2"/>
        <v>0</v>
      </c>
      <c r="AZ24" s="67">
        <f t="shared" si="3"/>
        <v>0</v>
      </c>
      <c r="BA24" s="67">
        <f t="shared" si="4"/>
        <v>0</v>
      </c>
      <c r="BB24" s="67">
        <f t="shared" si="5"/>
        <v>0</v>
      </c>
      <c r="CW24" s="67">
        <v>0</v>
      </c>
    </row>
    <row r="25" spans="1:101">
      <c r="A25" s="85">
        <v>14</v>
      </c>
      <c r="B25" s="86" t="s">
        <v>522</v>
      </c>
      <c r="C25" s="87" t="s">
        <v>523</v>
      </c>
      <c r="D25" s="88" t="s">
        <v>273</v>
      </c>
      <c r="E25" s="89"/>
      <c r="F25" s="218">
        <v>662.4</v>
      </c>
      <c r="G25" s="90">
        <f t="shared" si="0"/>
        <v>0</v>
      </c>
      <c r="L25" s="181">
        <v>2</v>
      </c>
      <c r="X25" s="67">
        <v>12</v>
      </c>
      <c r="Y25" s="67">
        <v>0</v>
      </c>
      <c r="Z25" s="67">
        <v>16</v>
      </c>
      <c r="AW25" s="67">
        <v>4</v>
      </c>
      <c r="AX25" s="67">
        <f t="shared" si="1"/>
        <v>0</v>
      </c>
      <c r="AY25" s="67">
        <f t="shared" si="2"/>
        <v>0</v>
      </c>
      <c r="AZ25" s="67">
        <f t="shared" si="3"/>
        <v>0</v>
      </c>
      <c r="BA25" s="67">
        <f t="shared" si="4"/>
        <v>0</v>
      </c>
      <c r="BB25" s="67">
        <f t="shared" si="5"/>
        <v>0</v>
      </c>
      <c r="CW25" s="67">
        <v>0</v>
      </c>
    </row>
    <row r="26" spans="1:101">
      <c r="A26" s="85">
        <v>15</v>
      </c>
      <c r="B26" s="86" t="s">
        <v>524</v>
      </c>
      <c r="C26" s="87" t="s">
        <v>1055</v>
      </c>
      <c r="D26" s="88" t="s">
        <v>273</v>
      </c>
      <c r="E26" s="89"/>
      <c r="F26" s="218">
        <v>1805</v>
      </c>
      <c r="G26" s="90">
        <f t="shared" si="0"/>
        <v>0</v>
      </c>
      <c r="L26" s="181">
        <v>2</v>
      </c>
      <c r="X26" s="67">
        <v>12</v>
      </c>
      <c r="Y26" s="67">
        <v>0</v>
      </c>
      <c r="Z26" s="67">
        <v>17</v>
      </c>
      <c r="AW26" s="67">
        <v>4</v>
      </c>
      <c r="AX26" s="67">
        <f t="shared" si="1"/>
        <v>0</v>
      </c>
      <c r="AY26" s="67">
        <f t="shared" si="2"/>
        <v>0</v>
      </c>
      <c r="AZ26" s="67">
        <f t="shared" si="3"/>
        <v>0</v>
      </c>
      <c r="BA26" s="67">
        <f t="shared" si="4"/>
        <v>0</v>
      </c>
      <c r="BB26" s="67">
        <f t="shared" si="5"/>
        <v>0</v>
      </c>
      <c r="CW26" s="67">
        <v>0</v>
      </c>
    </row>
    <row r="27" spans="1:101" ht="22.5">
      <c r="A27" s="85">
        <v>16</v>
      </c>
      <c r="B27" s="86" t="s">
        <v>525</v>
      </c>
      <c r="C27" s="87" t="s">
        <v>776</v>
      </c>
      <c r="D27" s="88" t="s">
        <v>273</v>
      </c>
      <c r="E27" s="89"/>
      <c r="F27" s="218">
        <v>5246</v>
      </c>
      <c r="G27" s="90">
        <f t="shared" si="0"/>
        <v>0</v>
      </c>
      <c r="L27" s="181">
        <v>2</v>
      </c>
      <c r="X27" s="67">
        <v>12</v>
      </c>
      <c r="Y27" s="67">
        <v>1</v>
      </c>
      <c r="Z27" s="67">
        <v>18</v>
      </c>
      <c r="AW27" s="67">
        <v>3</v>
      </c>
      <c r="AX27" s="67">
        <f t="shared" si="1"/>
        <v>0</v>
      </c>
      <c r="AY27" s="67">
        <f t="shared" si="2"/>
        <v>0</v>
      </c>
      <c r="AZ27" s="67">
        <f t="shared" si="3"/>
        <v>0</v>
      </c>
      <c r="BA27" s="67">
        <f t="shared" si="4"/>
        <v>0</v>
      </c>
      <c r="BB27" s="67">
        <f t="shared" si="5"/>
        <v>0</v>
      </c>
      <c r="CW27" s="67">
        <v>2.0999999999999999E-3</v>
      </c>
    </row>
    <row r="28" spans="1:101" ht="45" hidden="1">
      <c r="A28" s="85">
        <v>17</v>
      </c>
      <c r="B28" s="86" t="s">
        <v>526</v>
      </c>
      <c r="C28" s="87" t="s">
        <v>1035</v>
      </c>
      <c r="D28" s="88" t="s">
        <v>273</v>
      </c>
      <c r="E28" s="89"/>
      <c r="F28" s="218">
        <v>583.5</v>
      </c>
      <c r="G28" s="90">
        <f t="shared" si="0"/>
        <v>0</v>
      </c>
      <c r="L28" s="181">
        <v>2</v>
      </c>
      <c r="X28" s="67">
        <v>12</v>
      </c>
      <c r="Y28" s="67">
        <v>0</v>
      </c>
      <c r="Z28" s="67">
        <v>19</v>
      </c>
      <c r="AW28" s="67">
        <v>4</v>
      </c>
      <c r="AX28" s="67">
        <f t="shared" si="1"/>
        <v>0</v>
      </c>
      <c r="AY28" s="67">
        <f t="shared" si="2"/>
        <v>0</v>
      </c>
      <c r="AZ28" s="67">
        <f t="shared" si="3"/>
        <v>0</v>
      </c>
      <c r="BA28" s="67">
        <f t="shared" si="4"/>
        <v>0</v>
      </c>
      <c r="BB28" s="67">
        <f t="shared" si="5"/>
        <v>0</v>
      </c>
      <c r="CW28" s="67">
        <v>1.6000000000000001E-4</v>
      </c>
    </row>
    <row r="29" spans="1:101" ht="33.75">
      <c r="A29" s="85">
        <v>18</v>
      </c>
      <c r="B29" s="86" t="s">
        <v>527</v>
      </c>
      <c r="C29" s="87" t="s">
        <v>1056</v>
      </c>
      <c r="D29" s="88" t="s">
        <v>273</v>
      </c>
      <c r="E29" s="89"/>
      <c r="F29" s="218">
        <v>1490</v>
      </c>
      <c r="G29" s="90">
        <f t="shared" si="0"/>
        <v>0</v>
      </c>
      <c r="L29" s="181">
        <v>2</v>
      </c>
      <c r="X29" s="67">
        <v>12</v>
      </c>
      <c r="Y29" s="67">
        <v>0</v>
      </c>
      <c r="Z29" s="67">
        <v>20</v>
      </c>
      <c r="AW29" s="67">
        <v>4</v>
      </c>
      <c r="AX29" s="67">
        <f t="shared" si="1"/>
        <v>0</v>
      </c>
      <c r="AY29" s="67">
        <f t="shared" si="2"/>
        <v>0</v>
      </c>
      <c r="AZ29" s="67">
        <f t="shared" si="3"/>
        <v>0</v>
      </c>
      <c r="BA29" s="67">
        <f t="shared" si="4"/>
        <v>0</v>
      </c>
      <c r="BB29" s="67">
        <f t="shared" si="5"/>
        <v>0</v>
      </c>
      <c r="CW29" s="67">
        <v>8.0000000000000002E-3</v>
      </c>
    </row>
    <row r="30" spans="1:101" ht="33.75">
      <c r="A30" s="85">
        <v>19</v>
      </c>
      <c r="B30" s="86" t="s">
        <v>528</v>
      </c>
      <c r="C30" s="87" t="s">
        <v>1057</v>
      </c>
      <c r="D30" s="88" t="s">
        <v>273</v>
      </c>
      <c r="E30" s="89"/>
      <c r="F30" s="218">
        <v>638</v>
      </c>
      <c r="G30" s="90">
        <f t="shared" si="0"/>
        <v>0</v>
      </c>
      <c r="L30" s="181">
        <v>2</v>
      </c>
      <c r="X30" s="67">
        <v>12</v>
      </c>
      <c r="Y30" s="67">
        <v>0</v>
      </c>
      <c r="Z30" s="67">
        <v>21</v>
      </c>
      <c r="AW30" s="67">
        <v>4</v>
      </c>
      <c r="AX30" s="67">
        <f t="shared" si="1"/>
        <v>0</v>
      </c>
      <c r="AY30" s="67">
        <f t="shared" si="2"/>
        <v>0</v>
      </c>
      <c r="AZ30" s="67">
        <f t="shared" si="3"/>
        <v>0</v>
      </c>
      <c r="BA30" s="67">
        <f t="shared" si="4"/>
        <v>0</v>
      </c>
      <c r="BB30" s="67">
        <f t="shared" si="5"/>
        <v>0</v>
      </c>
      <c r="CW30" s="67">
        <v>5.0000000000000001E-3</v>
      </c>
    </row>
    <row r="31" spans="1:101" ht="22.5">
      <c r="A31" s="85">
        <v>20</v>
      </c>
      <c r="B31" s="86" t="s">
        <v>529</v>
      </c>
      <c r="C31" s="87" t="s">
        <v>530</v>
      </c>
      <c r="D31" s="88" t="s">
        <v>273</v>
      </c>
      <c r="E31" s="89"/>
      <c r="F31" s="218">
        <v>191</v>
      </c>
      <c r="G31" s="90">
        <f t="shared" si="0"/>
        <v>0</v>
      </c>
      <c r="L31" s="181">
        <v>2</v>
      </c>
      <c r="X31" s="67">
        <v>12</v>
      </c>
      <c r="Y31" s="67">
        <v>0</v>
      </c>
      <c r="Z31" s="67">
        <v>22</v>
      </c>
      <c r="AW31" s="67">
        <v>4</v>
      </c>
      <c r="AX31" s="67">
        <f t="shared" si="1"/>
        <v>0</v>
      </c>
      <c r="AY31" s="67">
        <f t="shared" si="2"/>
        <v>0</v>
      </c>
      <c r="AZ31" s="67">
        <f t="shared" si="3"/>
        <v>0</v>
      </c>
      <c r="BA31" s="67">
        <f t="shared" si="4"/>
        <v>0</v>
      </c>
      <c r="BB31" s="67">
        <f t="shared" si="5"/>
        <v>0</v>
      </c>
      <c r="CW31" s="67">
        <v>1.2E-4</v>
      </c>
    </row>
    <row r="32" spans="1:101" ht="22.5" hidden="1">
      <c r="A32" s="85">
        <v>21</v>
      </c>
      <c r="B32" s="86" t="s">
        <v>531</v>
      </c>
      <c r="C32" s="87" t="s">
        <v>777</v>
      </c>
      <c r="D32" s="88" t="s">
        <v>273</v>
      </c>
      <c r="E32" s="89"/>
      <c r="F32" s="218">
        <v>176</v>
      </c>
      <c r="G32" s="90">
        <f t="shared" si="0"/>
        <v>0</v>
      </c>
      <c r="L32" s="181">
        <v>2</v>
      </c>
      <c r="X32" s="67">
        <v>12</v>
      </c>
      <c r="Y32" s="67">
        <v>0</v>
      </c>
      <c r="Z32" s="67">
        <v>23</v>
      </c>
      <c r="AW32" s="67">
        <v>4</v>
      </c>
      <c r="AX32" s="67">
        <f t="shared" si="1"/>
        <v>0</v>
      </c>
      <c r="AY32" s="67">
        <f t="shared" si="2"/>
        <v>0</v>
      </c>
      <c r="AZ32" s="67">
        <f t="shared" si="3"/>
        <v>0</v>
      </c>
      <c r="BA32" s="67">
        <f t="shared" si="4"/>
        <v>0</v>
      </c>
      <c r="BB32" s="67">
        <f t="shared" si="5"/>
        <v>0</v>
      </c>
      <c r="CW32" s="67">
        <v>1.2E-4</v>
      </c>
    </row>
    <row r="33" spans="1:101" hidden="1">
      <c r="A33" s="85">
        <v>22</v>
      </c>
      <c r="B33" s="86" t="s">
        <v>532</v>
      </c>
      <c r="C33" s="87" t="s">
        <v>922</v>
      </c>
      <c r="D33" s="88" t="s">
        <v>273</v>
      </c>
      <c r="E33" s="89"/>
      <c r="F33" s="218">
        <v>152.30000000000001</v>
      </c>
      <c r="G33" s="90">
        <f t="shared" si="0"/>
        <v>0</v>
      </c>
      <c r="L33" s="181">
        <v>2</v>
      </c>
      <c r="X33" s="67">
        <v>12</v>
      </c>
      <c r="Y33" s="67">
        <v>0</v>
      </c>
      <c r="Z33" s="67">
        <v>24</v>
      </c>
      <c r="AW33" s="67">
        <v>4</v>
      </c>
      <c r="AX33" s="67">
        <f t="shared" si="1"/>
        <v>0</v>
      </c>
      <c r="AY33" s="67">
        <f t="shared" si="2"/>
        <v>0</v>
      </c>
      <c r="AZ33" s="67">
        <f t="shared" si="3"/>
        <v>0</v>
      </c>
      <c r="BA33" s="67">
        <f t="shared" si="4"/>
        <v>0</v>
      </c>
      <c r="BB33" s="67">
        <f t="shared" si="5"/>
        <v>0</v>
      </c>
      <c r="CW33" s="67">
        <v>4.0000000000000003E-5</v>
      </c>
    </row>
    <row r="34" spans="1:101">
      <c r="A34" s="85">
        <v>23</v>
      </c>
      <c r="B34" s="86" t="s">
        <v>928</v>
      </c>
      <c r="C34" s="212" t="s">
        <v>923</v>
      </c>
      <c r="D34" s="88" t="s">
        <v>273</v>
      </c>
      <c r="E34" s="89"/>
      <c r="F34" s="220">
        <v>158</v>
      </c>
      <c r="G34" s="90">
        <f>E34*F34</f>
        <v>0</v>
      </c>
      <c r="L34" s="181"/>
    </row>
    <row r="35" spans="1:101">
      <c r="A35" s="85">
        <v>24</v>
      </c>
      <c r="B35" s="86" t="s">
        <v>929</v>
      </c>
      <c r="C35" s="87" t="s">
        <v>924</v>
      </c>
      <c r="D35" s="88" t="s">
        <v>273</v>
      </c>
      <c r="E35" s="89"/>
      <c r="F35" s="220">
        <v>171</v>
      </c>
      <c r="G35" s="90">
        <f>E35*F35</f>
        <v>0</v>
      </c>
      <c r="L35" s="181"/>
    </row>
    <row r="36" spans="1:101" hidden="1">
      <c r="A36" s="85">
        <v>25</v>
      </c>
      <c r="B36" s="86" t="s">
        <v>930</v>
      </c>
      <c r="C36" s="212" t="s">
        <v>925</v>
      </c>
      <c r="D36" s="88" t="s">
        <v>273</v>
      </c>
      <c r="E36" s="89"/>
      <c r="F36" s="220">
        <v>185</v>
      </c>
      <c r="G36" s="90">
        <f>E36*F36</f>
        <v>0</v>
      </c>
      <c r="L36" s="181"/>
    </row>
    <row r="37" spans="1:101" hidden="1">
      <c r="A37" s="85">
        <v>26</v>
      </c>
      <c r="B37" s="86" t="s">
        <v>931</v>
      </c>
      <c r="C37" s="212" t="s">
        <v>926</v>
      </c>
      <c r="D37" s="88" t="s">
        <v>273</v>
      </c>
      <c r="E37" s="89"/>
      <c r="F37" s="220">
        <v>191</v>
      </c>
      <c r="G37" s="90">
        <f>E37*F37</f>
        <v>0</v>
      </c>
      <c r="L37" s="181"/>
    </row>
    <row r="38" spans="1:101" hidden="1">
      <c r="A38" s="85">
        <v>28</v>
      </c>
      <c r="B38" s="86" t="s">
        <v>918</v>
      </c>
      <c r="C38" s="212" t="s">
        <v>919</v>
      </c>
      <c r="D38" s="88" t="s">
        <v>273</v>
      </c>
      <c r="E38" s="89"/>
      <c r="F38" s="220">
        <v>305</v>
      </c>
      <c r="G38" s="90">
        <f>E38*F38</f>
        <v>0</v>
      </c>
      <c r="L38" s="181"/>
    </row>
    <row r="39" spans="1:101" ht="22.5">
      <c r="A39" s="85">
        <v>28</v>
      </c>
      <c r="B39" s="86" t="s">
        <v>533</v>
      </c>
      <c r="C39" s="87" t="s">
        <v>534</v>
      </c>
      <c r="D39" s="88" t="s">
        <v>273</v>
      </c>
      <c r="E39" s="89"/>
      <c r="F39" s="218">
        <v>11.6</v>
      </c>
      <c r="G39" s="90">
        <f t="shared" si="0"/>
        <v>0</v>
      </c>
      <c r="L39" s="181">
        <v>2</v>
      </c>
      <c r="X39" s="67">
        <v>12</v>
      </c>
      <c r="Y39" s="67">
        <v>0</v>
      </c>
      <c r="Z39" s="67">
        <v>25</v>
      </c>
      <c r="AW39" s="67">
        <v>4</v>
      </c>
      <c r="AX39" s="67">
        <f t="shared" si="1"/>
        <v>0</v>
      </c>
      <c r="AY39" s="67">
        <f t="shared" si="2"/>
        <v>0</v>
      </c>
      <c r="AZ39" s="67">
        <f t="shared" si="3"/>
        <v>0</v>
      </c>
      <c r="BA39" s="67">
        <f t="shared" si="4"/>
        <v>0</v>
      </c>
      <c r="BB39" s="67">
        <f t="shared" si="5"/>
        <v>0</v>
      </c>
      <c r="CW39" s="67">
        <v>0</v>
      </c>
    </row>
    <row r="40" spans="1:101">
      <c r="A40" s="91"/>
      <c r="B40" s="92" t="s">
        <v>496</v>
      </c>
      <c r="C40" s="268" t="str">
        <f>CONCATENATE(B13," ",C13)</f>
        <v>M21 Elektromontáže</v>
      </c>
      <c r="D40" s="91"/>
      <c r="E40" s="94"/>
      <c r="F40" s="219"/>
      <c r="G40" s="95">
        <f>SUM(G13:G39)</f>
        <v>0</v>
      </c>
      <c r="L40" s="181">
        <v>4</v>
      </c>
      <c r="AX40" s="182">
        <f>SUM(AX13:AX39)</f>
        <v>0</v>
      </c>
      <c r="AY40" s="182">
        <f>SUM(AY13:AY39)</f>
        <v>0</v>
      </c>
      <c r="AZ40" s="182">
        <f>SUM(AZ13:AZ39)</f>
        <v>0</v>
      </c>
      <c r="BA40" s="182">
        <f>SUM(BA13:BA39)</f>
        <v>0</v>
      </c>
      <c r="BB40" s="182">
        <f>SUM(BB13:BB39)</f>
        <v>0</v>
      </c>
    </row>
    <row r="41" spans="1:101">
      <c r="A41" s="79" t="s">
        <v>492</v>
      </c>
      <c r="B41" s="80" t="s">
        <v>535</v>
      </c>
      <c r="C41" s="81" t="s">
        <v>536</v>
      </c>
      <c r="D41" s="82"/>
      <c r="E41" s="83"/>
      <c r="F41" s="217"/>
      <c r="G41" s="84"/>
      <c r="L41" s="181">
        <v>1</v>
      </c>
    </row>
    <row r="42" spans="1:101">
      <c r="A42" s="85">
        <v>29</v>
      </c>
      <c r="B42" s="86" t="s">
        <v>537</v>
      </c>
      <c r="C42" s="87" t="s">
        <v>538</v>
      </c>
      <c r="D42" s="88" t="s">
        <v>274</v>
      </c>
      <c r="E42" s="89"/>
      <c r="F42" s="218">
        <v>53</v>
      </c>
      <c r="G42" s="90">
        <f t="shared" ref="G42:G54" si="6">E42*F42</f>
        <v>0</v>
      </c>
      <c r="L42" s="181">
        <v>2</v>
      </c>
      <c r="X42" s="67">
        <v>12</v>
      </c>
      <c r="Y42" s="67">
        <v>0</v>
      </c>
      <c r="Z42" s="67">
        <v>26</v>
      </c>
      <c r="AW42" s="67">
        <v>4</v>
      </c>
      <c r="AX42" s="67">
        <f t="shared" ref="AX42:AX54" si="7">IF(AW42=1,G42,0)</f>
        <v>0</v>
      </c>
      <c r="AY42" s="67">
        <f t="shared" ref="AY42:AY54" si="8">IF(AW42=2,G42,0)</f>
        <v>0</v>
      </c>
      <c r="AZ42" s="67">
        <f t="shared" ref="AZ42:AZ54" si="9">IF(AW42=3,G42,0)</f>
        <v>0</v>
      </c>
      <c r="BA42" s="67">
        <f t="shared" ref="BA42:BA54" si="10">IF(AW42=4,G42,0)</f>
        <v>0</v>
      </c>
      <c r="BB42" s="67">
        <f t="shared" ref="BB42:BB54" si="11">IF(AW42=5,G42,0)</f>
        <v>0</v>
      </c>
      <c r="CW42" s="67">
        <v>1E-4</v>
      </c>
    </row>
    <row r="43" spans="1:101">
      <c r="A43" s="85">
        <v>30</v>
      </c>
      <c r="B43" s="86" t="s">
        <v>539</v>
      </c>
      <c r="C43" s="87" t="s">
        <v>540</v>
      </c>
      <c r="D43" s="88" t="s">
        <v>273</v>
      </c>
      <c r="E43" s="89"/>
      <c r="F43" s="218">
        <v>49</v>
      </c>
      <c r="G43" s="90">
        <f t="shared" si="6"/>
        <v>0</v>
      </c>
      <c r="L43" s="181">
        <v>2</v>
      </c>
      <c r="X43" s="67">
        <v>12</v>
      </c>
      <c r="Y43" s="67">
        <v>0</v>
      </c>
      <c r="Z43" s="67">
        <v>27</v>
      </c>
      <c r="AW43" s="67">
        <v>4</v>
      </c>
      <c r="AX43" s="67">
        <f t="shared" si="7"/>
        <v>0</v>
      </c>
      <c r="AY43" s="67">
        <f t="shared" si="8"/>
        <v>0</v>
      </c>
      <c r="AZ43" s="67">
        <f t="shared" si="9"/>
        <v>0</v>
      </c>
      <c r="BA43" s="67">
        <f t="shared" si="10"/>
        <v>0</v>
      </c>
      <c r="BB43" s="67">
        <f t="shared" si="11"/>
        <v>0</v>
      </c>
      <c r="CW43" s="67">
        <v>0</v>
      </c>
    </row>
    <row r="44" spans="1:101">
      <c r="A44" s="85">
        <v>31</v>
      </c>
      <c r="B44" s="86" t="s">
        <v>541</v>
      </c>
      <c r="C44" s="87" t="s">
        <v>542</v>
      </c>
      <c r="D44" s="88" t="s">
        <v>273</v>
      </c>
      <c r="E44" s="89"/>
      <c r="F44" s="218">
        <v>73.5</v>
      </c>
      <c r="G44" s="90">
        <f t="shared" si="6"/>
        <v>0</v>
      </c>
      <c r="L44" s="181">
        <v>2</v>
      </c>
      <c r="X44" s="67">
        <v>12</v>
      </c>
      <c r="Y44" s="67">
        <v>0</v>
      </c>
      <c r="Z44" s="67">
        <v>28</v>
      </c>
      <c r="AW44" s="67">
        <v>4</v>
      </c>
      <c r="AX44" s="67">
        <f t="shared" si="7"/>
        <v>0</v>
      </c>
      <c r="AY44" s="67">
        <f t="shared" si="8"/>
        <v>0</v>
      </c>
      <c r="AZ44" s="67">
        <f t="shared" si="9"/>
        <v>0</v>
      </c>
      <c r="BA44" s="67">
        <f t="shared" si="10"/>
        <v>0</v>
      </c>
      <c r="BB44" s="67">
        <f t="shared" si="11"/>
        <v>0</v>
      </c>
      <c r="CW44" s="67">
        <v>1.2E-4</v>
      </c>
    </row>
    <row r="45" spans="1:101" hidden="1">
      <c r="A45" s="85">
        <v>32</v>
      </c>
      <c r="B45" s="86" t="s">
        <v>543</v>
      </c>
      <c r="C45" s="87" t="s">
        <v>544</v>
      </c>
      <c r="D45" s="88" t="s">
        <v>273</v>
      </c>
      <c r="E45" s="89"/>
      <c r="F45" s="218">
        <v>121</v>
      </c>
      <c r="G45" s="90">
        <f t="shared" si="6"/>
        <v>0</v>
      </c>
      <c r="L45" s="181">
        <v>2</v>
      </c>
      <c r="X45" s="67">
        <v>12</v>
      </c>
      <c r="Y45" s="67">
        <v>0</v>
      </c>
      <c r="Z45" s="67">
        <v>29</v>
      </c>
      <c r="AW45" s="67">
        <v>4</v>
      </c>
      <c r="AX45" s="67">
        <f t="shared" si="7"/>
        <v>0</v>
      </c>
      <c r="AY45" s="67">
        <f t="shared" si="8"/>
        <v>0</v>
      </c>
      <c r="AZ45" s="67">
        <f t="shared" si="9"/>
        <v>0</v>
      </c>
      <c r="BA45" s="67">
        <f t="shared" si="10"/>
        <v>0</v>
      </c>
      <c r="BB45" s="67">
        <f t="shared" si="11"/>
        <v>0</v>
      </c>
      <c r="CW45" s="67">
        <v>1E-4</v>
      </c>
    </row>
    <row r="46" spans="1:101">
      <c r="A46" s="85">
        <v>33</v>
      </c>
      <c r="B46" s="86" t="s">
        <v>545</v>
      </c>
      <c r="C46" s="87" t="s">
        <v>546</v>
      </c>
      <c r="D46" s="88" t="s">
        <v>273</v>
      </c>
      <c r="E46" s="89"/>
      <c r="F46" s="218">
        <v>239</v>
      </c>
      <c r="G46" s="90">
        <f t="shared" si="6"/>
        <v>0</v>
      </c>
      <c r="L46" s="181">
        <v>2</v>
      </c>
      <c r="X46" s="67">
        <v>12</v>
      </c>
      <c r="Y46" s="67">
        <v>0</v>
      </c>
      <c r="Z46" s="67">
        <v>30</v>
      </c>
      <c r="AW46" s="67">
        <v>4</v>
      </c>
      <c r="AX46" s="67">
        <f t="shared" si="7"/>
        <v>0</v>
      </c>
      <c r="AY46" s="67">
        <f t="shared" si="8"/>
        <v>0</v>
      </c>
      <c r="AZ46" s="67">
        <f t="shared" si="9"/>
        <v>0</v>
      </c>
      <c r="BA46" s="67">
        <f t="shared" si="10"/>
        <v>0</v>
      </c>
      <c r="BB46" s="67">
        <f t="shared" si="11"/>
        <v>0</v>
      </c>
      <c r="CW46" s="67">
        <v>0</v>
      </c>
    </row>
    <row r="47" spans="1:101" hidden="1">
      <c r="A47" s="85">
        <v>34</v>
      </c>
      <c r="B47" s="86" t="s">
        <v>537</v>
      </c>
      <c r="C47" s="87" t="s">
        <v>547</v>
      </c>
      <c r="D47" s="88" t="s">
        <v>274</v>
      </c>
      <c r="E47" s="89"/>
      <c r="F47" s="218">
        <v>53</v>
      </c>
      <c r="G47" s="90">
        <f t="shared" si="6"/>
        <v>0</v>
      </c>
      <c r="L47" s="181">
        <v>2</v>
      </c>
      <c r="X47" s="67">
        <v>12</v>
      </c>
      <c r="Y47" s="67">
        <v>0</v>
      </c>
      <c r="Z47" s="67">
        <v>31</v>
      </c>
      <c r="AW47" s="67">
        <v>4</v>
      </c>
      <c r="AX47" s="67">
        <f t="shared" si="7"/>
        <v>0</v>
      </c>
      <c r="AY47" s="67">
        <f t="shared" si="8"/>
        <v>0</v>
      </c>
      <c r="AZ47" s="67">
        <f t="shared" si="9"/>
        <v>0</v>
      </c>
      <c r="BA47" s="67">
        <f t="shared" si="10"/>
        <v>0</v>
      </c>
      <c r="BB47" s="67">
        <f t="shared" si="11"/>
        <v>0</v>
      </c>
      <c r="CW47" s="67">
        <v>1E-4</v>
      </c>
    </row>
    <row r="48" spans="1:101">
      <c r="A48" s="85">
        <v>35</v>
      </c>
      <c r="B48" s="86" t="s">
        <v>537</v>
      </c>
      <c r="C48" s="87" t="s">
        <v>548</v>
      </c>
      <c r="D48" s="88" t="s">
        <v>274</v>
      </c>
      <c r="E48" s="89"/>
      <c r="F48" s="218">
        <v>7</v>
      </c>
      <c r="G48" s="90">
        <f t="shared" si="6"/>
        <v>0</v>
      </c>
      <c r="L48" s="181">
        <v>2</v>
      </c>
      <c r="X48" s="67">
        <v>12</v>
      </c>
      <c r="Y48" s="67">
        <v>0</v>
      </c>
      <c r="Z48" s="67">
        <v>32</v>
      </c>
      <c r="AW48" s="67">
        <v>4</v>
      </c>
      <c r="AX48" s="67">
        <f t="shared" si="7"/>
        <v>0</v>
      </c>
      <c r="AY48" s="67">
        <f t="shared" si="8"/>
        <v>0</v>
      </c>
      <c r="AZ48" s="67">
        <f t="shared" si="9"/>
        <v>0</v>
      </c>
      <c r="BA48" s="67">
        <f t="shared" si="10"/>
        <v>0</v>
      </c>
      <c r="BB48" s="67">
        <f t="shared" si="11"/>
        <v>0</v>
      </c>
      <c r="CW48" s="67">
        <v>1E-4</v>
      </c>
    </row>
    <row r="49" spans="1:101">
      <c r="A49" s="85">
        <v>36</v>
      </c>
      <c r="B49" s="86" t="s">
        <v>549</v>
      </c>
      <c r="C49" s="87" t="s">
        <v>550</v>
      </c>
      <c r="D49" s="88" t="s">
        <v>274</v>
      </c>
      <c r="E49" s="89"/>
      <c r="F49" s="218">
        <v>14</v>
      </c>
      <c r="G49" s="90">
        <f t="shared" si="6"/>
        <v>0</v>
      </c>
      <c r="L49" s="181">
        <v>2</v>
      </c>
      <c r="X49" s="67">
        <v>12</v>
      </c>
      <c r="Y49" s="67">
        <v>1</v>
      </c>
      <c r="Z49" s="67">
        <v>33</v>
      </c>
      <c r="AW49" s="67">
        <v>3</v>
      </c>
      <c r="AX49" s="67">
        <f t="shared" si="7"/>
        <v>0</v>
      </c>
      <c r="AY49" s="67">
        <f t="shared" si="8"/>
        <v>0</v>
      </c>
      <c r="AZ49" s="67">
        <f t="shared" si="9"/>
        <v>0</v>
      </c>
      <c r="BA49" s="67">
        <f t="shared" si="10"/>
        <v>0</v>
      </c>
      <c r="BB49" s="67">
        <f t="shared" si="11"/>
        <v>0</v>
      </c>
      <c r="CW49" s="67">
        <v>2.0000000000000002E-5</v>
      </c>
    </row>
    <row r="50" spans="1:101" hidden="1">
      <c r="A50" s="85">
        <v>37</v>
      </c>
      <c r="B50" s="86" t="s">
        <v>551</v>
      </c>
      <c r="C50" s="87" t="s">
        <v>552</v>
      </c>
      <c r="D50" s="88" t="s">
        <v>274</v>
      </c>
      <c r="E50" s="89"/>
      <c r="F50" s="218">
        <v>12.3</v>
      </c>
      <c r="G50" s="90">
        <f t="shared" si="6"/>
        <v>0</v>
      </c>
      <c r="L50" s="181">
        <v>2</v>
      </c>
      <c r="X50" s="67">
        <v>12</v>
      </c>
      <c r="Y50" s="67">
        <v>1</v>
      </c>
      <c r="Z50" s="67">
        <v>34</v>
      </c>
      <c r="AW50" s="67">
        <v>3</v>
      </c>
      <c r="AX50" s="67">
        <f t="shared" si="7"/>
        <v>0</v>
      </c>
      <c r="AY50" s="67">
        <f t="shared" si="8"/>
        <v>0</v>
      </c>
      <c r="AZ50" s="67">
        <f t="shared" si="9"/>
        <v>0</v>
      </c>
      <c r="BA50" s="67">
        <f t="shared" si="10"/>
        <v>0</v>
      </c>
      <c r="BB50" s="67">
        <f t="shared" si="11"/>
        <v>0</v>
      </c>
      <c r="CW50" s="67">
        <v>3.0000000000000001E-5</v>
      </c>
    </row>
    <row r="51" spans="1:101" hidden="1">
      <c r="A51" s="85">
        <v>38</v>
      </c>
      <c r="B51" s="86" t="s">
        <v>553</v>
      </c>
      <c r="C51" s="87" t="s">
        <v>554</v>
      </c>
      <c r="D51" s="88" t="s">
        <v>274</v>
      </c>
      <c r="E51" s="89"/>
      <c r="F51" s="218">
        <v>18</v>
      </c>
      <c r="G51" s="90">
        <f t="shared" si="6"/>
        <v>0</v>
      </c>
      <c r="L51" s="181">
        <v>2</v>
      </c>
      <c r="X51" s="67">
        <v>12</v>
      </c>
      <c r="Y51" s="67">
        <v>1</v>
      </c>
      <c r="Z51" s="67">
        <v>35</v>
      </c>
      <c r="AW51" s="67">
        <v>3</v>
      </c>
      <c r="AX51" s="67">
        <f t="shared" si="7"/>
        <v>0</v>
      </c>
      <c r="AY51" s="67">
        <f t="shared" si="8"/>
        <v>0</v>
      </c>
      <c r="AZ51" s="67">
        <f t="shared" si="9"/>
        <v>0</v>
      </c>
      <c r="BA51" s="67">
        <f t="shared" si="10"/>
        <v>0</v>
      </c>
      <c r="BB51" s="67">
        <f t="shared" si="11"/>
        <v>0</v>
      </c>
      <c r="CW51" s="67">
        <v>4.0000000000000003E-5</v>
      </c>
    </row>
    <row r="52" spans="1:101">
      <c r="A52" s="85">
        <v>39</v>
      </c>
      <c r="B52" s="86" t="s">
        <v>555</v>
      </c>
      <c r="C52" s="87" t="s">
        <v>556</v>
      </c>
      <c r="D52" s="88" t="s">
        <v>273</v>
      </c>
      <c r="E52" s="89"/>
      <c r="F52" s="218">
        <v>213.5</v>
      </c>
      <c r="G52" s="90">
        <f t="shared" si="6"/>
        <v>0</v>
      </c>
      <c r="L52" s="181">
        <v>2</v>
      </c>
      <c r="X52" s="67">
        <v>12</v>
      </c>
      <c r="Y52" s="67">
        <v>0</v>
      </c>
      <c r="Z52" s="67">
        <v>36</v>
      </c>
      <c r="AW52" s="67">
        <v>4</v>
      </c>
      <c r="AX52" s="67">
        <f t="shared" si="7"/>
        <v>0</v>
      </c>
      <c r="AY52" s="67">
        <f t="shared" si="8"/>
        <v>0</v>
      </c>
      <c r="AZ52" s="67">
        <f t="shared" si="9"/>
        <v>0</v>
      </c>
      <c r="BA52" s="67">
        <f t="shared" si="10"/>
        <v>0</v>
      </c>
      <c r="BB52" s="67">
        <f t="shared" si="11"/>
        <v>0</v>
      </c>
      <c r="CW52" s="67">
        <v>0</v>
      </c>
    </row>
    <row r="53" spans="1:101">
      <c r="A53" s="85">
        <v>40</v>
      </c>
      <c r="B53" s="86" t="s">
        <v>555</v>
      </c>
      <c r="C53" s="87" t="s">
        <v>950</v>
      </c>
      <c r="D53" s="88" t="s">
        <v>273</v>
      </c>
      <c r="E53" s="89"/>
      <c r="F53" s="218">
        <f>249.8+420</f>
        <v>669.8</v>
      </c>
      <c r="G53" s="90">
        <f t="shared" si="6"/>
        <v>0</v>
      </c>
      <c r="L53" s="181">
        <v>2</v>
      </c>
      <c r="X53" s="67">
        <v>12</v>
      </c>
      <c r="Y53" s="67">
        <v>0</v>
      </c>
      <c r="Z53" s="67">
        <v>37</v>
      </c>
      <c r="AW53" s="67">
        <v>4</v>
      </c>
      <c r="AX53" s="67">
        <f t="shared" si="7"/>
        <v>0</v>
      </c>
      <c r="AY53" s="67">
        <f t="shared" si="8"/>
        <v>0</v>
      </c>
      <c r="AZ53" s="67">
        <f t="shared" si="9"/>
        <v>0</v>
      </c>
      <c r="BA53" s="67">
        <f t="shared" si="10"/>
        <v>0</v>
      </c>
      <c r="BB53" s="67">
        <f t="shared" si="11"/>
        <v>0</v>
      </c>
      <c r="CW53" s="67">
        <v>0</v>
      </c>
    </row>
    <row r="54" spans="1:101">
      <c r="A54" s="85">
        <v>41</v>
      </c>
      <c r="B54" s="86" t="s">
        <v>557</v>
      </c>
      <c r="C54" s="87" t="s">
        <v>1036</v>
      </c>
      <c r="D54" s="88" t="s">
        <v>273</v>
      </c>
      <c r="E54" s="89"/>
      <c r="F54" s="218">
        <v>1043</v>
      </c>
      <c r="G54" s="90">
        <f t="shared" si="6"/>
        <v>0</v>
      </c>
      <c r="L54" s="181">
        <v>2</v>
      </c>
      <c r="X54" s="67">
        <v>12</v>
      </c>
      <c r="Y54" s="67">
        <v>1</v>
      </c>
      <c r="Z54" s="67">
        <v>38</v>
      </c>
      <c r="AW54" s="67">
        <v>3</v>
      </c>
      <c r="AX54" s="67">
        <f t="shared" si="7"/>
        <v>0</v>
      </c>
      <c r="AY54" s="67">
        <f t="shared" si="8"/>
        <v>0</v>
      </c>
      <c r="AZ54" s="67">
        <f t="shared" si="9"/>
        <v>0</v>
      </c>
      <c r="BA54" s="67">
        <f t="shared" si="10"/>
        <v>0</v>
      </c>
      <c r="BB54" s="67">
        <f t="shared" si="11"/>
        <v>0</v>
      </c>
      <c r="CW54" s="67">
        <v>1.3500000000000001E-3</v>
      </c>
    </row>
    <row r="55" spans="1:101">
      <c r="A55" s="91"/>
      <c r="B55" s="92" t="s">
        <v>496</v>
      </c>
      <c r="C55" s="93" t="str">
        <f>CONCATENATE(B41," ",C41)</f>
        <v>M22 Montáž sdělovací a zabezp.tech</v>
      </c>
      <c r="D55" s="91"/>
      <c r="E55" s="94"/>
      <c r="F55" s="219"/>
      <c r="G55" s="95">
        <f>SUM(G41:G54)</f>
        <v>0</v>
      </c>
      <c r="L55" s="181">
        <v>4</v>
      </c>
      <c r="AX55" s="182">
        <f>SUM(AX41:AX54)</f>
        <v>0</v>
      </c>
      <c r="AY55" s="182">
        <f>SUM(AY41:AY54)</f>
        <v>0</v>
      </c>
      <c r="AZ55" s="182">
        <f>SUM(AZ41:AZ54)</f>
        <v>0</v>
      </c>
      <c r="BA55" s="182">
        <f>SUM(BA41:BA54)</f>
        <v>0</v>
      </c>
      <c r="BB55" s="182">
        <f>SUM(BB41:BB54)</f>
        <v>0</v>
      </c>
    </row>
    <row r="56" spans="1:101">
      <c r="A56" s="79" t="s">
        <v>492</v>
      </c>
      <c r="B56" s="80" t="s">
        <v>558</v>
      </c>
      <c r="C56" s="81" t="s">
        <v>559</v>
      </c>
      <c r="D56" s="82"/>
      <c r="E56" s="83"/>
      <c r="F56" s="217"/>
      <c r="G56" s="84"/>
      <c r="L56" s="181">
        <v>1</v>
      </c>
    </row>
    <row r="57" spans="1:101">
      <c r="A57" s="85">
        <v>42</v>
      </c>
      <c r="B57" s="86" t="s">
        <v>560</v>
      </c>
      <c r="C57" s="87" t="s">
        <v>561</v>
      </c>
      <c r="D57" s="88" t="s">
        <v>500</v>
      </c>
      <c r="E57" s="89"/>
      <c r="F57" s="218">
        <v>4900</v>
      </c>
      <c r="G57" s="90">
        <f>E57*F57</f>
        <v>0</v>
      </c>
      <c r="L57" s="181">
        <v>2</v>
      </c>
      <c r="X57" s="67">
        <v>12</v>
      </c>
      <c r="Y57" s="67">
        <v>0</v>
      </c>
      <c r="Z57" s="67">
        <v>39</v>
      </c>
      <c r="AW57" s="67">
        <v>4</v>
      </c>
      <c r="AX57" s="67">
        <f>IF(AW57=1,G57,0)</f>
        <v>0</v>
      </c>
      <c r="AY57" s="67">
        <f>IF(AW57=2,G57,0)</f>
        <v>0</v>
      </c>
      <c r="AZ57" s="67">
        <f>IF(AW57=3,G57,0)</f>
        <v>0</v>
      </c>
      <c r="BA57" s="67">
        <f>IF(AW57=4,G57,0)</f>
        <v>0</v>
      </c>
      <c r="BB57" s="67">
        <f>IF(AW57=5,G57,0)</f>
        <v>0</v>
      </c>
      <c r="CW57" s="67">
        <v>0</v>
      </c>
    </row>
    <row r="58" spans="1:101">
      <c r="A58" s="91"/>
      <c r="B58" s="92" t="s">
        <v>496</v>
      </c>
      <c r="C58" s="93" t="str">
        <f>CONCATENATE(B56," ",C56)</f>
        <v>M24 Revize</v>
      </c>
      <c r="D58" s="91"/>
      <c r="E58" s="94"/>
      <c r="F58" s="219"/>
      <c r="G58" s="95">
        <f>SUM(G56:G57)</f>
        <v>0</v>
      </c>
      <c r="L58" s="181">
        <v>4</v>
      </c>
      <c r="AX58" s="182">
        <f>SUM(AX56:AX57)</f>
        <v>0</v>
      </c>
      <c r="AY58" s="182">
        <f>SUM(AY56:AY57)</f>
        <v>0</v>
      </c>
      <c r="AZ58" s="182">
        <f>SUM(AZ56:AZ57)</f>
        <v>0</v>
      </c>
      <c r="BA58" s="182">
        <f>SUM(BA56:BA57)</f>
        <v>0</v>
      </c>
      <c r="BB58" s="182">
        <f>SUM(BB56:BB57)</f>
        <v>0</v>
      </c>
    </row>
    <row r="59" spans="1:101">
      <c r="A59" s="79" t="s">
        <v>492</v>
      </c>
      <c r="B59" s="80" t="s">
        <v>188</v>
      </c>
      <c r="C59" s="81" t="s">
        <v>920</v>
      </c>
      <c r="D59" s="82"/>
      <c r="E59" s="83"/>
      <c r="F59" s="221"/>
      <c r="G59" s="84"/>
      <c r="L59" s="181">
        <v>1</v>
      </c>
    </row>
    <row r="60" spans="1:101">
      <c r="A60" s="85">
        <v>43</v>
      </c>
      <c r="B60" s="86"/>
      <c r="C60" s="211" t="s">
        <v>979</v>
      </c>
      <c r="D60" s="88" t="s">
        <v>500</v>
      </c>
      <c r="E60" s="89"/>
      <c r="F60" s="222">
        <v>4350</v>
      </c>
      <c r="G60" s="90">
        <f>E60*F60</f>
        <v>0</v>
      </c>
      <c r="L60" s="181">
        <v>2</v>
      </c>
      <c r="X60" s="67">
        <v>12</v>
      </c>
      <c r="Y60" s="67">
        <v>0</v>
      </c>
      <c r="Z60" s="67">
        <v>39</v>
      </c>
      <c r="AW60" s="67">
        <v>4</v>
      </c>
      <c r="AX60" s="67">
        <f>IF(AW60=1,G60,0)</f>
        <v>0</v>
      </c>
      <c r="AY60" s="67">
        <f>IF(AW60=2,G60,0)</f>
        <v>0</v>
      </c>
      <c r="AZ60" s="67">
        <f>IF(AW60=3,G60,0)</f>
        <v>0</v>
      </c>
      <c r="BA60" s="67">
        <f>IF(AW60=4,G60,0)</f>
        <v>0</v>
      </c>
      <c r="BB60" s="67">
        <f>IF(AW60=5,G60,0)</f>
        <v>0</v>
      </c>
      <c r="CW60" s="67">
        <v>0</v>
      </c>
    </row>
    <row r="61" spans="1:101">
      <c r="A61" s="85">
        <v>44</v>
      </c>
      <c r="B61" s="86"/>
      <c r="C61" s="211" t="s">
        <v>927</v>
      </c>
      <c r="D61" s="88" t="s">
        <v>500</v>
      </c>
      <c r="E61" s="89"/>
      <c r="F61" s="222">
        <v>2320</v>
      </c>
      <c r="G61" s="90">
        <f>E61*F61</f>
        <v>0</v>
      </c>
      <c r="L61" s="181"/>
    </row>
    <row r="62" spans="1:101">
      <c r="A62" s="91"/>
      <c r="B62" s="92" t="s">
        <v>496</v>
      </c>
      <c r="C62" s="93" t="str">
        <f>CONCATENATE(B59," ",C59)</f>
        <v xml:space="preserve">M21 Ostatní </v>
      </c>
      <c r="D62" s="91"/>
      <c r="E62" s="94"/>
      <c r="F62" s="223"/>
      <c r="G62" s="95">
        <f>SUM(G59:G61)</f>
        <v>0</v>
      </c>
      <c r="L62" s="181">
        <v>4</v>
      </c>
      <c r="AX62" s="182">
        <f>SUM(AX59:AX60)</f>
        <v>0</v>
      </c>
      <c r="AY62" s="182">
        <f>SUM(AY59:AY60)</f>
        <v>0</v>
      </c>
      <c r="AZ62" s="182">
        <f>SUM(AZ59:AZ60)</f>
        <v>0</v>
      </c>
      <c r="BA62" s="182">
        <f>SUM(BA59:BA60)</f>
        <v>0</v>
      </c>
      <c r="BB62" s="182">
        <f>SUM(BB59:BB60)</f>
        <v>0</v>
      </c>
    </row>
    <row r="63" spans="1:101" s="183" customFormat="1"/>
    <row r="64" spans="1:101" s="183" customFormat="1" ht="13.5" thickBot="1">
      <c r="E64" s="206"/>
    </row>
    <row r="65" spans="1:7" s="183" customFormat="1" ht="13.5" thickBot="1">
      <c r="A65" s="207"/>
      <c r="B65" s="208"/>
      <c r="C65" s="209" t="s">
        <v>921</v>
      </c>
      <c r="D65" s="208"/>
      <c r="E65" s="208"/>
      <c r="F65" s="208"/>
      <c r="G65" s="210">
        <f>G62+G58+G55+G40+G12+G9</f>
        <v>0</v>
      </c>
    </row>
    <row r="66" spans="1:7">
      <c r="E66" s="67"/>
    </row>
    <row r="67" spans="1:7">
      <c r="E67" s="67"/>
    </row>
    <row r="68" spans="1:7">
      <c r="E68" s="67"/>
    </row>
    <row r="69" spans="1:7">
      <c r="E69" s="67"/>
    </row>
    <row r="70" spans="1:7">
      <c r="E70" s="67"/>
    </row>
    <row r="71" spans="1:7">
      <c r="E71" s="67"/>
    </row>
    <row r="72" spans="1:7">
      <c r="E72" s="67"/>
    </row>
    <row r="73" spans="1:7">
      <c r="E73" s="67"/>
    </row>
    <row r="74" spans="1:7">
      <c r="E74" s="67"/>
    </row>
    <row r="75" spans="1:7">
      <c r="E75" s="67"/>
    </row>
    <row r="76" spans="1:7">
      <c r="E76" s="67"/>
    </row>
    <row r="77" spans="1:7">
      <c r="E77" s="67"/>
    </row>
    <row r="78" spans="1:7">
      <c r="E78" s="67"/>
    </row>
    <row r="79" spans="1:7">
      <c r="E79" s="67"/>
    </row>
    <row r="80" spans="1:7">
      <c r="E80" s="67"/>
    </row>
    <row r="81" spans="1:7">
      <c r="E81" s="67"/>
    </row>
    <row r="82" spans="1:7">
      <c r="E82" s="67"/>
    </row>
    <row r="83" spans="1:7">
      <c r="A83" s="183"/>
      <c r="B83" s="183"/>
      <c r="C83" s="183"/>
      <c r="D83" s="183"/>
      <c r="E83" s="183"/>
      <c r="F83" s="183"/>
      <c r="G83" s="183"/>
    </row>
    <row r="84" spans="1:7">
      <c r="A84" s="183"/>
      <c r="B84" s="183"/>
      <c r="C84" s="183"/>
      <c r="D84" s="183"/>
      <c r="E84" s="183"/>
      <c r="F84" s="183"/>
      <c r="G84" s="183"/>
    </row>
    <row r="85" spans="1:7">
      <c r="A85" s="183"/>
      <c r="B85" s="183"/>
      <c r="C85" s="183"/>
      <c r="D85" s="183"/>
      <c r="E85" s="183"/>
      <c r="F85" s="183"/>
      <c r="G85" s="183"/>
    </row>
    <row r="86" spans="1:7">
      <c r="A86" s="183"/>
      <c r="B86" s="183"/>
      <c r="C86" s="183"/>
      <c r="D86" s="183"/>
      <c r="E86" s="183"/>
      <c r="F86" s="183"/>
      <c r="G86" s="183"/>
    </row>
    <row r="87" spans="1:7">
      <c r="E87" s="67"/>
    </row>
    <row r="88" spans="1:7">
      <c r="E88" s="67"/>
    </row>
    <row r="89" spans="1:7">
      <c r="E89" s="67"/>
    </row>
    <row r="90" spans="1:7">
      <c r="E90" s="67"/>
    </row>
    <row r="91" spans="1:7">
      <c r="E91" s="67"/>
    </row>
    <row r="92" spans="1:7">
      <c r="E92" s="67"/>
    </row>
    <row r="93" spans="1:7">
      <c r="E93" s="67"/>
    </row>
    <row r="94" spans="1:7">
      <c r="E94" s="67"/>
    </row>
    <row r="95" spans="1:7">
      <c r="E95" s="67"/>
    </row>
    <row r="96" spans="1:7">
      <c r="E96" s="67"/>
    </row>
    <row r="97" spans="5:5">
      <c r="E97" s="67"/>
    </row>
    <row r="98" spans="5:5">
      <c r="E98" s="67"/>
    </row>
    <row r="99" spans="5:5">
      <c r="E99" s="67"/>
    </row>
    <row r="100" spans="5:5">
      <c r="E100" s="67"/>
    </row>
    <row r="101" spans="5:5">
      <c r="E101" s="67"/>
    </row>
    <row r="102" spans="5:5">
      <c r="E102" s="67"/>
    </row>
    <row r="103" spans="5:5">
      <c r="E103" s="67"/>
    </row>
    <row r="104" spans="5:5">
      <c r="E104" s="67"/>
    </row>
    <row r="105" spans="5:5">
      <c r="E105" s="67"/>
    </row>
    <row r="106" spans="5:5">
      <c r="E106" s="67"/>
    </row>
    <row r="107" spans="5:5">
      <c r="E107" s="67"/>
    </row>
    <row r="108" spans="5:5">
      <c r="E108" s="67"/>
    </row>
    <row r="109" spans="5:5">
      <c r="E109" s="67"/>
    </row>
    <row r="110" spans="5:5">
      <c r="E110" s="67"/>
    </row>
    <row r="111" spans="5:5">
      <c r="E111" s="67"/>
    </row>
    <row r="112" spans="5:5">
      <c r="E112" s="67"/>
    </row>
    <row r="113" spans="1:7">
      <c r="E113" s="67"/>
    </row>
    <row r="114" spans="1:7">
      <c r="E114" s="67"/>
    </row>
    <row r="115" spans="1:7">
      <c r="E115" s="67"/>
    </row>
    <row r="116" spans="1:7">
      <c r="E116" s="67"/>
    </row>
    <row r="117" spans="1:7">
      <c r="E117" s="67"/>
    </row>
    <row r="118" spans="1:7">
      <c r="A118" s="184"/>
      <c r="B118" s="184"/>
    </row>
    <row r="119" spans="1:7">
      <c r="A119" s="183"/>
      <c r="B119" s="183"/>
      <c r="C119" s="185"/>
      <c r="D119" s="185"/>
      <c r="E119" s="186"/>
      <c r="F119" s="185"/>
      <c r="G119" s="187"/>
    </row>
    <row r="120" spans="1:7">
      <c r="A120" s="188"/>
      <c r="B120" s="188"/>
      <c r="C120" s="183"/>
      <c r="D120" s="183"/>
      <c r="E120" s="189"/>
      <c r="F120" s="183"/>
      <c r="G120" s="183"/>
    </row>
    <row r="121" spans="1:7">
      <c r="A121" s="183"/>
      <c r="B121" s="183"/>
      <c r="C121" s="183"/>
      <c r="D121" s="183"/>
      <c r="E121" s="189"/>
      <c r="F121" s="183"/>
      <c r="G121" s="183"/>
    </row>
    <row r="122" spans="1:7">
      <c r="A122" s="183"/>
      <c r="B122" s="183"/>
      <c r="C122" s="183"/>
      <c r="D122" s="183"/>
      <c r="E122" s="189"/>
      <c r="F122" s="183"/>
      <c r="G122" s="183"/>
    </row>
    <row r="123" spans="1:7">
      <c r="A123" s="183"/>
      <c r="B123" s="183"/>
      <c r="C123" s="183"/>
      <c r="D123" s="183"/>
      <c r="E123" s="189"/>
      <c r="F123" s="183"/>
      <c r="G123" s="183"/>
    </row>
    <row r="124" spans="1:7">
      <c r="A124" s="183"/>
      <c r="B124" s="183"/>
      <c r="C124" s="183"/>
      <c r="D124" s="183"/>
      <c r="E124" s="189"/>
      <c r="F124" s="183"/>
      <c r="G124" s="183"/>
    </row>
    <row r="125" spans="1:7">
      <c r="A125" s="183"/>
      <c r="B125" s="183"/>
      <c r="C125" s="183"/>
      <c r="D125" s="183"/>
      <c r="E125" s="189"/>
      <c r="F125" s="183"/>
      <c r="G125" s="183"/>
    </row>
    <row r="126" spans="1:7">
      <c r="A126" s="183"/>
      <c r="B126" s="183"/>
      <c r="C126" s="183"/>
      <c r="D126" s="183"/>
      <c r="E126" s="189"/>
      <c r="F126" s="183"/>
      <c r="G126" s="183"/>
    </row>
    <row r="127" spans="1:7">
      <c r="A127" s="183"/>
      <c r="B127" s="183"/>
      <c r="C127" s="183"/>
      <c r="D127" s="183"/>
      <c r="E127" s="189"/>
      <c r="F127" s="183"/>
      <c r="G127" s="183"/>
    </row>
    <row r="128" spans="1:7">
      <c r="A128" s="183"/>
      <c r="B128" s="183"/>
      <c r="C128" s="183"/>
      <c r="D128" s="183"/>
      <c r="E128" s="189"/>
      <c r="F128" s="183"/>
      <c r="G128" s="183"/>
    </row>
    <row r="129" spans="1:7">
      <c r="A129" s="183"/>
      <c r="B129" s="183"/>
      <c r="C129" s="183"/>
      <c r="D129" s="183"/>
      <c r="E129" s="189"/>
      <c r="F129" s="183"/>
      <c r="G129" s="183"/>
    </row>
    <row r="130" spans="1:7">
      <c r="A130" s="183"/>
      <c r="B130" s="183"/>
      <c r="C130" s="183"/>
      <c r="D130" s="183"/>
      <c r="E130" s="189"/>
      <c r="F130" s="183"/>
      <c r="G130" s="183"/>
    </row>
    <row r="131" spans="1:7">
      <c r="A131" s="183"/>
      <c r="B131" s="183"/>
      <c r="C131" s="183"/>
      <c r="D131" s="183"/>
      <c r="E131" s="189"/>
      <c r="F131" s="183"/>
      <c r="G131" s="183"/>
    </row>
    <row r="132" spans="1:7">
      <c r="A132" s="183"/>
      <c r="B132" s="183"/>
      <c r="C132" s="183"/>
      <c r="D132" s="183"/>
      <c r="E132" s="189"/>
      <c r="F132" s="183"/>
      <c r="G132" s="183"/>
    </row>
  </sheetData>
  <customSheetViews>
    <customSheetView guid="{0A42B198-9C9E-43A6-8871-1A4824290440}" showGridLines="0" zeroValues="0" hiddenRows="1" hiddenColumns="1">
      <selection activeCell="BE3" sqref="BE3"/>
      <pageMargins left="0.59055118110236227" right="0.39370078740157483" top="0.19685039370078741" bottom="0.19685039370078741" header="0" footer="0.19685039370078741"/>
      <pageSetup paperSize="9" scale="97" orientation="portrait" horizontalDpi="300" r:id="rId1"/>
      <headerFooter alignWithMargins="0">
        <oddFooter>Stránka &amp;P z &amp;N</oddFooter>
      </headerFooter>
    </customSheetView>
  </customSheetViews>
  <mergeCells count="5">
    <mergeCell ref="A1:G1"/>
    <mergeCell ref="A3:B3"/>
    <mergeCell ref="A4:B4"/>
    <mergeCell ref="C4:G4"/>
    <mergeCell ref="C3:G3"/>
  </mergeCells>
  <phoneticPr fontId="53" type="noConversion"/>
  <printOptions gridLinesSet="0"/>
  <pageMargins left="0.59055118110236227" right="0.39370078740157483" top="0.19685039370078741" bottom="0.19685039370078741" header="0" footer="0.19685039370078741"/>
  <pageSetup paperSize="9" scale="84" orientation="portrait" horizontalDpi="300" r:id="rId2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5"/>
  <sheetViews>
    <sheetView workbookViewId="0">
      <selection activeCell="I2" sqref="I2"/>
    </sheetView>
  </sheetViews>
  <sheetFormatPr defaultColWidth="8.28515625" defaultRowHeight="12.75"/>
  <cols>
    <col min="1" max="1" width="4.5703125" customWidth="1"/>
    <col min="2" max="2" width="12" customWidth="1"/>
    <col min="3" max="3" width="46.7109375" customWidth="1"/>
    <col min="4" max="4" width="4.28515625" customWidth="1"/>
    <col min="5" max="5" width="8.7109375" customWidth="1"/>
    <col min="6" max="6" width="10.28515625" customWidth="1"/>
    <col min="7" max="7" width="16.140625" customWidth="1"/>
    <col min="8" max="8" width="3.28515625" customWidth="1"/>
    <col min="257" max="257" width="4.5703125" customWidth="1"/>
    <col min="258" max="258" width="12" customWidth="1"/>
    <col min="259" max="259" width="46.7109375" customWidth="1"/>
    <col min="260" max="260" width="4.28515625" customWidth="1"/>
    <col min="261" max="261" width="8.7109375" customWidth="1"/>
    <col min="262" max="262" width="10.28515625" customWidth="1"/>
    <col min="263" max="263" width="16.140625" customWidth="1"/>
    <col min="513" max="513" width="4.5703125" customWidth="1"/>
    <col min="514" max="514" width="12" customWidth="1"/>
    <col min="515" max="515" width="46.7109375" customWidth="1"/>
    <col min="516" max="516" width="4.28515625" customWidth="1"/>
    <col min="517" max="517" width="8.7109375" customWidth="1"/>
    <col min="518" max="518" width="10.28515625" customWidth="1"/>
    <col min="519" max="519" width="16.140625" customWidth="1"/>
    <col min="769" max="769" width="4.5703125" customWidth="1"/>
    <col min="770" max="770" width="12" customWidth="1"/>
    <col min="771" max="771" width="46.7109375" customWidth="1"/>
    <col min="772" max="772" width="4.28515625" customWidth="1"/>
    <col min="773" max="773" width="8.7109375" customWidth="1"/>
    <col min="774" max="774" width="10.28515625" customWidth="1"/>
    <col min="775" max="775" width="16.140625" customWidth="1"/>
    <col min="1025" max="1025" width="4.5703125" customWidth="1"/>
    <col min="1026" max="1026" width="12" customWidth="1"/>
    <col min="1027" max="1027" width="46.7109375" customWidth="1"/>
    <col min="1028" max="1028" width="4.28515625" customWidth="1"/>
    <col min="1029" max="1029" width="8.7109375" customWidth="1"/>
    <col min="1030" max="1030" width="10.28515625" customWidth="1"/>
    <col min="1031" max="1031" width="16.140625" customWidth="1"/>
    <col min="1281" max="1281" width="4.5703125" customWidth="1"/>
    <col min="1282" max="1282" width="12" customWidth="1"/>
    <col min="1283" max="1283" width="46.7109375" customWidth="1"/>
    <col min="1284" max="1284" width="4.28515625" customWidth="1"/>
    <col min="1285" max="1285" width="8.7109375" customWidth="1"/>
    <col min="1286" max="1286" width="10.28515625" customWidth="1"/>
    <col min="1287" max="1287" width="16.140625" customWidth="1"/>
    <col min="1537" max="1537" width="4.5703125" customWidth="1"/>
    <col min="1538" max="1538" width="12" customWidth="1"/>
    <col min="1539" max="1539" width="46.7109375" customWidth="1"/>
    <col min="1540" max="1540" width="4.28515625" customWidth="1"/>
    <col min="1541" max="1541" width="8.7109375" customWidth="1"/>
    <col min="1542" max="1542" width="10.28515625" customWidth="1"/>
    <col min="1543" max="1543" width="16.140625" customWidth="1"/>
    <col min="1793" max="1793" width="4.5703125" customWidth="1"/>
    <col min="1794" max="1794" width="12" customWidth="1"/>
    <col min="1795" max="1795" width="46.7109375" customWidth="1"/>
    <col min="1796" max="1796" width="4.28515625" customWidth="1"/>
    <col min="1797" max="1797" width="8.7109375" customWidth="1"/>
    <col min="1798" max="1798" width="10.28515625" customWidth="1"/>
    <col min="1799" max="1799" width="16.140625" customWidth="1"/>
    <col min="2049" max="2049" width="4.5703125" customWidth="1"/>
    <col min="2050" max="2050" width="12" customWidth="1"/>
    <col min="2051" max="2051" width="46.7109375" customWidth="1"/>
    <col min="2052" max="2052" width="4.28515625" customWidth="1"/>
    <col min="2053" max="2053" width="8.7109375" customWidth="1"/>
    <col min="2054" max="2054" width="10.28515625" customWidth="1"/>
    <col min="2055" max="2055" width="16.140625" customWidth="1"/>
    <col min="2305" max="2305" width="4.5703125" customWidth="1"/>
    <col min="2306" max="2306" width="12" customWidth="1"/>
    <col min="2307" max="2307" width="46.7109375" customWidth="1"/>
    <col min="2308" max="2308" width="4.28515625" customWidth="1"/>
    <col min="2309" max="2309" width="8.7109375" customWidth="1"/>
    <col min="2310" max="2310" width="10.28515625" customWidth="1"/>
    <col min="2311" max="2311" width="16.140625" customWidth="1"/>
    <col min="2561" max="2561" width="4.5703125" customWidth="1"/>
    <col min="2562" max="2562" width="12" customWidth="1"/>
    <col min="2563" max="2563" width="46.7109375" customWidth="1"/>
    <col min="2564" max="2564" width="4.28515625" customWidth="1"/>
    <col min="2565" max="2565" width="8.7109375" customWidth="1"/>
    <col min="2566" max="2566" width="10.28515625" customWidth="1"/>
    <col min="2567" max="2567" width="16.140625" customWidth="1"/>
    <col min="2817" max="2817" width="4.5703125" customWidth="1"/>
    <col min="2818" max="2818" width="12" customWidth="1"/>
    <col min="2819" max="2819" width="46.7109375" customWidth="1"/>
    <col min="2820" max="2820" width="4.28515625" customWidth="1"/>
    <col min="2821" max="2821" width="8.7109375" customWidth="1"/>
    <col min="2822" max="2822" width="10.28515625" customWidth="1"/>
    <col min="2823" max="2823" width="16.140625" customWidth="1"/>
    <col min="3073" max="3073" width="4.5703125" customWidth="1"/>
    <col min="3074" max="3074" width="12" customWidth="1"/>
    <col min="3075" max="3075" width="46.7109375" customWidth="1"/>
    <col min="3076" max="3076" width="4.28515625" customWidth="1"/>
    <col min="3077" max="3077" width="8.7109375" customWidth="1"/>
    <col min="3078" max="3078" width="10.28515625" customWidth="1"/>
    <col min="3079" max="3079" width="16.140625" customWidth="1"/>
    <col min="3329" max="3329" width="4.5703125" customWidth="1"/>
    <col min="3330" max="3330" width="12" customWidth="1"/>
    <col min="3331" max="3331" width="46.7109375" customWidth="1"/>
    <col min="3332" max="3332" width="4.28515625" customWidth="1"/>
    <col min="3333" max="3333" width="8.7109375" customWidth="1"/>
    <col min="3334" max="3334" width="10.28515625" customWidth="1"/>
    <col min="3335" max="3335" width="16.140625" customWidth="1"/>
    <col min="3585" max="3585" width="4.5703125" customWidth="1"/>
    <col min="3586" max="3586" width="12" customWidth="1"/>
    <col min="3587" max="3587" width="46.7109375" customWidth="1"/>
    <col min="3588" max="3588" width="4.28515625" customWidth="1"/>
    <col min="3589" max="3589" width="8.7109375" customWidth="1"/>
    <col min="3590" max="3590" width="10.28515625" customWidth="1"/>
    <col min="3591" max="3591" width="16.140625" customWidth="1"/>
    <col min="3841" max="3841" width="4.5703125" customWidth="1"/>
    <col min="3842" max="3842" width="12" customWidth="1"/>
    <col min="3843" max="3843" width="46.7109375" customWidth="1"/>
    <col min="3844" max="3844" width="4.28515625" customWidth="1"/>
    <col min="3845" max="3845" width="8.7109375" customWidth="1"/>
    <col min="3846" max="3846" width="10.28515625" customWidth="1"/>
    <col min="3847" max="3847" width="16.140625" customWidth="1"/>
    <col min="4097" max="4097" width="4.5703125" customWidth="1"/>
    <col min="4098" max="4098" width="12" customWidth="1"/>
    <col min="4099" max="4099" width="46.7109375" customWidth="1"/>
    <col min="4100" max="4100" width="4.28515625" customWidth="1"/>
    <col min="4101" max="4101" width="8.7109375" customWidth="1"/>
    <col min="4102" max="4102" width="10.28515625" customWidth="1"/>
    <col min="4103" max="4103" width="16.140625" customWidth="1"/>
    <col min="4353" max="4353" width="4.5703125" customWidth="1"/>
    <col min="4354" max="4354" width="12" customWidth="1"/>
    <col min="4355" max="4355" width="46.7109375" customWidth="1"/>
    <col min="4356" max="4356" width="4.28515625" customWidth="1"/>
    <col min="4357" max="4357" width="8.7109375" customWidth="1"/>
    <col min="4358" max="4358" width="10.28515625" customWidth="1"/>
    <col min="4359" max="4359" width="16.140625" customWidth="1"/>
    <col min="4609" max="4609" width="4.5703125" customWidth="1"/>
    <col min="4610" max="4610" width="12" customWidth="1"/>
    <col min="4611" max="4611" width="46.7109375" customWidth="1"/>
    <col min="4612" max="4612" width="4.28515625" customWidth="1"/>
    <col min="4613" max="4613" width="8.7109375" customWidth="1"/>
    <col min="4614" max="4614" width="10.28515625" customWidth="1"/>
    <col min="4615" max="4615" width="16.140625" customWidth="1"/>
    <col min="4865" max="4865" width="4.5703125" customWidth="1"/>
    <col min="4866" max="4866" width="12" customWidth="1"/>
    <col min="4867" max="4867" width="46.7109375" customWidth="1"/>
    <col min="4868" max="4868" width="4.28515625" customWidth="1"/>
    <col min="4869" max="4869" width="8.7109375" customWidth="1"/>
    <col min="4870" max="4870" width="10.28515625" customWidth="1"/>
    <col min="4871" max="4871" width="16.140625" customWidth="1"/>
    <col min="5121" max="5121" width="4.5703125" customWidth="1"/>
    <col min="5122" max="5122" width="12" customWidth="1"/>
    <col min="5123" max="5123" width="46.7109375" customWidth="1"/>
    <col min="5124" max="5124" width="4.28515625" customWidth="1"/>
    <col min="5125" max="5125" width="8.7109375" customWidth="1"/>
    <col min="5126" max="5126" width="10.28515625" customWidth="1"/>
    <col min="5127" max="5127" width="16.140625" customWidth="1"/>
    <col min="5377" max="5377" width="4.5703125" customWidth="1"/>
    <col min="5378" max="5378" width="12" customWidth="1"/>
    <col min="5379" max="5379" width="46.7109375" customWidth="1"/>
    <col min="5380" max="5380" width="4.28515625" customWidth="1"/>
    <col min="5381" max="5381" width="8.7109375" customWidth="1"/>
    <col min="5382" max="5382" width="10.28515625" customWidth="1"/>
    <col min="5383" max="5383" width="16.140625" customWidth="1"/>
    <col min="5633" max="5633" width="4.5703125" customWidth="1"/>
    <col min="5634" max="5634" width="12" customWidth="1"/>
    <col min="5635" max="5635" width="46.7109375" customWidth="1"/>
    <col min="5636" max="5636" width="4.28515625" customWidth="1"/>
    <col min="5637" max="5637" width="8.7109375" customWidth="1"/>
    <col min="5638" max="5638" width="10.28515625" customWidth="1"/>
    <col min="5639" max="5639" width="16.140625" customWidth="1"/>
    <col min="5889" max="5889" width="4.5703125" customWidth="1"/>
    <col min="5890" max="5890" width="12" customWidth="1"/>
    <col min="5891" max="5891" width="46.7109375" customWidth="1"/>
    <col min="5892" max="5892" width="4.28515625" customWidth="1"/>
    <col min="5893" max="5893" width="8.7109375" customWidth="1"/>
    <col min="5894" max="5894" width="10.28515625" customWidth="1"/>
    <col min="5895" max="5895" width="16.140625" customWidth="1"/>
    <col min="6145" max="6145" width="4.5703125" customWidth="1"/>
    <col min="6146" max="6146" width="12" customWidth="1"/>
    <col min="6147" max="6147" width="46.7109375" customWidth="1"/>
    <col min="6148" max="6148" width="4.28515625" customWidth="1"/>
    <col min="6149" max="6149" width="8.7109375" customWidth="1"/>
    <col min="6150" max="6150" width="10.28515625" customWidth="1"/>
    <col min="6151" max="6151" width="16.140625" customWidth="1"/>
    <col min="6401" max="6401" width="4.5703125" customWidth="1"/>
    <col min="6402" max="6402" width="12" customWidth="1"/>
    <col min="6403" max="6403" width="46.7109375" customWidth="1"/>
    <col min="6404" max="6404" width="4.28515625" customWidth="1"/>
    <col min="6405" max="6405" width="8.7109375" customWidth="1"/>
    <col min="6406" max="6406" width="10.28515625" customWidth="1"/>
    <col min="6407" max="6407" width="16.140625" customWidth="1"/>
    <col min="6657" max="6657" width="4.5703125" customWidth="1"/>
    <col min="6658" max="6658" width="12" customWidth="1"/>
    <col min="6659" max="6659" width="46.7109375" customWidth="1"/>
    <col min="6660" max="6660" width="4.28515625" customWidth="1"/>
    <col min="6661" max="6661" width="8.7109375" customWidth="1"/>
    <col min="6662" max="6662" width="10.28515625" customWidth="1"/>
    <col min="6663" max="6663" width="16.140625" customWidth="1"/>
    <col min="6913" max="6913" width="4.5703125" customWidth="1"/>
    <col min="6914" max="6914" width="12" customWidth="1"/>
    <col min="6915" max="6915" width="46.7109375" customWidth="1"/>
    <col min="6916" max="6916" width="4.28515625" customWidth="1"/>
    <col min="6917" max="6917" width="8.7109375" customWidth="1"/>
    <col min="6918" max="6918" width="10.28515625" customWidth="1"/>
    <col min="6919" max="6919" width="16.140625" customWidth="1"/>
    <col min="7169" max="7169" width="4.5703125" customWidth="1"/>
    <col min="7170" max="7170" width="12" customWidth="1"/>
    <col min="7171" max="7171" width="46.7109375" customWidth="1"/>
    <col min="7172" max="7172" width="4.28515625" customWidth="1"/>
    <col min="7173" max="7173" width="8.7109375" customWidth="1"/>
    <col min="7174" max="7174" width="10.28515625" customWidth="1"/>
    <col min="7175" max="7175" width="16.140625" customWidth="1"/>
    <col min="7425" max="7425" width="4.5703125" customWidth="1"/>
    <col min="7426" max="7426" width="12" customWidth="1"/>
    <col min="7427" max="7427" width="46.7109375" customWidth="1"/>
    <col min="7428" max="7428" width="4.28515625" customWidth="1"/>
    <col min="7429" max="7429" width="8.7109375" customWidth="1"/>
    <col min="7430" max="7430" width="10.28515625" customWidth="1"/>
    <col min="7431" max="7431" width="16.140625" customWidth="1"/>
    <col min="7681" max="7681" width="4.5703125" customWidth="1"/>
    <col min="7682" max="7682" width="12" customWidth="1"/>
    <col min="7683" max="7683" width="46.7109375" customWidth="1"/>
    <col min="7684" max="7684" width="4.28515625" customWidth="1"/>
    <col min="7685" max="7685" width="8.7109375" customWidth="1"/>
    <col min="7686" max="7686" width="10.28515625" customWidth="1"/>
    <col min="7687" max="7687" width="16.140625" customWidth="1"/>
    <col min="7937" max="7937" width="4.5703125" customWidth="1"/>
    <col min="7938" max="7938" width="12" customWidth="1"/>
    <col min="7939" max="7939" width="46.7109375" customWidth="1"/>
    <col min="7940" max="7940" width="4.28515625" customWidth="1"/>
    <col min="7941" max="7941" width="8.7109375" customWidth="1"/>
    <col min="7942" max="7942" width="10.28515625" customWidth="1"/>
    <col min="7943" max="7943" width="16.140625" customWidth="1"/>
    <col min="8193" max="8193" width="4.5703125" customWidth="1"/>
    <col min="8194" max="8194" width="12" customWidth="1"/>
    <col min="8195" max="8195" width="46.7109375" customWidth="1"/>
    <col min="8196" max="8196" width="4.28515625" customWidth="1"/>
    <col min="8197" max="8197" width="8.7109375" customWidth="1"/>
    <col min="8198" max="8198" width="10.28515625" customWidth="1"/>
    <col min="8199" max="8199" width="16.140625" customWidth="1"/>
    <col min="8449" max="8449" width="4.5703125" customWidth="1"/>
    <col min="8450" max="8450" width="12" customWidth="1"/>
    <col min="8451" max="8451" width="46.7109375" customWidth="1"/>
    <col min="8452" max="8452" width="4.28515625" customWidth="1"/>
    <col min="8453" max="8453" width="8.7109375" customWidth="1"/>
    <col min="8454" max="8454" width="10.28515625" customWidth="1"/>
    <col min="8455" max="8455" width="16.140625" customWidth="1"/>
    <col min="8705" max="8705" width="4.5703125" customWidth="1"/>
    <col min="8706" max="8706" width="12" customWidth="1"/>
    <col min="8707" max="8707" width="46.7109375" customWidth="1"/>
    <col min="8708" max="8708" width="4.28515625" customWidth="1"/>
    <col min="8709" max="8709" width="8.7109375" customWidth="1"/>
    <col min="8710" max="8710" width="10.28515625" customWidth="1"/>
    <col min="8711" max="8711" width="16.140625" customWidth="1"/>
    <col min="8961" max="8961" width="4.5703125" customWidth="1"/>
    <col min="8962" max="8962" width="12" customWidth="1"/>
    <col min="8963" max="8963" width="46.7109375" customWidth="1"/>
    <col min="8964" max="8964" width="4.28515625" customWidth="1"/>
    <col min="8965" max="8965" width="8.7109375" customWidth="1"/>
    <col min="8966" max="8966" width="10.28515625" customWidth="1"/>
    <col min="8967" max="8967" width="16.140625" customWidth="1"/>
    <col min="9217" max="9217" width="4.5703125" customWidth="1"/>
    <col min="9218" max="9218" width="12" customWidth="1"/>
    <col min="9219" max="9219" width="46.7109375" customWidth="1"/>
    <col min="9220" max="9220" width="4.28515625" customWidth="1"/>
    <col min="9221" max="9221" width="8.7109375" customWidth="1"/>
    <col min="9222" max="9222" width="10.28515625" customWidth="1"/>
    <col min="9223" max="9223" width="16.140625" customWidth="1"/>
    <col min="9473" max="9473" width="4.5703125" customWidth="1"/>
    <col min="9474" max="9474" width="12" customWidth="1"/>
    <col min="9475" max="9475" width="46.7109375" customWidth="1"/>
    <col min="9476" max="9476" width="4.28515625" customWidth="1"/>
    <col min="9477" max="9477" width="8.7109375" customWidth="1"/>
    <col min="9478" max="9478" width="10.28515625" customWidth="1"/>
    <col min="9479" max="9479" width="16.140625" customWidth="1"/>
    <col min="9729" max="9729" width="4.5703125" customWidth="1"/>
    <col min="9730" max="9730" width="12" customWidth="1"/>
    <col min="9731" max="9731" width="46.7109375" customWidth="1"/>
    <col min="9732" max="9732" width="4.28515625" customWidth="1"/>
    <col min="9733" max="9733" width="8.7109375" customWidth="1"/>
    <col min="9734" max="9734" width="10.28515625" customWidth="1"/>
    <col min="9735" max="9735" width="16.140625" customWidth="1"/>
    <col min="9985" max="9985" width="4.5703125" customWidth="1"/>
    <col min="9986" max="9986" width="12" customWidth="1"/>
    <col min="9987" max="9987" width="46.7109375" customWidth="1"/>
    <col min="9988" max="9988" width="4.28515625" customWidth="1"/>
    <col min="9989" max="9989" width="8.7109375" customWidth="1"/>
    <col min="9990" max="9990" width="10.28515625" customWidth="1"/>
    <col min="9991" max="9991" width="16.140625" customWidth="1"/>
    <col min="10241" max="10241" width="4.5703125" customWidth="1"/>
    <col min="10242" max="10242" width="12" customWidth="1"/>
    <col min="10243" max="10243" width="46.7109375" customWidth="1"/>
    <col min="10244" max="10244" width="4.28515625" customWidth="1"/>
    <col min="10245" max="10245" width="8.7109375" customWidth="1"/>
    <col min="10246" max="10246" width="10.28515625" customWidth="1"/>
    <col min="10247" max="10247" width="16.140625" customWidth="1"/>
    <col min="10497" max="10497" width="4.5703125" customWidth="1"/>
    <col min="10498" max="10498" width="12" customWidth="1"/>
    <col min="10499" max="10499" width="46.7109375" customWidth="1"/>
    <col min="10500" max="10500" width="4.28515625" customWidth="1"/>
    <col min="10501" max="10501" width="8.7109375" customWidth="1"/>
    <col min="10502" max="10502" width="10.28515625" customWidth="1"/>
    <col min="10503" max="10503" width="16.140625" customWidth="1"/>
    <col min="10753" max="10753" width="4.5703125" customWidth="1"/>
    <col min="10754" max="10754" width="12" customWidth="1"/>
    <col min="10755" max="10755" width="46.7109375" customWidth="1"/>
    <col min="10756" max="10756" width="4.28515625" customWidth="1"/>
    <col min="10757" max="10757" width="8.7109375" customWidth="1"/>
    <col min="10758" max="10758" width="10.28515625" customWidth="1"/>
    <col min="10759" max="10759" width="16.140625" customWidth="1"/>
    <col min="11009" max="11009" width="4.5703125" customWidth="1"/>
    <col min="11010" max="11010" width="12" customWidth="1"/>
    <col min="11011" max="11011" width="46.7109375" customWidth="1"/>
    <col min="11012" max="11012" width="4.28515625" customWidth="1"/>
    <col min="11013" max="11013" width="8.7109375" customWidth="1"/>
    <col min="11014" max="11014" width="10.28515625" customWidth="1"/>
    <col min="11015" max="11015" width="16.140625" customWidth="1"/>
    <col min="11265" max="11265" width="4.5703125" customWidth="1"/>
    <col min="11266" max="11266" width="12" customWidth="1"/>
    <col min="11267" max="11267" width="46.7109375" customWidth="1"/>
    <col min="11268" max="11268" width="4.28515625" customWidth="1"/>
    <col min="11269" max="11269" width="8.7109375" customWidth="1"/>
    <col min="11270" max="11270" width="10.28515625" customWidth="1"/>
    <col min="11271" max="11271" width="16.140625" customWidth="1"/>
    <col min="11521" max="11521" width="4.5703125" customWidth="1"/>
    <col min="11522" max="11522" width="12" customWidth="1"/>
    <col min="11523" max="11523" width="46.7109375" customWidth="1"/>
    <col min="11524" max="11524" width="4.28515625" customWidth="1"/>
    <col min="11525" max="11525" width="8.7109375" customWidth="1"/>
    <col min="11526" max="11526" width="10.28515625" customWidth="1"/>
    <col min="11527" max="11527" width="16.140625" customWidth="1"/>
    <col min="11777" max="11777" width="4.5703125" customWidth="1"/>
    <col min="11778" max="11778" width="12" customWidth="1"/>
    <col min="11779" max="11779" width="46.7109375" customWidth="1"/>
    <col min="11780" max="11780" width="4.28515625" customWidth="1"/>
    <col min="11781" max="11781" width="8.7109375" customWidth="1"/>
    <col min="11782" max="11782" width="10.28515625" customWidth="1"/>
    <col min="11783" max="11783" width="16.140625" customWidth="1"/>
    <col min="12033" max="12033" width="4.5703125" customWidth="1"/>
    <col min="12034" max="12034" width="12" customWidth="1"/>
    <col min="12035" max="12035" width="46.7109375" customWidth="1"/>
    <col min="12036" max="12036" width="4.28515625" customWidth="1"/>
    <col min="12037" max="12037" width="8.7109375" customWidth="1"/>
    <col min="12038" max="12038" width="10.28515625" customWidth="1"/>
    <col min="12039" max="12039" width="16.140625" customWidth="1"/>
    <col min="12289" max="12289" width="4.5703125" customWidth="1"/>
    <col min="12290" max="12290" width="12" customWidth="1"/>
    <col min="12291" max="12291" width="46.7109375" customWidth="1"/>
    <col min="12292" max="12292" width="4.28515625" customWidth="1"/>
    <col min="12293" max="12293" width="8.7109375" customWidth="1"/>
    <col min="12294" max="12294" width="10.28515625" customWidth="1"/>
    <col min="12295" max="12295" width="16.140625" customWidth="1"/>
    <col min="12545" max="12545" width="4.5703125" customWidth="1"/>
    <col min="12546" max="12546" width="12" customWidth="1"/>
    <col min="12547" max="12547" width="46.7109375" customWidth="1"/>
    <col min="12548" max="12548" width="4.28515625" customWidth="1"/>
    <col min="12549" max="12549" width="8.7109375" customWidth="1"/>
    <col min="12550" max="12550" width="10.28515625" customWidth="1"/>
    <col min="12551" max="12551" width="16.140625" customWidth="1"/>
    <col min="12801" max="12801" width="4.5703125" customWidth="1"/>
    <col min="12802" max="12802" width="12" customWidth="1"/>
    <col min="12803" max="12803" width="46.7109375" customWidth="1"/>
    <col min="12804" max="12804" width="4.28515625" customWidth="1"/>
    <col min="12805" max="12805" width="8.7109375" customWidth="1"/>
    <col min="12806" max="12806" width="10.28515625" customWidth="1"/>
    <col min="12807" max="12807" width="16.140625" customWidth="1"/>
    <col min="13057" max="13057" width="4.5703125" customWidth="1"/>
    <col min="13058" max="13058" width="12" customWidth="1"/>
    <col min="13059" max="13059" width="46.7109375" customWidth="1"/>
    <col min="13060" max="13060" width="4.28515625" customWidth="1"/>
    <col min="13061" max="13061" width="8.7109375" customWidth="1"/>
    <col min="13062" max="13062" width="10.28515625" customWidth="1"/>
    <col min="13063" max="13063" width="16.140625" customWidth="1"/>
    <col min="13313" max="13313" width="4.5703125" customWidth="1"/>
    <col min="13314" max="13314" width="12" customWidth="1"/>
    <col min="13315" max="13315" width="46.7109375" customWidth="1"/>
    <col min="13316" max="13316" width="4.28515625" customWidth="1"/>
    <col min="13317" max="13317" width="8.7109375" customWidth="1"/>
    <col min="13318" max="13318" width="10.28515625" customWidth="1"/>
    <col min="13319" max="13319" width="16.140625" customWidth="1"/>
    <col min="13569" max="13569" width="4.5703125" customWidth="1"/>
    <col min="13570" max="13570" width="12" customWidth="1"/>
    <col min="13571" max="13571" width="46.7109375" customWidth="1"/>
    <col min="13572" max="13572" width="4.28515625" customWidth="1"/>
    <col min="13573" max="13573" width="8.7109375" customWidth="1"/>
    <col min="13574" max="13574" width="10.28515625" customWidth="1"/>
    <col min="13575" max="13575" width="16.140625" customWidth="1"/>
    <col min="13825" max="13825" width="4.5703125" customWidth="1"/>
    <col min="13826" max="13826" width="12" customWidth="1"/>
    <col min="13827" max="13827" width="46.7109375" customWidth="1"/>
    <col min="13828" max="13828" width="4.28515625" customWidth="1"/>
    <col min="13829" max="13829" width="8.7109375" customWidth="1"/>
    <col min="13830" max="13830" width="10.28515625" customWidth="1"/>
    <col min="13831" max="13831" width="16.140625" customWidth="1"/>
    <col min="14081" max="14081" width="4.5703125" customWidth="1"/>
    <col min="14082" max="14082" width="12" customWidth="1"/>
    <col min="14083" max="14083" width="46.7109375" customWidth="1"/>
    <col min="14084" max="14084" width="4.28515625" customWidth="1"/>
    <col min="14085" max="14085" width="8.7109375" customWidth="1"/>
    <col min="14086" max="14086" width="10.28515625" customWidth="1"/>
    <col min="14087" max="14087" width="16.140625" customWidth="1"/>
    <col min="14337" max="14337" width="4.5703125" customWidth="1"/>
    <col min="14338" max="14338" width="12" customWidth="1"/>
    <col min="14339" max="14339" width="46.7109375" customWidth="1"/>
    <col min="14340" max="14340" width="4.28515625" customWidth="1"/>
    <col min="14341" max="14341" width="8.7109375" customWidth="1"/>
    <col min="14342" max="14342" width="10.28515625" customWidth="1"/>
    <col min="14343" max="14343" width="16.140625" customWidth="1"/>
    <col min="14593" max="14593" width="4.5703125" customWidth="1"/>
    <col min="14594" max="14594" width="12" customWidth="1"/>
    <col min="14595" max="14595" width="46.7109375" customWidth="1"/>
    <col min="14596" max="14596" width="4.28515625" customWidth="1"/>
    <col min="14597" max="14597" width="8.7109375" customWidth="1"/>
    <col min="14598" max="14598" width="10.28515625" customWidth="1"/>
    <col min="14599" max="14599" width="16.140625" customWidth="1"/>
    <col min="14849" max="14849" width="4.5703125" customWidth="1"/>
    <col min="14850" max="14850" width="12" customWidth="1"/>
    <col min="14851" max="14851" width="46.7109375" customWidth="1"/>
    <col min="14852" max="14852" width="4.28515625" customWidth="1"/>
    <col min="14853" max="14853" width="8.7109375" customWidth="1"/>
    <col min="14854" max="14854" width="10.28515625" customWidth="1"/>
    <col min="14855" max="14855" width="16.140625" customWidth="1"/>
    <col min="15105" max="15105" width="4.5703125" customWidth="1"/>
    <col min="15106" max="15106" width="12" customWidth="1"/>
    <col min="15107" max="15107" width="46.7109375" customWidth="1"/>
    <col min="15108" max="15108" width="4.28515625" customWidth="1"/>
    <col min="15109" max="15109" width="8.7109375" customWidth="1"/>
    <col min="15110" max="15110" width="10.28515625" customWidth="1"/>
    <col min="15111" max="15111" width="16.140625" customWidth="1"/>
    <col min="15361" max="15361" width="4.5703125" customWidth="1"/>
    <col min="15362" max="15362" width="12" customWidth="1"/>
    <col min="15363" max="15363" width="46.7109375" customWidth="1"/>
    <col min="15364" max="15364" width="4.28515625" customWidth="1"/>
    <col min="15365" max="15365" width="8.7109375" customWidth="1"/>
    <col min="15366" max="15366" width="10.28515625" customWidth="1"/>
    <col min="15367" max="15367" width="16.140625" customWidth="1"/>
    <col min="15617" max="15617" width="4.5703125" customWidth="1"/>
    <col min="15618" max="15618" width="12" customWidth="1"/>
    <col min="15619" max="15619" width="46.7109375" customWidth="1"/>
    <col min="15620" max="15620" width="4.28515625" customWidth="1"/>
    <col min="15621" max="15621" width="8.7109375" customWidth="1"/>
    <col min="15622" max="15622" width="10.28515625" customWidth="1"/>
    <col min="15623" max="15623" width="16.140625" customWidth="1"/>
    <col min="15873" max="15873" width="4.5703125" customWidth="1"/>
    <col min="15874" max="15874" width="12" customWidth="1"/>
    <col min="15875" max="15875" width="46.7109375" customWidth="1"/>
    <col min="15876" max="15876" width="4.28515625" customWidth="1"/>
    <col min="15877" max="15877" width="8.7109375" customWidth="1"/>
    <col min="15878" max="15878" width="10.28515625" customWidth="1"/>
    <col min="15879" max="15879" width="16.140625" customWidth="1"/>
    <col min="16129" max="16129" width="4.5703125" customWidth="1"/>
    <col min="16130" max="16130" width="12" customWidth="1"/>
    <col min="16131" max="16131" width="46.7109375" customWidth="1"/>
    <col min="16132" max="16132" width="4.28515625" customWidth="1"/>
    <col min="16133" max="16133" width="8.7109375" customWidth="1"/>
    <col min="16134" max="16134" width="10.28515625" customWidth="1"/>
    <col min="16135" max="16135" width="16.140625" customWidth="1"/>
  </cols>
  <sheetData>
    <row r="2" spans="1:7" ht="24.6" customHeight="1">
      <c r="B2" s="398" t="s">
        <v>1179</v>
      </c>
      <c r="C2" s="399"/>
      <c r="D2" s="399"/>
      <c r="E2" s="399"/>
      <c r="F2" s="399"/>
      <c r="G2" s="400"/>
    </row>
    <row r="3" spans="1:7" s="307" customFormat="1" ht="30.75" customHeight="1">
      <c r="A3" s="304"/>
      <c r="B3" s="305" t="s">
        <v>332</v>
      </c>
      <c r="C3" s="305" t="s">
        <v>1128</v>
      </c>
      <c r="D3" s="305"/>
      <c r="E3" s="306"/>
      <c r="F3" s="306"/>
      <c r="G3" s="306">
        <f>G4+G32</f>
        <v>0</v>
      </c>
    </row>
    <row r="4" spans="1:7" s="307" customFormat="1" ht="28.5" customHeight="1">
      <c r="A4" s="308"/>
      <c r="B4" s="309" t="s">
        <v>114</v>
      </c>
      <c r="C4" s="309" t="s">
        <v>1129</v>
      </c>
      <c r="D4" s="309"/>
      <c r="E4" s="310"/>
      <c r="F4" s="310"/>
      <c r="G4" s="310">
        <f>SUM(G5:G31)</f>
        <v>0</v>
      </c>
    </row>
    <row r="5" spans="1:7" s="307" customFormat="1" ht="13.5" customHeight="1">
      <c r="A5" s="311">
        <v>1</v>
      </c>
      <c r="B5" s="312" t="s">
        <v>1130</v>
      </c>
      <c r="C5" s="312" t="s">
        <v>1131</v>
      </c>
      <c r="D5" s="312" t="s">
        <v>274</v>
      </c>
      <c r="E5" s="313">
        <v>224</v>
      </c>
      <c r="F5" s="313"/>
      <c r="G5" s="313">
        <f>E5*F5</f>
        <v>0</v>
      </c>
    </row>
    <row r="6" spans="1:7" s="307" customFormat="1" ht="13.5" customHeight="1">
      <c r="A6" s="311">
        <v>2</v>
      </c>
      <c r="B6" s="312" t="s">
        <v>1132</v>
      </c>
      <c r="C6" s="312" t="s">
        <v>1133</v>
      </c>
      <c r="D6" s="312" t="s">
        <v>274</v>
      </c>
      <c r="E6" s="313">
        <v>193</v>
      </c>
      <c r="F6" s="313"/>
      <c r="G6" s="313">
        <f t="shared" ref="G6:G10" si="0">E6*F6</f>
        <v>0</v>
      </c>
    </row>
    <row r="7" spans="1:7" s="307" customFormat="1" ht="13.5" customHeight="1">
      <c r="A7" s="311">
        <v>3</v>
      </c>
      <c r="B7" s="312" t="s">
        <v>1134</v>
      </c>
      <c r="C7" s="312" t="s">
        <v>1135</v>
      </c>
      <c r="D7" s="312" t="s">
        <v>274</v>
      </c>
      <c r="E7" s="313">
        <v>149</v>
      </c>
      <c r="F7" s="313"/>
      <c r="G7" s="313">
        <f t="shared" si="0"/>
        <v>0</v>
      </c>
    </row>
    <row r="8" spans="1:7" s="307" customFormat="1" ht="13.5" customHeight="1">
      <c r="A8" s="311">
        <v>4</v>
      </c>
      <c r="B8" s="312" t="s">
        <v>1136</v>
      </c>
      <c r="C8" s="312" t="s">
        <v>1137</v>
      </c>
      <c r="D8" s="312" t="s">
        <v>274</v>
      </c>
      <c r="E8" s="313">
        <v>21</v>
      </c>
      <c r="F8" s="313"/>
      <c r="G8" s="313">
        <f t="shared" si="0"/>
        <v>0</v>
      </c>
    </row>
    <row r="9" spans="1:7" s="307" customFormat="1" ht="13.5" customHeight="1">
      <c r="A9" s="311">
        <v>5</v>
      </c>
      <c r="B9" s="312" t="s">
        <v>1138</v>
      </c>
      <c r="C9" s="312" t="s">
        <v>1139</v>
      </c>
      <c r="D9" s="312" t="s">
        <v>274</v>
      </c>
      <c r="E9" s="313">
        <v>17</v>
      </c>
      <c r="F9" s="313"/>
      <c r="G9" s="313">
        <f t="shared" si="0"/>
        <v>0</v>
      </c>
    </row>
    <row r="10" spans="1:7" s="307" customFormat="1" ht="24" customHeight="1">
      <c r="A10" s="311">
        <v>6</v>
      </c>
      <c r="B10" s="312" t="s">
        <v>1140</v>
      </c>
      <c r="C10" s="312" t="s">
        <v>1141</v>
      </c>
      <c r="D10" s="312" t="s">
        <v>274</v>
      </c>
      <c r="E10" s="313">
        <v>224</v>
      </c>
      <c r="F10" s="313"/>
      <c r="G10" s="313">
        <f t="shared" si="0"/>
        <v>0</v>
      </c>
    </row>
    <row r="11" spans="1:7" s="307" customFormat="1" ht="13.5" customHeight="1">
      <c r="A11" s="314">
        <v>7</v>
      </c>
      <c r="B11" s="315" t="s">
        <v>1142</v>
      </c>
      <c r="C11" s="315" t="s">
        <v>1143</v>
      </c>
      <c r="D11" s="315" t="s">
        <v>274</v>
      </c>
      <c r="E11" s="316">
        <f>E10*1.1</f>
        <v>246.40000000000003</v>
      </c>
      <c r="F11" s="316"/>
      <c r="G11" s="316">
        <f>E11*F11</f>
        <v>0</v>
      </c>
    </row>
    <row r="12" spans="1:7" s="307" customFormat="1" ht="13.5" customHeight="1">
      <c r="A12" s="314">
        <v>8</v>
      </c>
      <c r="B12" s="315" t="s">
        <v>1144</v>
      </c>
      <c r="C12" s="315" t="s">
        <v>1145</v>
      </c>
      <c r="D12" s="315" t="s">
        <v>799</v>
      </c>
      <c r="E12" s="316">
        <v>1</v>
      </c>
      <c r="F12" s="316"/>
      <c r="G12" s="316">
        <f>E12*F12</f>
        <v>0</v>
      </c>
    </row>
    <row r="13" spans="1:7" s="307" customFormat="1" ht="24" customHeight="1">
      <c r="A13" s="311">
        <v>9</v>
      </c>
      <c r="B13" s="312" t="s">
        <v>1146</v>
      </c>
      <c r="C13" s="312" t="s">
        <v>1147</v>
      </c>
      <c r="D13" s="312" t="s">
        <v>274</v>
      </c>
      <c r="E13" s="313">
        <v>193</v>
      </c>
      <c r="F13" s="313"/>
      <c r="G13" s="313">
        <f t="shared" ref="G13" si="1">E13*F13</f>
        <v>0</v>
      </c>
    </row>
    <row r="14" spans="1:7" s="307" customFormat="1" ht="13.5" customHeight="1">
      <c r="A14" s="314">
        <v>10</v>
      </c>
      <c r="B14" s="315" t="s">
        <v>1148</v>
      </c>
      <c r="C14" s="315" t="s">
        <v>1187</v>
      </c>
      <c r="D14" s="315" t="s">
        <v>274</v>
      </c>
      <c r="E14" s="316">
        <f>E13*1.1</f>
        <v>212.3</v>
      </c>
      <c r="F14" s="316"/>
      <c r="G14" s="316">
        <f t="shared" ref="G14:G16" si="2">E14*F14</f>
        <v>0</v>
      </c>
    </row>
    <row r="15" spans="1:7" s="307" customFormat="1" ht="13.5" customHeight="1">
      <c r="A15" s="314">
        <v>11</v>
      </c>
      <c r="B15" s="315" t="s">
        <v>1149</v>
      </c>
      <c r="C15" s="315" t="s">
        <v>1145</v>
      </c>
      <c r="D15" s="315" t="s">
        <v>799</v>
      </c>
      <c r="E15" s="316">
        <v>1</v>
      </c>
      <c r="F15" s="316"/>
      <c r="G15" s="316">
        <f t="shared" si="2"/>
        <v>0</v>
      </c>
    </row>
    <row r="16" spans="1:7" s="307" customFormat="1" ht="24" customHeight="1">
      <c r="A16" s="311">
        <v>12</v>
      </c>
      <c r="B16" s="312" t="s">
        <v>1150</v>
      </c>
      <c r="C16" s="312" t="s">
        <v>1151</v>
      </c>
      <c r="D16" s="312" t="s">
        <v>274</v>
      </c>
      <c r="E16" s="313">
        <v>149</v>
      </c>
      <c r="F16" s="313"/>
      <c r="G16" s="313">
        <f t="shared" si="2"/>
        <v>0</v>
      </c>
    </row>
    <row r="17" spans="1:7" s="307" customFormat="1" ht="13.5" customHeight="1">
      <c r="A17" s="314">
        <v>13</v>
      </c>
      <c r="B17" s="315" t="s">
        <v>1152</v>
      </c>
      <c r="C17" s="315" t="s">
        <v>1188</v>
      </c>
      <c r="D17" s="315" t="s">
        <v>274</v>
      </c>
      <c r="E17" s="316">
        <f>E16*1.1</f>
        <v>163.9</v>
      </c>
      <c r="F17" s="316"/>
      <c r="G17" s="316">
        <f t="shared" ref="G17:G19" si="3">E17*F17</f>
        <v>0</v>
      </c>
    </row>
    <row r="18" spans="1:7" s="307" customFormat="1" ht="13.5" customHeight="1">
      <c r="A18" s="314">
        <v>14</v>
      </c>
      <c r="B18" s="315" t="s">
        <v>1153</v>
      </c>
      <c r="C18" s="315" t="s">
        <v>1145</v>
      </c>
      <c r="D18" s="315" t="s">
        <v>799</v>
      </c>
      <c r="E18" s="316">
        <v>1</v>
      </c>
      <c r="F18" s="316"/>
      <c r="G18" s="316">
        <f t="shared" si="3"/>
        <v>0</v>
      </c>
    </row>
    <row r="19" spans="1:7" s="307" customFormat="1" ht="24" customHeight="1">
      <c r="A19" s="311">
        <v>15</v>
      </c>
      <c r="B19" s="312" t="s">
        <v>1154</v>
      </c>
      <c r="C19" s="312" t="s">
        <v>1155</v>
      </c>
      <c r="D19" s="312" t="s">
        <v>274</v>
      </c>
      <c r="E19" s="313">
        <v>21</v>
      </c>
      <c r="F19" s="313"/>
      <c r="G19" s="313">
        <f t="shared" si="3"/>
        <v>0</v>
      </c>
    </row>
    <row r="20" spans="1:7" s="307" customFormat="1" ht="13.5" customHeight="1">
      <c r="A20" s="314">
        <v>16</v>
      </c>
      <c r="B20" s="315" t="s">
        <v>1152</v>
      </c>
      <c r="C20" s="315" t="s">
        <v>1189</v>
      </c>
      <c r="D20" s="315" t="s">
        <v>274</v>
      </c>
      <c r="E20" s="316">
        <f>E19*1.1</f>
        <v>23.1</v>
      </c>
      <c r="F20" s="316"/>
      <c r="G20" s="316">
        <f t="shared" ref="G20:G22" si="4">E20*F20</f>
        <v>0</v>
      </c>
    </row>
    <row r="21" spans="1:7" s="307" customFormat="1" ht="13.5" customHeight="1">
      <c r="A21" s="314">
        <v>17</v>
      </c>
      <c r="B21" s="315" t="s">
        <v>1156</v>
      </c>
      <c r="C21" s="315" t="s">
        <v>1145</v>
      </c>
      <c r="D21" s="315" t="s">
        <v>799</v>
      </c>
      <c r="E21" s="316">
        <v>1</v>
      </c>
      <c r="F21" s="316"/>
      <c r="G21" s="316">
        <f t="shared" si="4"/>
        <v>0</v>
      </c>
    </row>
    <row r="22" spans="1:7" s="307" customFormat="1" ht="24" customHeight="1">
      <c r="A22" s="311">
        <v>18</v>
      </c>
      <c r="B22" s="312" t="s">
        <v>1157</v>
      </c>
      <c r="C22" s="312" t="s">
        <v>1158</v>
      </c>
      <c r="D22" s="312" t="s">
        <v>274</v>
      </c>
      <c r="E22" s="313">
        <v>17</v>
      </c>
      <c r="F22" s="313"/>
      <c r="G22" s="313">
        <f t="shared" si="4"/>
        <v>0</v>
      </c>
    </row>
    <row r="23" spans="1:7" s="307" customFormat="1" ht="13.5" customHeight="1">
      <c r="A23" s="314">
        <v>19</v>
      </c>
      <c r="B23" s="315" t="s">
        <v>1159</v>
      </c>
      <c r="C23" s="315" t="s">
        <v>1190</v>
      </c>
      <c r="D23" s="315" t="s">
        <v>274</v>
      </c>
      <c r="E23" s="316">
        <f>E22*1.1</f>
        <v>18.700000000000003</v>
      </c>
      <c r="F23" s="316"/>
      <c r="G23" s="316">
        <f t="shared" ref="G23:G27" si="5">E23*F23</f>
        <v>0</v>
      </c>
    </row>
    <row r="24" spans="1:7" s="307" customFormat="1" ht="13.5" customHeight="1">
      <c r="A24" s="314">
        <v>20</v>
      </c>
      <c r="B24" s="315" t="s">
        <v>1160</v>
      </c>
      <c r="C24" s="315" t="s">
        <v>1145</v>
      </c>
      <c r="D24" s="315" t="s">
        <v>799</v>
      </c>
      <c r="E24" s="316">
        <v>1</v>
      </c>
      <c r="F24" s="316"/>
      <c r="G24" s="316">
        <f t="shared" si="5"/>
        <v>0</v>
      </c>
    </row>
    <row r="25" spans="1:7" s="307" customFormat="1" ht="24" customHeight="1">
      <c r="A25" s="311">
        <v>21</v>
      </c>
      <c r="B25" s="312" t="s">
        <v>1161</v>
      </c>
      <c r="C25" s="312" t="s">
        <v>1162</v>
      </c>
      <c r="D25" s="312" t="s">
        <v>907</v>
      </c>
      <c r="E25" s="313">
        <v>109</v>
      </c>
      <c r="F25" s="313"/>
      <c r="G25" s="313">
        <f t="shared" si="5"/>
        <v>0</v>
      </c>
    </row>
    <row r="26" spans="1:7" s="307" customFormat="1" ht="24" customHeight="1">
      <c r="A26" s="311">
        <v>22</v>
      </c>
      <c r="B26" s="312" t="s">
        <v>1163</v>
      </c>
      <c r="C26" s="312" t="s">
        <v>1164</v>
      </c>
      <c r="D26" s="312" t="s">
        <v>907</v>
      </c>
      <c r="E26" s="313">
        <v>12</v>
      </c>
      <c r="F26" s="313"/>
      <c r="G26" s="313">
        <f t="shared" si="5"/>
        <v>0</v>
      </c>
    </row>
    <row r="27" spans="1:7" s="307" customFormat="1" ht="23.45" customHeight="1">
      <c r="A27" s="311">
        <v>23</v>
      </c>
      <c r="B27" s="312" t="s">
        <v>1165</v>
      </c>
      <c r="C27" s="312" t="s">
        <v>1191</v>
      </c>
      <c r="D27" s="312" t="s">
        <v>274</v>
      </c>
      <c r="E27" s="313">
        <v>392</v>
      </c>
      <c r="F27" s="313"/>
      <c r="G27" s="313">
        <f t="shared" si="5"/>
        <v>0</v>
      </c>
    </row>
    <row r="28" spans="1:7" s="307" customFormat="1" ht="24" customHeight="1">
      <c r="A28" s="314">
        <v>24</v>
      </c>
      <c r="B28" s="315" t="s">
        <v>1144</v>
      </c>
      <c r="C28" s="315" t="s">
        <v>1192</v>
      </c>
      <c r="D28" s="315" t="s">
        <v>274</v>
      </c>
      <c r="E28" s="316">
        <v>278</v>
      </c>
      <c r="F28" s="316"/>
      <c r="G28" s="316">
        <f t="shared" ref="G28:G31" si="6">E28*F28</f>
        <v>0</v>
      </c>
    </row>
    <row r="29" spans="1:7" s="307" customFormat="1" ht="24" customHeight="1">
      <c r="A29" s="314">
        <v>25</v>
      </c>
      <c r="B29" s="315" t="s">
        <v>1166</v>
      </c>
      <c r="C29" s="315" t="s">
        <v>1193</v>
      </c>
      <c r="D29" s="315" t="s">
        <v>274</v>
      </c>
      <c r="E29" s="316">
        <v>114</v>
      </c>
      <c r="F29" s="316"/>
      <c r="G29" s="316">
        <f t="shared" si="6"/>
        <v>0</v>
      </c>
    </row>
    <row r="30" spans="1:7" s="307" customFormat="1" ht="24" customHeight="1">
      <c r="A30" s="311">
        <v>26</v>
      </c>
      <c r="B30" s="312" t="s">
        <v>1167</v>
      </c>
      <c r="C30" s="312" t="s">
        <v>1168</v>
      </c>
      <c r="D30" s="312" t="s">
        <v>274</v>
      </c>
      <c r="E30" s="313">
        <f>SUM(E5:E9)</f>
        <v>604</v>
      </c>
      <c r="F30" s="313"/>
      <c r="G30" s="313">
        <f t="shared" si="6"/>
        <v>0</v>
      </c>
    </row>
    <row r="31" spans="1:7" s="307" customFormat="1" ht="13.5" customHeight="1">
      <c r="A31" s="311">
        <v>27</v>
      </c>
      <c r="B31" s="312" t="s">
        <v>1169</v>
      </c>
      <c r="C31" s="312" t="s">
        <v>1170</v>
      </c>
      <c r="D31" s="312" t="s">
        <v>274</v>
      </c>
      <c r="E31" s="313">
        <f>E30</f>
        <v>604</v>
      </c>
      <c r="F31" s="313"/>
      <c r="G31" s="313">
        <f t="shared" si="6"/>
        <v>0</v>
      </c>
    </row>
    <row r="32" spans="1:7" s="307" customFormat="1" ht="28.5" customHeight="1">
      <c r="A32" s="308"/>
      <c r="B32" s="309" t="s">
        <v>1171</v>
      </c>
      <c r="C32" s="309" t="s">
        <v>1172</v>
      </c>
      <c r="D32" s="309"/>
      <c r="E32" s="310"/>
      <c r="F32" s="310"/>
      <c r="G32" s="310">
        <f>SUM(G33:G35)</f>
        <v>0</v>
      </c>
    </row>
    <row r="33" spans="1:7" s="307" customFormat="1" ht="13.5" customHeight="1">
      <c r="A33" s="311">
        <v>1</v>
      </c>
      <c r="B33" s="312" t="s">
        <v>1173</v>
      </c>
      <c r="C33" s="312" t="s">
        <v>1178</v>
      </c>
      <c r="D33" s="312" t="s">
        <v>907</v>
      </c>
      <c r="E33" s="313">
        <v>104</v>
      </c>
      <c r="F33" s="313"/>
      <c r="G33" s="313">
        <f t="shared" ref="G33" si="7">E33*F33</f>
        <v>0</v>
      </c>
    </row>
    <row r="34" spans="1:7" s="307" customFormat="1" ht="13.5" customHeight="1">
      <c r="A34" s="314">
        <v>2</v>
      </c>
      <c r="B34" s="315" t="s">
        <v>1174</v>
      </c>
      <c r="C34" s="315" t="s">
        <v>1175</v>
      </c>
      <c r="D34" s="315" t="s">
        <v>907</v>
      </c>
      <c r="E34" s="316">
        <v>104</v>
      </c>
      <c r="F34" s="316"/>
      <c r="G34" s="316">
        <f t="shared" ref="G34:G35" si="8">E34*F34</f>
        <v>0</v>
      </c>
    </row>
    <row r="35" spans="1:7" s="307" customFormat="1" ht="13.5" customHeight="1">
      <c r="A35" s="314">
        <v>3</v>
      </c>
      <c r="B35" s="315" t="s">
        <v>1176</v>
      </c>
      <c r="C35" s="315" t="s">
        <v>1177</v>
      </c>
      <c r="D35" s="315" t="s">
        <v>907</v>
      </c>
      <c r="E35" s="316">
        <v>104</v>
      </c>
      <c r="F35" s="316"/>
      <c r="G35" s="316">
        <f t="shared" si="8"/>
        <v>0</v>
      </c>
    </row>
  </sheetData>
  <sheetProtection algorithmName="SHA-512" hashValue="77zvRctD9wR4G3Ws9jdoBROet546Az288SHHCZZZ0wWIc0ax4JJH6y4gcbVl/nsQJsTgs8WPpwonTSQRiRG7qA==" saltValue="Wg7kaqMp0buPncJ1i+4gHA==" spinCount="100000" sheet="1" objects="1" scenarios="1"/>
  <protectedRanges>
    <protectedRange sqref="F5:F35" name="Oblast1"/>
  </protectedRanges>
  <mergeCells count="1">
    <mergeCell ref="B2:G2"/>
  </mergeCells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zoomScale="90" zoomScaleNormal="90" workbookViewId="0">
      <selection activeCell="AA2" sqref="AA2"/>
    </sheetView>
  </sheetViews>
  <sheetFormatPr defaultColWidth="8.85546875" defaultRowHeight="15"/>
  <cols>
    <col min="1" max="2" width="8.85546875" style="226"/>
    <col min="3" max="3" width="8.85546875" style="230"/>
    <col min="4" max="4" width="8.85546875" style="225"/>
    <col min="5" max="5" width="0.85546875" style="274" customWidth="1"/>
    <col min="6" max="7" width="8.85546875" style="226"/>
    <col min="8" max="8" width="8.85546875" style="230"/>
    <col min="9" max="9" width="8.85546875" style="227"/>
    <col min="10" max="10" width="0.85546875" style="226" customWidth="1"/>
    <col min="11" max="11" width="8.85546875" style="228"/>
    <col min="12" max="12" width="0.85546875" style="274" customWidth="1"/>
    <col min="13" max="13" width="11.7109375" style="226" customWidth="1"/>
    <col min="14" max="14" width="10.140625" style="226" customWidth="1"/>
    <col min="15" max="15" width="8.85546875" style="230"/>
    <col min="16" max="16" width="11.28515625" style="229" bestFit="1" customWidth="1"/>
    <col min="17" max="17" width="0.85546875" style="274" customWidth="1"/>
    <col min="18" max="19" width="8.85546875" style="226"/>
    <col min="20" max="20" width="8.85546875" style="230"/>
    <col min="21" max="21" width="8.85546875" style="253"/>
    <col min="22" max="22" width="3.42578125" style="226" customWidth="1"/>
    <col min="23" max="23" width="2.7109375" style="226" customWidth="1"/>
    <col min="24" max="24" width="2" style="226" hidden="1" customWidth="1"/>
    <col min="25" max="25" width="10.5703125" style="226" hidden="1" customWidth="1"/>
    <col min="26" max="26" width="0" style="226" hidden="1" customWidth="1"/>
    <col min="27" max="16384" width="8.85546875" style="226"/>
  </cols>
  <sheetData>
    <row r="1" spans="1:25">
      <c r="A1" s="274"/>
      <c r="B1" s="274"/>
      <c r="C1" s="275"/>
      <c r="D1" s="276"/>
      <c r="F1" s="274"/>
      <c r="G1" s="274"/>
      <c r="H1" s="275"/>
      <c r="I1" s="277"/>
      <c r="J1" s="274"/>
      <c r="K1" s="278"/>
      <c r="M1" s="274"/>
      <c r="N1" s="274"/>
      <c r="O1" s="275"/>
      <c r="P1" s="276"/>
      <c r="R1" s="274"/>
      <c r="S1" s="274"/>
      <c r="T1" s="275"/>
      <c r="U1" s="276"/>
    </row>
    <row r="2" spans="1:25" ht="33" customHeight="1">
      <c r="A2" s="401" t="s">
        <v>1100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3"/>
    </row>
    <row r="3" spans="1:25" s="274" customFormat="1" ht="6" customHeight="1" thickBot="1">
      <c r="C3" s="275"/>
      <c r="D3" s="276"/>
      <c r="H3" s="275"/>
      <c r="I3" s="277"/>
      <c r="K3" s="278"/>
      <c r="O3" s="275"/>
      <c r="P3" s="276"/>
      <c r="T3" s="275"/>
      <c r="U3" s="276"/>
    </row>
    <row r="4" spans="1:25" s="274" customFormat="1" ht="27" thickBot="1">
      <c r="A4" s="404" t="s">
        <v>998</v>
      </c>
      <c r="B4" s="404"/>
      <c r="C4" s="405"/>
      <c r="D4" s="279">
        <v>3.05</v>
      </c>
      <c r="F4" s="404" t="s">
        <v>1095</v>
      </c>
      <c r="G4" s="404"/>
      <c r="H4" s="405"/>
      <c r="I4" s="279">
        <v>3.55</v>
      </c>
      <c r="K4" s="278"/>
      <c r="M4" s="405"/>
      <c r="N4" s="418"/>
      <c r="O4" s="418"/>
      <c r="P4" s="418"/>
      <c r="Q4" s="418"/>
      <c r="R4" s="418"/>
      <c r="S4" s="418"/>
      <c r="T4" s="418"/>
      <c r="U4" s="419"/>
    </row>
    <row r="5" spans="1:25" s="274" customFormat="1" ht="6" customHeight="1">
      <c r="C5" s="275"/>
      <c r="D5" s="276"/>
      <c r="H5" s="275"/>
      <c r="I5" s="277"/>
      <c r="K5" s="278"/>
      <c r="O5" s="275"/>
      <c r="P5" s="276"/>
      <c r="T5" s="275"/>
      <c r="U5" s="276"/>
    </row>
    <row r="6" spans="1:25" ht="86.45" customHeight="1">
      <c r="A6" s="426" t="s">
        <v>975</v>
      </c>
      <c r="B6" s="426"/>
      <c r="C6" s="426"/>
      <c r="F6" s="427" t="s">
        <v>951</v>
      </c>
      <c r="G6" s="427"/>
      <c r="H6" s="427"/>
      <c r="M6" s="413" t="s">
        <v>971</v>
      </c>
      <c r="N6" s="413"/>
      <c r="O6" s="413"/>
      <c r="R6" s="407" t="s">
        <v>968</v>
      </c>
      <c r="S6" s="407"/>
      <c r="T6" s="407"/>
    </row>
    <row r="8" spans="1:25" ht="31.15" customHeight="1">
      <c r="A8" s="254" t="s">
        <v>1096</v>
      </c>
      <c r="F8" s="428" t="s">
        <v>999</v>
      </c>
      <c r="G8" s="429"/>
      <c r="H8" s="429"/>
      <c r="M8" s="257" t="s">
        <v>1096</v>
      </c>
      <c r="N8" s="280" t="s">
        <v>1098</v>
      </c>
      <c r="P8" s="229">
        <f>U9+U10+U11+U12+U13</f>
        <v>4.5863999999999994</v>
      </c>
      <c r="R8" s="254" t="s">
        <v>1096</v>
      </c>
    </row>
    <row r="9" spans="1:25" ht="26.25">
      <c r="A9" s="226">
        <v>0.98</v>
      </c>
      <c r="B9" s="244">
        <f>D4</f>
        <v>3.05</v>
      </c>
      <c r="C9" s="230">
        <f>2*6</f>
        <v>12</v>
      </c>
      <c r="D9" s="225">
        <f>A9*B9*C9</f>
        <v>35.867999999999995</v>
      </c>
      <c r="F9" s="226">
        <f>0.12+0.1+0.1+0.04+0.04</f>
        <v>0.39999999999999997</v>
      </c>
      <c r="G9" s="226">
        <f>2.08+2.087+0.8</f>
        <v>4.9669999999999996</v>
      </c>
      <c r="H9" s="245">
        <v>0</v>
      </c>
      <c r="I9" s="227">
        <f>F9*G9*H9</f>
        <v>0</v>
      </c>
      <c r="K9" s="231">
        <f>SUM(I9:I13)</f>
        <v>0</v>
      </c>
      <c r="M9" s="257" t="s">
        <v>1097</v>
      </c>
      <c r="N9" s="281" t="s">
        <v>952</v>
      </c>
      <c r="P9" s="229">
        <f>U15+U16+U17+U18+U19+U20</f>
        <v>7.125</v>
      </c>
      <c r="R9" s="226">
        <f>0.7*1.4</f>
        <v>0.97999999999999987</v>
      </c>
      <c r="S9" s="226">
        <f>0.6*1.3</f>
        <v>0.78</v>
      </c>
      <c r="T9" s="230">
        <v>6</v>
      </c>
      <c r="U9" s="253">
        <f>R9*S9*T9</f>
        <v>4.5863999999999994</v>
      </c>
      <c r="Y9" s="226">
        <f>A9*2</f>
        <v>1.96</v>
      </c>
    </row>
    <row r="10" spans="1:25" ht="26.25">
      <c r="A10" s="226">
        <v>0</v>
      </c>
      <c r="B10" s="244">
        <f>D4</f>
        <v>3.05</v>
      </c>
      <c r="C10" s="230">
        <v>0</v>
      </c>
      <c r="D10" s="225">
        <f>A10*B10*C10</f>
        <v>0</v>
      </c>
      <c r="F10" s="226">
        <f>0.11+0.1+0.1+0.04+0.04</f>
        <v>0.39</v>
      </c>
      <c r="G10" s="226">
        <f>2.06+2.06+0.7</f>
        <v>4.82</v>
      </c>
      <c r="H10" s="245">
        <v>0</v>
      </c>
      <c r="I10" s="227">
        <f>F10*G10*H10</f>
        <v>0</v>
      </c>
      <c r="M10" s="257" t="s">
        <v>1038</v>
      </c>
      <c r="N10" s="281"/>
      <c r="P10" s="229">
        <f>U22+U23+U24+U25+U26+U27+U28+U29+U30+U31</f>
        <v>0</v>
      </c>
      <c r="R10" s="226">
        <v>0</v>
      </c>
      <c r="S10" s="226">
        <v>0</v>
      </c>
      <c r="T10" s="230">
        <v>0</v>
      </c>
      <c r="U10" s="253">
        <f>R10*S10*T10</f>
        <v>0</v>
      </c>
      <c r="Y10" s="226">
        <f t="shared" ref="Y10:Y13" si="0">A10*2</f>
        <v>0</v>
      </c>
    </row>
    <row r="11" spans="1:25" ht="26.25">
      <c r="A11" s="226">
        <v>0</v>
      </c>
      <c r="B11" s="226">
        <v>0</v>
      </c>
      <c r="C11" s="230">
        <v>0</v>
      </c>
      <c r="D11" s="225">
        <f t="shared" ref="D11:D45" si="1">A11*B11*C11</f>
        <v>0</v>
      </c>
      <c r="F11" s="226">
        <f>0.11+0.08+0.08+0.02+0.02</f>
        <v>0.31000000000000005</v>
      </c>
      <c r="G11" s="226">
        <f>1.97+1.97+0.6</f>
        <v>4.54</v>
      </c>
      <c r="H11" s="245">
        <v>0</v>
      </c>
      <c r="I11" s="227">
        <f t="shared" ref="I11:I13" si="2">F11*G11*H11</f>
        <v>0</v>
      </c>
      <c r="M11" s="257" t="s">
        <v>1038</v>
      </c>
      <c r="N11" s="281"/>
      <c r="P11" s="229">
        <f>U33+U34+U35+U36+U37+U38+U39</f>
        <v>0</v>
      </c>
      <c r="R11" s="226">
        <v>0</v>
      </c>
      <c r="S11" s="226">
        <v>0</v>
      </c>
      <c r="T11" s="230">
        <v>0</v>
      </c>
      <c r="U11" s="253">
        <f t="shared" ref="U11:U13" si="3">R11*S11*T11</f>
        <v>0</v>
      </c>
      <c r="Y11" s="226">
        <f t="shared" si="0"/>
        <v>0</v>
      </c>
    </row>
    <row r="12" spans="1:25" ht="26.25">
      <c r="A12" s="226">
        <v>0</v>
      </c>
      <c r="B12" s="226">
        <v>0</v>
      </c>
      <c r="C12" s="230">
        <v>0</v>
      </c>
      <c r="D12" s="225">
        <f t="shared" si="1"/>
        <v>0</v>
      </c>
      <c r="F12" s="226">
        <f>0.21+0.1+0.1+0.06+0.06</f>
        <v>0.53</v>
      </c>
      <c r="G12" s="226">
        <f>2.1+2.1+0.8</f>
        <v>5</v>
      </c>
      <c r="H12" s="245">
        <v>0</v>
      </c>
      <c r="I12" s="227">
        <f>F12*G12*H12</f>
        <v>0</v>
      </c>
      <c r="M12" s="257" t="s">
        <v>1038</v>
      </c>
      <c r="N12" s="281"/>
      <c r="P12" s="229">
        <f>U41+U42+U43+U44+U45</f>
        <v>0</v>
      </c>
      <c r="R12" s="226">
        <v>0</v>
      </c>
      <c r="S12" s="226">
        <v>0</v>
      </c>
      <c r="T12" s="230">
        <v>0</v>
      </c>
      <c r="U12" s="253">
        <f t="shared" si="3"/>
        <v>0</v>
      </c>
      <c r="Y12" s="226">
        <f t="shared" si="0"/>
        <v>0</v>
      </c>
    </row>
    <row r="13" spans="1:25" ht="26.25">
      <c r="A13" s="226">
        <v>0</v>
      </c>
      <c r="B13" s="226">
        <v>0</v>
      </c>
      <c r="C13" s="230">
        <v>0</v>
      </c>
      <c r="D13" s="225">
        <f t="shared" si="1"/>
        <v>0</v>
      </c>
      <c r="I13" s="227">
        <f t="shared" si="2"/>
        <v>0</v>
      </c>
      <c r="M13" s="257" t="s">
        <v>1038</v>
      </c>
      <c r="N13" s="281"/>
      <c r="P13" s="229">
        <f>U47+U48+U49+U50+U51+U52+U53</f>
        <v>0</v>
      </c>
      <c r="R13" s="226">
        <v>0</v>
      </c>
      <c r="S13" s="226">
        <v>0</v>
      </c>
      <c r="T13" s="230">
        <v>0</v>
      </c>
      <c r="U13" s="253">
        <f t="shared" si="3"/>
        <v>0</v>
      </c>
      <c r="Y13" s="226">
        <f t="shared" si="0"/>
        <v>0</v>
      </c>
    </row>
    <row r="14" spans="1:25" ht="44.45" customHeight="1">
      <c r="A14" s="254" t="s">
        <v>1097</v>
      </c>
      <c r="F14" s="428" t="s">
        <v>972</v>
      </c>
      <c r="G14" s="429"/>
      <c r="H14" s="429"/>
      <c r="I14" s="232"/>
      <c r="M14" s="257" t="s">
        <v>1038</v>
      </c>
      <c r="N14" s="282"/>
      <c r="P14" s="229">
        <f>U55+U56+U57+U58</f>
        <v>0</v>
      </c>
      <c r="R14" s="254" t="s">
        <v>1097</v>
      </c>
    </row>
    <row r="15" spans="1:25">
      <c r="A15" s="226">
        <v>0.95</v>
      </c>
      <c r="B15" s="244">
        <f>D4</f>
        <v>3.05</v>
      </c>
      <c r="C15" s="230">
        <f>2*6</f>
        <v>12</v>
      </c>
      <c r="D15" s="225">
        <f t="shared" si="1"/>
        <v>34.769999999999996</v>
      </c>
      <c r="F15" s="226">
        <v>1.4</v>
      </c>
      <c r="G15" s="226">
        <v>0.65</v>
      </c>
      <c r="H15" s="245">
        <v>0</v>
      </c>
      <c r="I15" s="227">
        <f>(F15*G15*H15)*2.4</f>
        <v>0</v>
      </c>
      <c r="K15" s="231">
        <f>SUM(I15:I20)</f>
        <v>0</v>
      </c>
      <c r="M15" s="257"/>
      <c r="R15" s="226">
        <v>0.95</v>
      </c>
      <c r="S15" s="226">
        <v>1.25</v>
      </c>
      <c r="T15" s="230">
        <v>6</v>
      </c>
      <c r="U15" s="253">
        <f t="shared" ref="U15:U20" si="4">R15*S15*T15</f>
        <v>7.125</v>
      </c>
      <c r="Y15" s="226">
        <f t="shared" ref="Y15:Y20" si="5">A15*2</f>
        <v>1.9</v>
      </c>
    </row>
    <row r="16" spans="1:25">
      <c r="A16" s="226">
        <v>1.25</v>
      </c>
      <c r="B16" s="244">
        <f>D4</f>
        <v>3.05</v>
      </c>
      <c r="C16" s="230">
        <f>2*6</f>
        <v>12</v>
      </c>
      <c r="D16" s="225">
        <f t="shared" si="1"/>
        <v>45.75</v>
      </c>
      <c r="I16" s="227">
        <f t="shared" ref="I16:I20" si="6">(F16*G16*H16)*2.4</f>
        <v>0</v>
      </c>
      <c r="M16" s="233" t="s">
        <v>953</v>
      </c>
      <c r="N16" s="234"/>
      <c r="O16" s="235"/>
      <c r="P16" s="229">
        <f>SUM(P8:P15)</f>
        <v>11.711399999999999</v>
      </c>
      <c r="R16" s="226">
        <v>0</v>
      </c>
      <c r="S16" s="226">
        <v>0</v>
      </c>
      <c r="T16" s="230">
        <v>0</v>
      </c>
      <c r="U16" s="253">
        <f t="shared" si="4"/>
        <v>0</v>
      </c>
      <c r="Y16" s="226">
        <f t="shared" si="5"/>
        <v>2.5</v>
      </c>
    </row>
    <row r="17" spans="1:25">
      <c r="A17" s="226">
        <v>0</v>
      </c>
      <c r="B17" s="226">
        <v>0</v>
      </c>
      <c r="C17" s="230">
        <v>0</v>
      </c>
      <c r="D17" s="225">
        <f t="shared" si="1"/>
        <v>0</v>
      </c>
      <c r="I17" s="227">
        <f t="shared" si="6"/>
        <v>0</v>
      </c>
      <c r="R17" s="256">
        <v>0</v>
      </c>
      <c r="S17" s="226">
        <v>0</v>
      </c>
      <c r="T17" s="230">
        <v>0</v>
      </c>
      <c r="U17" s="253">
        <f t="shared" si="4"/>
        <v>0</v>
      </c>
      <c r="Y17" s="226">
        <f t="shared" si="5"/>
        <v>0</v>
      </c>
    </row>
    <row r="18" spans="1:25">
      <c r="A18" s="226">
        <v>0</v>
      </c>
      <c r="B18" s="226">
        <v>0</v>
      </c>
      <c r="C18" s="230">
        <v>0</v>
      </c>
      <c r="D18" s="225">
        <f t="shared" si="1"/>
        <v>0</v>
      </c>
      <c r="I18" s="227">
        <f t="shared" si="6"/>
        <v>0</v>
      </c>
      <c r="M18" s="303" t="s">
        <v>969</v>
      </c>
      <c r="N18" s="254"/>
      <c r="P18" s="229">
        <v>0</v>
      </c>
      <c r="R18" s="226">
        <v>0</v>
      </c>
      <c r="S18" s="226">
        <v>0</v>
      </c>
      <c r="T18" s="230">
        <v>0</v>
      </c>
      <c r="U18" s="253">
        <f t="shared" si="4"/>
        <v>0</v>
      </c>
      <c r="Y18" s="226">
        <f t="shared" si="5"/>
        <v>0</v>
      </c>
    </row>
    <row r="19" spans="1:25">
      <c r="A19" s="226">
        <v>0</v>
      </c>
      <c r="B19" s="226">
        <v>0</v>
      </c>
      <c r="C19" s="230">
        <v>0</v>
      </c>
      <c r="D19" s="225">
        <f t="shared" si="1"/>
        <v>0</v>
      </c>
      <c r="I19" s="227">
        <f t="shared" si="6"/>
        <v>0</v>
      </c>
      <c r="M19" s="233" t="s">
        <v>970</v>
      </c>
      <c r="N19" s="234"/>
      <c r="O19" s="235"/>
      <c r="P19" s="229">
        <f>P16+P18</f>
        <v>11.711399999999999</v>
      </c>
      <c r="R19" s="226">
        <v>0</v>
      </c>
      <c r="S19" s="226">
        <v>0</v>
      </c>
      <c r="T19" s="230">
        <v>0</v>
      </c>
      <c r="U19" s="253">
        <f t="shared" si="4"/>
        <v>0</v>
      </c>
      <c r="Y19" s="226">
        <f t="shared" si="5"/>
        <v>0</v>
      </c>
    </row>
    <row r="20" spans="1:25">
      <c r="A20" s="226">
        <v>0</v>
      </c>
      <c r="B20" s="226">
        <v>0</v>
      </c>
      <c r="C20" s="230">
        <v>0</v>
      </c>
      <c r="D20" s="225">
        <f t="shared" si="1"/>
        <v>0</v>
      </c>
      <c r="I20" s="227">
        <f t="shared" si="6"/>
        <v>0</v>
      </c>
      <c r="R20" s="226">
        <v>0</v>
      </c>
      <c r="S20" s="226">
        <v>0</v>
      </c>
      <c r="T20" s="230">
        <v>0</v>
      </c>
      <c r="U20" s="253">
        <f t="shared" si="4"/>
        <v>0</v>
      </c>
      <c r="Y20" s="226">
        <f t="shared" si="5"/>
        <v>0</v>
      </c>
    </row>
    <row r="21" spans="1:25">
      <c r="A21" s="254" t="s">
        <v>1038</v>
      </c>
      <c r="M21" s="233" t="s">
        <v>954</v>
      </c>
      <c r="N21" s="234"/>
      <c r="O21" s="235"/>
      <c r="R21" s="254" t="s">
        <v>1038</v>
      </c>
    </row>
    <row r="22" spans="1:25">
      <c r="A22" s="226">
        <v>0</v>
      </c>
      <c r="B22" s="244">
        <f>D4*0</f>
        <v>0</v>
      </c>
      <c r="C22" s="230">
        <v>0</v>
      </c>
      <c r="D22" s="225">
        <f t="shared" ref="D22:D25" si="7">A22*B22*C22</f>
        <v>0</v>
      </c>
      <c r="F22" s="236" t="s">
        <v>955</v>
      </c>
      <c r="G22" s="237"/>
      <c r="H22" s="238"/>
      <c r="I22" s="236">
        <f>I9+I10+I11+I12+I13+I15+I16+I17+I18+I19+I20</f>
        <v>0</v>
      </c>
      <c r="K22" s="231">
        <f>SUM(K9+K15)</f>
        <v>0</v>
      </c>
      <c r="M22" s="234"/>
      <c r="N22" s="234"/>
      <c r="O22" s="235"/>
      <c r="R22" s="226">
        <v>0</v>
      </c>
      <c r="S22" s="226">
        <v>0</v>
      </c>
      <c r="T22" s="230">
        <v>0</v>
      </c>
      <c r="U22" s="253">
        <f t="shared" ref="U22:U25" si="8">R22*S22*T22</f>
        <v>0</v>
      </c>
      <c r="Y22" s="226">
        <f t="shared" ref="Y22:Y31" si="9">A22*2</f>
        <v>0</v>
      </c>
    </row>
    <row r="23" spans="1:25" ht="15.75" thickBot="1">
      <c r="A23" s="226">
        <v>0</v>
      </c>
      <c r="B23" s="244">
        <f>D4*0</f>
        <v>0</v>
      </c>
      <c r="C23" s="230">
        <v>0</v>
      </c>
      <c r="D23" s="225">
        <f t="shared" si="7"/>
        <v>0</v>
      </c>
      <c r="F23" s="239"/>
      <c r="G23" s="239"/>
      <c r="H23" s="240"/>
      <c r="I23" s="241"/>
      <c r="K23" s="242"/>
      <c r="M23" s="302" t="s">
        <v>1098</v>
      </c>
      <c r="N23" s="234"/>
      <c r="O23" s="235"/>
      <c r="P23" s="229">
        <f>P8+P9+P10+P13+P14</f>
        <v>11.711399999999999</v>
      </c>
      <c r="R23" s="226">
        <v>0</v>
      </c>
      <c r="S23" s="226">
        <v>0</v>
      </c>
      <c r="T23" s="230">
        <v>0</v>
      </c>
      <c r="U23" s="253">
        <f t="shared" si="8"/>
        <v>0</v>
      </c>
      <c r="Y23" s="226">
        <f t="shared" si="9"/>
        <v>0</v>
      </c>
    </row>
    <row r="24" spans="1:25">
      <c r="A24" s="226">
        <v>0</v>
      </c>
      <c r="B24" s="244">
        <f>D4*0</f>
        <v>0</v>
      </c>
      <c r="C24" s="230">
        <v>0</v>
      </c>
      <c r="D24" s="225">
        <f t="shared" si="7"/>
        <v>0</v>
      </c>
      <c r="M24" s="234" t="s">
        <v>956</v>
      </c>
      <c r="N24" s="234"/>
      <c r="O24" s="235"/>
      <c r="P24" s="229">
        <f>P9</f>
        <v>7.125</v>
      </c>
      <c r="R24" s="226">
        <v>0</v>
      </c>
      <c r="S24" s="226">
        <v>0</v>
      </c>
      <c r="T24" s="230">
        <v>0</v>
      </c>
      <c r="U24" s="253">
        <f t="shared" si="8"/>
        <v>0</v>
      </c>
      <c r="Y24" s="226">
        <f t="shared" si="9"/>
        <v>0</v>
      </c>
    </row>
    <row r="25" spans="1:25">
      <c r="A25" s="226">
        <v>0</v>
      </c>
      <c r="B25" s="226">
        <v>0</v>
      </c>
      <c r="C25" s="230">
        <v>0</v>
      </c>
      <c r="D25" s="225">
        <f t="shared" si="7"/>
        <v>0</v>
      </c>
      <c r="F25" s="424" t="s">
        <v>973</v>
      </c>
      <c r="G25" s="425"/>
      <c r="H25" s="425"/>
      <c r="M25" s="234" t="s">
        <v>957</v>
      </c>
      <c r="N25" s="234"/>
      <c r="O25" s="235"/>
      <c r="P25" s="229">
        <v>0</v>
      </c>
      <c r="R25" s="226">
        <v>0</v>
      </c>
      <c r="S25" s="226">
        <v>0</v>
      </c>
      <c r="T25" s="230">
        <v>0</v>
      </c>
      <c r="U25" s="253">
        <f t="shared" si="8"/>
        <v>0</v>
      </c>
      <c r="Y25" s="226">
        <f t="shared" si="9"/>
        <v>0</v>
      </c>
    </row>
    <row r="26" spans="1:25">
      <c r="A26" s="226">
        <v>0</v>
      </c>
      <c r="B26" s="226">
        <v>0</v>
      </c>
      <c r="C26" s="230">
        <v>0</v>
      </c>
      <c r="D26" s="225">
        <f t="shared" si="1"/>
        <v>0</v>
      </c>
      <c r="F26" s="226">
        <f>(0.12*2)+0.08</f>
        <v>0.32</v>
      </c>
      <c r="G26" s="226">
        <f>6.49-0.86</f>
        <v>5.63</v>
      </c>
      <c r="H26" s="245">
        <v>0</v>
      </c>
      <c r="I26" s="227">
        <f>F26*G26*H26</f>
        <v>0</v>
      </c>
      <c r="K26" s="231">
        <f>SUM(I26:I30)</f>
        <v>0</v>
      </c>
      <c r="R26" s="226">
        <v>0</v>
      </c>
      <c r="S26" s="226">
        <v>0</v>
      </c>
      <c r="T26" s="230">
        <v>0</v>
      </c>
      <c r="U26" s="253">
        <f t="shared" ref="U26:U31" si="10">R26*S26*T26</f>
        <v>0</v>
      </c>
      <c r="Y26" s="226">
        <f t="shared" si="9"/>
        <v>0</v>
      </c>
    </row>
    <row r="27" spans="1:25">
      <c r="A27" s="226">
        <v>0</v>
      </c>
      <c r="B27" s="226">
        <v>0</v>
      </c>
      <c r="C27" s="230">
        <v>0</v>
      </c>
      <c r="D27" s="225">
        <f t="shared" si="1"/>
        <v>0</v>
      </c>
      <c r="F27" s="226">
        <f>(0.12*2)+0.08</f>
        <v>0.32</v>
      </c>
      <c r="G27" s="226">
        <v>1.2</v>
      </c>
      <c r="H27" s="245">
        <v>0</v>
      </c>
      <c r="I27" s="227">
        <f>F27*G27*H27</f>
        <v>0</v>
      </c>
      <c r="M27" s="303" t="s">
        <v>958</v>
      </c>
      <c r="R27" s="226">
        <v>0</v>
      </c>
      <c r="S27" s="226">
        <v>0</v>
      </c>
      <c r="T27" s="230">
        <v>0</v>
      </c>
      <c r="U27" s="253">
        <f t="shared" si="10"/>
        <v>0</v>
      </c>
      <c r="Y27" s="226">
        <f t="shared" si="9"/>
        <v>0</v>
      </c>
    </row>
    <row r="28" spans="1:25">
      <c r="A28" s="226">
        <v>0</v>
      </c>
      <c r="B28" s="226">
        <v>0</v>
      </c>
      <c r="C28" s="230">
        <v>0</v>
      </c>
      <c r="D28" s="225">
        <f t="shared" si="1"/>
        <v>0</v>
      </c>
      <c r="F28" s="226">
        <f>6.49-0.86</f>
        <v>5.63</v>
      </c>
      <c r="G28" s="226">
        <v>0.72</v>
      </c>
      <c r="H28" s="245">
        <v>0</v>
      </c>
      <c r="I28" s="227">
        <f t="shared" ref="I28:I30" si="11">F28*G28*H28</f>
        <v>0</v>
      </c>
      <c r="R28" s="226">
        <v>0</v>
      </c>
      <c r="S28" s="226">
        <v>0</v>
      </c>
      <c r="T28" s="230">
        <v>0</v>
      </c>
      <c r="U28" s="253">
        <f t="shared" si="10"/>
        <v>0</v>
      </c>
      <c r="Y28" s="226">
        <f t="shared" si="9"/>
        <v>0</v>
      </c>
    </row>
    <row r="29" spans="1:25">
      <c r="A29" s="226">
        <v>0</v>
      </c>
      <c r="B29" s="226">
        <v>0</v>
      </c>
      <c r="C29" s="230">
        <v>0</v>
      </c>
      <c r="D29" s="225">
        <f t="shared" si="1"/>
        <v>0</v>
      </c>
      <c r="I29" s="227">
        <f t="shared" si="11"/>
        <v>0</v>
      </c>
      <c r="M29" s="244">
        <f>SUM(Y9:Y58)*0</f>
        <v>0</v>
      </c>
      <c r="N29" s="226">
        <v>0</v>
      </c>
      <c r="O29" s="230">
        <v>1.1499999999999999</v>
      </c>
      <c r="P29" s="229">
        <f>M29*O29</f>
        <v>0</v>
      </c>
      <c r="R29" s="226">
        <v>0</v>
      </c>
      <c r="S29" s="226">
        <v>0</v>
      </c>
      <c r="T29" s="230">
        <v>0</v>
      </c>
      <c r="U29" s="253">
        <f t="shared" si="10"/>
        <v>0</v>
      </c>
      <c r="Y29" s="226">
        <f t="shared" si="9"/>
        <v>0</v>
      </c>
    </row>
    <row r="30" spans="1:25">
      <c r="A30" s="226">
        <v>0</v>
      </c>
      <c r="B30" s="226">
        <v>0</v>
      </c>
      <c r="C30" s="230">
        <v>0</v>
      </c>
      <c r="D30" s="225">
        <f t="shared" si="1"/>
        <v>0</v>
      </c>
      <c r="I30" s="227">
        <f t="shared" si="11"/>
        <v>0</v>
      </c>
      <c r="R30" s="226">
        <v>0</v>
      </c>
      <c r="S30" s="226">
        <v>0</v>
      </c>
      <c r="T30" s="230">
        <v>0</v>
      </c>
      <c r="U30" s="253">
        <f t="shared" si="10"/>
        <v>0</v>
      </c>
      <c r="Y30" s="226">
        <f t="shared" si="9"/>
        <v>0</v>
      </c>
    </row>
    <row r="31" spans="1:25" ht="28.9" customHeight="1">
      <c r="A31" s="226">
        <v>0</v>
      </c>
      <c r="B31" s="226">
        <v>0</v>
      </c>
      <c r="C31" s="230">
        <v>0</v>
      </c>
      <c r="D31" s="225">
        <f t="shared" si="1"/>
        <v>0</v>
      </c>
      <c r="F31" s="424" t="s">
        <v>1029</v>
      </c>
      <c r="G31" s="425"/>
      <c r="H31" s="425"/>
      <c r="I31" s="232"/>
      <c r="M31" s="406" t="s">
        <v>959</v>
      </c>
      <c r="N31" s="406"/>
      <c r="R31" s="226">
        <v>0</v>
      </c>
      <c r="S31" s="226">
        <v>0</v>
      </c>
      <c r="T31" s="230">
        <v>0</v>
      </c>
      <c r="U31" s="253">
        <f t="shared" si="10"/>
        <v>0</v>
      </c>
      <c r="Y31" s="226">
        <f t="shared" si="9"/>
        <v>0</v>
      </c>
    </row>
    <row r="32" spans="1:25">
      <c r="A32" s="254" t="s">
        <v>1038</v>
      </c>
      <c r="F32" s="226">
        <f>1.75*1.15</f>
        <v>2.0124999999999997</v>
      </c>
      <c r="G32" s="226">
        <v>0.25</v>
      </c>
      <c r="H32" s="230">
        <v>0</v>
      </c>
      <c r="I32" s="227">
        <f>(F32*G32*H32)*2.4</f>
        <v>0</v>
      </c>
      <c r="K32" s="231">
        <f>SUM(I32:I37)</f>
        <v>0</v>
      </c>
      <c r="R32" s="254" t="s">
        <v>1038</v>
      </c>
    </row>
    <row r="33" spans="1:25">
      <c r="A33" s="226">
        <v>0</v>
      </c>
      <c r="B33" s="244">
        <f>(D4-2)*0</f>
        <v>0</v>
      </c>
      <c r="C33" s="230">
        <v>0</v>
      </c>
      <c r="D33" s="225">
        <f t="shared" si="1"/>
        <v>0</v>
      </c>
      <c r="I33" s="227">
        <f t="shared" ref="I33:I37" si="12">(F33*G33*H33)*2.4</f>
        <v>0</v>
      </c>
      <c r="M33" s="244">
        <f>(1.66+0.7+3.07)*0</f>
        <v>0</v>
      </c>
      <c r="N33" s="244">
        <v>0</v>
      </c>
      <c r="O33" s="230">
        <v>1.2</v>
      </c>
      <c r="P33" s="229">
        <f>(((M33*(N33/1.5))*O33))</f>
        <v>0</v>
      </c>
      <c r="R33" s="226">
        <v>0</v>
      </c>
      <c r="S33" s="226">
        <v>0</v>
      </c>
      <c r="T33" s="230">
        <v>0</v>
      </c>
      <c r="U33" s="253">
        <f t="shared" ref="U33:U39" si="13">R33*S33*T33</f>
        <v>0</v>
      </c>
      <c r="Y33" s="226">
        <f t="shared" ref="Y33:Y39" si="14">A33*2</f>
        <v>0</v>
      </c>
    </row>
    <row r="34" spans="1:25">
      <c r="A34" s="226">
        <v>0</v>
      </c>
      <c r="B34" s="244">
        <f>(D4-2)*0</f>
        <v>0</v>
      </c>
      <c r="C34" s="230">
        <v>0</v>
      </c>
      <c r="D34" s="225">
        <f t="shared" si="1"/>
        <v>0</v>
      </c>
      <c r="I34" s="227">
        <f t="shared" si="12"/>
        <v>0</v>
      </c>
      <c r="R34" s="226">
        <v>0</v>
      </c>
      <c r="S34" s="226">
        <v>0</v>
      </c>
      <c r="T34" s="230">
        <v>0</v>
      </c>
      <c r="U34" s="253">
        <f t="shared" si="13"/>
        <v>0</v>
      </c>
      <c r="Y34" s="226">
        <f t="shared" si="14"/>
        <v>0</v>
      </c>
    </row>
    <row r="35" spans="1:25">
      <c r="A35" s="226">
        <v>0</v>
      </c>
      <c r="B35" s="226">
        <v>0</v>
      </c>
      <c r="C35" s="230">
        <v>0</v>
      </c>
      <c r="D35" s="225">
        <f t="shared" si="1"/>
        <v>0</v>
      </c>
      <c r="I35" s="227">
        <f t="shared" si="12"/>
        <v>0</v>
      </c>
      <c r="R35" s="226">
        <v>0</v>
      </c>
      <c r="S35" s="226">
        <v>0</v>
      </c>
      <c r="T35" s="230">
        <v>0</v>
      </c>
      <c r="U35" s="253">
        <f t="shared" si="13"/>
        <v>0</v>
      </c>
      <c r="Y35" s="226">
        <f t="shared" si="14"/>
        <v>0</v>
      </c>
    </row>
    <row r="36" spans="1:25">
      <c r="A36" s="226">
        <v>0</v>
      </c>
      <c r="B36" s="226">
        <v>0</v>
      </c>
      <c r="C36" s="230">
        <v>0</v>
      </c>
      <c r="D36" s="225">
        <f t="shared" si="1"/>
        <v>0</v>
      </c>
      <c r="I36" s="227">
        <f t="shared" si="12"/>
        <v>0</v>
      </c>
      <c r="R36" s="226">
        <v>0</v>
      </c>
      <c r="S36" s="226">
        <v>0</v>
      </c>
      <c r="T36" s="230">
        <v>0</v>
      </c>
      <c r="U36" s="253">
        <f t="shared" si="13"/>
        <v>0</v>
      </c>
      <c r="Y36" s="226">
        <f t="shared" si="14"/>
        <v>0</v>
      </c>
    </row>
    <row r="37" spans="1:25">
      <c r="A37" s="226">
        <v>0</v>
      </c>
      <c r="B37" s="226">
        <v>0</v>
      </c>
      <c r="C37" s="230">
        <v>0</v>
      </c>
      <c r="D37" s="225">
        <f t="shared" si="1"/>
        <v>0</v>
      </c>
      <c r="I37" s="227">
        <f t="shared" si="12"/>
        <v>0</v>
      </c>
      <c r="R37" s="226">
        <v>0</v>
      </c>
      <c r="S37" s="226">
        <v>0</v>
      </c>
      <c r="T37" s="230">
        <v>0</v>
      </c>
      <c r="U37" s="253">
        <f t="shared" si="13"/>
        <v>0</v>
      </c>
      <c r="Y37" s="226">
        <f t="shared" si="14"/>
        <v>0</v>
      </c>
    </row>
    <row r="38" spans="1:25">
      <c r="A38" s="226">
        <v>0</v>
      </c>
      <c r="B38" s="226">
        <v>0</v>
      </c>
      <c r="C38" s="230">
        <v>0</v>
      </c>
      <c r="D38" s="225">
        <f t="shared" si="1"/>
        <v>0</v>
      </c>
      <c r="O38" s="226"/>
      <c r="R38" s="226">
        <v>0</v>
      </c>
      <c r="S38" s="226">
        <v>0</v>
      </c>
      <c r="T38" s="230">
        <v>0</v>
      </c>
      <c r="U38" s="253">
        <f t="shared" si="13"/>
        <v>0</v>
      </c>
      <c r="Y38" s="226">
        <f t="shared" si="14"/>
        <v>0</v>
      </c>
    </row>
    <row r="39" spans="1:25">
      <c r="A39" s="226">
        <v>0</v>
      </c>
      <c r="B39" s="226">
        <v>0</v>
      </c>
      <c r="C39" s="230">
        <v>0</v>
      </c>
      <c r="D39" s="225">
        <f t="shared" si="1"/>
        <v>0</v>
      </c>
      <c r="F39" s="243" t="s">
        <v>955</v>
      </c>
      <c r="G39" s="244"/>
      <c r="H39" s="245"/>
      <c r="I39" s="243">
        <f>I26+I27+I28+I29+I30+I32+I33+I34+I35+I36+I37</f>
        <v>0</v>
      </c>
      <c r="K39" s="231">
        <f>K26+K32</f>
        <v>0</v>
      </c>
      <c r="M39" s="414" t="s">
        <v>989</v>
      </c>
      <c r="N39" s="414"/>
      <c r="O39" s="414"/>
      <c r="P39" s="270"/>
      <c r="R39" s="226">
        <v>0</v>
      </c>
      <c r="S39" s="226">
        <v>0</v>
      </c>
      <c r="T39" s="230">
        <v>0</v>
      </c>
      <c r="U39" s="253">
        <f t="shared" si="13"/>
        <v>0</v>
      </c>
      <c r="Y39" s="226">
        <f t="shared" si="14"/>
        <v>0</v>
      </c>
    </row>
    <row r="40" spans="1:25">
      <c r="A40" s="254" t="s">
        <v>1038</v>
      </c>
      <c r="I40" s="277"/>
      <c r="J40" s="274"/>
      <c r="K40" s="278"/>
      <c r="M40" s="414"/>
      <c r="N40" s="414"/>
      <c r="O40" s="414"/>
      <c r="P40" s="270"/>
      <c r="R40" s="254" t="s">
        <v>1038</v>
      </c>
    </row>
    <row r="41" spans="1:25">
      <c r="A41" s="226">
        <v>0</v>
      </c>
      <c r="B41" s="244">
        <f>(D4-2)*0</f>
        <v>0</v>
      </c>
      <c r="C41" s="230">
        <v>0</v>
      </c>
      <c r="D41" s="225">
        <f t="shared" si="1"/>
        <v>0</v>
      </c>
      <c r="I41" s="277"/>
      <c r="J41" s="274"/>
      <c r="K41" s="278"/>
      <c r="P41" s="270"/>
      <c r="R41" s="226">
        <v>0</v>
      </c>
      <c r="S41" s="226">
        <v>0</v>
      </c>
      <c r="T41" s="230">
        <v>0</v>
      </c>
      <c r="U41" s="253">
        <f t="shared" ref="U41:U45" si="15">R41*S41*T41</f>
        <v>0</v>
      </c>
      <c r="Y41" s="226">
        <f t="shared" ref="Y41:Y45" si="16">A41*2</f>
        <v>0</v>
      </c>
    </row>
    <row r="42" spans="1:25">
      <c r="A42" s="226">
        <v>0</v>
      </c>
      <c r="B42" s="244">
        <f>(D4-2)*0</f>
        <v>0</v>
      </c>
      <c r="C42" s="230">
        <v>0</v>
      </c>
      <c r="D42" s="225">
        <f t="shared" si="1"/>
        <v>0</v>
      </c>
      <c r="I42" s="277"/>
      <c r="J42" s="274"/>
      <c r="K42" s="278"/>
      <c r="M42" s="254" t="s">
        <v>978</v>
      </c>
      <c r="P42" s="270"/>
      <c r="R42" s="226">
        <v>0</v>
      </c>
      <c r="S42" s="226">
        <v>0</v>
      </c>
      <c r="T42" s="230">
        <v>0</v>
      </c>
      <c r="U42" s="253">
        <f t="shared" si="15"/>
        <v>0</v>
      </c>
      <c r="Y42" s="226">
        <f t="shared" si="16"/>
        <v>0</v>
      </c>
    </row>
    <row r="43" spans="1:25">
      <c r="A43" s="226">
        <v>0</v>
      </c>
      <c r="B43" s="226">
        <v>0</v>
      </c>
      <c r="C43" s="230">
        <v>0</v>
      </c>
      <c r="D43" s="225">
        <f t="shared" si="1"/>
        <v>0</v>
      </c>
      <c r="I43" s="277"/>
      <c r="J43" s="274"/>
      <c r="K43" s="278"/>
      <c r="M43" s="244">
        <f>0.95+0.42</f>
        <v>1.3699999999999999</v>
      </c>
      <c r="N43" s="244">
        <v>2</v>
      </c>
      <c r="O43" s="230">
        <f>2*6</f>
        <v>12</v>
      </c>
      <c r="P43" s="270">
        <f t="shared" ref="P43:P49" si="17">M43*N43*O43</f>
        <v>32.879999999999995</v>
      </c>
      <c r="R43" s="226">
        <v>0</v>
      </c>
      <c r="S43" s="226">
        <v>0</v>
      </c>
      <c r="T43" s="230">
        <v>0</v>
      </c>
      <c r="U43" s="253">
        <f t="shared" si="15"/>
        <v>0</v>
      </c>
      <c r="Y43" s="226">
        <f t="shared" si="16"/>
        <v>0</v>
      </c>
    </row>
    <row r="44" spans="1:25">
      <c r="A44" s="226">
        <v>0</v>
      </c>
      <c r="B44" s="226">
        <v>0</v>
      </c>
      <c r="C44" s="230">
        <v>0</v>
      </c>
      <c r="D44" s="225">
        <f t="shared" si="1"/>
        <v>0</v>
      </c>
      <c r="I44" s="277"/>
      <c r="J44" s="274"/>
      <c r="K44" s="278"/>
      <c r="M44" s="244">
        <v>0</v>
      </c>
      <c r="N44" s="244">
        <v>0</v>
      </c>
      <c r="O44" s="230">
        <v>2</v>
      </c>
      <c r="P44" s="270">
        <f t="shared" si="17"/>
        <v>0</v>
      </c>
      <c r="R44" s="226">
        <v>0</v>
      </c>
      <c r="S44" s="226">
        <v>0</v>
      </c>
      <c r="T44" s="230">
        <v>0</v>
      </c>
      <c r="U44" s="253">
        <f t="shared" si="15"/>
        <v>0</v>
      </c>
      <c r="Y44" s="226">
        <f t="shared" si="16"/>
        <v>0</v>
      </c>
    </row>
    <row r="45" spans="1:25">
      <c r="A45" s="226">
        <v>0</v>
      </c>
      <c r="B45" s="226">
        <v>0</v>
      </c>
      <c r="C45" s="230">
        <v>0</v>
      </c>
      <c r="D45" s="225">
        <f t="shared" si="1"/>
        <v>0</v>
      </c>
      <c r="I45" s="277"/>
      <c r="J45" s="274"/>
      <c r="K45" s="278"/>
      <c r="M45" s="244">
        <v>0</v>
      </c>
      <c r="N45" s="244">
        <v>0</v>
      </c>
      <c r="O45" s="230">
        <v>0</v>
      </c>
      <c r="P45" s="270">
        <f t="shared" si="17"/>
        <v>0</v>
      </c>
      <c r="R45" s="226">
        <v>0</v>
      </c>
      <c r="S45" s="226">
        <v>0</v>
      </c>
      <c r="T45" s="230">
        <v>0</v>
      </c>
      <c r="U45" s="253">
        <f t="shared" si="15"/>
        <v>0</v>
      </c>
      <c r="Y45" s="226">
        <f t="shared" si="16"/>
        <v>0</v>
      </c>
    </row>
    <row r="46" spans="1:25">
      <c r="A46" s="254" t="s">
        <v>1038</v>
      </c>
      <c r="I46" s="277"/>
      <c r="J46" s="274"/>
      <c r="K46" s="278"/>
      <c r="M46" s="244">
        <v>0</v>
      </c>
      <c r="N46" s="244">
        <v>0</v>
      </c>
      <c r="O46" s="230">
        <v>0</v>
      </c>
      <c r="P46" s="270">
        <f t="shared" si="17"/>
        <v>0</v>
      </c>
      <c r="R46" s="254" t="s">
        <v>1038</v>
      </c>
    </row>
    <row r="47" spans="1:25">
      <c r="A47" s="226">
        <v>0</v>
      </c>
      <c r="B47" s="244">
        <v>0</v>
      </c>
      <c r="C47" s="230">
        <v>0</v>
      </c>
      <c r="D47" s="225">
        <f t="shared" ref="D47:D50" si="18">A47*B47*C47</f>
        <v>0</v>
      </c>
      <c r="I47" s="277"/>
      <c r="J47" s="274"/>
      <c r="K47" s="278"/>
      <c r="M47" s="244">
        <v>0</v>
      </c>
      <c r="N47" s="244">
        <v>0</v>
      </c>
      <c r="O47" s="230">
        <v>0</v>
      </c>
      <c r="P47" s="270">
        <f t="shared" si="17"/>
        <v>0</v>
      </c>
      <c r="R47" s="226">
        <v>0</v>
      </c>
      <c r="S47" s="226">
        <v>0</v>
      </c>
      <c r="T47" s="230">
        <v>0</v>
      </c>
      <c r="U47" s="253">
        <f t="shared" ref="U47:U50" si="19">R47*S47*T47</f>
        <v>0</v>
      </c>
      <c r="Y47" s="226">
        <f t="shared" ref="Y47:Y53" si="20">A47*2</f>
        <v>0</v>
      </c>
    </row>
    <row r="48" spans="1:25">
      <c r="A48" s="226">
        <v>0</v>
      </c>
      <c r="B48" s="244">
        <v>0</v>
      </c>
      <c r="C48" s="230">
        <v>0</v>
      </c>
      <c r="D48" s="225">
        <f t="shared" si="18"/>
        <v>0</v>
      </c>
      <c r="I48" s="277"/>
      <c r="J48" s="274"/>
      <c r="K48" s="278"/>
      <c r="M48" s="244">
        <v>0</v>
      </c>
      <c r="N48" s="244">
        <v>0</v>
      </c>
      <c r="O48" s="230">
        <v>0</v>
      </c>
      <c r="P48" s="270">
        <f t="shared" si="17"/>
        <v>0</v>
      </c>
      <c r="R48" s="226">
        <v>0</v>
      </c>
      <c r="S48" s="226">
        <v>0</v>
      </c>
      <c r="T48" s="230">
        <v>0</v>
      </c>
      <c r="U48" s="253">
        <f t="shared" si="19"/>
        <v>0</v>
      </c>
      <c r="Y48" s="226">
        <f t="shared" si="20"/>
        <v>0</v>
      </c>
    </row>
    <row r="49" spans="1:25">
      <c r="A49" s="226">
        <v>0</v>
      </c>
      <c r="B49" s="226">
        <v>0</v>
      </c>
      <c r="C49" s="230">
        <v>0</v>
      </c>
      <c r="D49" s="225">
        <f t="shared" si="18"/>
        <v>0</v>
      </c>
      <c r="I49" s="277"/>
      <c r="J49" s="274"/>
      <c r="K49" s="278"/>
      <c r="M49" s="244">
        <v>0</v>
      </c>
      <c r="N49" s="244">
        <v>0</v>
      </c>
      <c r="O49" s="230">
        <v>0</v>
      </c>
      <c r="P49" s="270">
        <f t="shared" si="17"/>
        <v>0</v>
      </c>
      <c r="R49" s="226">
        <v>0</v>
      </c>
      <c r="S49" s="226">
        <v>0</v>
      </c>
      <c r="T49" s="230">
        <v>0</v>
      </c>
      <c r="U49" s="253">
        <f t="shared" si="19"/>
        <v>0</v>
      </c>
      <c r="Y49" s="226">
        <f t="shared" si="20"/>
        <v>0</v>
      </c>
    </row>
    <row r="50" spans="1:25" ht="15.75" thickBot="1">
      <c r="A50" s="226">
        <v>0</v>
      </c>
      <c r="B50" s="226">
        <v>0</v>
      </c>
      <c r="C50" s="230">
        <v>0</v>
      </c>
      <c r="D50" s="225">
        <f t="shared" si="18"/>
        <v>0</v>
      </c>
      <c r="I50" s="277"/>
      <c r="J50" s="274"/>
      <c r="K50" s="278"/>
      <c r="P50" s="283"/>
      <c r="R50" s="226">
        <v>0</v>
      </c>
      <c r="S50" s="226">
        <v>0</v>
      </c>
      <c r="T50" s="230">
        <v>0</v>
      </c>
      <c r="U50" s="253">
        <f t="shared" si="19"/>
        <v>0</v>
      </c>
      <c r="Y50" s="226">
        <f t="shared" si="20"/>
        <v>0</v>
      </c>
    </row>
    <row r="51" spans="1:25" ht="39.6" customHeight="1" thickBot="1">
      <c r="A51" s="226">
        <v>0</v>
      </c>
      <c r="B51" s="226">
        <v>0</v>
      </c>
      <c r="C51" s="230">
        <v>0</v>
      </c>
      <c r="D51" s="225">
        <f t="shared" ref="D51:D53" si="21">A51*B51*C51</f>
        <v>0</v>
      </c>
      <c r="I51" s="277"/>
      <c r="J51" s="274"/>
      <c r="K51" s="278"/>
      <c r="M51" s="415" t="s">
        <v>990</v>
      </c>
      <c r="N51" s="416"/>
      <c r="O51" s="417"/>
      <c r="P51" s="271">
        <f>SUM(P43:P49)</f>
        <v>32.879999999999995</v>
      </c>
      <c r="R51" s="226">
        <v>0</v>
      </c>
      <c r="S51" s="226">
        <v>0</v>
      </c>
      <c r="T51" s="230">
        <v>0</v>
      </c>
      <c r="U51" s="253">
        <f t="shared" ref="U51:U53" si="22">R51*S51*T51</f>
        <v>0</v>
      </c>
      <c r="Y51" s="226">
        <f t="shared" si="20"/>
        <v>0</v>
      </c>
    </row>
    <row r="52" spans="1:25">
      <c r="A52" s="226">
        <v>0</v>
      </c>
      <c r="B52" s="226">
        <v>0</v>
      </c>
      <c r="C52" s="230">
        <v>0</v>
      </c>
      <c r="D52" s="225">
        <f t="shared" si="21"/>
        <v>0</v>
      </c>
      <c r="I52" s="277"/>
      <c r="J52" s="274"/>
      <c r="K52" s="278"/>
      <c r="O52" s="226"/>
      <c r="P52" s="284"/>
      <c r="R52" s="226">
        <v>0</v>
      </c>
      <c r="S52" s="226">
        <v>0</v>
      </c>
      <c r="T52" s="230">
        <v>0</v>
      </c>
      <c r="U52" s="253">
        <f t="shared" si="22"/>
        <v>0</v>
      </c>
      <c r="Y52" s="226">
        <f t="shared" si="20"/>
        <v>0</v>
      </c>
    </row>
    <row r="53" spans="1:25">
      <c r="A53" s="226">
        <v>0</v>
      </c>
      <c r="B53" s="226">
        <v>0</v>
      </c>
      <c r="C53" s="230">
        <v>0</v>
      </c>
      <c r="D53" s="225">
        <f t="shared" si="21"/>
        <v>0</v>
      </c>
      <c r="I53" s="277"/>
      <c r="J53" s="274"/>
      <c r="K53" s="278"/>
      <c r="O53" s="226"/>
      <c r="P53" s="278"/>
      <c r="R53" s="226">
        <v>0</v>
      </c>
      <c r="S53" s="226">
        <v>0</v>
      </c>
      <c r="T53" s="230">
        <v>0</v>
      </c>
      <c r="U53" s="253">
        <f t="shared" si="22"/>
        <v>0</v>
      </c>
      <c r="Y53" s="226">
        <f t="shared" si="20"/>
        <v>0</v>
      </c>
    </row>
    <row r="54" spans="1:25">
      <c r="A54" s="254" t="s">
        <v>1038</v>
      </c>
      <c r="I54" s="277"/>
      <c r="J54" s="274"/>
      <c r="K54" s="278"/>
      <c r="O54" s="226"/>
      <c r="P54" s="278"/>
      <c r="R54" s="254" t="s">
        <v>1038</v>
      </c>
    </row>
    <row r="55" spans="1:25">
      <c r="A55" s="226">
        <v>0</v>
      </c>
      <c r="B55" s="244">
        <v>0</v>
      </c>
      <c r="C55" s="230">
        <v>0</v>
      </c>
      <c r="D55" s="225">
        <f>A55*B55*C55</f>
        <v>0</v>
      </c>
      <c r="I55" s="277"/>
      <c r="J55" s="274"/>
      <c r="K55" s="278"/>
      <c r="O55" s="226"/>
      <c r="P55" s="278"/>
      <c r="R55" s="226">
        <v>0</v>
      </c>
      <c r="S55" s="226">
        <v>0</v>
      </c>
      <c r="T55" s="230">
        <v>0</v>
      </c>
      <c r="U55" s="253">
        <f>R55*S55*T55</f>
        <v>0</v>
      </c>
      <c r="Y55" s="226">
        <f t="shared" ref="Y55:Y58" si="23">A55*2</f>
        <v>0</v>
      </c>
    </row>
    <row r="56" spans="1:25">
      <c r="A56" s="226">
        <v>0</v>
      </c>
      <c r="B56" s="244">
        <v>0</v>
      </c>
      <c r="C56" s="230">
        <v>0</v>
      </c>
      <c r="D56" s="225">
        <f>A56*B56*C56</f>
        <v>0</v>
      </c>
      <c r="I56" s="277"/>
      <c r="J56" s="274"/>
      <c r="K56" s="278"/>
      <c r="O56" s="226"/>
      <c r="P56" s="278"/>
      <c r="R56" s="226">
        <v>0</v>
      </c>
      <c r="S56" s="226">
        <v>0</v>
      </c>
      <c r="T56" s="230">
        <v>0</v>
      </c>
      <c r="U56" s="253">
        <f>R56*S56*T56</f>
        <v>0</v>
      </c>
      <c r="Y56" s="226">
        <f t="shared" si="23"/>
        <v>0</v>
      </c>
    </row>
    <row r="57" spans="1:25">
      <c r="A57" s="226">
        <v>0</v>
      </c>
      <c r="B57" s="244">
        <v>0</v>
      </c>
      <c r="C57" s="230">
        <v>0</v>
      </c>
      <c r="D57" s="225">
        <f>A57*B57*C57</f>
        <v>0</v>
      </c>
      <c r="I57" s="277"/>
      <c r="J57" s="274"/>
      <c r="K57" s="278"/>
      <c r="O57" s="226"/>
      <c r="P57" s="278"/>
      <c r="R57" s="226">
        <v>0</v>
      </c>
      <c r="S57" s="226">
        <v>0</v>
      </c>
      <c r="T57" s="230">
        <v>0</v>
      </c>
      <c r="U57" s="253">
        <f>R57*S57*T57</f>
        <v>0</v>
      </c>
      <c r="Y57" s="226">
        <f t="shared" si="23"/>
        <v>0</v>
      </c>
    </row>
    <row r="58" spans="1:25">
      <c r="A58" s="226">
        <v>0</v>
      </c>
      <c r="B58" s="226">
        <v>0</v>
      </c>
      <c r="C58" s="230">
        <v>0</v>
      </c>
      <c r="D58" s="225">
        <f>A58*B58*C58</f>
        <v>0</v>
      </c>
      <c r="I58" s="277"/>
      <c r="J58" s="274"/>
      <c r="K58" s="278"/>
      <c r="O58" s="226"/>
      <c r="P58" s="278"/>
      <c r="R58" s="226">
        <v>0</v>
      </c>
      <c r="S58" s="226">
        <v>0</v>
      </c>
      <c r="T58" s="230">
        <v>0</v>
      </c>
      <c r="U58" s="253">
        <f>R58*S58*T58</f>
        <v>0</v>
      </c>
      <c r="Y58" s="226">
        <f t="shared" si="23"/>
        <v>0</v>
      </c>
    </row>
    <row r="59" spans="1:25" ht="15.75" thickBot="1">
      <c r="I59" s="277"/>
      <c r="J59" s="274"/>
      <c r="K59" s="278"/>
      <c r="P59" s="276"/>
    </row>
    <row r="60" spans="1:25" ht="35.450000000000003" customHeight="1" thickBot="1">
      <c r="A60" s="408" t="s">
        <v>974</v>
      </c>
      <c r="B60" s="409"/>
      <c r="C60" s="409"/>
      <c r="D60" s="258">
        <f>SUM(D9:D58)</f>
        <v>116.38799999999999</v>
      </c>
      <c r="I60" s="277"/>
      <c r="J60" s="274"/>
      <c r="K60" s="278"/>
      <c r="M60" s="246"/>
      <c r="O60" s="226"/>
      <c r="P60" s="278"/>
      <c r="R60" s="410" t="s">
        <v>976</v>
      </c>
      <c r="S60" s="411"/>
      <c r="T60" s="412"/>
      <c r="U60" s="255">
        <f>SUM(U9:U58)</f>
        <v>11.711399999999999</v>
      </c>
    </row>
    <row r="61" spans="1:25">
      <c r="I61" s="277"/>
      <c r="J61" s="274"/>
      <c r="K61" s="278"/>
      <c r="P61" s="276"/>
      <c r="U61" s="276"/>
    </row>
    <row r="62" spans="1:25">
      <c r="A62" s="420" t="s">
        <v>1099</v>
      </c>
      <c r="B62" s="420"/>
      <c r="C62" s="420"/>
      <c r="D62" s="259"/>
      <c r="I62" s="277"/>
      <c r="J62" s="274"/>
      <c r="K62" s="278"/>
      <c r="P62" s="276"/>
      <c r="U62" s="276"/>
    </row>
    <row r="63" spans="1:25">
      <c r="A63" s="420"/>
      <c r="B63" s="420"/>
      <c r="C63" s="420"/>
      <c r="D63" s="259"/>
      <c r="I63" s="277"/>
      <c r="J63" s="274"/>
      <c r="K63" s="278"/>
      <c r="P63" s="276"/>
      <c r="U63" s="276"/>
    </row>
    <row r="64" spans="1:25">
      <c r="D64" s="259"/>
      <c r="I64" s="277"/>
      <c r="J64" s="274"/>
      <c r="K64" s="278"/>
      <c r="P64" s="276"/>
      <c r="U64" s="276"/>
    </row>
    <row r="65" spans="1:21">
      <c r="A65" s="254" t="s">
        <v>978</v>
      </c>
      <c r="D65" s="259"/>
      <c r="I65" s="277"/>
      <c r="J65" s="274"/>
      <c r="K65" s="278"/>
      <c r="P65" s="276"/>
      <c r="U65" s="276"/>
    </row>
    <row r="66" spans="1:21">
      <c r="A66" s="244">
        <f>0.95+0.42</f>
        <v>1.3699999999999999</v>
      </c>
      <c r="B66" s="244">
        <v>2</v>
      </c>
      <c r="C66" s="230">
        <f>2*6</f>
        <v>12</v>
      </c>
      <c r="D66" s="259">
        <f t="shared" ref="D66:D72" si="24">A66*B66*C66</f>
        <v>32.879999999999995</v>
      </c>
      <c r="I66" s="277"/>
      <c r="J66" s="274"/>
      <c r="K66" s="278"/>
      <c r="P66" s="276"/>
      <c r="R66" s="254"/>
      <c r="U66" s="276"/>
    </row>
    <row r="67" spans="1:21">
      <c r="A67" s="244">
        <v>0</v>
      </c>
      <c r="B67" s="244">
        <v>0</v>
      </c>
      <c r="C67" s="230">
        <v>2</v>
      </c>
      <c r="D67" s="259">
        <f t="shared" si="24"/>
        <v>0</v>
      </c>
      <c r="I67" s="277"/>
      <c r="J67" s="274"/>
      <c r="K67" s="278"/>
      <c r="P67" s="276"/>
      <c r="U67" s="276"/>
    </row>
    <row r="68" spans="1:21">
      <c r="A68" s="244">
        <v>0</v>
      </c>
      <c r="B68" s="244">
        <v>0</v>
      </c>
      <c r="C68" s="230">
        <v>0</v>
      </c>
      <c r="D68" s="259">
        <f t="shared" si="24"/>
        <v>0</v>
      </c>
      <c r="I68" s="277"/>
      <c r="J68" s="274"/>
      <c r="K68" s="278"/>
      <c r="P68" s="276"/>
      <c r="U68" s="276"/>
    </row>
    <row r="69" spans="1:21">
      <c r="A69" s="244">
        <v>0</v>
      </c>
      <c r="B69" s="244">
        <v>0</v>
      </c>
      <c r="C69" s="230">
        <v>0</v>
      </c>
      <c r="D69" s="259">
        <f t="shared" si="24"/>
        <v>0</v>
      </c>
      <c r="I69" s="277"/>
      <c r="J69" s="274"/>
      <c r="K69" s="278"/>
      <c r="P69" s="276"/>
      <c r="U69" s="276"/>
    </row>
    <row r="70" spans="1:21">
      <c r="A70" s="244">
        <v>0</v>
      </c>
      <c r="B70" s="244">
        <v>0</v>
      </c>
      <c r="C70" s="230">
        <v>0</v>
      </c>
      <c r="D70" s="259">
        <f t="shared" si="24"/>
        <v>0</v>
      </c>
      <c r="I70" s="277"/>
      <c r="J70" s="274"/>
      <c r="K70" s="278"/>
      <c r="P70" s="276"/>
      <c r="U70" s="276"/>
    </row>
    <row r="71" spans="1:21">
      <c r="A71" s="244">
        <v>0</v>
      </c>
      <c r="B71" s="244">
        <v>0</v>
      </c>
      <c r="C71" s="230">
        <v>0</v>
      </c>
      <c r="D71" s="259">
        <f t="shared" si="24"/>
        <v>0</v>
      </c>
      <c r="I71" s="277"/>
      <c r="J71" s="274"/>
      <c r="K71" s="278"/>
      <c r="P71" s="276"/>
      <c r="U71" s="276"/>
    </row>
    <row r="72" spans="1:21">
      <c r="A72" s="244">
        <v>0</v>
      </c>
      <c r="B72" s="244">
        <v>0</v>
      </c>
      <c r="C72" s="230">
        <v>0</v>
      </c>
      <c r="D72" s="259">
        <f t="shared" si="24"/>
        <v>0</v>
      </c>
      <c r="I72" s="277"/>
      <c r="J72" s="274"/>
      <c r="K72" s="278"/>
      <c r="P72" s="276"/>
      <c r="U72" s="276"/>
    </row>
    <row r="73" spans="1:21" ht="15.75" thickBot="1">
      <c r="D73" s="259"/>
      <c r="I73" s="277"/>
      <c r="J73" s="274"/>
      <c r="K73" s="278"/>
      <c r="P73" s="276"/>
      <c r="U73" s="276"/>
    </row>
    <row r="74" spans="1:21" ht="37.9" customHeight="1" thickBot="1">
      <c r="A74" s="421" t="s">
        <v>977</v>
      </c>
      <c r="B74" s="422"/>
      <c r="C74" s="423"/>
      <c r="D74" s="260">
        <f>SUM(D66:D72)</f>
        <v>32.879999999999995</v>
      </c>
      <c r="I74" s="277"/>
      <c r="J74" s="274"/>
      <c r="K74" s="278"/>
      <c r="P74" s="276"/>
      <c r="U74" s="276"/>
    </row>
    <row r="75" spans="1:21">
      <c r="D75" s="276"/>
      <c r="I75" s="277"/>
      <c r="J75" s="274"/>
      <c r="K75" s="278"/>
      <c r="P75" s="276"/>
      <c r="U75" s="276"/>
    </row>
    <row r="76" spans="1:21">
      <c r="D76" s="276"/>
      <c r="I76" s="277"/>
      <c r="J76" s="274"/>
      <c r="K76" s="278"/>
      <c r="P76" s="276"/>
      <c r="U76" s="276"/>
    </row>
    <row r="77" spans="1:21">
      <c r="D77" s="276"/>
      <c r="I77" s="277"/>
      <c r="J77" s="274"/>
      <c r="K77" s="278"/>
      <c r="P77" s="276"/>
      <c r="U77" s="276"/>
    </row>
    <row r="78" spans="1:21">
      <c r="D78" s="276"/>
      <c r="I78" s="277"/>
      <c r="J78" s="274"/>
      <c r="K78" s="278"/>
      <c r="P78" s="276"/>
      <c r="U78" s="276"/>
    </row>
    <row r="79" spans="1:21">
      <c r="A79" s="254"/>
      <c r="D79" s="276"/>
      <c r="I79" s="277"/>
      <c r="J79" s="274"/>
      <c r="K79" s="278"/>
      <c r="P79" s="276"/>
      <c r="U79" s="276"/>
    </row>
    <row r="80" spans="1:21">
      <c r="D80" s="276"/>
      <c r="I80" s="277"/>
      <c r="J80" s="274"/>
      <c r="K80" s="278"/>
      <c r="P80" s="276"/>
      <c r="U80" s="276"/>
    </row>
    <row r="81" spans="4:21">
      <c r="D81" s="276"/>
      <c r="I81" s="277"/>
      <c r="J81" s="274"/>
      <c r="K81" s="278"/>
      <c r="P81" s="276"/>
      <c r="U81" s="276"/>
    </row>
    <row r="82" spans="4:21">
      <c r="D82" s="276"/>
      <c r="I82" s="277"/>
      <c r="J82" s="274"/>
      <c r="K82" s="278"/>
      <c r="P82" s="276"/>
      <c r="U82" s="276"/>
    </row>
    <row r="83" spans="4:21">
      <c r="D83" s="276"/>
      <c r="I83" s="277"/>
      <c r="J83" s="274"/>
      <c r="K83" s="278"/>
      <c r="P83" s="276"/>
      <c r="U83" s="276"/>
    </row>
    <row r="84" spans="4:21">
      <c r="D84" s="276"/>
      <c r="I84" s="277"/>
      <c r="J84" s="274"/>
      <c r="K84" s="278"/>
      <c r="P84" s="276"/>
      <c r="U84" s="276"/>
    </row>
    <row r="85" spans="4:21">
      <c r="D85" s="276"/>
      <c r="I85" s="277"/>
      <c r="J85" s="274"/>
      <c r="K85" s="278"/>
      <c r="P85" s="276"/>
      <c r="U85" s="276"/>
    </row>
    <row r="86" spans="4:21">
      <c r="D86" s="276"/>
      <c r="I86" s="277"/>
      <c r="J86" s="274"/>
      <c r="K86" s="278"/>
      <c r="P86" s="276"/>
      <c r="U86" s="276"/>
    </row>
    <row r="87" spans="4:21">
      <c r="D87" s="276"/>
      <c r="I87" s="277"/>
      <c r="J87" s="274"/>
      <c r="K87" s="278"/>
      <c r="P87" s="276"/>
      <c r="U87" s="276"/>
    </row>
    <row r="88" spans="4:21">
      <c r="D88" s="276"/>
      <c r="I88" s="277"/>
      <c r="J88" s="274"/>
      <c r="K88" s="278"/>
      <c r="P88" s="276"/>
      <c r="U88" s="276"/>
    </row>
    <row r="89" spans="4:21">
      <c r="D89" s="276"/>
      <c r="I89" s="277"/>
      <c r="J89" s="274"/>
      <c r="K89" s="278"/>
      <c r="P89" s="276"/>
      <c r="U89" s="276"/>
    </row>
    <row r="90" spans="4:21">
      <c r="D90" s="276"/>
      <c r="I90" s="277"/>
      <c r="J90" s="274"/>
      <c r="K90" s="278"/>
      <c r="P90" s="276"/>
      <c r="U90" s="276"/>
    </row>
    <row r="91" spans="4:21">
      <c r="D91" s="276"/>
      <c r="I91" s="277"/>
      <c r="J91" s="274"/>
      <c r="K91" s="278"/>
      <c r="P91" s="276"/>
      <c r="U91" s="276"/>
    </row>
    <row r="92" spans="4:21">
      <c r="D92" s="276"/>
      <c r="I92" s="277"/>
      <c r="J92" s="274"/>
      <c r="K92" s="278"/>
      <c r="P92" s="276"/>
      <c r="U92" s="276"/>
    </row>
    <row r="93" spans="4:21">
      <c r="D93" s="276"/>
      <c r="I93" s="277"/>
      <c r="J93" s="274"/>
      <c r="K93" s="278"/>
      <c r="P93" s="276"/>
      <c r="U93" s="276"/>
    </row>
    <row r="94" spans="4:21">
      <c r="D94" s="276"/>
      <c r="I94" s="277"/>
      <c r="J94" s="274"/>
      <c r="K94" s="278"/>
      <c r="P94" s="276"/>
      <c r="U94" s="276"/>
    </row>
    <row r="95" spans="4:21">
      <c r="D95" s="276"/>
      <c r="I95" s="277"/>
      <c r="J95" s="274"/>
      <c r="K95" s="278"/>
      <c r="P95" s="276"/>
      <c r="U95" s="276"/>
    </row>
    <row r="96" spans="4:21">
      <c r="D96" s="276"/>
      <c r="I96" s="277"/>
      <c r="J96" s="274"/>
      <c r="K96" s="278"/>
      <c r="P96" s="276"/>
      <c r="U96" s="276"/>
    </row>
    <row r="97" spans="4:21">
      <c r="D97" s="276"/>
      <c r="I97" s="277"/>
      <c r="J97" s="274"/>
      <c r="K97" s="278"/>
      <c r="P97" s="276"/>
      <c r="U97" s="276"/>
    </row>
    <row r="98" spans="4:21">
      <c r="D98" s="276"/>
      <c r="I98" s="277"/>
      <c r="J98" s="274"/>
      <c r="K98" s="278"/>
      <c r="P98" s="276"/>
      <c r="U98" s="276"/>
    </row>
    <row r="99" spans="4:21">
      <c r="D99" s="276"/>
      <c r="I99" s="277"/>
      <c r="J99" s="274"/>
      <c r="K99" s="278"/>
      <c r="P99" s="276"/>
      <c r="U99" s="276"/>
    </row>
    <row r="100" spans="4:21">
      <c r="D100" s="276"/>
      <c r="I100" s="277"/>
      <c r="J100" s="274"/>
      <c r="K100" s="278"/>
      <c r="P100" s="276"/>
      <c r="U100" s="276"/>
    </row>
    <row r="101" spans="4:21">
      <c r="D101" s="276"/>
      <c r="I101" s="277"/>
      <c r="J101" s="274"/>
      <c r="K101" s="278"/>
      <c r="P101" s="276"/>
      <c r="U101" s="276"/>
    </row>
    <row r="102" spans="4:21">
      <c r="D102" s="276"/>
      <c r="I102" s="277"/>
      <c r="J102" s="274"/>
      <c r="K102" s="278"/>
      <c r="P102" s="276"/>
      <c r="U102" s="276"/>
    </row>
    <row r="103" spans="4:21">
      <c r="D103" s="276"/>
      <c r="I103" s="277"/>
      <c r="J103" s="274"/>
      <c r="K103" s="278"/>
      <c r="P103" s="276"/>
      <c r="U103" s="276"/>
    </row>
    <row r="104" spans="4:21">
      <c r="D104" s="276"/>
      <c r="I104" s="277"/>
      <c r="J104" s="274"/>
      <c r="K104" s="278"/>
      <c r="P104" s="276"/>
      <c r="U104" s="276"/>
    </row>
    <row r="105" spans="4:21">
      <c r="D105" s="276"/>
      <c r="I105" s="277"/>
      <c r="J105" s="274"/>
      <c r="K105" s="278"/>
      <c r="P105" s="276"/>
      <c r="U105" s="276"/>
    </row>
    <row r="106" spans="4:21">
      <c r="D106" s="276"/>
      <c r="I106" s="277"/>
      <c r="J106" s="274"/>
      <c r="K106" s="278"/>
      <c r="P106" s="276"/>
      <c r="U106" s="276"/>
    </row>
    <row r="107" spans="4:21">
      <c r="D107" s="276"/>
      <c r="I107" s="277"/>
      <c r="J107" s="274"/>
      <c r="K107" s="278"/>
      <c r="P107" s="276"/>
      <c r="U107" s="276"/>
    </row>
    <row r="108" spans="4:21">
      <c r="D108" s="276"/>
      <c r="I108" s="277"/>
      <c r="J108" s="274"/>
      <c r="K108" s="278"/>
      <c r="P108" s="276"/>
      <c r="U108" s="276"/>
    </row>
    <row r="109" spans="4:21">
      <c r="D109" s="276"/>
      <c r="I109" s="277"/>
      <c r="J109" s="274"/>
      <c r="K109" s="278"/>
      <c r="P109" s="276"/>
      <c r="U109" s="276"/>
    </row>
    <row r="110" spans="4:21">
      <c r="D110" s="276"/>
      <c r="I110" s="277"/>
      <c r="J110" s="274"/>
      <c r="K110" s="278"/>
      <c r="P110" s="276"/>
      <c r="U110" s="276"/>
    </row>
    <row r="111" spans="4:21">
      <c r="D111" s="276"/>
      <c r="I111" s="277"/>
      <c r="J111" s="274"/>
      <c r="K111" s="278"/>
      <c r="P111" s="276"/>
      <c r="U111" s="276"/>
    </row>
    <row r="112" spans="4:21">
      <c r="D112" s="276"/>
      <c r="I112" s="277"/>
      <c r="J112" s="274"/>
      <c r="K112" s="278"/>
      <c r="P112" s="276"/>
      <c r="U112" s="276"/>
    </row>
    <row r="113" spans="4:21">
      <c r="D113" s="276"/>
      <c r="I113" s="277"/>
      <c r="J113" s="274"/>
      <c r="K113" s="278"/>
      <c r="P113" s="276"/>
      <c r="U113" s="276"/>
    </row>
    <row r="114" spans="4:21">
      <c r="D114" s="276"/>
      <c r="I114" s="277"/>
      <c r="J114" s="274"/>
      <c r="K114" s="278"/>
      <c r="P114" s="276"/>
      <c r="U114" s="276"/>
    </row>
    <row r="115" spans="4:21">
      <c r="D115" s="276"/>
      <c r="I115" s="277"/>
      <c r="J115" s="274"/>
      <c r="K115" s="278"/>
      <c r="P115" s="276"/>
      <c r="U115" s="276"/>
    </row>
    <row r="116" spans="4:21">
      <c r="D116" s="276"/>
      <c r="I116" s="277"/>
      <c r="J116" s="274"/>
      <c r="K116" s="278"/>
      <c r="P116" s="276"/>
      <c r="U116" s="276"/>
    </row>
    <row r="117" spans="4:21">
      <c r="D117" s="276"/>
      <c r="I117" s="277"/>
      <c r="J117" s="274"/>
      <c r="K117" s="278"/>
      <c r="P117" s="276"/>
      <c r="U117" s="276"/>
    </row>
    <row r="118" spans="4:21">
      <c r="D118" s="276"/>
      <c r="I118" s="277"/>
      <c r="J118" s="274"/>
      <c r="K118" s="278"/>
      <c r="P118" s="276"/>
      <c r="U118" s="276"/>
    </row>
    <row r="119" spans="4:21">
      <c r="D119" s="276"/>
      <c r="I119" s="277"/>
      <c r="J119" s="274"/>
      <c r="K119" s="278"/>
      <c r="P119" s="276"/>
      <c r="U119" s="276"/>
    </row>
    <row r="120" spans="4:21">
      <c r="D120" s="276"/>
      <c r="I120" s="277"/>
      <c r="J120" s="274"/>
      <c r="K120" s="278"/>
      <c r="P120" s="276"/>
      <c r="U120" s="276"/>
    </row>
    <row r="121" spans="4:21">
      <c r="D121" s="276"/>
      <c r="I121" s="277"/>
      <c r="J121" s="274"/>
      <c r="K121" s="278"/>
      <c r="P121" s="276"/>
      <c r="U121" s="276"/>
    </row>
    <row r="122" spans="4:21">
      <c r="D122" s="276"/>
      <c r="I122" s="277"/>
      <c r="J122" s="274"/>
      <c r="K122" s="278"/>
      <c r="P122" s="276"/>
      <c r="U122" s="276"/>
    </row>
    <row r="123" spans="4:21">
      <c r="D123" s="276"/>
      <c r="I123" s="277"/>
      <c r="J123" s="274"/>
      <c r="K123" s="278"/>
      <c r="P123" s="276"/>
      <c r="U123" s="276"/>
    </row>
    <row r="124" spans="4:21">
      <c r="D124" s="276"/>
      <c r="I124" s="277"/>
      <c r="J124" s="274"/>
      <c r="K124" s="278"/>
      <c r="P124" s="276"/>
      <c r="U124" s="276"/>
    </row>
    <row r="125" spans="4:21">
      <c r="D125" s="276"/>
      <c r="I125" s="277"/>
      <c r="J125" s="274"/>
      <c r="K125" s="278"/>
      <c r="P125" s="276"/>
      <c r="U125" s="276"/>
    </row>
    <row r="126" spans="4:21">
      <c r="D126" s="276"/>
      <c r="I126" s="277"/>
      <c r="J126" s="274"/>
      <c r="K126" s="278"/>
      <c r="P126" s="276"/>
      <c r="U126" s="276"/>
    </row>
    <row r="127" spans="4:21">
      <c r="D127" s="276"/>
      <c r="I127" s="277"/>
      <c r="J127" s="274"/>
      <c r="K127" s="278"/>
      <c r="P127" s="276"/>
      <c r="U127" s="276"/>
    </row>
    <row r="128" spans="4:21">
      <c r="D128" s="276"/>
      <c r="I128" s="277"/>
      <c r="J128" s="274"/>
      <c r="K128" s="278"/>
      <c r="P128" s="276"/>
      <c r="U128" s="276"/>
    </row>
    <row r="129" spans="4:21">
      <c r="D129" s="276"/>
      <c r="I129" s="277"/>
      <c r="J129" s="274"/>
      <c r="K129" s="278"/>
      <c r="P129" s="276"/>
      <c r="U129" s="276"/>
    </row>
    <row r="130" spans="4:21">
      <c r="D130" s="276"/>
      <c r="I130" s="277"/>
      <c r="J130" s="274"/>
      <c r="K130" s="278"/>
      <c r="P130" s="276"/>
      <c r="U130" s="276"/>
    </row>
    <row r="131" spans="4:21">
      <c r="D131" s="276"/>
      <c r="I131" s="277"/>
      <c r="J131" s="274"/>
      <c r="K131" s="278"/>
      <c r="P131" s="276"/>
      <c r="U131" s="276"/>
    </row>
    <row r="132" spans="4:21">
      <c r="D132" s="276"/>
      <c r="I132" s="277"/>
      <c r="J132" s="274"/>
      <c r="K132" s="278"/>
      <c r="P132" s="276"/>
      <c r="U132" s="276"/>
    </row>
    <row r="133" spans="4:21">
      <c r="D133" s="276"/>
      <c r="I133" s="277"/>
      <c r="J133" s="274"/>
      <c r="K133" s="278"/>
      <c r="P133" s="276"/>
      <c r="U133" s="276"/>
    </row>
    <row r="134" spans="4:21">
      <c r="D134" s="276"/>
      <c r="I134" s="277"/>
      <c r="J134" s="274"/>
      <c r="K134" s="278"/>
      <c r="P134" s="276"/>
      <c r="U134" s="276"/>
    </row>
    <row r="135" spans="4:21">
      <c r="D135" s="276"/>
      <c r="I135" s="277"/>
      <c r="J135" s="274"/>
      <c r="K135" s="278"/>
      <c r="P135" s="276"/>
      <c r="U135" s="276"/>
    </row>
    <row r="136" spans="4:21">
      <c r="D136" s="276"/>
      <c r="I136" s="277"/>
      <c r="J136" s="274"/>
      <c r="K136" s="278"/>
      <c r="P136" s="276"/>
      <c r="U136" s="276"/>
    </row>
    <row r="137" spans="4:21">
      <c r="D137" s="276"/>
      <c r="I137" s="277"/>
      <c r="J137" s="274"/>
      <c r="K137" s="278"/>
      <c r="P137" s="276"/>
      <c r="U137" s="276"/>
    </row>
    <row r="138" spans="4:21">
      <c r="D138" s="276"/>
      <c r="I138" s="277"/>
      <c r="J138" s="274"/>
      <c r="K138" s="278"/>
      <c r="P138" s="276"/>
      <c r="U138" s="276"/>
    </row>
    <row r="139" spans="4:21">
      <c r="D139" s="276"/>
      <c r="I139" s="277"/>
      <c r="J139" s="274"/>
      <c r="K139" s="278"/>
      <c r="P139" s="276"/>
      <c r="U139" s="276"/>
    </row>
    <row r="140" spans="4:21">
      <c r="D140" s="276"/>
      <c r="I140" s="277"/>
      <c r="J140" s="274"/>
      <c r="K140" s="278"/>
      <c r="P140" s="276"/>
      <c r="U140" s="276"/>
    </row>
    <row r="141" spans="4:21">
      <c r="D141" s="276"/>
      <c r="I141" s="277"/>
      <c r="J141" s="274"/>
      <c r="K141" s="278"/>
      <c r="P141" s="276"/>
      <c r="U141" s="276"/>
    </row>
    <row r="142" spans="4:21">
      <c r="D142" s="276"/>
      <c r="I142" s="277"/>
      <c r="J142" s="274"/>
      <c r="K142" s="278"/>
      <c r="P142" s="276"/>
      <c r="U142" s="276"/>
    </row>
    <row r="143" spans="4:21">
      <c r="D143" s="276"/>
      <c r="I143" s="277"/>
      <c r="J143" s="274"/>
      <c r="K143" s="278"/>
      <c r="P143" s="276"/>
      <c r="U143" s="276"/>
    </row>
    <row r="144" spans="4:21">
      <c r="D144" s="276"/>
      <c r="I144" s="277"/>
      <c r="J144" s="274"/>
      <c r="K144" s="278"/>
      <c r="P144" s="276"/>
      <c r="U144" s="276"/>
    </row>
    <row r="145" spans="4:21">
      <c r="D145" s="276"/>
      <c r="I145" s="277"/>
      <c r="J145" s="274"/>
      <c r="K145" s="278"/>
      <c r="P145" s="276"/>
      <c r="U145" s="276"/>
    </row>
    <row r="146" spans="4:21">
      <c r="D146" s="276"/>
      <c r="I146" s="277"/>
      <c r="J146" s="274"/>
      <c r="K146" s="278"/>
      <c r="P146" s="276"/>
      <c r="U146" s="276"/>
    </row>
    <row r="147" spans="4:21">
      <c r="D147" s="276"/>
      <c r="I147" s="277"/>
      <c r="J147" s="274"/>
      <c r="K147" s="278"/>
      <c r="P147" s="276"/>
      <c r="U147" s="276"/>
    </row>
    <row r="148" spans="4:21">
      <c r="D148" s="276"/>
      <c r="I148" s="277"/>
      <c r="J148" s="274"/>
      <c r="K148" s="278"/>
      <c r="P148" s="276"/>
      <c r="U148" s="276"/>
    </row>
    <row r="149" spans="4:21">
      <c r="D149" s="276"/>
      <c r="I149" s="277"/>
      <c r="J149" s="274"/>
      <c r="K149" s="278"/>
      <c r="P149" s="276"/>
      <c r="U149" s="276"/>
    </row>
    <row r="150" spans="4:21">
      <c r="D150" s="276"/>
      <c r="I150" s="277"/>
      <c r="J150" s="274"/>
      <c r="K150" s="278"/>
      <c r="P150" s="276"/>
      <c r="U150" s="276"/>
    </row>
    <row r="151" spans="4:21">
      <c r="D151" s="276"/>
      <c r="I151" s="277"/>
      <c r="J151" s="274"/>
      <c r="K151" s="278"/>
      <c r="P151" s="276"/>
      <c r="U151" s="276"/>
    </row>
    <row r="152" spans="4:21">
      <c r="D152" s="276"/>
      <c r="I152" s="277"/>
      <c r="J152" s="274"/>
      <c r="K152" s="278"/>
      <c r="P152" s="276"/>
      <c r="U152" s="276"/>
    </row>
    <row r="153" spans="4:21">
      <c r="D153" s="276"/>
      <c r="I153" s="277"/>
      <c r="J153" s="274"/>
      <c r="K153" s="278"/>
      <c r="P153" s="276"/>
      <c r="U153" s="276"/>
    </row>
    <row r="154" spans="4:21">
      <c r="D154" s="276"/>
      <c r="I154" s="277"/>
      <c r="J154" s="274"/>
      <c r="K154" s="278"/>
      <c r="P154" s="276"/>
      <c r="U154" s="276"/>
    </row>
    <row r="155" spans="4:21">
      <c r="D155" s="276"/>
      <c r="I155" s="277"/>
      <c r="J155" s="274"/>
      <c r="K155" s="278"/>
      <c r="P155" s="276"/>
      <c r="U155" s="276"/>
    </row>
    <row r="156" spans="4:21">
      <c r="D156" s="276"/>
      <c r="I156" s="277"/>
      <c r="J156" s="274"/>
      <c r="K156" s="278"/>
      <c r="P156" s="276"/>
      <c r="U156" s="276"/>
    </row>
    <row r="157" spans="4:21">
      <c r="D157" s="276"/>
      <c r="I157" s="277"/>
      <c r="J157" s="274"/>
      <c r="K157" s="278"/>
      <c r="P157" s="276"/>
      <c r="U157" s="276"/>
    </row>
    <row r="158" spans="4:21">
      <c r="D158" s="276"/>
      <c r="I158" s="277"/>
      <c r="J158" s="274"/>
      <c r="K158" s="278"/>
      <c r="P158" s="276"/>
      <c r="U158" s="276"/>
    </row>
    <row r="159" spans="4:21">
      <c r="D159" s="276"/>
      <c r="I159" s="277"/>
      <c r="J159" s="274"/>
      <c r="K159" s="278"/>
      <c r="P159" s="276"/>
      <c r="U159" s="276"/>
    </row>
    <row r="160" spans="4:21">
      <c r="D160" s="276"/>
      <c r="I160" s="277"/>
      <c r="J160" s="274"/>
      <c r="K160" s="278"/>
      <c r="P160" s="276"/>
      <c r="U160" s="276"/>
    </row>
    <row r="161" spans="4:21">
      <c r="D161" s="276"/>
      <c r="I161" s="277"/>
      <c r="J161" s="274"/>
      <c r="K161" s="278"/>
      <c r="P161" s="276"/>
      <c r="U161" s="276"/>
    </row>
    <row r="162" spans="4:21">
      <c r="D162" s="276"/>
      <c r="I162" s="277"/>
      <c r="J162" s="274"/>
      <c r="K162" s="278"/>
      <c r="P162" s="276"/>
      <c r="U162" s="276"/>
    </row>
    <row r="163" spans="4:21">
      <c r="D163" s="276"/>
      <c r="I163" s="277"/>
      <c r="J163" s="274"/>
      <c r="K163" s="278"/>
      <c r="P163" s="276"/>
      <c r="U163" s="276"/>
    </row>
    <row r="164" spans="4:21">
      <c r="D164" s="276"/>
      <c r="I164" s="277"/>
      <c r="J164" s="274"/>
      <c r="K164" s="278"/>
      <c r="P164" s="276"/>
      <c r="U164" s="276"/>
    </row>
    <row r="165" spans="4:21">
      <c r="D165" s="276"/>
      <c r="I165" s="277"/>
      <c r="J165" s="274"/>
      <c r="K165" s="278"/>
      <c r="P165" s="276"/>
      <c r="U165" s="276"/>
    </row>
    <row r="166" spans="4:21">
      <c r="D166" s="276"/>
      <c r="I166" s="277"/>
      <c r="J166" s="274"/>
      <c r="K166" s="278"/>
      <c r="P166" s="276"/>
      <c r="U166" s="276"/>
    </row>
    <row r="167" spans="4:21">
      <c r="D167" s="276"/>
      <c r="I167" s="277"/>
      <c r="J167" s="274"/>
      <c r="K167" s="278"/>
      <c r="P167" s="276"/>
      <c r="U167" s="276"/>
    </row>
    <row r="168" spans="4:21">
      <c r="D168" s="276"/>
      <c r="I168" s="277"/>
      <c r="J168" s="274"/>
      <c r="K168" s="278"/>
      <c r="P168" s="276"/>
      <c r="U168" s="276"/>
    </row>
    <row r="169" spans="4:21">
      <c r="D169" s="276"/>
      <c r="I169" s="277"/>
      <c r="J169" s="274"/>
      <c r="K169" s="278"/>
      <c r="P169" s="276"/>
      <c r="U169" s="276"/>
    </row>
    <row r="170" spans="4:21">
      <c r="D170" s="276"/>
      <c r="I170" s="277"/>
      <c r="J170" s="274"/>
      <c r="K170" s="278"/>
      <c r="P170" s="276"/>
      <c r="U170" s="276"/>
    </row>
    <row r="171" spans="4:21">
      <c r="D171" s="276"/>
      <c r="I171" s="277"/>
      <c r="J171" s="274"/>
      <c r="K171" s="278"/>
      <c r="P171" s="276"/>
      <c r="U171" s="276"/>
    </row>
    <row r="172" spans="4:21">
      <c r="D172" s="276"/>
      <c r="I172" s="277"/>
      <c r="J172" s="274"/>
      <c r="K172" s="278"/>
      <c r="P172" s="276"/>
      <c r="U172" s="276"/>
    </row>
    <row r="173" spans="4:21">
      <c r="D173" s="276"/>
      <c r="I173" s="277"/>
      <c r="J173" s="274"/>
      <c r="K173" s="278"/>
      <c r="P173" s="276"/>
      <c r="U173" s="276"/>
    </row>
    <row r="174" spans="4:21">
      <c r="D174" s="276"/>
      <c r="I174" s="277"/>
      <c r="J174" s="274"/>
      <c r="K174" s="278"/>
      <c r="P174" s="276"/>
      <c r="U174" s="276"/>
    </row>
    <row r="175" spans="4:21">
      <c r="D175" s="276"/>
      <c r="I175" s="277"/>
      <c r="J175" s="274"/>
      <c r="K175" s="278"/>
      <c r="P175" s="276"/>
      <c r="U175" s="276"/>
    </row>
    <row r="176" spans="4:21">
      <c r="D176" s="276"/>
      <c r="I176" s="277"/>
      <c r="J176" s="274"/>
      <c r="K176" s="278"/>
      <c r="P176" s="276"/>
      <c r="U176" s="276"/>
    </row>
    <row r="177" spans="4:21">
      <c r="D177" s="276"/>
      <c r="I177" s="277"/>
      <c r="J177" s="274"/>
      <c r="K177" s="278"/>
      <c r="P177" s="276"/>
      <c r="U177" s="276"/>
    </row>
    <row r="178" spans="4:21">
      <c r="D178" s="276"/>
      <c r="I178" s="277"/>
      <c r="J178" s="274"/>
      <c r="K178" s="278"/>
      <c r="P178" s="276"/>
      <c r="U178" s="276"/>
    </row>
    <row r="179" spans="4:21">
      <c r="D179" s="276"/>
      <c r="I179" s="277"/>
      <c r="J179" s="274"/>
      <c r="K179" s="278"/>
      <c r="P179" s="276"/>
      <c r="U179" s="276"/>
    </row>
    <row r="180" spans="4:21">
      <c r="D180" s="276"/>
      <c r="I180" s="277"/>
      <c r="J180" s="274"/>
      <c r="K180" s="278"/>
      <c r="P180" s="276"/>
      <c r="U180" s="276"/>
    </row>
    <row r="181" spans="4:21">
      <c r="D181" s="276"/>
      <c r="I181" s="277"/>
      <c r="J181" s="274"/>
      <c r="K181" s="278"/>
      <c r="P181" s="276"/>
      <c r="U181" s="276"/>
    </row>
    <row r="182" spans="4:21">
      <c r="D182" s="276"/>
      <c r="I182" s="277"/>
      <c r="J182" s="274"/>
      <c r="K182" s="278"/>
      <c r="P182" s="276"/>
      <c r="U182" s="276"/>
    </row>
    <row r="183" spans="4:21">
      <c r="D183" s="276"/>
      <c r="I183" s="277"/>
      <c r="J183" s="274"/>
      <c r="K183" s="278"/>
      <c r="P183" s="276"/>
      <c r="U183" s="276"/>
    </row>
    <row r="184" spans="4:21">
      <c r="D184" s="276"/>
      <c r="I184" s="277"/>
      <c r="J184" s="274"/>
      <c r="K184" s="278"/>
      <c r="P184" s="276"/>
      <c r="U184" s="276"/>
    </row>
    <row r="185" spans="4:21">
      <c r="D185" s="276"/>
      <c r="I185" s="277"/>
      <c r="J185" s="274"/>
      <c r="K185" s="278"/>
      <c r="P185" s="276"/>
      <c r="U185" s="276"/>
    </row>
    <row r="186" spans="4:21">
      <c r="D186" s="276"/>
      <c r="I186" s="277"/>
      <c r="J186" s="274"/>
      <c r="K186" s="278"/>
      <c r="P186" s="276"/>
      <c r="U186" s="276"/>
    </row>
    <row r="187" spans="4:21">
      <c r="D187" s="276"/>
      <c r="I187" s="277"/>
      <c r="J187" s="274"/>
      <c r="K187" s="278"/>
      <c r="P187" s="276"/>
      <c r="U187" s="276"/>
    </row>
    <row r="188" spans="4:21">
      <c r="D188" s="276"/>
      <c r="I188" s="277"/>
      <c r="J188" s="274"/>
      <c r="K188" s="278"/>
      <c r="P188" s="276"/>
      <c r="U188" s="276"/>
    </row>
    <row r="189" spans="4:21">
      <c r="D189" s="276"/>
      <c r="I189" s="277"/>
      <c r="J189" s="274"/>
      <c r="K189" s="278"/>
      <c r="P189" s="276"/>
      <c r="U189" s="276"/>
    </row>
    <row r="190" spans="4:21">
      <c r="D190" s="276"/>
      <c r="I190" s="277"/>
      <c r="J190" s="274"/>
      <c r="K190" s="278"/>
      <c r="P190" s="276"/>
      <c r="U190" s="276"/>
    </row>
    <row r="191" spans="4:21">
      <c r="D191" s="276"/>
      <c r="I191" s="277"/>
      <c r="J191" s="274"/>
      <c r="K191" s="278"/>
      <c r="P191" s="276"/>
      <c r="U191" s="276"/>
    </row>
    <row r="192" spans="4:21">
      <c r="D192" s="276"/>
      <c r="I192" s="277"/>
      <c r="J192" s="274"/>
      <c r="K192" s="278"/>
      <c r="P192" s="276"/>
      <c r="U192" s="276"/>
    </row>
    <row r="193" spans="4:21">
      <c r="D193" s="276"/>
      <c r="I193" s="277"/>
      <c r="J193" s="274"/>
      <c r="K193" s="278"/>
      <c r="P193" s="276"/>
      <c r="U193" s="276"/>
    </row>
    <row r="194" spans="4:21">
      <c r="D194" s="276"/>
      <c r="I194" s="277"/>
      <c r="J194" s="274"/>
      <c r="K194" s="278"/>
      <c r="P194" s="276"/>
      <c r="U194" s="276"/>
    </row>
    <row r="195" spans="4:21">
      <c r="D195" s="276"/>
      <c r="I195" s="277"/>
      <c r="J195" s="274"/>
      <c r="K195" s="278"/>
      <c r="P195" s="276"/>
      <c r="U195" s="276"/>
    </row>
    <row r="196" spans="4:21">
      <c r="D196" s="276"/>
      <c r="I196" s="277"/>
      <c r="J196" s="274"/>
      <c r="K196" s="278"/>
      <c r="P196" s="276"/>
      <c r="U196" s="276"/>
    </row>
    <row r="197" spans="4:21">
      <c r="D197" s="276"/>
      <c r="I197" s="277"/>
      <c r="J197" s="274"/>
      <c r="K197" s="278"/>
      <c r="P197" s="276"/>
      <c r="U197" s="276"/>
    </row>
    <row r="198" spans="4:21">
      <c r="D198" s="276"/>
      <c r="I198" s="277"/>
      <c r="J198" s="274"/>
      <c r="K198" s="278"/>
      <c r="P198" s="276"/>
      <c r="U198" s="276"/>
    </row>
    <row r="199" spans="4:21">
      <c r="D199" s="276"/>
      <c r="I199" s="277"/>
      <c r="J199" s="274"/>
      <c r="K199" s="278"/>
      <c r="P199" s="276"/>
      <c r="U199" s="276"/>
    </row>
    <row r="200" spans="4:21">
      <c r="D200" s="276"/>
      <c r="I200" s="277"/>
      <c r="J200" s="274"/>
      <c r="K200" s="278"/>
      <c r="P200" s="276"/>
      <c r="U200" s="276"/>
    </row>
    <row r="201" spans="4:21">
      <c r="D201" s="276"/>
      <c r="I201" s="277"/>
      <c r="J201" s="274"/>
      <c r="K201" s="278"/>
      <c r="P201" s="276"/>
      <c r="U201" s="276"/>
    </row>
    <row r="202" spans="4:21">
      <c r="D202" s="276"/>
      <c r="I202" s="277"/>
      <c r="J202" s="274"/>
      <c r="K202" s="278"/>
      <c r="P202" s="276"/>
      <c r="U202" s="276"/>
    </row>
    <row r="203" spans="4:21">
      <c r="D203" s="276"/>
      <c r="I203" s="277"/>
      <c r="J203" s="274"/>
      <c r="K203" s="278"/>
      <c r="P203" s="276"/>
      <c r="U203" s="276"/>
    </row>
    <row r="204" spans="4:21">
      <c r="D204" s="276"/>
      <c r="I204" s="277"/>
      <c r="J204" s="274"/>
      <c r="K204" s="278"/>
      <c r="P204" s="276"/>
      <c r="U204" s="276"/>
    </row>
    <row r="205" spans="4:21">
      <c r="D205" s="276"/>
      <c r="I205" s="277"/>
      <c r="J205" s="274"/>
      <c r="K205" s="278"/>
      <c r="P205" s="276"/>
      <c r="U205" s="276"/>
    </row>
    <row r="206" spans="4:21">
      <c r="D206" s="276"/>
      <c r="I206" s="277"/>
      <c r="J206" s="274"/>
      <c r="K206" s="278"/>
      <c r="P206" s="276"/>
      <c r="U206" s="276"/>
    </row>
    <row r="207" spans="4:21">
      <c r="D207" s="276"/>
      <c r="I207" s="277"/>
      <c r="J207" s="274"/>
      <c r="K207" s="278"/>
      <c r="P207" s="276"/>
      <c r="U207" s="276"/>
    </row>
    <row r="208" spans="4:21">
      <c r="D208" s="276"/>
      <c r="I208" s="277"/>
      <c r="J208" s="274"/>
      <c r="K208" s="278"/>
      <c r="P208" s="276"/>
      <c r="U208" s="276"/>
    </row>
    <row r="209" spans="4:21">
      <c r="D209" s="276"/>
      <c r="I209" s="277"/>
      <c r="J209" s="274"/>
      <c r="K209" s="278"/>
      <c r="P209" s="276"/>
      <c r="U209" s="276"/>
    </row>
    <row r="210" spans="4:21">
      <c r="D210" s="276"/>
      <c r="I210" s="277"/>
      <c r="J210" s="274"/>
      <c r="K210" s="278"/>
      <c r="P210" s="276"/>
      <c r="U210" s="276"/>
    </row>
  </sheetData>
  <sheetProtection algorithmName="SHA-512" hashValue="dUtZFf9mOBedVoTlM7uUpO5Fgu1e0C8EC7h1L3uwSUIXSeKhjOJmjDSKH67QAqVHLOA7SQZqpm9g6Eg/FlVCrQ==" saltValue="sVlEDGwtvyd2Mef4AtlXig==" spinCount="100000" sheet="1" objects="1" scenarios="1"/>
  <customSheetViews>
    <customSheetView guid="{0A42B198-9C9E-43A6-8871-1A4824290440}">
      <selection activeCell="W2" sqref="W2"/>
      <rowBreaks count="1" manualBreakCount="1">
        <brk id="34" max="16383" man="1"/>
      </rowBreaks>
      <pageMargins left="0.70866141732283472" right="0.70866141732283472" top="0.78740157480314965" bottom="0.78740157480314965" header="0.31496062992125984" footer="0.31496062992125984"/>
      <pageSetup paperSize="9" scale="80" fitToHeight="3" orientation="landscape" r:id="rId1"/>
    </customSheetView>
  </customSheetViews>
  <mergeCells count="19">
    <mergeCell ref="A62:C63"/>
    <mergeCell ref="A74:C74"/>
    <mergeCell ref="F31:H31"/>
    <mergeCell ref="A6:C6"/>
    <mergeCell ref="F6:H6"/>
    <mergeCell ref="F8:H8"/>
    <mergeCell ref="F14:H14"/>
    <mergeCell ref="F25:H25"/>
    <mergeCell ref="A2:U2"/>
    <mergeCell ref="A4:C4"/>
    <mergeCell ref="M31:N31"/>
    <mergeCell ref="R6:T6"/>
    <mergeCell ref="A60:C60"/>
    <mergeCell ref="R60:T60"/>
    <mergeCell ref="M6:O6"/>
    <mergeCell ref="M39:O40"/>
    <mergeCell ref="M51:O51"/>
    <mergeCell ref="F4:H4"/>
    <mergeCell ref="M4:U4"/>
  </mergeCells>
  <pageMargins left="0.70866141732283472" right="0.70866141732283472" top="0.78740157480314965" bottom="0.78740157480314965" header="0.31496062992125984" footer="0.31496062992125984"/>
  <pageSetup paperSize="9" scale="73" fitToHeight="2" orientation="landscape" r:id="rId2"/>
  <rowBreaks count="3" manualBreakCount="3">
    <brk id="31" max="16383" man="1"/>
    <brk id="60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11</vt:i4>
      </vt:variant>
    </vt:vector>
  </HeadingPairs>
  <TitlesOfParts>
    <vt:vector size="16" baseType="lpstr">
      <vt:lpstr>Krycí list rozpočtu</vt:lpstr>
      <vt:lpstr>Stavební rozpočet</vt:lpstr>
      <vt:lpstr>Položky El</vt:lpstr>
      <vt:lpstr>ZTI</vt:lpstr>
      <vt:lpstr>Výměry</vt:lpstr>
      <vt:lpstr>'Položky El'!Názvy_tisku</vt:lpstr>
      <vt:lpstr>'Položky El'!Oblast_tisku</vt:lpstr>
      <vt:lpstr>'Stavební rozpočet'!Oblast_tisku</vt:lpstr>
      <vt:lpstr>Výměry!Oblast_tisku</vt:lpstr>
      <vt:lpstr>'Položky El'!SloupecCC</vt:lpstr>
      <vt:lpstr>'Položky El'!SloupecCisloPol</vt:lpstr>
      <vt:lpstr>'Položky El'!SloupecJC</vt:lpstr>
      <vt:lpstr>'Položky El'!SloupecMJ</vt:lpstr>
      <vt:lpstr>'Položky El'!SloupecMnozstvi</vt:lpstr>
      <vt:lpstr>'Položky El'!SloupecNazPol</vt:lpstr>
      <vt:lpstr>'Položky El'!SloupecPC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Balšánek Antonín</cp:lastModifiedBy>
  <cp:lastPrinted>2021-10-28T08:19:21Z</cp:lastPrinted>
  <dcterms:created xsi:type="dcterms:W3CDTF">2016-02-03T14:12:35Z</dcterms:created>
  <dcterms:modified xsi:type="dcterms:W3CDTF">2021-11-09T08:30:48Z</dcterms:modified>
</cp:coreProperties>
</file>